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s" sheetId="1" r:id="rId4"/>
    <sheet state="visible" name="Sheet1" sheetId="2" r:id="rId5"/>
    <sheet state="visible" name="N50" sheetId="3" r:id="rId6"/>
    <sheet state="visible" name="NN50" sheetId="4" r:id="rId7"/>
    <sheet state="visible" name="N100" sheetId="5" r:id="rId8"/>
    <sheet state="visible" name="N200" sheetId="6" r:id="rId9"/>
    <sheet state="visible" name="N500" sheetId="7" r:id="rId10"/>
    <sheet state="visible" name="FO" sheetId="8" r:id="rId11"/>
    <sheet state="visible" name="7% ATH" sheetId="9" r:id="rId12"/>
    <sheet state="visible" name="coloring" sheetId="10" r:id="rId13"/>
  </sheets>
  <definedNames>
    <definedName hidden="1" localSheetId="1" name="_xlnm._FilterDatabase">Sheet1!$A$1:$W$249</definedName>
    <definedName hidden="1" localSheetId="2" name="_xlnm._FilterDatabase">'N50'!$A$3:$AA$53</definedName>
    <definedName hidden="1" localSheetId="3" name="_xlnm._FilterDatabase">'NN50'!$A$3:$AA$53</definedName>
    <definedName hidden="1" localSheetId="4" name="_xlnm._FilterDatabase">'N100'!$A$3:$Z$103</definedName>
    <definedName hidden="1" localSheetId="5" name="_xlnm._FilterDatabase">'N200'!$A$3:$Z$203</definedName>
    <definedName hidden="1" localSheetId="6" name="_xlnm._FilterDatabase">'N500'!$A$3:$Z$504</definedName>
    <definedName hidden="1" localSheetId="7" name="_xlnm._FilterDatabase">FO!$A$1:$AA$242</definedName>
    <definedName hidden="1" localSheetId="8" name="_xlnm._FilterDatabase">'7% ATH'!$A$1:$Y$136</definedName>
  </definedNames>
  <calcPr/>
</workbook>
</file>

<file path=xl/sharedStrings.xml><?xml version="1.0" encoding="utf-8"?>
<sst xmlns="http://schemas.openxmlformats.org/spreadsheetml/2006/main" count="4163" uniqueCount="1638">
  <si>
    <t>PRICE</t>
  </si>
  <si>
    <t>CLOSE</t>
  </si>
  <si>
    <t>Current weekend</t>
  </si>
  <si>
    <t>S.No.</t>
  </si>
  <si>
    <t>Name</t>
  </si>
  <si>
    <t>LTP</t>
  </si>
  <si>
    <t>1W back</t>
  </si>
  <si>
    <t>1D back</t>
  </si>
  <si>
    <t>Reliance Industr</t>
  </si>
  <si>
    <t>RELIANCE</t>
  </si>
  <si>
    <t>2W back</t>
  </si>
  <si>
    <t>4W back</t>
  </si>
  <si>
    <t>1D</t>
  </si>
  <si>
    <t xml:space="preserve">1W </t>
  </si>
  <si>
    <t>2W</t>
  </si>
  <si>
    <t>4W</t>
  </si>
  <si>
    <t>1W change</t>
  </si>
  <si>
    <t>2W change</t>
  </si>
  <si>
    <t>4W change</t>
  </si>
  <si>
    <t>1W CIR</t>
  </si>
  <si>
    <t>1W Rank</t>
  </si>
  <si>
    <t>2W Rank</t>
  </si>
  <si>
    <t>4W Rank</t>
  </si>
  <si>
    <t>1W CIR Rank</t>
  </si>
  <si>
    <t>TCS</t>
  </si>
  <si>
    <t>HDFC Bank</t>
  </si>
  <si>
    <t>HDFCBANK</t>
  </si>
  <si>
    <t>Infosys</t>
  </si>
  <si>
    <t>INFY</t>
  </si>
  <si>
    <t>Hind. Unilever</t>
  </si>
  <si>
    <t>HINDUNILVR</t>
  </si>
  <si>
    <t>H D F C</t>
  </si>
  <si>
    <t>HDFC</t>
  </si>
  <si>
    <t>ICICI Bank</t>
  </si>
  <si>
    <t>ICICIBANK</t>
  </si>
  <si>
    <t>Bajaj Finance</t>
  </si>
  <si>
    <t>BAJFINANCE</t>
  </si>
  <si>
    <t>St Bk of India</t>
  </si>
  <si>
    <t>SBIN</t>
  </si>
  <si>
    <t>Wipro</t>
  </si>
  <si>
    <t>WIPRO</t>
  </si>
  <si>
    <t>Kotak Mah. Bank</t>
  </si>
  <si>
    <t>KOTAKBANK</t>
  </si>
  <si>
    <t>Bharti Airtel</t>
  </si>
  <si>
    <t>BHARTIARTL</t>
  </si>
  <si>
    <t>HCL Technologies</t>
  </si>
  <si>
    <t>HCLTECH</t>
  </si>
  <si>
    <t>Asian Paints</t>
  </si>
  <si>
    <t>ASIANPAINT</t>
  </si>
  <si>
    <t>Bajaj Finserv</t>
  </si>
  <si>
    <t>BAJAJFINSV</t>
  </si>
  <si>
    <t>ITC</t>
  </si>
  <si>
    <t>Avenue Super.</t>
  </si>
  <si>
    <t>DMART</t>
  </si>
  <si>
    <t>Axis Bank</t>
  </si>
  <si>
    <t>AXISBANK</t>
  </si>
  <si>
    <t>Larsen &amp; Toubro</t>
  </si>
  <si>
    <t>LT</t>
  </si>
  <si>
    <t>UltraTech Cem.</t>
  </si>
  <si>
    <t>ULTRACEMCO</t>
  </si>
  <si>
    <t>Maruti Suzuki</t>
  </si>
  <si>
    <t>MARUTI</t>
  </si>
  <si>
    <t>Nestle India</t>
  </si>
  <si>
    <t>NESTLEIND</t>
  </si>
  <si>
    <t>Sun Pharma.Inds.</t>
  </si>
  <si>
    <t>SUNPHARMA</t>
  </si>
  <si>
    <t>Tata Steel</t>
  </si>
  <si>
    <t>TATASTEEL</t>
  </si>
  <si>
    <t>Adani Green</t>
  </si>
  <si>
    <t>ADANIGREEN</t>
  </si>
  <si>
    <t>Titan Company</t>
  </si>
  <si>
    <t>TITAN</t>
  </si>
  <si>
    <t>Adani Enterp.</t>
  </si>
  <si>
    <t>ADANIENT</t>
  </si>
  <si>
    <t>JSW Steel</t>
  </si>
  <si>
    <t>JSWSTEEL</t>
  </si>
  <si>
    <t>Adani Transmissi</t>
  </si>
  <si>
    <t>ADANITRANS</t>
  </si>
  <si>
    <t>Adani Total Gas</t>
  </si>
  <si>
    <t>ATGL</t>
  </si>
  <si>
    <t>O N G C</t>
  </si>
  <si>
    <t>ONGC</t>
  </si>
  <si>
    <t>Adani Ports</t>
  </si>
  <si>
    <t>ADANIPORTS</t>
  </si>
  <si>
    <t>HDFC Life Insur.</t>
  </si>
  <si>
    <t>HDFCLIFE</t>
  </si>
  <si>
    <t>Tech Mahindra</t>
  </si>
  <si>
    <t>TECHM</t>
  </si>
  <si>
    <t>Hindustan Zinc</t>
  </si>
  <si>
    <t>HINDZINC</t>
  </si>
  <si>
    <t>Divi's Lab.</t>
  </si>
  <si>
    <t>DIVISLAB</t>
  </si>
  <si>
    <t>Power Grid Corpn</t>
  </si>
  <si>
    <t>POWERGRID</t>
  </si>
  <si>
    <t>SBI Life Insuran</t>
  </si>
  <si>
    <t>SBILIFE</t>
  </si>
  <si>
    <t>Pidilite Inds.</t>
  </si>
  <si>
    <t>PIDILITIND</t>
  </si>
  <si>
    <t>NTPC</t>
  </si>
  <si>
    <t>Godrej Consumer</t>
  </si>
  <si>
    <t>GODREJCP</t>
  </si>
  <si>
    <t>Vedanta</t>
  </si>
  <si>
    <t>VEDL</t>
  </si>
  <si>
    <t>Dabur India</t>
  </si>
  <si>
    <t>DABUR</t>
  </si>
  <si>
    <t>Bajaj Auto</t>
  </si>
  <si>
    <t>BAJAJ-AUTO</t>
  </si>
  <si>
    <t>Zomato Ltd</t>
  </si>
  <si>
    <t>ZOMATO</t>
  </si>
  <si>
    <t>Tata Motors</t>
  </si>
  <si>
    <t>TATAMOTORS</t>
  </si>
  <si>
    <t>SBI Cards</t>
  </si>
  <si>
    <t>SBICARD</t>
  </si>
  <si>
    <t>B P C L</t>
  </si>
  <si>
    <t>BPCL</t>
  </si>
  <si>
    <t>I O C L</t>
  </si>
  <si>
    <t>IOC</t>
  </si>
  <si>
    <t>Hindalco Inds.</t>
  </si>
  <si>
    <t>HINDALCO</t>
  </si>
  <si>
    <t>M &amp; M</t>
  </si>
  <si>
    <t>M&amp;M</t>
  </si>
  <si>
    <t>Shree Cement</t>
  </si>
  <si>
    <t>SHREECEM</t>
  </si>
  <si>
    <t>Grasim Inds</t>
  </si>
  <si>
    <t>GRASIM</t>
  </si>
  <si>
    <t>Britannia Inds.</t>
  </si>
  <si>
    <t>BRITANNIA</t>
  </si>
  <si>
    <t>ICICI Pru Life</t>
  </si>
  <si>
    <t>ICICIPRULI</t>
  </si>
  <si>
    <t>L &amp; T Infotech</t>
  </si>
  <si>
    <t>LTI</t>
  </si>
  <si>
    <t>Coal India</t>
  </si>
  <si>
    <t>COALINDIA</t>
  </si>
  <si>
    <t>Ambuja Cements</t>
  </si>
  <si>
    <t>AMBUJACEM</t>
  </si>
  <si>
    <t>Siemens</t>
  </si>
  <si>
    <t>SIEMENS</t>
  </si>
  <si>
    <t>Tata Consumer</t>
  </si>
  <si>
    <t>TATACONSUM</t>
  </si>
  <si>
    <t>Havells India</t>
  </si>
  <si>
    <t>HAVELLS</t>
  </si>
  <si>
    <t>DLF</t>
  </si>
  <si>
    <t>Berger Paints</t>
  </si>
  <si>
    <t>BERGEPAINT</t>
  </si>
  <si>
    <t>Info Edg.(India)</t>
  </si>
  <si>
    <t>NAUKRI</t>
  </si>
  <si>
    <t>Dr Reddy's Labs</t>
  </si>
  <si>
    <t>DRREDDY</t>
  </si>
  <si>
    <t>IndusInd Bank</t>
  </si>
  <si>
    <t>INDUSINDBK</t>
  </si>
  <si>
    <t>Cipla</t>
  </si>
  <si>
    <t>CIPLA</t>
  </si>
  <si>
    <t>ICICI Lombard</t>
  </si>
  <si>
    <t>ICICIGI</t>
  </si>
  <si>
    <t>Interglobe Aviat</t>
  </si>
  <si>
    <t>INDIGO</t>
  </si>
  <si>
    <t>Eicher Motors</t>
  </si>
  <si>
    <t>EICHERMOT</t>
  </si>
  <si>
    <t>Motherson Sumi</t>
  </si>
  <si>
    <t>MOTHERSUMI</t>
  </si>
  <si>
    <t>Apollo Hospitals</t>
  </si>
  <si>
    <t>APOLLOHOSP</t>
  </si>
  <si>
    <t>Marico</t>
  </si>
  <si>
    <t>MARICO</t>
  </si>
  <si>
    <t>HDFC AMC</t>
  </si>
  <si>
    <t>HDFCAMC</t>
  </si>
  <si>
    <t>GAIL (India)</t>
  </si>
  <si>
    <t>GAIL</t>
  </si>
  <si>
    <t>Gland Pharma</t>
  </si>
  <si>
    <t>GLAND</t>
  </si>
  <si>
    <t>Piramal Enterp.</t>
  </si>
  <si>
    <t>PEL</t>
  </si>
  <si>
    <t>Muthoot Finance</t>
  </si>
  <si>
    <t>MUTHOOTFIN</t>
  </si>
  <si>
    <t>Mindtree</t>
  </si>
  <si>
    <t>MINDTREE</t>
  </si>
  <si>
    <t>Indus Towers</t>
  </si>
  <si>
    <t>INDUSTOWER</t>
  </si>
  <si>
    <t>SRF</t>
  </si>
  <si>
    <t>Cadila Health.</t>
  </si>
  <si>
    <t>CADILAHC</t>
  </si>
  <si>
    <t>UPL</t>
  </si>
  <si>
    <t>Hero Motocorp</t>
  </si>
  <si>
    <t>HEROMOTOCO</t>
  </si>
  <si>
    <t>Mphasis</t>
  </si>
  <si>
    <t>MPHASIS</t>
  </si>
  <si>
    <t>Torrent Pharma.</t>
  </si>
  <si>
    <t>TORNTPHARM</t>
  </si>
  <si>
    <t>Jubilant Food.</t>
  </si>
  <si>
    <t>JUBLFOOD</t>
  </si>
  <si>
    <t>United Spirits</t>
  </si>
  <si>
    <t>MCDOWELL-N</t>
  </si>
  <si>
    <t>P I Industries</t>
  </si>
  <si>
    <t>PIIND</t>
  </si>
  <si>
    <t>S A I L</t>
  </si>
  <si>
    <t>SAIL</t>
  </si>
  <si>
    <t>Gujarat Gas</t>
  </si>
  <si>
    <t>GUJGASLTD</t>
  </si>
  <si>
    <t>Bajaj Holdings</t>
  </si>
  <si>
    <t>BAJAJHLDNG</t>
  </si>
  <si>
    <t>Hind.Aeronautics</t>
  </si>
  <si>
    <t>HAL</t>
  </si>
  <si>
    <t>Alkem Lab</t>
  </si>
  <si>
    <t>ALKEM</t>
  </si>
  <si>
    <t>Colgate-Palmoliv</t>
  </si>
  <si>
    <t>COLPAL</t>
  </si>
  <si>
    <t>Bandhan Bank</t>
  </si>
  <si>
    <t>BANDHANBNK</t>
  </si>
  <si>
    <t>NMDC</t>
  </si>
  <si>
    <t>Cholaman.Inv.&amp;Fn</t>
  </si>
  <si>
    <t>CHOLAFIN</t>
  </si>
  <si>
    <t>P &amp; G Hygiene</t>
  </si>
  <si>
    <t>PGHH</t>
  </si>
  <si>
    <t>Bharat Electron</t>
  </si>
  <si>
    <t>BEL</t>
  </si>
  <si>
    <t>ACC</t>
  </si>
  <si>
    <t>Balkrishna Inds</t>
  </si>
  <si>
    <t>BALKRISIND</t>
  </si>
  <si>
    <t>Lupin</t>
  </si>
  <si>
    <t>LUPIN</t>
  </si>
  <si>
    <t>I R C T C</t>
  </si>
  <si>
    <t>IRCTC</t>
  </si>
  <si>
    <t>Biocon</t>
  </si>
  <si>
    <t>BIOCON</t>
  </si>
  <si>
    <t>Aurobindo Pharma</t>
  </si>
  <si>
    <t>AUROPHARMA</t>
  </si>
  <si>
    <t>Macrotech Devel.</t>
  </si>
  <si>
    <t>LODHA</t>
  </si>
  <si>
    <t>JSW Energy</t>
  </si>
  <si>
    <t>JSWENERGY</t>
  </si>
  <si>
    <t>Godrej Propert.</t>
  </si>
  <si>
    <t>GODREJPROP</t>
  </si>
  <si>
    <t>IDBI Bank</t>
  </si>
  <si>
    <t>IDBI</t>
  </si>
  <si>
    <t>Container Corpn.</t>
  </si>
  <si>
    <t>CONCOR</t>
  </si>
  <si>
    <t>Tata Power Co.</t>
  </si>
  <si>
    <t>TATAPOWER</t>
  </si>
  <si>
    <t>L&amp;T Technology</t>
  </si>
  <si>
    <t>LTTS</t>
  </si>
  <si>
    <t>Dalmia BharatLtd</t>
  </si>
  <si>
    <t>DALBHARAT</t>
  </si>
  <si>
    <t>A B B</t>
  </si>
  <si>
    <t>ABB</t>
  </si>
  <si>
    <t>Bosch</t>
  </si>
  <si>
    <t>BOSCHLTD</t>
  </si>
  <si>
    <t>Abbott India</t>
  </si>
  <si>
    <t>ABBOTINDIA</t>
  </si>
  <si>
    <t>Tata Comm</t>
  </si>
  <si>
    <t>TATACOMM</t>
  </si>
  <si>
    <t>Oracle Fin.Serv.</t>
  </si>
  <si>
    <t>OFSS</t>
  </si>
  <si>
    <t>Punjab Natl.Bank</t>
  </si>
  <si>
    <t>PNB</t>
  </si>
  <si>
    <t>Astral</t>
  </si>
  <si>
    <t>ASTRAL</t>
  </si>
  <si>
    <t>AU Small Finance</t>
  </si>
  <si>
    <t>AUBANK</t>
  </si>
  <si>
    <t>Bank of Baroda</t>
  </si>
  <si>
    <t>BANKBARODA</t>
  </si>
  <si>
    <t>Jindal Steel</t>
  </si>
  <si>
    <t>JINDALSTEL</t>
  </si>
  <si>
    <t>United Breweries</t>
  </si>
  <si>
    <t>UBL</t>
  </si>
  <si>
    <t>I O B</t>
  </si>
  <si>
    <t>IOB</t>
  </si>
  <si>
    <t>Indraprastha Gas</t>
  </si>
  <si>
    <t>IGL</t>
  </si>
  <si>
    <t>H P C L</t>
  </si>
  <si>
    <t>HINDPETRO</t>
  </si>
  <si>
    <t>Varun Beverages</t>
  </si>
  <si>
    <t>VBL</t>
  </si>
  <si>
    <t>Max Financial</t>
  </si>
  <si>
    <t>MFSL</t>
  </si>
  <si>
    <t>Adani Power</t>
  </si>
  <si>
    <t>ADANIPOWER</t>
  </si>
  <si>
    <t>Shriram Trans.</t>
  </si>
  <si>
    <t>SRTRANSFIN</t>
  </si>
  <si>
    <t>Ashok Leyland</t>
  </si>
  <si>
    <t>ASHOKLEY</t>
  </si>
  <si>
    <t>Bharat Forge</t>
  </si>
  <si>
    <t>BHARATFORG</t>
  </si>
  <si>
    <t>Trent</t>
  </si>
  <si>
    <t>TRENT</t>
  </si>
  <si>
    <t>Page Industries</t>
  </si>
  <si>
    <t>PAGEIND</t>
  </si>
  <si>
    <t>Honeywell Auto</t>
  </si>
  <si>
    <t>HONAUT</t>
  </si>
  <si>
    <t>Max Healthcare</t>
  </si>
  <si>
    <t>MAXHEALTH</t>
  </si>
  <si>
    <t>Laurus Labs</t>
  </si>
  <si>
    <t>LAURUSLABS</t>
  </si>
  <si>
    <t>Petronet LNG</t>
  </si>
  <si>
    <t>PETRONET</t>
  </si>
  <si>
    <t>Power Fin.Corpn.</t>
  </si>
  <si>
    <t>PFC</t>
  </si>
  <si>
    <t>Aarti Industries</t>
  </si>
  <si>
    <t>AARTIIND</t>
  </si>
  <si>
    <t>Embassy Off.REIT</t>
  </si>
  <si>
    <t>Kansai Nerolac</t>
  </si>
  <si>
    <t>KANSAINER</t>
  </si>
  <si>
    <t>MRF</t>
  </si>
  <si>
    <t>Dr Lal Pathlabs</t>
  </si>
  <si>
    <t>LALPATHLAB</t>
  </si>
  <si>
    <t>Voltas</t>
  </si>
  <si>
    <t>VOLTAS</t>
  </si>
  <si>
    <t>Ipca Labs.</t>
  </si>
  <si>
    <t>IPCALAB</t>
  </si>
  <si>
    <t>Ruchi Soya Inds.</t>
  </si>
  <si>
    <t>RUCHI</t>
  </si>
  <si>
    <t>Coforge</t>
  </si>
  <si>
    <t>COFORGE</t>
  </si>
  <si>
    <t>Deepak Nitrite</t>
  </si>
  <si>
    <t>DEEPAKNTR</t>
  </si>
  <si>
    <t>Polycab India</t>
  </si>
  <si>
    <t>POLYCAB</t>
  </si>
  <si>
    <t>I R F C</t>
  </si>
  <si>
    <t>IRFC</t>
  </si>
  <si>
    <t>Tata Elxsi</t>
  </si>
  <si>
    <t>TATAELXSI</t>
  </si>
  <si>
    <t>Sona BLW Precis.</t>
  </si>
  <si>
    <t>SONACOMS</t>
  </si>
  <si>
    <t>REC Ltd</t>
  </si>
  <si>
    <t>RECLTD</t>
  </si>
  <si>
    <t>Crompton Gr. Con</t>
  </si>
  <si>
    <t>CROMPTON</t>
  </si>
  <si>
    <t>Relaxo Footwear</t>
  </si>
  <si>
    <t>RELAXO</t>
  </si>
  <si>
    <t>Sundaram Finance</t>
  </si>
  <si>
    <t>SUNDARMFIN</t>
  </si>
  <si>
    <t>Canara Bank</t>
  </si>
  <si>
    <t>CANBK</t>
  </si>
  <si>
    <t>Cummins India</t>
  </si>
  <si>
    <t>CUMMINSIND</t>
  </si>
  <si>
    <t>New India Assura</t>
  </si>
  <si>
    <t>NIACL</t>
  </si>
  <si>
    <t>Yes Bank</t>
  </si>
  <si>
    <t>YESBANK</t>
  </si>
  <si>
    <t>Supreme Inds.</t>
  </si>
  <si>
    <t>SUPREMEIND</t>
  </si>
  <si>
    <t>Atul</t>
  </si>
  <si>
    <t>ATUL</t>
  </si>
  <si>
    <t>Emami</t>
  </si>
  <si>
    <t>EMAMILTD</t>
  </si>
  <si>
    <t>IDFC First Bank</t>
  </si>
  <si>
    <t>IDFCFIRSTB</t>
  </si>
  <si>
    <t>NHPC Ltd</t>
  </si>
  <si>
    <t>NHPC</t>
  </si>
  <si>
    <t>Aditya Birla Cap</t>
  </si>
  <si>
    <t>ABCAPITAL</t>
  </si>
  <si>
    <t>General Insuranc</t>
  </si>
  <si>
    <t>GICRE</t>
  </si>
  <si>
    <t>Pfizer</t>
  </si>
  <si>
    <t>PFIZER</t>
  </si>
  <si>
    <t>Nippon Life Ind.</t>
  </si>
  <si>
    <t>NAM-INDIA</t>
  </si>
  <si>
    <t>3M India</t>
  </si>
  <si>
    <t>3MINDIA</t>
  </si>
  <si>
    <t>Glaxosmi. Pharma</t>
  </si>
  <si>
    <t>GLAXO</t>
  </si>
  <si>
    <t>Whirlpool India</t>
  </si>
  <si>
    <t>WHIRLPOOL</t>
  </si>
  <si>
    <t>Persistent Sys</t>
  </si>
  <si>
    <t>PERSISTENT</t>
  </si>
  <si>
    <t>Tube Investments</t>
  </si>
  <si>
    <t>TIINDIA</t>
  </si>
  <si>
    <t>Oberoi Realty</t>
  </si>
  <si>
    <t>OBEROIRLTY</t>
  </si>
  <si>
    <t>Syngene Intl.</t>
  </si>
  <si>
    <t>SYNGENE</t>
  </si>
  <si>
    <t>Bank of India</t>
  </si>
  <si>
    <t>BANKINDIA</t>
  </si>
  <si>
    <t>TVS Motor Co.</t>
  </si>
  <si>
    <t>TVSMOTOR</t>
  </si>
  <si>
    <t>J K Cements</t>
  </si>
  <si>
    <t>JKCEMENT</t>
  </si>
  <si>
    <t>Bayer Crop Sci.</t>
  </si>
  <si>
    <t>BAYERCROP</t>
  </si>
  <si>
    <t>Dixon Technolog.</t>
  </si>
  <si>
    <t>DIXON</t>
  </si>
  <si>
    <t>Hatsun Agro</t>
  </si>
  <si>
    <t>HATSUN</t>
  </si>
  <si>
    <t>Union Bank (I)</t>
  </si>
  <si>
    <t>UNIONBANK</t>
  </si>
  <si>
    <t>Indiamart Inter.</t>
  </si>
  <si>
    <t>INDIAMART</t>
  </si>
  <si>
    <t>Endurance Tech.</t>
  </si>
  <si>
    <t>ENDURANCE</t>
  </si>
  <si>
    <t>Torrent Power</t>
  </si>
  <si>
    <t>TORNTPOWER</t>
  </si>
  <si>
    <t>ICICI Securities</t>
  </si>
  <si>
    <t>ISEC</t>
  </si>
  <si>
    <t>The Ramco Cement</t>
  </si>
  <si>
    <t>RAMCOCEM</t>
  </si>
  <si>
    <t>Coromandel Inter</t>
  </si>
  <si>
    <t>COROMANDEL</t>
  </si>
  <si>
    <t>Bata India</t>
  </si>
  <si>
    <t>BATAINDIA</t>
  </si>
  <si>
    <t>Schaeffler India</t>
  </si>
  <si>
    <t>SCHAEFFLER</t>
  </si>
  <si>
    <t>Alkyl Amines</t>
  </si>
  <si>
    <t>ALKYLAMINE</t>
  </si>
  <si>
    <t>Fortis Health.</t>
  </si>
  <si>
    <t>FORTIS</t>
  </si>
  <si>
    <t>Tata Chemicals</t>
  </si>
  <si>
    <t>TATACHEM</t>
  </si>
  <si>
    <t>Sumitomo Chemi.</t>
  </si>
  <si>
    <t>SUMICHEM</t>
  </si>
  <si>
    <t>Happiest Minds</t>
  </si>
  <si>
    <t>HAPPSTMNDS</t>
  </si>
  <si>
    <t>L&amp;T Fin.Holdings</t>
  </si>
  <si>
    <t>L&amp;TFH</t>
  </si>
  <si>
    <t>APL Apollo Tubes</t>
  </si>
  <si>
    <t>APLAPOLLO</t>
  </si>
  <si>
    <t>Minda Industries</t>
  </si>
  <si>
    <t>MINDAIND</t>
  </si>
  <si>
    <t>Sanofi India</t>
  </si>
  <si>
    <t>SANOFI</t>
  </si>
  <si>
    <t>CRISIL</t>
  </si>
  <si>
    <t>LIC Housing Fin.</t>
  </si>
  <si>
    <t>LICHSGFIN</t>
  </si>
  <si>
    <t>Linde India</t>
  </si>
  <si>
    <t>LINDEINDIA</t>
  </si>
  <si>
    <t>M &amp; M Fin. Serv.</t>
  </si>
  <si>
    <t>M&amp;MFIN</t>
  </si>
  <si>
    <t>Guj.St.Petronet</t>
  </si>
  <si>
    <t>GSPL</t>
  </si>
  <si>
    <t>Aditya Bir. Fas.</t>
  </si>
  <si>
    <t>ABFRL</t>
  </si>
  <si>
    <t>AAVAS Financiers</t>
  </si>
  <si>
    <t>AAVAS</t>
  </si>
  <si>
    <t>Navin Fluo.Intl.</t>
  </si>
  <si>
    <t>NAVINFLUOR</t>
  </si>
  <si>
    <t>Ajanta Pharma</t>
  </si>
  <si>
    <t>AJANTPHARM</t>
  </si>
  <si>
    <t>Sun TV Network</t>
  </si>
  <si>
    <t>SUNTV</t>
  </si>
  <si>
    <t>Gillette India</t>
  </si>
  <si>
    <t>GILLETTE</t>
  </si>
  <si>
    <t>Oil India</t>
  </si>
  <si>
    <t>OIL</t>
  </si>
  <si>
    <t>Godrej Industrie</t>
  </si>
  <si>
    <t>GODREJIND</t>
  </si>
  <si>
    <t>B H E L</t>
  </si>
  <si>
    <t>BHEL</t>
  </si>
  <si>
    <t>Gujarat Fluoroch</t>
  </si>
  <si>
    <t>FLUOROCHEM</t>
  </si>
  <si>
    <t>Kajaria Ceramics</t>
  </si>
  <si>
    <t>KAJARIACER</t>
  </si>
  <si>
    <t>AIA Engineering</t>
  </si>
  <si>
    <t>AIAENG</t>
  </si>
  <si>
    <t>Escorts</t>
  </si>
  <si>
    <t>ESCORTS</t>
  </si>
  <si>
    <t>Vinati Organics</t>
  </si>
  <si>
    <t>VINATIORGA</t>
  </si>
  <si>
    <t>Central Bank</t>
  </si>
  <si>
    <t>CENTRALBK</t>
  </si>
  <si>
    <t>GMR Infra.</t>
  </si>
  <si>
    <t>GMRINFRA</t>
  </si>
  <si>
    <t>Cams Services</t>
  </si>
  <si>
    <t>CAMS</t>
  </si>
  <si>
    <t>Natco Pharma</t>
  </si>
  <si>
    <t>NATCOPHARM</t>
  </si>
  <si>
    <t>Mindspace Busine</t>
  </si>
  <si>
    <t>Rajesh Exports</t>
  </si>
  <si>
    <t>RAJESHEXPO</t>
  </si>
  <si>
    <t>Federal Bank</t>
  </si>
  <si>
    <t>FEDERALBNK</t>
  </si>
  <si>
    <t>Vodafone Idea</t>
  </si>
  <si>
    <t>IDEA</t>
  </si>
  <si>
    <t>Sundram Fasten.</t>
  </si>
  <si>
    <t>SUNDRMFAST</t>
  </si>
  <si>
    <t>Indian Hotels Co</t>
  </si>
  <si>
    <t>INDHOTEL</t>
  </si>
  <si>
    <t>Thermax</t>
  </si>
  <si>
    <t>THERMAX</t>
  </si>
  <si>
    <t>Zee Entertainmen</t>
  </si>
  <si>
    <t>ZEEL</t>
  </si>
  <si>
    <t>Natl. Aluminium</t>
  </si>
  <si>
    <t>NATIONALUM</t>
  </si>
  <si>
    <t>Solar Industries</t>
  </si>
  <si>
    <t>SOLARINDS</t>
  </si>
  <si>
    <t>BASF India</t>
  </si>
  <si>
    <t>BASF</t>
  </si>
  <si>
    <t>Clean Science</t>
  </si>
  <si>
    <t>CLEAN</t>
  </si>
  <si>
    <t>UCO Bank</t>
  </si>
  <si>
    <t>UCOBANK</t>
  </si>
  <si>
    <t>G R Infraproject</t>
  </si>
  <si>
    <t>GRINFRA</t>
  </si>
  <si>
    <t>KIOCL</t>
  </si>
  <si>
    <t>Carborundum Uni.</t>
  </si>
  <si>
    <t>CARBORUNIV</t>
  </si>
  <si>
    <t>Indian Bank</t>
  </si>
  <si>
    <t>INDIANB</t>
  </si>
  <si>
    <t>SKF India</t>
  </si>
  <si>
    <t>SKFINDIA</t>
  </si>
  <si>
    <t>Phoenix Mills</t>
  </si>
  <si>
    <t>PHOENIXLTD</t>
  </si>
  <si>
    <t>Glenmark Pharma.</t>
  </si>
  <si>
    <t>GLENMARK</t>
  </si>
  <si>
    <t>Alembic Pharma</t>
  </si>
  <si>
    <t>APLLTD</t>
  </si>
  <si>
    <t>UTI AMC</t>
  </si>
  <si>
    <t>UTIAMC</t>
  </si>
  <si>
    <t>NIFTY_50</t>
  </si>
  <si>
    <t>Industry</t>
  </si>
  <si>
    <t>Code</t>
  </si>
  <si>
    <t>MCap</t>
  </si>
  <si>
    <t>1W</t>
  </si>
  <si>
    <t>1M</t>
  </si>
  <si>
    <t>3M</t>
  </si>
  <si>
    <t>1D%</t>
  </si>
  <si>
    <t>1W%</t>
  </si>
  <si>
    <t>2W%</t>
  </si>
  <si>
    <t>1M%</t>
  </si>
  <si>
    <t>3M%</t>
  </si>
  <si>
    <t>1W RS</t>
  </si>
  <si>
    <t>2W RS</t>
  </si>
  <si>
    <t>1M RS</t>
  </si>
  <si>
    <t>3M RS</t>
  </si>
  <si>
    <t>Reliance Industries Ltd.</t>
  </si>
  <si>
    <t>OIL &amp; GAS</t>
  </si>
  <si>
    <t>Tata Consultancy Services Ltd.</t>
  </si>
  <si>
    <t>IT</t>
  </si>
  <si>
    <t>Hindustan Unilever Ltd.</t>
  </si>
  <si>
    <t>CONSUMER GOODS</t>
  </si>
  <si>
    <t>Housing Development Finance Corporation Ltd.</t>
  </si>
  <si>
    <t>FINANCIAL SERVICES</t>
  </si>
  <si>
    <t>Bajaj Finance Ltd.</t>
  </si>
  <si>
    <t>Bharti Airtel Ltd.</t>
  </si>
  <si>
    <t>TELECOM</t>
  </si>
  <si>
    <t>Kotak Mahindra Bank Ltd.</t>
  </si>
  <si>
    <t>State Bank of India</t>
  </si>
  <si>
    <t>Wipro Ltd.</t>
  </si>
  <si>
    <t>HCL Technologies Ltd.</t>
  </si>
  <si>
    <t>Asian Paints Ltd.</t>
  </si>
  <si>
    <t>ITC Ltd.</t>
  </si>
  <si>
    <t>Bajaj Finserv Ltd.</t>
  </si>
  <si>
    <t>Axis Bank Ltd.</t>
  </si>
  <si>
    <t>Larsen &amp; Toubro Ltd.</t>
  </si>
  <si>
    <t>CONSTRUCTION</t>
  </si>
  <si>
    <t>UltraTech Cement Ltd.</t>
  </si>
  <si>
    <t>CEMENT &amp; CEMENT PRODUCTS</t>
  </si>
  <si>
    <t>Maruti Suzuki India Ltd.</t>
  </si>
  <si>
    <t>AUTOMOBILE</t>
  </si>
  <si>
    <t>Nestle India Ltd.</t>
  </si>
  <si>
    <t>Titan Company Ltd.</t>
  </si>
  <si>
    <t>Sun Pharmaceutical Industries Ltd.</t>
  </si>
  <si>
    <t>PHARMA</t>
  </si>
  <si>
    <t>Oil &amp; Natural Gas Corporation Ltd.</t>
  </si>
  <si>
    <t>JSW Steel Ltd.</t>
  </si>
  <si>
    <t>METALS</t>
  </si>
  <si>
    <t>Tata Steel Ltd.</t>
  </si>
  <si>
    <t>Adani Ports and Special Economic Zone Ltd.</t>
  </si>
  <si>
    <t>SERVICES</t>
  </si>
  <si>
    <t>HDFC Life Insurance Company Ltd.</t>
  </si>
  <si>
    <t>Tech Mahindra Ltd.</t>
  </si>
  <si>
    <t>Divi's Laboratories Ltd.</t>
  </si>
  <si>
    <t>Power Grid Corporation of India Ltd.</t>
  </si>
  <si>
    <t>POWER</t>
  </si>
  <si>
    <t>NTPC Ltd.</t>
  </si>
  <si>
    <t>SBI Life Insurance Company Ltd.</t>
  </si>
  <si>
    <t>Indian Oil Corporation Ltd.</t>
  </si>
  <si>
    <t>Bajaj Auto Ltd.</t>
  </si>
  <si>
    <t>Shree Cement Ltd.</t>
  </si>
  <si>
    <t>Hindalco Industries Ltd.</t>
  </si>
  <si>
    <t>Grasim Industries Ltd.</t>
  </si>
  <si>
    <t>Coal India Ltd.</t>
  </si>
  <si>
    <t>Britannia Industries Ltd.</t>
  </si>
  <si>
    <t>Bharat Petroleum Corporation Ltd.</t>
  </si>
  <si>
    <t>Mahindra &amp; Mahindra Ltd.</t>
  </si>
  <si>
    <t>IndusInd Bank Ltd.</t>
  </si>
  <si>
    <t>Tata Consumer Products Ltd.</t>
  </si>
  <si>
    <t>Cipla Ltd.</t>
  </si>
  <si>
    <t>Eicher Motors Ltd.</t>
  </si>
  <si>
    <t>Hero MotoCorp Ltd.</t>
  </si>
  <si>
    <t>UPL Ltd.</t>
  </si>
  <si>
    <t>FERTILISERS &amp; PESTICIDES</t>
  </si>
  <si>
    <t>HDFC Bank Ltd.</t>
  </si>
  <si>
    <t>Infosys Ltd.</t>
  </si>
  <si>
    <t>ICICI Bank Ltd.</t>
  </si>
  <si>
    <t>Tata Motors Ltd.</t>
  </si>
  <si>
    <t>Dr. Reddy's Laboratories Ltd.</t>
  </si>
  <si>
    <t>NIFTY_NEXT_50</t>
  </si>
  <si>
    <t>Indus Towers Ltd.</t>
  </si>
  <si>
    <t>InterGlobe Aviation Ltd.</t>
  </si>
  <si>
    <t>Yes Bank Ltd.</t>
  </si>
  <si>
    <t>DLF Ltd.</t>
  </si>
  <si>
    <t>Info Edge (India) Ltd.</t>
  </si>
  <si>
    <t>CONSUMER SERVICES</t>
  </si>
  <si>
    <t>Havells India Ltd.</t>
  </si>
  <si>
    <t>Bajaj Holdings &amp; Investment Ltd.</t>
  </si>
  <si>
    <t>Adani Transmission Ltd.</t>
  </si>
  <si>
    <t>Larsen &amp; Toubro Infotech Ltd.</t>
  </si>
  <si>
    <t>United Breweries Ltd.</t>
  </si>
  <si>
    <t>Avenue Supermarts Ltd.</t>
  </si>
  <si>
    <t>Abbott India Ltd.</t>
  </si>
  <si>
    <t>United Spirits Ltd.</t>
  </si>
  <si>
    <t>Bosch Ltd.</t>
  </si>
  <si>
    <t>ICICI Lombard General Insurance Company Ltd.</t>
  </si>
  <si>
    <t>Adani Green Energy Ltd.</t>
  </si>
  <si>
    <t>Pidilite Industries Ltd.</t>
  </si>
  <si>
    <t>CHEMICALS</t>
  </si>
  <si>
    <t>Marico Ltd.</t>
  </si>
  <si>
    <t>Hindustan Petroleum Corporation Ltd.</t>
  </si>
  <si>
    <t>HDFC Asset Management Company Ltd.</t>
  </si>
  <si>
    <t>Biocon Ltd.</t>
  </si>
  <si>
    <t>Jubilant Foodworks Ltd.</t>
  </si>
  <si>
    <t>Dabur India Ltd.</t>
  </si>
  <si>
    <t>Bandhan Bank Ltd.</t>
  </si>
  <si>
    <t>Punjab National Bank</t>
  </si>
  <si>
    <t>ICICI Prudential Life Insurance Company Ltd.</t>
  </si>
  <si>
    <t>Ambuja Cements Ltd.</t>
  </si>
  <si>
    <t>GAIL (India) Ltd.</t>
  </si>
  <si>
    <t>MRF Ltd.</t>
  </si>
  <si>
    <t>Aurobindo Pharma Ltd.</t>
  </si>
  <si>
    <t>Apollo Hospitals Enterprise Ltd.</t>
  </si>
  <si>
    <t>HEALTHCARE SERVICES</t>
  </si>
  <si>
    <t>Colgate Palmolive (India) Ltd.</t>
  </si>
  <si>
    <t>Procter &amp; Gamble Hygiene &amp; Health Care Ltd.</t>
  </si>
  <si>
    <t>ACC Ltd.</t>
  </si>
  <si>
    <t>Muthoot Finance Ltd.</t>
  </si>
  <si>
    <t>Cadila Healthcare Ltd.</t>
  </si>
  <si>
    <t>Berger Paints India Ltd.</t>
  </si>
  <si>
    <t>Piramal Enterprises Ltd.</t>
  </si>
  <si>
    <t>Indraprastha Gas Ltd.</t>
  </si>
  <si>
    <t>Petronet LNG Ltd.</t>
  </si>
  <si>
    <t>Vedanta Ltd.</t>
  </si>
  <si>
    <t>Godrej Consumer Products Ltd.</t>
  </si>
  <si>
    <t>Torrent Pharmaceuticals Ltd.</t>
  </si>
  <si>
    <t>Alkem Laboratories Ltd.</t>
  </si>
  <si>
    <t>Lupin Ltd.</t>
  </si>
  <si>
    <t>Gland Pharma Ltd.</t>
  </si>
  <si>
    <t>Siemens Ltd.</t>
  </si>
  <si>
    <t>INDUSTRIAL MANUFACTURING</t>
  </si>
  <si>
    <t>SBI Cards and Payment Services Ltd.</t>
  </si>
  <si>
    <t>NMDC Ltd.</t>
  </si>
  <si>
    <t>Adani Enterprises Ltd.</t>
  </si>
  <si>
    <t>NIFTY_100</t>
  </si>
  <si>
    <t>NIFTY_200</t>
  </si>
  <si>
    <t>Adani Total Gas Ltd.</t>
  </si>
  <si>
    <t>Hindustan Zinc Ltd.</t>
  </si>
  <si>
    <t>MindTree Ltd.</t>
  </si>
  <si>
    <t>SRF Ltd.</t>
  </si>
  <si>
    <t>MphasiS Ltd.</t>
  </si>
  <si>
    <t>Indian Railway Catering And Tourism Corporation Ltd.</t>
  </si>
  <si>
    <t>JSW Energy Ltd.</t>
  </si>
  <si>
    <t>Godrej Properties Ltd.</t>
  </si>
  <si>
    <t>Balkrishna Industries Ltd.</t>
  </si>
  <si>
    <t>Bharat Electronics Ltd.</t>
  </si>
  <si>
    <t>PI Industries Ltd.</t>
  </si>
  <si>
    <t>L&amp;T Technology Services Ltd.</t>
  </si>
  <si>
    <t>Cholamandalam Investment and Finance Company Ltd.</t>
  </si>
  <si>
    <t>Steel Authority of India Ltd.</t>
  </si>
  <si>
    <t>Hindustan Aeronautics Ltd.</t>
  </si>
  <si>
    <t>Tata Power Co. Ltd.</t>
  </si>
  <si>
    <t>Gujarat Gas Ltd.</t>
  </si>
  <si>
    <t>Container Corporation of India Ltd.</t>
  </si>
  <si>
    <t>Voltas Ltd.</t>
  </si>
  <si>
    <t>Dalmia Bharat Ltd.</t>
  </si>
  <si>
    <t>Varun Beverages Ltd.</t>
  </si>
  <si>
    <t>Ashok Leyland Ltd.</t>
  </si>
  <si>
    <t>Jindal Steel &amp; Power Ltd.</t>
  </si>
  <si>
    <t>Page Industries Ltd.</t>
  </si>
  <si>
    <t>TEXTILES</t>
  </si>
  <si>
    <t>Shriram Transport Finance Co. Ltd.</t>
  </si>
  <si>
    <t>Max Financial Services Ltd.</t>
  </si>
  <si>
    <t>Polycab India Ltd.</t>
  </si>
  <si>
    <t>Power Finance Corporation Ltd.</t>
  </si>
  <si>
    <t>Trent Ltd.</t>
  </si>
  <si>
    <t>Tata Elxsi Ltd.</t>
  </si>
  <si>
    <t>Bharat Forge Ltd.</t>
  </si>
  <si>
    <t>AU Small Finance Bank Ltd.</t>
  </si>
  <si>
    <t>Coforge Ltd.</t>
  </si>
  <si>
    <t>Laurus Labs Ltd.</t>
  </si>
  <si>
    <t>Aarti Industries Ltd.</t>
  </si>
  <si>
    <t>Dr. Lal Path Labs Ltd.</t>
  </si>
  <si>
    <t>Deepak Nitrite Ltd.</t>
  </si>
  <si>
    <t>Ipca Laboratories Ltd.</t>
  </si>
  <si>
    <t>IDFC First Bank Ltd.</t>
  </si>
  <si>
    <t>REC Ltd.</t>
  </si>
  <si>
    <t>Vodafone Idea Ltd.</t>
  </si>
  <si>
    <t>Crompton Greaves Consumer Electricals Ltd.</t>
  </si>
  <si>
    <t>Whirlpool of India Ltd.</t>
  </si>
  <si>
    <t>Cummins India Ltd.</t>
  </si>
  <si>
    <t>Oberoi Realty Ltd.</t>
  </si>
  <si>
    <t>Nippon Life India Asset Management Ltd.</t>
  </si>
  <si>
    <t>Aditya Birla Capital Ltd.</t>
  </si>
  <si>
    <t>Pfizer Ltd.</t>
  </si>
  <si>
    <t>Indiamart Intermesh Ltd.</t>
  </si>
  <si>
    <t>Syngene International Ltd.</t>
  </si>
  <si>
    <t>Emami Ltd.</t>
  </si>
  <si>
    <t>TVS Motor Company Ltd.</t>
  </si>
  <si>
    <t>Dixon Technologies (India) Ltd.</t>
  </si>
  <si>
    <t>Coromandel International Ltd.</t>
  </si>
  <si>
    <t>ICICI Securities Ltd.</t>
  </si>
  <si>
    <t>Union Bank of India</t>
  </si>
  <si>
    <t>Torrent Power Ltd.</t>
  </si>
  <si>
    <t>Oil India Ltd.</t>
  </si>
  <si>
    <t>Bata India Ltd.</t>
  </si>
  <si>
    <t>The Ramco Cements Ltd.</t>
  </si>
  <si>
    <t>Mahindra &amp; Mahindra Financial Services Ltd.</t>
  </si>
  <si>
    <t>Endurance Technologies Ltd.</t>
  </si>
  <si>
    <t>GMR Infrastructure Ltd.</t>
  </si>
  <si>
    <t>LIC Housing Finance Ltd.</t>
  </si>
  <si>
    <t>L&amp;T Finance Holdings Ltd.</t>
  </si>
  <si>
    <t>Tata Chemicals Ltd.</t>
  </si>
  <si>
    <t>Indian Hotels Co. Ltd.</t>
  </si>
  <si>
    <t>Fortis Healthcare Ltd.</t>
  </si>
  <si>
    <t>Aditya Birla Fashion and Retail Ltd.</t>
  </si>
  <si>
    <t>Sun TV Network Ltd.</t>
  </si>
  <si>
    <t>MEDIA ENTERTAINMENT &amp; PUBLICATION</t>
  </si>
  <si>
    <t>Bharat Heavy Electricals Ltd.</t>
  </si>
  <si>
    <t>Escorts Ltd.</t>
  </si>
  <si>
    <t>Navin Fluorine International Ltd.</t>
  </si>
  <si>
    <t>Godrej Industries Ltd.</t>
  </si>
  <si>
    <t>Ajanta Pharmaceuticals Ltd.</t>
  </si>
  <si>
    <t>Sanofi India Ltd.</t>
  </si>
  <si>
    <t>Gujarat State Petronet Ltd.</t>
  </si>
  <si>
    <t>Prestige Estates Projects Ltd.</t>
  </si>
  <si>
    <t>PRESTIGE</t>
  </si>
  <si>
    <t>Federal Bank Ltd.</t>
  </si>
  <si>
    <t>NATCO Pharma Ltd.</t>
  </si>
  <si>
    <t>Alembic Pharmaceuticals Ltd.</t>
  </si>
  <si>
    <t>Exide Industries Ltd.</t>
  </si>
  <si>
    <t>EXIDEIND</t>
  </si>
  <si>
    <t>Apollo Tyres Ltd.</t>
  </si>
  <si>
    <t>APOLLOTYRE</t>
  </si>
  <si>
    <t>Manappuram Finance Ltd.</t>
  </si>
  <si>
    <t>MANAPPURAM</t>
  </si>
  <si>
    <t>Glenmark Pharmaceuticals Ltd.</t>
  </si>
  <si>
    <t>Castrol India Ltd.</t>
  </si>
  <si>
    <t>CASTROLIND</t>
  </si>
  <si>
    <t>Amara Raja Batteries Ltd.</t>
  </si>
  <si>
    <t>AMARAJABAT</t>
  </si>
  <si>
    <t>Godrej Agrovet Ltd.</t>
  </si>
  <si>
    <t>GODREJAGRO</t>
  </si>
  <si>
    <t>Dhani Services Ltd.</t>
  </si>
  <si>
    <t>DHANI</t>
  </si>
  <si>
    <t>CESC Ltd.</t>
  </si>
  <si>
    <t>CESC</t>
  </si>
  <si>
    <t>City Union Bank Ltd.</t>
  </si>
  <si>
    <t>CUB</t>
  </si>
  <si>
    <t>V-Guard Industries Ltd.</t>
  </si>
  <si>
    <t>VGUARD</t>
  </si>
  <si>
    <t>Mahanagar Gas Ltd.</t>
  </si>
  <si>
    <t>MGL</t>
  </si>
  <si>
    <t>RBL Bank Ltd.</t>
  </si>
  <si>
    <t>RBLBANK</t>
  </si>
  <si>
    <t>Indiabulls Housing Finance Ltd.</t>
  </si>
  <si>
    <t>IBULHSGFIN</t>
  </si>
  <si>
    <t>Bombay Burmah Trading Corporation Ltd.</t>
  </si>
  <si>
    <t>BBTC</t>
  </si>
  <si>
    <t>Zee Entertainment Enterprises Ltd.</t>
  </si>
  <si>
    <t>NIFTY_500</t>
  </si>
  <si>
    <t>Astral Ltd.</t>
  </si>
  <si>
    <t>Tata Communications Ltd.</t>
  </si>
  <si>
    <t>IDBI Bank Ltd.</t>
  </si>
  <si>
    <t>Oracle Financial Services Software Ltd.</t>
  </si>
  <si>
    <t>ABB India Ltd.</t>
  </si>
  <si>
    <t>Indian Overseas Bank</t>
  </si>
  <si>
    <t>Honeywell Automation India Ltd.</t>
  </si>
  <si>
    <t>Max Healthcare Institute Ltd.</t>
  </si>
  <si>
    <t>Kansai Nerolac Paints Ltd.</t>
  </si>
  <si>
    <t>Hatsun Agro Product Ltd.</t>
  </si>
  <si>
    <t>Relaxo Footwears Ltd.</t>
  </si>
  <si>
    <t>Tube Investments of India Ltd.</t>
  </si>
  <si>
    <t>Supreme Industries Ltd.</t>
  </si>
  <si>
    <t>Atul Ltd.</t>
  </si>
  <si>
    <t>3M India Ltd.</t>
  </si>
  <si>
    <t>Persistent Systems Ltd.</t>
  </si>
  <si>
    <t>NHPC Ltd.</t>
  </si>
  <si>
    <t>Sundaram Finance Ltd.</t>
  </si>
  <si>
    <t>The New India Assurance Company Ltd.</t>
  </si>
  <si>
    <t>Glaxosmithkline Pharmaceuticals Ltd.</t>
  </si>
  <si>
    <t>General Insurance Corporation of India</t>
  </si>
  <si>
    <t>J.K. Cement Ltd.</t>
  </si>
  <si>
    <t>Linde India Ltd.</t>
  </si>
  <si>
    <t>Bayer Cropscience Ltd.</t>
  </si>
  <si>
    <t>Schaeffler India Ltd.</t>
  </si>
  <si>
    <t>APL Apollo Tubes Ltd.</t>
  </si>
  <si>
    <t>CRISIL Ltd.</t>
  </si>
  <si>
    <t>Minda Industries Ltd.</t>
  </si>
  <si>
    <t>Happiest Minds Technologies Ltd.</t>
  </si>
  <si>
    <t>Alkyl Amines Chemicals Ltd.</t>
  </si>
  <si>
    <t>Sumitomo Chemical India Ltd.</t>
  </si>
  <si>
    <t>Vinati Organics Ltd.</t>
  </si>
  <si>
    <t>Sundram Fasteners Ltd.</t>
  </si>
  <si>
    <t>Gillette India Ltd.</t>
  </si>
  <si>
    <t>AIA Engineering Ltd.</t>
  </si>
  <si>
    <t>Aavas Financiers Ltd.</t>
  </si>
  <si>
    <t>Gujarat Fluorochemicals Ltd.</t>
  </si>
  <si>
    <t>Kajaria Ceramics Ltd.</t>
  </si>
  <si>
    <t>Central Bank of India</t>
  </si>
  <si>
    <t>Indian Energy Exchange Ltd.</t>
  </si>
  <si>
    <t>IEX</t>
  </si>
  <si>
    <t>Solar Industries India Ltd.</t>
  </si>
  <si>
    <t>Bajaj Electricals Ltd</t>
  </si>
  <si>
    <t>BAJAJELEC</t>
  </si>
  <si>
    <t>Rajesh Exports Ltd.</t>
  </si>
  <si>
    <t>Computer Age Management Services Ltd.</t>
  </si>
  <si>
    <t>National Aluminium Co. Ltd.</t>
  </si>
  <si>
    <t>Carborundum Universal Ltd.</t>
  </si>
  <si>
    <t>DCM Shriram Ltd.</t>
  </si>
  <si>
    <t>DCMSHRIRAM</t>
  </si>
  <si>
    <t>Thermax Ltd.</t>
  </si>
  <si>
    <t>Phoenix Mills Ltd.</t>
  </si>
  <si>
    <t>Metropolis Healthcare Ltd.</t>
  </si>
  <si>
    <t>METROPOLIS</t>
  </si>
  <si>
    <t>Grindwell Norton Ltd.</t>
  </si>
  <si>
    <t>GRINDWELL</t>
  </si>
  <si>
    <t>Blue Dart Express Ltd.</t>
  </si>
  <si>
    <t>BLUEDART</t>
  </si>
  <si>
    <t>Zydus Wellness Ltd.</t>
  </si>
  <si>
    <t>ZYDUSWELL</t>
  </si>
  <si>
    <t>Balaji Amines Ltd.</t>
  </si>
  <si>
    <t>BALAMINES</t>
  </si>
  <si>
    <t>SKF India Ltd.</t>
  </si>
  <si>
    <t>K.P.R. Mill Ltd.</t>
  </si>
  <si>
    <t>KPRMILL</t>
  </si>
  <si>
    <t>BASF India Ltd.</t>
  </si>
  <si>
    <t>Shriram City Union Finance Ltd.</t>
  </si>
  <si>
    <t>SHRIRAMCIT</t>
  </si>
  <si>
    <t>Quess Corp Ltd.</t>
  </si>
  <si>
    <t>QUESS</t>
  </si>
  <si>
    <t>IIFL Wealth Management Ltd.</t>
  </si>
  <si>
    <t>IIFLWAM</t>
  </si>
  <si>
    <t>Welspun India Ltd.</t>
  </si>
  <si>
    <t>WELSPUNIND</t>
  </si>
  <si>
    <t>Firstsource Solutions Ltd.</t>
  </si>
  <si>
    <t>FSL</t>
  </si>
  <si>
    <t>Suven Pharmaceuticals Ltd.</t>
  </si>
  <si>
    <t>SUVENPHAR</t>
  </si>
  <si>
    <t>UTI Asset Management Company Ltd.</t>
  </si>
  <si>
    <t>Affle (India) Ltd.</t>
  </si>
  <si>
    <t>AFFLE</t>
  </si>
  <si>
    <t>J.B. Chemicals &amp; Pharmaceuticals Ltd.</t>
  </si>
  <si>
    <t>JBCHEPHARM</t>
  </si>
  <si>
    <t>WABCO India Ltd.</t>
  </si>
  <si>
    <t>WABCOINDIA</t>
  </si>
  <si>
    <t>Timken India Ltd.</t>
  </si>
  <si>
    <t>TIMKEN</t>
  </si>
  <si>
    <t>Central Depository Services (India) Ltd.</t>
  </si>
  <si>
    <t>CDSL</t>
  </si>
  <si>
    <t>Cholamandalam Financial Holdings Ltd.</t>
  </si>
  <si>
    <t>CHOLAHLDNG</t>
  </si>
  <si>
    <t>Chambal Fertilizers &amp; Chemicals Ltd.</t>
  </si>
  <si>
    <t>CHAMBLFERT</t>
  </si>
  <si>
    <t>TTK Prestige Ltd.</t>
  </si>
  <si>
    <t>TTKPRESTIG</t>
  </si>
  <si>
    <t>Motilal Oswal Financial Services Ltd.</t>
  </si>
  <si>
    <t>MOTILALOFS</t>
  </si>
  <si>
    <t>Bank of Maharashtra.</t>
  </si>
  <si>
    <t>MAHABANK</t>
  </si>
  <si>
    <t>Galaxy Surfactants Ltd.</t>
  </si>
  <si>
    <t>GALAXYSURF</t>
  </si>
  <si>
    <t>Birlasoft Ltd.</t>
  </si>
  <si>
    <t>BSOFT</t>
  </si>
  <si>
    <t>Finolex Industries Ltd.</t>
  </si>
  <si>
    <t>FINPIPE</t>
  </si>
  <si>
    <t>Cyient Ltd.</t>
  </si>
  <si>
    <t>CYIENT</t>
  </si>
  <si>
    <t>Trident Ltd.</t>
  </si>
  <si>
    <t>TRIDENT</t>
  </si>
  <si>
    <t>Radico Khaitan Ltd</t>
  </si>
  <si>
    <t>RADICO</t>
  </si>
  <si>
    <t>Vaibhav Global Ltd.</t>
  </si>
  <si>
    <t>VAIBHAVGBL</t>
  </si>
  <si>
    <t>Graphite India Ltd.</t>
  </si>
  <si>
    <t>GRAPHITE</t>
  </si>
  <si>
    <t>Zensar Technolgies Ltd.</t>
  </si>
  <si>
    <t>ZENSARTECH</t>
  </si>
  <si>
    <t>Sheela Foam Ltd.</t>
  </si>
  <si>
    <t>SFL</t>
  </si>
  <si>
    <t>Tanla Platforms Ltd.</t>
  </si>
  <si>
    <t>TANLA</t>
  </si>
  <si>
    <t>Route Mobile Ltd.</t>
  </si>
  <si>
    <t>ROUTE</t>
  </si>
  <si>
    <t>Alok Industries Ltd.</t>
  </si>
  <si>
    <t>ALOKINDS</t>
  </si>
  <si>
    <t>Kec International Ltd.</t>
  </si>
  <si>
    <t>KEC</t>
  </si>
  <si>
    <t>Redington (India) Ltd.</t>
  </si>
  <si>
    <t>REDINGTON</t>
  </si>
  <si>
    <t>Lux Industries Ltd.</t>
  </si>
  <si>
    <t>LUXIND</t>
  </si>
  <si>
    <t>PNB Housing Finance Ltd.</t>
  </si>
  <si>
    <t>PNBHOUSING</t>
  </si>
  <si>
    <t>ITI Ltd.</t>
  </si>
  <si>
    <t>ITI</t>
  </si>
  <si>
    <t>Narayana Hrudayalaya Ltd.</t>
  </si>
  <si>
    <t>NH</t>
  </si>
  <si>
    <t>Hindustan Copper Ltd.</t>
  </si>
  <si>
    <t>HINDCOPPER</t>
  </si>
  <si>
    <t>Sterlite Technologies Ltd.</t>
  </si>
  <si>
    <t>STLTECH</t>
  </si>
  <si>
    <t>IIFL Finance Ltd.</t>
  </si>
  <si>
    <t>IIFL</t>
  </si>
  <si>
    <t>SJVN Ltd.</t>
  </si>
  <si>
    <t>SJVN</t>
  </si>
  <si>
    <t>Vardhman Textiles Ltd.</t>
  </si>
  <si>
    <t>VTL</t>
  </si>
  <si>
    <t>Aster DM Healthcare Ltd.</t>
  </si>
  <si>
    <t>ASTERDM</t>
  </si>
  <si>
    <t>Amber Enterprises India Ltd.</t>
  </si>
  <si>
    <t>AMBER</t>
  </si>
  <si>
    <t>Birla Corporation Ltd.</t>
  </si>
  <si>
    <t>BIRLACORPN</t>
  </si>
  <si>
    <t>Eris Lifesciences Ltd.</t>
  </si>
  <si>
    <t>ERIS</t>
  </si>
  <si>
    <t>Ratnamani Metals &amp; Tubes Ltd.</t>
  </si>
  <si>
    <t>RATNAMANI</t>
  </si>
  <si>
    <t>Century Textile &amp; Industries Ltd.</t>
  </si>
  <si>
    <t>PAPER AND JUTE</t>
  </si>
  <si>
    <t>CENTURYTEX</t>
  </si>
  <si>
    <t>Angel Broking Ltd.</t>
  </si>
  <si>
    <t>ANGELBRKG</t>
  </si>
  <si>
    <t>CreditAccess Grameen Ltd.</t>
  </si>
  <si>
    <t>CREDITACC</t>
  </si>
  <si>
    <t>Akzo Nobel India Ltd.</t>
  </si>
  <si>
    <t>AKZOINDIA</t>
  </si>
  <si>
    <t>ABB Power Products and Systems India Ltd.</t>
  </si>
  <si>
    <t>POWERINDIA</t>
  </si>
  <si>
    <t>Fine Organic Industries Ltd.</t>
  </si>
  <si>
    <t>FINEORG</t>
  </si>
  <si>
    <t>Sonata Software Ltd.</t>
  </si>
  <si>
    <t>SONATSOFTW</t>
  </si>
  <si>
    <t>Century Plyboards (India) Ltd.</t>
  </si>
  <si>
    <t>CENTURYPLY</t>
  </si>
  <si>
    <t>PVR Ltd.</t>
  </si>
  <si>
    <t>PVR</t>
  </si>
  <si>
    <t>HFCL Ltd.</t>
  </si>
  <si>
    <t>HFCL</t>
  </si>
  <si>
    <t>Brigade Enterprises Ltd.</t>
  </si>
  <si>
    <t>BRIGADE</t>
  </si>
  <si>
    <t>Poly Medicure Ltd.</t>
  </si>
  <si>
    <t>POLYMED</t>
  </si>
  <si>
    <t>PNC Infratech Ltd.</t>
  </si>
  <si>
    <t>PNCINFRA</t>
  </si>
  <si>
    <t>Intellect Design Arena Ltd.</t>
  </si>
  <si>
    <t>INTELLECT</t>
  </si>
  <si>
    <t>KPIT Technologies Ltd.</t>
  </si>
  <si>
    <t>KPITTECH</t>
  </si>
  <si>
    <t>Procter &amp; Gamble Health Ltd.</t>
  </si>
  <si>
    <t>PGHL</t>
  </si>
  <si>
    <t>IDFC Ltd.</t>
  </si>
  <si>
    <t>IDFC</t>
  </si>
  <si>
    <t>Capri Global Capital Ltd.</t>
  </si>
  <si>
    <t>CGCL</t>
  </si>
  <si>
    <t>Can Fin Homes Ltd.</t>
  </si>
  <si>
    <t>CANFINHOME</t>
  </si>
  <si>
    <t>Housing &amp; Urban Development Corporation Ltd.</t>
  </si>
  <si>
    <t>HUDCO</t>
  </si>
  <si>
    <t>Asahi India Glass Ltd.</t>
  </si>
  <si>
    <t>ASAHIINDIA</t>
  </si>
  <si>
    <t>Mahindra CIE Automotive Ltd.</t>
  </si>
  <si>
    <t>MAHINDCIE</t>
  </si>
  <si>
    <t>JM Financial Ltd.</t>
  </si>
  <si>
    <t>JMFINANCIL</t>
  </si>
  <si>
    <t>Lakshmi Machine Works Ltd.</t>
  </si>
  <si>
    <t>LAXMIMACH</t>
  </si>
  <si>
    <t>Westlife Development Ltd.</t>
  </si>
  <si>
    <t>WESTLIFE</t>
  </si>
  <si>
    <t>Aegis Logistics Ltd.</t>
  </si>
  <si>
    <t>AEGISCHEM</t>
  </si>
  <si>
    <t>H.E.G. Ltd.</t>
  </si>
  <si>
    <t>HEG</t>
  </si>
  <si>
    <t>Rossari Biotech Ltd.</t>
  </si>
  <si>
    <t>ROSSARI</t>
  </si>
  <si>
    <t>Multi Commodity Exchange of India Ltd.</t>
  </si>
  <si>
    <t>MCX</t>
  </si>
  <si>
    <t>Justdial Ltd.</t>
  </si>
  <si>
    <t>JUSTDIAL</t>
  </si>
  <si>
    <t>Blue Star Ltd.</t>
  </si>
  <si>
    <t>BLUESTARCO</t>
  </si>
  <si>
    <t>Jindal Stainless Ltd.</t>
  </si>
  <si>
    <t>JSL</t>
  </si>
  <si>
    <t>KNR Constructions Ltd.</t>
  </si>
  <si>
    <t>KNRCON</t>
  </si>
  <si>
    <t>EPL Ltd.</t>
  </si>
  <si>
    <t>EPL</t>
  </si>
  <si>
    <t>Granules India Ltd.</t>
  </si>
  <si>
    <t>GRANULES</t>
  </si>
  <si>
    <t>NBCC (India) Ltd.</t>
  </si>
  <si>
    <t>NBCC</t>
  </si>
  <si>
    <t>JK Lakshmi Cement Ltd.</t>
  </si>
  <si>
    <t>JKLAKSHMI</t>
  </si>
  <si>
    <t>NLC India Ltd.</t>
  </si>
  <si>
    <t>NLCINDIA</t>
  </si>
  <si>
    <t>eClerx Services Ltd.</t>
  </si>
  <si>
    <t>ECLERX</t>
  </si>
  <si>
    <t>E.I.D. Parry (India) Ltd.</t>
  </si>
  <si>
    <t>EIDPARRY</t>
  </si>
  <si>
    <t>AstraZenca Pharma India Ltd.</t>
  </si>
  <si>
    <t>ASTRAZEN</t>
  </si>
  <si>
    <t>Prince Pipes and Fittings Ltd.</t>
  </si>
  <si>
    <t>PRINCEPIPE</t>
  </si>
  <si>
    <t>Rain Industries Ltd</t>
  </si>
  <si>
    <t>RAIN</t>
  </si>
  <si>
    <t>KEI Industries Ltd.</t>
  </si>
  <si>
    <t>KEI</t>
  </si>
  <si>
    <t>Dilip Buildcon Ltd.</t>
  </si>
  <si>
    <t>DBL</t>
  </si>
  <si>
    <t>Sun Pharma Advanced Research Company Ltd.</t>
  </si>
  <si>
    <t>SPARC</t>
  </si>
  <si>
    <t>Mangalore Refinery &amp; Petrochemicals Ltd.</t>
  </si>
  <si>
    <t>MRPL</t>
  </si>
  <si>
    <t>Finolex Cables Ltd.</t>
  </si>
  <si>
    <t>FINCABLES</t>
  </si>
  <si>
    <t>Avanti Feeds Ltd.</t>
  </si>
  <si>
    <t>AVANTIFEED</t>
  </si>
  <si>
    <t>Orient Electric Ltd.</t>
  </si>
  <si>
    <t>ORIENTELEC</t>
  </si>
  <si>
    <t>Teamlease Services Ltd.</t>
  </si>
  <si>
    <t>TEAMLEASE</t>
  </si>
  <si>
    <t>Symphony Ltd.</t>
  </si>
  <si>
    <t>SYMPHONY</t>
  </si>
  <si>
    <t>Balrampur Chini Mills Ltd.</t>
  </si>
  <si>
    <t>BALRAMCHIN</t>
  </si>
  <si>
    <t>EIH Ltd.</t>
  </si>
  <si>
    <t>EIHOTEL</t>
  </si>
  <si>
    <t>Sobha Ltd.</t>
  </si>
  <si>
    <t>SOBHA</t>
  </si>
  <si>
    <t>Edelweiss Financial Services Ltd.</t>
  </si>
  <si>
    <t>EDELWEISS</t>
  </si>
  <si>
    <t>Bharat Dynamics Ltd.</t>
  </si>
  <si>
    <t>BDL</t>
  </si>
  <si>
    <t>SIS Ltd.</t>
  </si>
  <si>
    <t>SIS</t>
  </si>
  <si>
    <t>Sundaram Clayton Ltd.</t>
  </si>
  <si>
    <t>SUNCLAYLTD</t>
  </si>
  <si>
    <t>Garware Technical Fibres Ltd.</t>
  </si>
  <si>
    <t>GARFIBRES</t>
  </si>
  <si>
    <t>V.I.P. Industries Ltd.</t>
  </si>
  <si>
    <t>VIPIND</t>
  </si>
  <si>
    <t>V-Mart Retail Ltd.</t>
  </si>
  <si>
    <t>VMART</t>
  </si>
  <si>
    <t>Caplin Point Laboratories Ltd.</t>
  </si>
  <si>
    <t>CAPLIPOINT</t>
  </si>
  <si>
    <t>Thyrocare Technologies Ltd.</t>
  </si>
  <si>
    <t>THYROCARE</t>
  </si>
  <si>
    <t>TV18 Broadcast Ltd.</t>
  </si>
  <si>
    <t>TV18BRDCST</t>
  </si>
  <si>
    <t>RITES Ltd.</t>
  </si>
  <si>
    <t>RITES</t>
  </si>
  <si>
    <t>Jindal Stainless (Hisar) Ltd.</t>
  </si>
  <si>
    <t>JSLHISAR</t>
  </si>
  <si>
    <t>GMM Pfaudler Ltd.</t>
  </si>
  <si>
    <t>GMMPFAUDLR</t>
  </si>
  <si>
    <t>Elgi Equipments Ltd.</t>
  </si>
  <si>
    <t>ELGIEQUIP</t>
  </si>
  <si>
    <t>Indiabulls Real Estate Ltd.</t>
  </si>
  <si>
    <t>IBREALEST</t>
  </si>
  <si>
    <t>Supreme Petrochem Ltd.</t>
  </si>
  <si>
    <t>SUPPETRO</t>
  </si>
  <si>
    <t>Sunteck Realty Ltd.</t>
  </si>
  <si>
    <t>SUNTECK</t>
  </si>
  <si>
    <t>MMTC Ltd.</t>
  </si>
  <si>
    <t>MMTC</t>
  </si>
  <si>
    <t>Tata Investment Corporation Ltd.</t>
  </si>
  <si>
    <t>TATAINVEST</t>
  </si>
  <si>
    <t>KRBL Ltd.</t>
  </si>
  <si>
    <t>KRBL</t>
  </si>
  <si>
    <t>Rail Vikas Nigam Ltd.</t>
  </si>
  <si>
    <t>RVNL</t>
  </si>
  <si>
    <t>Prism Johnson Ltd.</t>
  </si>
  <si>
    <t>PRSMJOHNSN</t>
  </si>
  <si>
    <t>Delta Corp Ltd.</t>
  </si>
  <si>
    <t>DELTACORP</t>
  </si>
  <si>
    <t>Burger King India Ltd.</t>
  </si>
  <si>
    <t>BURGERKING</t>
  </si>
  <si>
    <t>Jyothy Labs Ltd.</t>
  </si>
  <si>
    <t>JYOTHYLAB</t>
  </si>
  <si>
    <t>TCI Express Ltd.</t>
  </si>
  <si>
    <t>TCIEXP</t>
  </si>
  <si>
    <t>IRB Infrastructure Developers Ltd.</t>
  </si>
  <si>
    <t>IRB</t>
  </si>
  <si>
    <t>Gujarat Narmada Valley Fertilizers and Chemicals Ltd.</t>
  </si>
  <si>
    <t>GNFC</t>
  </si>
  <si>
    <t>Cera Sanitaryware Ltd</t>
  </si>
  <si>
    <t>CERA</t>
  </si>
  <si>
    <t>FDC Ltd.</t>
  </si>
  <si>
    <t>FDC</t>
  </si>
  <si>
    <t>Sterling And Wilson Solar Ltd.</t>
  </si>
  <si>
    <t>SWSOLAR</t>
  </si>
  <si>
    <t>Kalpataru Power Transmission Ltd.</t>
  </si>
  <si>
    <t>KALPATPOWR</t>
  </si>
  <si>
    <t>Solara Active Pharma Sciences Ltd.</t>
  </si>
  <si>
    <t>SOLARA</t>
  </si>
  <si>
    <t>Johnson Controls - Hitachi Air Conditioning India Ltd.</t>
  </si>
  <si>
    <t>JCHAC</t>
  </si>
  <si>
    <t>BEML Ltd.</t>
  </si>
  <si>
    <t>BEML</t>
  </si>
  <si>
    <t>HeidelbergCement India Ltd.</t>
  </si>
  <si>
    <t>HEIDELBERG</t>
  </si>
  <si>
    <t>Aarti Drugs Ltd.</t>
  </si>
  <si>
    <t>AARTIDRUGS</t>
  </si>
  <si>
    <t>Suzlon Energy Ltd.</t>
  </si>
  <si>
    <t>SUZLON</t>
  </si>
  <si>
    <t>Rallis India Ltd.</t>
  </si>
  <si>
    <t>RALLIS</t>
  </si>
  <si>
    <t>Strides Pharma Science Ltd.</t>
  </si>
  <si>
    <t>STAR</t>
  </si>
  <si>
    <t>India Cements Ltd.</t>
  </si>
  <si>
    <t>INDIACEM</t>
  </si>
  <si>
    <t>Godfrey Phillips India Ltd.</t>
  </si>
  <si>
    <t>GODFRYPHLP</t>
  </si>
  <si>
    <t>Infibeam Avenues Ltd.</t>
  </si>
  <si>
    <t>INFIBEAM</t>
  </si>
  <si>
    <t>Network18 Media &amp; Investments Ltd.</t>
  </si>
  <si>
    <t>NETWORK18</t>
  </si>
  <si>
    <t>Ceat Ltd.</t>
  </si>
  <si>
    <t>CEATLTD</t>
  </si>
  <si>
    <t>Polyplex Corporation Ltd.</t>
  </si>
  <si>
    <t>POLYPLEX</t>
  </si>
  <si>
    <t>Great Eastern Shipping Co. Ltd.</t>
  </si>
  <si>
    <t>GESHIP</t>
  </si>
  <si>
    <t>Shipping Corporation of India Ltd.</t>
  </si>
  <si>
    <t>SCI</t>
  </si>
  <si>
    <t>Mahindra Logistics Ltd.</t>
  </si>
  <si>
    <t>MAHLOG</t>
  </si>
  <si>
    <t>Sequent Scientific Ltd.</t>
  </si>
  <si>
    <t>SEQUENT</t>
  </si>
  <si>
    <t>Maharashtra Scooters Ltd.</t>
  </si>
  <si>
    <t>MAHSCOOTER</t>
  </si>
  <si>
    <t>BSE Ltd.</t>
  </si>
  <si>
    <t>BSE</t>
  </si>
  <si>
    <t>VST Industries Ltd.</t>
  </si>
  <si>
    <t>VSTIND</t>
  </si>
  <si>
    <t>Bharat Rasayan Ltd.</t>
  </si>
  <si>
    <t>BHARATRAS</t>
  </si>
  <si>
    <t>CCL Products (I) Ltd.</t>
  </si>
  <si>
    <t>CCL</t>
  </si>
  <si>
    <t>Indo Count Industries Ltd.</t>
  </si>
  <si>
    <t>ICIL</t>
  </si>
  <si>
    <t>CSB Bank Ltd.</t>
  </si>
  <si>
    <t>CSBBANK</t>
  </si>
  <si>
    <t>Mazagoan Dock Shipbuilders Ltd.</t>
  </si>
  <si>
    <t>MAZDOCK</t>
  </si>
  <si>
    <t>NOCIL Ltd.</t>
  </si>
  <si>
    <t>NOCIL</t>
  </si>
  <si>
    <t>Gujarat Pipavav Port Ltd.</t>
  </si>
  <si>
    <t>GPPL</t>
  </si>
  <si>
    <t>NCC Ltd.</t>
  </si>
  <si>
    <t>NCC</t>
  </si>
  <si>
    <t>IFB Industries Ltd.</t>
  </si>
  <si>
    <t>IFBIND</t>
  </si>
  <si>
    <t>Mahindra Holidays &amp; Resorts India Ltd.</t>
  </si>
  <si>
    <t>MHRIL</t>
  </si>
  <si>
    <t>Cochin Shipyard Ltd.</t>
  </si>
  <si>
    <t>COCHINSHIP</t>
  </si>
  <si>
    <t>Wockhardt Ltd.</t>
  </si>
  <si>
    <t>WOCKPHARMA</t>
  </si>
  <si>
    <t>Tasty Bite Eatables Ltd.</t>
  </si>
  <si>
    <t>TASTYBITE</t>
  </si>
  <si>
    <t>Spicejet Ltd.</t>
  </si>
  <si>
    <t>SPICEJET</t>
  </si>
  <si>
    <t>Shilpa Medicare Ltd.</t>
  </si>
  <si>
    <t>SHILPAMED</t>
  </si>
  <si>
    <t>Gujarat State Fertilizers &amp; Chemicals Ltd.</t>
  </si>
  <si>
    <t>GSFC</t>
  </si>
  <si>
    <t>Varroc Engineering Ltd.</t>
  </si>
  <si>
    <t>VARROC</t>
  </si>
  <si>
    <t>Sudarshan Chemical Industries Ltd.</t>
  </si>
  <si>
    <t>SUDARSCHEM</t>
  </si>
  <si>
    <t>Star Cement Ltd.</t>
  </si>
  <si>
    <t>STARCEMENT</t>
  </si>
  <si>
    <t>KSB Ltd.</t>
  </si>
  <si>
    <t>KSB</t>
  </si>
  <si>
    <t>Inox Leisure Ltd.</t>
  </si>
  <si>
    <t>INOXLEISUR</t>
  </si>
  <si>
    <t>RHI MAGNESITA INDIA LTD.</t>
  </si>
  <si>
    <t>RHIM</t>
  </si>
  <si>
    <t>NESCO Ltd.</t>
  </si>
  <si>
    <t>NESCO</t>
  </si>
  <si>
    <t>Suprajit Engineering Ltd.</t>
  </si>
  <si>
    <t>SUPRAJIT</t>
  </si>
  <si>
    <t>Advanced Enzyme Tech Ltd.</t>
  </si>
  <si>
    <t>ADVENZYMES</t>
  </si>
  <si>
    <t>Phillips Carbon Black Ltd.</t>
  </si>
  <si>
    <t>PHILIPCARB</t>
  </si>
  <si>
    <t>MAS Financial Services Ltd.</t>
  </si>
  <si>
    <t>MASFIN</t>
  </si>
  <si>
    <t>Indoco Remedies Ltd.</t>
  </si>
  <si>
    <t>INDOCO</t>
  </si>
  <si>
    <t>Triveni Turbine Ltd.</t>
  </si>
  <si>
    <t>TRITURBINE</t>
  </si>
  <si>
    <t>Nilkamal Ltd.</t>
  </si>
  <si>
    <t>NILKAMAL</t>
  </si>
  <si>
    <t>Venky's (India) Ltd.</t>
  </si>
  <si>
    <t>VENKEYS</t>
  </si>
  <si>
    <t>Vakrangee Ltd.</t>
  </si>
  <si>
    <t>VAKRANGEE</t>
  </si>
  <si>
    <t>Engineers India Ltd.</t>
  </si>
  <si>
    <t>ENGINERSIN</t>
  </si>
  <si>
    <t>IRCON International Ltd.</t>
  </si>
  <si>
    <t>IRCON</t>
  </si>
  <si>
    <t>Chalet Hotels Ltd.</t>
  </si>
  <si>
    <t>CHALET</t>
  </si>
  <si>
    <t>Rashtriya Chemicals &amp; Fertilizers Ltd.</t>
  </si>
  <si>
    <t>RCF</t>
  </si>
  <si>
    <t>Equitas Holdings Ltd.</t>
  </si>
  <si>
    <t>EQUITAS</t>
  </si>
  <si>
    <t>JK Paper Ltd.</t>
  </si>
  <si>
    <t>JKPAPER</t>
  </si>
  <si>
    <t>Gujarat Ambuja Exports Ltd.</t>
  </si>
  <si>
    <t>GAEL</t>
  </si>
  <si>
    <t>Gujarat Alkalies &amp; Chemicals Ltd.</t>
  </si>
  <si>
    <t>GUJALKALI</t>
  </si>
  <si>
    <t>Hemisphere Properties India Ltd.</t>
  </si>
  <si>
    <t>HEMIPROP</t>
  </si>
  <si>
    <t>Karur Vysya Bank Ltd.</t>
  </si>
  <si>
    <t>KARURVYSYA</t>
  </si>
  <si>
    <t>TCNS Clothing Co. Ltd.</t>
  </si>
  <si>
    <t>TCNSBRANDS</t>
  </si>
  <si>
    <t>UFLEX Ltd.</t>
  </si>
  <si>
    <t>UFLEX</t>
  </si>
  <si>
    <t>MOIL Ltd.</t>
  </si>
  <si>
    <t>MOIL</t>
  </si>
  <si>
    <t>Tata Coffee Ltd.</t>
  </si>
  <si>
    <t>TATACOFFEE</t>
  </si>
  <si>
    <t>Dhanuka Agritech Ltd.</t>
  </si>
  <si>
    <t>DHANUKA</t>
  </si>
  <si>
    <t>JK Tyre &amp; Industries Ltd.</t>
  </si>
  <si>
    <t>JKTYRE</t>
  </si>
  <si>
    <t>Bajaj Consumer Care Ltd.</t>
  </si>
  <si>
    <t>BAJAJCON</t>
  </si>
  <si>
    <t>Spandana Sphoorty Financial Ltd.</t>
  </si>
  <si>
    <t>SPANDANA</t>
  </si>
  <si>
    <t>Valiant Organics Ltd.</t>
  </si>
  <si>
    <t>VALIANTORG</t>
  </si>
  <si>
    <t>Jindal Saw Ltd.</t>
  </si>
  <si>
    <t>JINDALSAW</t>
  </si>
  <si>
    <t>Jamna Auto Industries Ltd.</t>
  </si>
  <si>
    <t>JAMNAAUTO</t>
  </si>
  <si>
    <t>Dish TV India Ltd.</t>
  </si>
  <si>
    <t>DISHTV</t>
  </si>
  <si>
    <t>Kaveri Seed Company Ltd.</t>
  </si>
  <si>
    <t>KSCL</t>
  </si>
  <si>
    <t>Mishra Dhatu Nigam Ltd.</t>
  </si>
  <si>
    <t>MIDHANI</t>
  </si>
  <si>
    <t>Ujjivan Small Finance Bank Ltd.</t>
  </si>
  <si>
    <t>UJJIVANSFB</t>
  </si>
  <si>
    <t>Responsive Industries Ltd.</t>
  </si>
  <si>
    <t>RESPONIND</t>
  </si>
  <si>
    <t>IOL Chem and Pharma Ltd.</t>
  </si>
  <si>
    <t>IOLCP</t>
  </si>
  <si>
    <t>Dishman Carbogen Amcis Ltd.</t>
  </si>
  <si>
    <t>DCAL</t>
  </si>
  <si>
    <t>La Opala RG Ltd.</t>
  </si>
  <si>
    <t>LAOPALA</t>
  </si>
  <si>
    <t>Lemon Tree Hotels Ltd.</t>
  </si>
  <si>
    <t>LEMONTREE</t>
  </si>
  <si>
    <t>Welspun Corp Ltd.</t>
  </si>
  <si>
    <t>WELCORP</t>
  </si>
  <si>
    <t>Swan Energy Ltd.</t>
  </si>
  <si>
    <t>SWANENERGY</t>
  </si>
  <si>
    <t>Greaves Cotton Ltd.</t>
  </si>
  <si>
    <t>GREAVESCOT</t>
  </si>
  <si>
    <t>Ingersoll Rand (India) Ltd.</t>
  </si>
  <si>
    <t>INGERRAND</t>
  </si>
  <si>
    <t>Sharda Cropchem Ltd.</t>
  </si>
  <si>
    <t>SHARDACROP</t>
  </si>
  <si>
    <t>Gulf Oil Lubricants India Ltd.</t>
  </si>
  <si>
    <t>GULFOILLUB</t>
  </si>
  <si>
    <t>Minda Corporation Ltd.</t>
  </si>
  <si>
    <t>MINDACORP</t>
  </si>
  <si>
    <t>Alembic Ltd.</t>
  </si>
  <si>
    <t>ALEMBICLTD</t>
  </si>
  <si>
    <t>Raymond Ltd.</t>
  </si>
  <si>
    <t>RAYMOND</t>
  </si>
  <si>
    <t>DCB Bank Ltd.</t>
  </si>
  <si>
    <t>DCBBANK</t>
  </si>
  <si>
    <t>Schneider Electric Infrastructure Ltd.</t>
  </si>
  <si>
    <t>SCHNEIDER</t>
  </si>
  <si>
    <t>National Fertilizers Ltd.</t>
  </si>
  <si>
    <t>NFL</t>
  </si>
  <si>
    <t>Shoppers Stop Ltd.</t>
  </si>
  <si>
    <t>SHOPERSTOP</t>
  </si>
  <si>
    <t>Ashoka Buildcon Ltd.</t>
  </si>
  <si>
    <t>ASHOKA</t>
  </si>
  <si>
    <t>JTEKT India Ltd.</t>
  </si>
  <si>
    <t>JTEKTINDIA</t>
  </si>
  <si>
    <t>Future Retail Ltd.</t>
  </si>
  <si>
    <t>FRETAIL</t>
  </si>
  <si>
    <t>Himadri Speciality Chemical Ltd.</t>
  </si>
  <si>
    <t>HSCL</t>
  </si>
  <si>
    <t>Balmer Lawrie &amp; Co. Ltd.</t>
  </si>
  <si>
    <t>BALMLAWRIE</t>
  </si>
  <si>
    <t>Garden Reach Shipbuilders &amp; Engineers Ltd.</t>
  </si>
  <si>
    <t>GRSE</t>
  </si>
  <si>
    <t>Maharashtra Seamless Ltd.</t>
  </si>
  <si>
    <t>MAHSEAMLES</t>
  </si>
  <si>
    <t>GE Power India Ltd.</t>
  </si>
  <si>
    <t>GEPIL</t>
  </si>
  <si>
    <t>Huhtamaki India Ltd.</t>
  </si>
  <si>
    <t>HUHTAMAKI</t>
  </si>
  <si>
    <t>Ujjivan Financial Services Ltd.</t>
  </si>
  <si>
    <t>UJJIVAN</t>
  </si>
  <si>
    <t>Tata Motors Ltd DVR</t>
  </si>
  <si>
    <t>TATAMTRDVR</t>
  </si>
  <si>
    <t>Future Consumer Ltd.</t>
  </si>
  <si>
    <t>FCONSUMER</t>
  </si>
  <si>
    <t>Bliss GVS Pharma Ltd.</t>
  </si>
  <si>
    <t>BLISSGVS</t>
  </si>
  <si>
    <t>Symbol</t>
  </si>
  <si>
    <t>- 1Day</t>
  </si>
  <si>
    <t>This Friday</t>
  </si>
  <si>
    <t>Avg</t>
  </si>
  <si>
    <t>INDIAN RAIL TOUR CORP LTD</t>
  </si>
  <si>
    <t>MINDTREE LIMITED</t>
  </si>
  <si>
    <t>MPHASIS LIMITED</t>
  </si>
  <si>
    <t>NATIONAL ALUMINIUM CO LTD</t>
  </si>
  <si>
    <t>BAJAJ FINSERV LTD.</t>
  </si>
  <si>
    <t>SRF LTD</t>
  </si>
  <si>
    <t>INDIAN ENERGY EXC LTD</t>
  </si>
  <si>
    <t>L&amp;T TECHNOLOGY SER. LTD.</t>
  </si>
  <si>
    <t>POLYCAB INDIA LIMITED</t>
  </si>
  <si>
    <t>BAJAJ FINANCE LIMITED</t>
  </si>
  <si>
    <t>GODREJ CONSUMER PRODUCTS</t>
  </si>
  <si>
    <t>PIRAMAL ENTERPRISES LTD</t>
  </si>
  <si>
    <t>TATA STEEL LIMITED</t>
  </si>
  <si>
    <t>BHARAT ELECTRONICS LTD</t>
  </si>
  <si>
    <t>TECH MAHINDRA LIMITED</t>
  </si>
  <si>
    <t>AMBUJA CEMENTS LTD</t>
  </si>
  <si>
    <t>APOLLO HOSPITALS ENTER. L</t>
  </si>
  <si>
    <t>ORACLE FIN SERV SOFT LTD.</t>
  </si>
  <si>
    <t>DEEPAK NITRITE LTD</t>
  </si>
  <si>
    <t>HAVELLS INDIA LIMITED</t>
  </si>
  <si>
    <t>BALKRISHNA IND. LTD</t>
  </si>
  <si>
    <t>THE INDIAN HOTELS CO. LTD</t>
  </si>
  <si>
    <t>UNITED SPIRITS LIMITED</t>
  </si>
  <si>
    <t>JUBILANT FOODWORKS LTD</t>
  </si>
  <si>
    <t>HINDUSTAN AERONAUTICS LTD</t>
  </si>
  <si>
    <t>DR. LAL PATH LABS LTD.</t>
  </si>
  <si>
    <t>UNITED BREWERIES LTD</t>
  </si>
  <si>
    <t>MARICO LIMITED</t>
  </si>
  <si>
    <t>L&amp;T INFOTECH LIMITED</t>
  </si>
  <si>
    <t>WIPRO LTD</t>
  </si>
  <si>
    <t>TITAN COMPANY LIMITED</t>
  </si>
  <si>
    <t>TATA POWER CO LTD</t>
  </si>
  <si>
    <t>DLF LIMITED</t>
  </si>
  <si>
    <t>INFO EDGE (I) LTD</t>
  </si>
  <si>
    <t>ALKEM LABORATORIES LTD.</t>
  </si>
  <si>
    <t>ICICI PRU LIFE INS CO LTD</t>
  </si>
  <si>
    <t>ACC LIMITED</t>
  </si>
  <si>
    <t>CONTAINER CORP OF IND LTD</t>
  </si>
  <si>
    <t>PI INDUSTRIES LTD</t>
  </si>
  <si>
    <t>NIPPON L I A M LTD</t>
  </si>
  <si>
    <t>DIVI'S LABORATORIES LTD</t>
  </si>
  <si>
    <t>BATA INDIA LTD</t>
  </si>
  <si>
    <t>ADANI ENTERPRISES LIMITED</t>
  </si>
  <si>
    <t>ASIAN PAINTS LIMITED</t>
  </si>
  <si>
    <t>HINDALCO  INDUSTRIES  LTD</t>
  </si>
  <si>
    <t>BHARAT FORGE LTD</t>
  </si>
  <si>
    <t>TRENT LTD</t>
  </si>
  <si>
    <t>VEDANTA LIMITED</t>
  </si>
  <si>
    <t>TATA CONSUMER PRODUCT LTD</t>
  </si>
  <si>
    <t>PIDILITE INDUSTRIES LTD</t>
  </si>
  <si>
    <t>GMR INFRASTRUCTURE LTD.</t>
  </si>
  <si>
    <t>STEEL AUTHORITY OF INDIA</t>
  </si>
  <si>
    <t>BHARTI AIRTEL LIMITED</t>
  </si>
  <si>
    <t>ULTRATECH CEMENT LIMITED</t>
  </si>
  <si>
    <t>UPL LIMITED</t>
  </si>
  <si>
    <t>VOLTAS LTD</t>
  </si>
  <si>
    <t>STATE BANK OF INDIA</t>
  </si>
  <si>
    <t>INDIAN OIL CORP LTD</t>
  </si>
  <si>
    <t>INDIABULLS HSG FIN LTD</t>
  </si>
  <si>
    <t>MUTHOOT FINANCE LIMITED</t>
  </si>
  <si>
    <t>RELIANCE INDUSTRIES LTD</t>
  </si>
  <si>
    <t>SBI LIFE INSURANCE CO LTD</t>
  </si>
  <si>
    <t>INFOSYS LIMITED</t>
  </si>
  <si>
    <t>POWER FIN CORP LTD.</t>
  </si>
  <si>
    <t>ICICI BANK LTD.</t>
  </si>
  <si>
    <t>METROPOLIS HEALTHCARE LTD</t>
  </si>
  <si>
    <t>LARSEN &amp; TOUBRO LTD.</t>
  </si>
  <si>
    <t>BANK OF BARODA</t>
  </si>
  <si>
    <t>HCL TECHNOLOGIES LTD</t>
  </si>
  <si>
    <t>MAX FINANCIAL SERV LTD</t>
  </si>
  <si>
    <t>GRASIM INDUSTRIES LTD</t>
  </si>
  <si>
    <t>NAVIN FLUORINE INT. LTD</t>
  </si>
  <si>
    <t>GUJARAT GAS LIMITED</t>
  </si>
  <si>
    <t>REC LIMITED</t>
  </si>
  <si>
    <t>AARTI INDUSTRIES LTD</t>
  </si>
  <si>
    <t>SIEMENS LTD</t>
  </si>
  <si>
    <t>ADITYA BIRLA FASHION &amp; RT</t>
  </si>
  <si>
    <t>INTERGLOBE AVIATION LTD</t>
  </si>
  <si>
    <t>TORRENT PHARMACEUTICALS L</t>
  </si>
  <si>
    <t>NESTLE INDIA LIMITED</t>
  </si>
  <si>
    <t>CUMMINS INDIA LTD</t>
  </si>
  <si>
    <t>TATA CONSULTANCY SERV LT</t>
  </si>
  <si>
    <t>HINDUSTAN UNILEVER LTD.</t>
  </si>
  <si>
    <t>SUN PHARMACEUTICAL IND L</t>
  </si>
  <si>
    <t>EICHER MOTORS LTD</t>
  </si>
  <si>
    <t>ESCORTS INDIA LTD</t>
  </si>
  <si>
    <t>TORRENT POWER LTD</t>
  </si>
  <si>
    <t>ASTRAL LIMITED</t>
  </si>
  <si>
    <t>CANARA BANK</t>
  </si>
  <si>
    <t>PVR LIMITED</t>
  </si>
  <si>
    <t>GODREJ PROPERTIES LTD</t>
  </si>
  <si>
    <t>IPCA LABORATORIES LTD</t>
  </si>
  <si>
    <t>OIL AND NATURAL GAS CORP.</t>
  </si>
  <si>
    <t>CAN FIN HOMES LTD</t>
  </si>
  <si>
    <t>BERGER PAINTS (I) LTD</t>
  </si>
  <si>
    <t>PFIZER LTD</t>
  </si>
  <si>
    <t>INDUSIND BANK LIMITED</t>
  </si>
  <si>
    <t>AXIS BANK LIMITED</t>
  </si>
  <si>
    <t>COAL INDIA LTD</t>
  </si>
  <si>
    <t>ICICI LOMBARD GIC LIMITED</t>
  </si>
  <si>
    <t>BHARAT PETROLEUM CORP  LT</t>
  </si>
  <si>
    <t>HINDUSTAN PETROLEUM CORP</t>
  </si>
  <si>
    <t>HDFC AMC LIMITED</t>
  </si>
  <si>
    <t>COLGATE PALMOLIVE LTD.</t>
  </si>
  <si>
    <t>FEDERAL BANK LTD</t>
  </si>
  <si>
    <t>TATA CHEMICALS LTD</t>
  </si>
  <si>
    <t>DABUR INDIA LTD</t>
  </si>
  <si>
    <t>MULTI COMMODITY EXCHANGE</t>
  </si>
  <si>
    <t>HDFC LTD</t>
  </si>
  <si>
    <t>ASHOK LEYLAND LTD</t>
  </si>
  <si>
    <t>MANAPPURAM FINANCE LTD</t>
  </si>
  <si>
    <t>GAIL (INDIA) LTD</t>
  </si>
  <si>
    <t>NTPC LTD</t>
  </si>
  <si>
    <t>BRITANNIA INDUSTRIES LTD</t>
  </si>
  <si>
    <t>COROMANDEL INTERNTL. LTD</t>
  </si>
  <si>
    <t>DIXON TECHNO (INDIA) LTD</t>
  </si>
  <si>
    <t>HDFC BANK LTD</t>
  </si>
  <si>
    <t>INDRAPRASTHA GAS LTD</t>
  </si>
  <si>
    <t>PUNJAB NATIONAL BANK</t>
  </si>
  <si>
    <t>THE RAMCO CEMENTS LIMITED</t>
  </si>
  <si>
    <t>PAGE INDUSTRIES LTD</t>
  </si>
  <si>
    <t>NMDC LTD.</t>
  </si>
  <si>
    <t>POWER GRID CORP. LTD.</t>
  </si>
  <si>
    <t>SHREE CEMENT LIMITED</t>
  </si>
  <si>
    <t>AU SMALL FINANCE BANK LTD</t>
  </si>
  <si>
    <t>JSW STEEL LIMITED</t>
  </si>
  <si>
    <t>INDIAMART INTERMESH LTD</t>
  </si>
  <si>
    <t>SUN TV NETWORK LIMITED</t>
  </si>
  <si>
    <t>HDFC LIFE INS CO LTD</t>
  </si>
  <si>
    <t>LIC HOUSING FINANCE LTD</t>
  </si>
  <si>
    <t>APOLLO TYRES LTD</t>
  </si>
  <si>
    <t>EXIDE INDUSTRIES LTD</t>
  </si>
  <si>
    <t>BOSCH LIMITED</t>
  </si>
  <si>
    <t>MAHANAGAR GAS LTD.</t>
  </si>
  <si>
    <t>SYNGENE INTERNATIONAL LTD</t>
  </si>
  <si>
    <t>KOTAK MAHINDRA BANK LTD</t>
  </si>
  <si>
    <t>ITC LTD</t>
  </si>
  <si>
    <t>ADANI PORT &amp; SEZ LTD</t>
  </si>
  <si>
    <t>MRF LTD</t>
  </si>
  <si>
    <t>TVS MOTOR COMPANY  LTD</t>
  </si>
  <si>
    <t>MARUTI SUZUKI INDIA LTD.</t>
  </si>
  <si>
    <t>CHOLAMANDALAM IN &amp; FIN CO</t>
  </si>
  <si>
    <t>CIPLA LTD</t>
  </si>
  <si>
    <t>TATA MOTORS LIMITED</t>
  </si>
  <si>
    <t>BAJAJ AUTO LIMITED</t>
  </si>
  <si>
    <t>MOTHERSON SUMI SYSTEMS LT</t>
  </si>
  <si>
    <t>GRANULES INDIA LIMITED</t>
  </si>
  <si>
    <t>VODAFONE IDEA LIMITED</t>
  </si>
  <si>
    <t>PETRONET LNG LIMITED</t>
  </si>
  <si>
    <t>HERO MOTOCORP LIMITED</t>
  </si>
  <si>
    <t>CADILA HEALTHCARE LIMITED</t>
  </si>
  <si>
    <t>SHRIRAM TRANSPORT FIN CO.</t>
  </si>
  <si>
    <t>ZEE ENTERTAINMENT ENT LTD</t>
  </si>
  <si>
    <t>DR. REDDY'S LABORATORIES</t>
  </si>
  <si>
    <t>MAHINDRA &amp; MAHINDRA LTD</t>
  </si>
  <si>
    <t>RBL BANK LIMITED</t>
  </si>
  <si>
    <t>L&amp;T FINANCE HOLDINGS LTD</t>
  </si>
  <si>
    <t>CITY UNION BANK LTD</t>
  </si>
  <si>
    <t>GLENMARK PHARMACEUTICALS</t>
  </si>
  <si>
    <t>M&amp;M FIN. SERVICES LTD</t>
  </si>
  <si>
    <t>IDFC FIRST BANK LIMITED</t>
  </si>
  <si>
    <t>JINDAL STEEL &amp; POWER LTD</t>
  </si>
  <si>
    <t>LUPIN LIMITED</t>
  </si>
  <si>
    <t>BANDHAN BANK LIMITED</t>
  </si>
  <si>
    <t>AMARA RAJA BATTERIES LTD.</t>
  </si>
  <si>
    <t>BIOCON LIMITED.</t>
  </si>
  <si>
    <t>ALEMBIC PHARMA LTD</t>
  </si>
  <si>
    <t>AUROBINDO PHARMA LTD</t>
  </si>
  <si>
    <t>STRIDES PHARMA SCI LTD</t>
  </si>
  <si>
    <t>Sr.</t>
  </si>
  <si>
    <t>Stock Name</t>
  </si>
  <si>
    <t>Volume</t>
  </si>
  <si>
    <t>Latest</t>
  </si>
  <si>
    <t>1D %</t>
  </si>
  <si>
    <t>1W %</t>
  </si>
  <si>
    <t>2W %</t>
  </si>
  <si>
    <t>4W %</t>
  </si>
  <si>
    <t xml:space="preserve">1W CIR </t>
  </si>
  <si>
    <t>ATH</t>
  </si>
  <si>
    <t>Shree Cements Limited</t>
  </si>
  <si>
    <t>Abbott India Limited</t>
  </si>
  <si>
    <t>Nestle India Limited</t>
  </si>
  <si>
    <t>Bajaj Finserv Limited</t>
  </si>
  <si>
    <t>Procter &amp; Gamble Hygiene And Health Care Limited</t>
  </si>
  <si>
    <t>Srf Limited</t>
  </si>
  <si>
    <t>Atul Limited</t>
  </si>
  <si>
    <t>Ttk Prestige Limited</t>
  </si>
  <si>
    <t>Ultratech Cement Limited</t>
  </si>
  <si>
    <t>Bajaj Finance Limited</t>
  </si>
  <si>
    <t>Schaeffler India Ltd</t>
  </si>
  <si>
    <t>Info Edge (india) Limited</t>
  </si>
  <si>
    <t>Blue Dart Express Limited</t>
  </si>
  <si>
    <t>Pfizer Limited</t>
  </si>
  <si>
    <t>Larsen &amp; Toubro Infotech Limited</t>
  </si>
  <si>
    <t>Coforge (Niit Tech)</t>
  </si>
  <si>
    <t>Divi's Laboratories Limited</t>
  </si>
  <si>
    <t>Tata Elxsi Limited</t>
  </si>
  <si>
    <t>Balaji Amines Limited</t>
  </si>
  <si>
    <t>Apollo Hospitals Enterprise Limited</t>
  </si>
  <si>
    <t>Oracle Financial Services Software Limited</t>
  </si>
  <si>
    <t>Teamlease Services Limited</t>
  </si>
  <si>
    <t>L&amp;t Technology Services Limited</t>
  </si>
  <si>
    <t>Bajaj Holdings &amp; Investment Limited</t>
  </si>
  <si>
    <t>Mindtree Limited</t>
  </si>
  <si>
    <t>Jubilant Foodworks Limited</t>
  </si>
  <si>
    <t>Britannia Industries Limited</t>
  </si>
  <si>
    <t>Navin Fluorine International Limited</t>
  </si>
  <si>
    <t>Tata Consultancy Services Limited</t>
  </si>
  <si>
    <t>Alkem Laboratories Limited</t>
  </si>
  <si>
    <t>Persistent Systems Limited</t>
  </si>
  <si>
    <t>Pi Industries Limited</t>
  </si>
  <si>
    <t>Jk Cement Limited</t>
  </si>
  <si>
    <t>Asian Paints Limited</t>
  </si>
  <si>
    <t>Mphasis Limited</t>
  </si>
  <si>
    <t>Skf India Limited</t>
  </si>
  <si>
    <t>Torrent Pharmaceuticals Limited</t>
  </si>
  <si>
    <t>Housing Development Finance Corporation Limited</t>
  </si>
  <si>
    <t>Hindustan Unilever Limited</t>
  </si>
  <si>
    <t>Linde India Limited</t>
  </si>
  <si>
    <t>Balkrishna Industries Limited</t>
  </si>
  <si>
    <t>Shriram City Union Finance Limited</t>
  </si>
  <si>
    <t>Deepak Nitrite Limited</t>
  </si>
  <si>
    <t>Acc Limited</t>
  </si>
  <si>
    <t>Reliance Industries Limited</t>
  </si>
  <si>
    <t>Pidilite Industries Limited</t>
  </si>
  <si>
    <t>Zydus Wellness Limited</t>
  </si>
  <si>
    <t>Eclerx Services Limited</t>
  </si>
  <si>
    <t>Supreme Industries Limited</t>
  </si>
  <si>
    <t>Siemens Limited</t>
  </si>
  <si>
    <t>Ratnamani Metals &amp; Tubes Limited</t>
  </si>
  <si>
    <t>Titan Company Limited</t>
  </si>
  <si>
    <t>Aia Engineering Limited</t>
  </si>
  <si>
    <t>Interglobe Aviation Limited</t>
  </si>
  <si>
    <t>Solar Industries India Limited</t>
  </si>
  <si>
    <t>Adani Transmission Limited</t>
  </si>
  <si>
    <t>Abb India Limited</t>
  </si>
  <si>
    <t>Kotak Mahindra Bank Limited</t>
  </si>
  <si>
    <t>Bata India Limited</t>
  </si>
  <si>
    <t>Polyplex Corporation Limited</t>
  </si>
  <si>
    <t>Larsen &amp; Toubro Limited</t>
  </si>
  <si>
    <t>Colgate Palmolive (india) Limited</t>
  </si>
  <si>
    <t>Infosys Limited</t>
  </si>
  <si>
    <t>Timken India Limited</t>
  </si>
  <si>
    <t>Godrej Properties Limited</t>
  </si>
  <si>
    <t>United Breweries Limited</t>
  </si>
  <si>
    <t>Grasim Industries Limited</t>
  </si>
  <si>
    <t>Hdfc Bank Limited</t>
  </si>
  <si>
    <t>Muthoot Finance Limited</t>
  </si>
  <si>
    <t>Thermax Limited</t>
  </si>
  <si>
    <t>Grindwell Norton Limited</t>
  </si>
  <si>
    <t>Havells India Limited</t>
  </si>
  <si>
    <t>Hatsun Agro Product Limited</t>
  </si>
  <si>
    <t>Tech Mahindra Limited</t>
  </si>
  <si>
    <t>Escorts Limited</t>
  </si>
  <si>
    <t>Bajaj Electricals Limited</t>
  </si>
  <si>
    <t>Tata Steel Limited</t>
  </si>
  <si>
    <t>Hcl Technologies Limited</t>
  </si>
  <si>
    <t>Voltas Limited</t>
  </si>
  <si>
    <t>Relaxo Footwears Limited</t>
  </si>
  <si>
    <t>Kajaria Ceramics Limited</t>
  </si>
  <si>
    <t>Godrej Consumer Products Limited</t>
  </si>
  <si>
    <t>Max Financial Services Limited</t>
  </si>
  <si>
    <t>Cyient Limited</t>
  </si>
  <si>
    <t>Cummins India Limited</t>
  </si>
  <si>
    <t>Trent Limited</t>
  </si>
  <si>
    <t>Cipla Limited</t>
  </si>
  <si>
    <t>Aarti Industries Limited</t>
  </si>
  <si>
    <t>Sundram Fasteners Limited</t>
  </si>
  <si>
    <t>Radico Khaitan Limited</t>
  </si>
  <si>
    <t>TATA Consumer Products Ltd</t>
  </si>
  <si>
    <t>Tata Chemicals Limited</t>
  </si>
  <si>
    <t>Sonata Software Limited</t>
  </si>
  <si>
    <t>Kei Industries Limited</t>
  </si>
  <si>
    <t>Berger Paints (i) Limited</t>
  </si>
  <si>
    <t>Axis Bank Limited</t>
  </si>
  <si>
    <t>Sun Pharmaceuticals Industries Limited</t>
  </si>
  <si>
    <t>Oberoi Realty Limited</t>
  </si>
  <si>
    <t>Container Corporation Of India Limited</t>
  </si>
  <si>
    <t>Icici Bank Limited</t>
  </si>
  <si>
    <t>Bharti Airtel Limited</t>
  </si>
  <si>
    <t>Icici Prudential Life Insurance Company Limited</t>
  </si>
  <si>
    <t>Wipro Limited</t>
  </si>
  <si>
    <t>Syngene International Limited</t>
  </si>
  <si>
    <t>Dabur India Limited</t>
  </si>
  <si>
    <t>Can Fin Homes Limited</t>
  </si>
  <si>
    <t>Cholamandalam Investment And Finance Company Limited</t>
  </si>
  <si>
    <t>Indraprastha Gas Limited</t>
  </si>
  <si>
    <t>Marico Limited</t>
  </si>
  <si>
    <t>Torrent Power Limited</t>
  </si>
  <si>
    <t>Crompton Greaves Consumer Electricals Limited</t>
  </si>
  <si>
    <t>Hindalco Industries Limited</t>
  </si>
  <si>
    <t>State Bank Of India</t>
  </si>
  <si>
    <t>Eid Parry India Limited</t>
  </si>
  <si>
    <t>Ambuja Cements Limited</t>
  </si>
  <si>
    <t>Birlasoft Ltd</t>
  </si>
  <si>
    <t>Brigade Enterprises Limited</t>
  </si>
  <si>
    <t>Pnc Infratech Limited</t>
  </si>
  <si>
    <t>Dlf Limited</t>
  </si>
  <si>
    <t>Jsw Energy Limited</t>
  </si>
  <si>
    <t>Nocil Limited</t>
  </si>
  <si>
    <t>Jindal Stainless (hisar) Limited</t>
  </si>
  <si>
    <t>Heidelbergcement India Limited</t>
  </si>
  <si>
    <t>Indo Count Industries Limited</t>
  </si>
  <si>
    <t>Bharat Electronics Limited</t>
  </si>
  <si>
    <t>Finolex Industries Limited</t>
  </si>
  <si>
    <t>Power Grid Corporation Of India Limited</t>
  </si>
  <si>
    <t>Jindal Stainless Limited</t>
  </si>
  <si>
    <t>The Indian Hotels Company Limited</t>
  </si>
  <si>
    <t>Tata Power Company Limited</t>
  </si>
  <si>
    <t>National Aluminium Company Limited</t>
  </si>
  <si>
    <t>Gmr Infrastructure Limited</t>
  </si>
  <si>
    <t>Trident Limited</t>
  </si>
  <si>
    <t>Rule</t>
  </si>
  <si>
    <t>Momentum since Month</t>
  </si>
  <si>
    <t>W. 2W, 4W and CIR &lt;=15</t>
  </si>
  <si>
    <t>Momentum</t>
  </si>
  <si>
    <t>Consolidating since Month</t>
  </si>
  <si>
    <t>W. 2W, 4W &lt;=15</t>
  </si>
  <si>
    <t>Consolidating Month</t>
  </si>
  <si>
    <t>2 Week Momentum</t>
  </si>
  <si>
    <t xml:space="preserve">W,2W &lt;=15 and CIR &lt;=15 OR 
2W, 4W,CIR  &lt;=15 </t>
  </si>
  <si>
    <t>Momentum1</t>
  </si>
  <si>
    <t>Just started Momentum</t>
  </si>
  <si>
    <t>CIR &lt;= 15</t>
  </si>
  <si>
    <t>Momentum2</t>
  </si>
  <si>
    <t>New ATH</t>
  </si>
  <si>
    <t>New ATH and CIR &lt;= 20</t>
  </si>
  <si>
    <t>Just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</si>
</sst>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&gt;=10000000]##\,##\,##\,##0;[&gt;=100000] ##\,##\,##0;##,##0"/>
  </numFmts>
  <fonts count="25">
    <font>
      <sz val="10.0"/>
      <color rgb="FF000000"/>
      <name val="Arial"/>
    </font>
    <font>
      <color theme="1"/>
      <name val="Arial"/>
    </font>
    <font>
      <b/>
      <u/>
      <color rgb="FF22222F"/>
      <name val="&quot;Inter var&quot;"/>
    </font>
    <font>
      <b/>
      <color rgb="FF22222F"/>
      <name val="Arial"/>
    </font>
    <font>
      <color rgb="FF22222F"/>
      <name val="&quot;Inter var&quot;"/>
    </font>
    <font>
      <u/>
      <color rgb="FF22222F"/>
      <name val="Arial"/>
    </font>
    <font>
      <sz val="11.0"/>
      <color rgb="FF000000"/>
      <name val="Inconsolata"/>
    </font>
    <font>
      <b/>
      <color theme="1"/>
      <name val="Arial"/>
    </font>
    <font>
      <u/>
      <color rgb="FF22222F"/>
      <name val="&quot;Inter var&quot;"/>
    </font>
    <font>
      <color rgb="FF22222F"/>
      <name val="Arial"/>
    </font>
    <font>
      <u/>
      <color rgb="FF22222F"/>
      <name val="&quot;Inter var&quot;"/>
    </font>
    <font>
      <sz val="11.0"/>
      <color rgb="FF000000"/>
      <name val="Calibri"/>
    </font>
    <font>
      <b/>
      <u/>
      <color rgb="FF22222F"/>
      <name val="Arial"/>
    </font>
    <font>
      <b/>
      <u/>
      <color rgb="FF22222F"/>
      <name val="Arial"/>
    </font>
    <font>
      <b/>
      <u/>
      <color rgb="FF22222F"/>
      <name val="Arial"/>
    </font>
    <font>
      <b/>
      <u/>
      <color rgb="FF22222F"/>
      <name val="Arial"/>
    </font>
    <font>
      <b/>
      <u/>
      <color rgb="FF22222F"/>
      <name val="&quot;Inter var&quot;"/>
    </font>
    <font>
      <b/>
      <u/>
      <color rgb="FF22222F"/>
      <name val="Arial"/>
    </font>
    <font>
      <b/>
      <u/>
      <color rgb="FF22222F"/>
      <name val="Inter var"/>
    </font>
    <font>
      <b/>
      <u/>
      <color rgb="FF22222F"/>
      <name val="Arial"/>
    </font>
    <font>
      <b/>
      <u/>
      <color rgb="FF22222F"/>
      <name val="Arial"/>
    </font>
    <font>
      <sz val="11.0"/>
      <color theme="1"/>
      <name val="Calibri"/>
    </font>
    <font>
      <u/>
      <color rgb="FF0000FF"/>
      <name val="Arial"/>
    </font>
    <font>
      <b/>
      <sz val="11.0"/>
      <color theme="1"/>
      <name val="Calibri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1" numFmtId="164" xfId="0" applyFont="1" applyNumberForma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horizontal="center" vertical="bottom"/>
    </xf>
    <xf borderId="0" fillId="2" fontId="6" numFmtId="0" xfId="0" applyAlignment="1" applyFont="1">
      <alignment horizontal="left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10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2" fontId="9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horizontal="center"/>
    </xf>
    <xf borderId="0" fillId="0" fontId="12" numFmtId="165" xfId="0" applyAlignment="1" applyFont="1" applyNumberForma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0" fontId="14" numFmtId="10" xfId="0" applyAlignment="1" applyFont="1" applyNumberFormat="1">
      <alignment horizontal="center" readingOrder="0"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1" numFmtId="10" xfId="0" applyFont="1" applyNumberFormat="1"/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10" xfId="0" applyAlignment="1" applyFont="1" applyNumberFormat="1">
      <alignment horizontal="center"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20" numFmtId="10" xfId="0" applyAlignment="1" applyFont="1" applyNumberFormat="1">
      <alignment horizontal="center" vertical="bottom"/>
    </xf>
    <xf borderId="0" fillId="0" fontId="9" numFmtId="0" xfId="0" applyAlignment="1" applyFont="1">
      <alignment horizontal="right" vertical="bottom"/>
    </xf>
    <xf borderId="0" fillId="0" fontId="21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0" fontId="1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right" vertical="bottom"/>
    </xf>
    <xf borderId="0" fillId="0" fontId="7" numFmtId="0" xfId="0" applyAlignment="1" applyFont="1">
      <alignment horizontal="center" readingOrder="0"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horizontal="center" readingOrder="0" shrinkToFit="0" vertical="bottom" wrapText="0"/>
    </xf>
    <xf borderId="0" fillId="0" fontId="23" numFmtId="165" xfId="0" applyAlignment="1" applyFont="1" applyNumberFormat="1">
      <alignment horizontal="center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1" numFmtId="165" xfId="0" applyAlignment="1" applyFont="1" applyNumberFormat="1">
      <alignment horizontal="center" readingOrder="0" shrinkToFit="0" vertical="bottom" wrapText="0"/>
    </xf>
    <xf borderId="0" fillId="0" fontId="21" numFmtId="3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/>
    </xf>
    <xf borderId="0" fillId="0" fontId="1" numFmtId="165" xfId="0" applyFont="1" applyNumberFormat="1"/>
    <xf borderId="0" fillId="3" fontId="1" numFmtId="0" xfId="0" applyAlignment="1" applyFill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hyperlink" Target="https://www.screener.in/company/RELIANCE/consolidated/" TargetMode="External"/><Relationship Id="rId4" Type="http://schemas.openxmlformats.org/officeDocument/2006/relationships/hyperlink" Target="https://www.screener.in/company/RELIANCE/consolidated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reener.in/company/SBILIFE/" TargetMode="External"/><Relationship Id="rId190" Type="http://schemas.openxmlformats.org/officeDocument/2006/relationships/hyperlink" Target="https://www.screener.in/company/ENDURANCE/consolidated/" TargetMode="External"/><Relationship Id="rId42" Type="http://schemas.openxmlformats.org/officeDocument/2006/relationships/hyperlink" Target="https://www.screener.in/company/NTPC/consolidated/" TargetMode="External"/><Relationship Id="rId41" Type="http://schemas.openxmlformats.org/officeDocument/2006/relationships/hyperlink" Target="https://www.screener.in/company/PIDILITIND/consolidated/" TargetMode="External"/><Relationship Id="rId44" Type="http://schemas.openxmlformats.org/officeDocument/2006/relationships/hyperlink" Target="https://www.screener.in/company/VEDL/consolidated/" TargetMode="External"/><Relationship Id="rId194" Type="http://schemas.openxmlformats.org/officeDocument/2006/relationships/hyperlink" Target="https://www.screener.in/company/COROMANDEL/consolidated/" TargetMode="External"/><Relationship Id="rId43" Type="http://schemas.openxmlformats.org/officeDocument/2006/relationships/hyperlink" Target="https://www.screener.in/company/GODREJCP/consolidated/" TargetMode="External"/><Relationship Id="rId193" Type="http://schemas.openxmlformats.org/officeDocument/2006/relationships/hyperlink" Target="https://www.screener.in/company/RAMCOCEM/consolidated/" TargetMode="External"/><Relationship Id="rId46" Type="http://schemas.openxmlformats.org/officeDocument/2006/relationships/hyperlink" Target="https://www.screener.in/company/BAJAJ-AUTO/consolidated/" TargetMode="External"/><Relationship Id="rId192" Type="http://schemas.openxmlformats.org/officeDocument/2006/relationships/hyperlink" Target="https://www.screener.in/company/ISEC/consolidated/" TargetMode="External"/><Relationship Id="rId45" Type="http://schemas.openxmlformats.org/officeDocument/2006/relationships/hyperlink" Target="https://www.screener.in/company/DABUR/consolidated/" TargetMode="External"/><Relationship Id="rId191" Type="http://schemas.openxmlformats.org/officeDocument/2006/relationships/hyperlink" Target="https://www.screener.in/company/TORNTPOWER/consolidated/" TargetMode="External"/><Relationship Id="rId48" Type="http://schemas.openxmlformats.org/officeDocument/2006/relationships/hyperlink" Target="https://www.screener.in/company/TATAMOTORS/consolidated/" TargetMode="External"/><Relationship Id="rId187" Type="http://schemas.openxmlformats.org/officeDocument/2006/relationships/hyperlink" Target="https://www.screener.in/company/HATSUN/" TargetMode="External"/><Relationship Id="rId47" Type="http://schemas.openxmlformats.org/officeDocument/2006/relationships/hyperlink" Target="https://www.screener.in/company/ZOMATO/consolidated/" TargetMode="External"/><Relationship Id="rId186" Type="http://schemas.openxmlformats.org/officeDocument/2006/relationships/hyperlink" Target="https://www.screener.in/company/DIXON/consolidated/" TargetMode="External"/><Relationship Id="rId185" Type="http://schemas.openxmlformats.org/officeDocument/2006/relationships/hyperlink" Target="https://www.screener.in/company/BAYERCROP/" TargetMode="External"/><Relationship Id="rId49" Type="http://schemas.openxmlformats.org/officeDocument/2006/relationships/hyperlink" Target="https://www.screener.in/company/SBICARD/" TargetMode="External"/><Relationship Id="rId184" Type="http://schemas.openxmlformats.org/officeDocument/2006/relationships/hyperlink" Target="https://www.screener.in/company/JKCEMENT/consolidated/" TargetMode="External"/><Relationship Id="rId189" Type="http://schemas.openxmlformats.org/officeDocument/2006/relationships/hyperlink" Target="https://www.screener.in/company/INDIAMART/consolidated/" TargetMode="External"/><Relationship Id="rId188" Type="http://schemas.openxmlformats.org/officeDocument/2006/relationships/hyperlink" Target="https://www.screener.in/company/UNIONBANK/consolidated/" TargetMode="External"/><Relationship Id="rId31" Type="http://schemas.openxmlformats.org/officeDocument/2006/relationships/hyperlink" Target="https://www.screener.in/company/ADANITRANS/consolidated/" TargetMode="External"/><Relationship Id="rId30" Type="http://schemas.openxmlformats.org/officeDocument/2006/relationships/hyperlink" Target="https://www.screener.in/company/JSWSTEEL/consolidated/" TargetMode="External"/><Relationship Id="rId33" Type="http://schemas.openxmlformats.org/officeDocument/2006/relationships/hyperlink" Target="https://www.screener.in/company/ONGC/consolidated/" TargetMode="External"/><Relationship Id="rId183" Type="http://schemas.openxmlformats.org/officeDocument/2006/relationships/hyperlink" Target="https://www.screener.in/company/TVSMOTOR/consolidated/" TargetMode="External"/><Relationship Id="rId32" Type="http://schemas.openxmlformats.org/officeDocument/2006/relationships/hyperlink" Target="https://www.screener.in/company/ATGL/" TargetMode="External"/><Relationship Id="rId182" Type="http://schemas.openxmlformats.org/officeDocument/2006/relationships/hyperlink" Target="https://www.screener.in/company/BANKINDIA/consolidated/" TargetMode="External"/><Relationship Id="rId35" Type="http://schemas.openxmlformats.org/officeDocument/2006/relationships/hyperlink" Target="https://www.screener.in/company/HDFCLIFE/consolidated/" TargetMode="External"/><Relationship Id="rId181" Type="http://schemas.openxmlformats.org/officeDocument/2006/relationships/hyperlink" Target="https://www.screener.in/company/SYNGENE/" TargetMode="External"/><Relationship Id="rId34" Type="http://schemas.openxmlformats.org/officeDocument/2006/relationships/hyperlink" Target="https://www.screener.in/company/ADANIPORTS/consolidated/" TargetMode="External"/><Relationship Id="rId180" Type="http://schemas.openxmlformats.org/officeDocument/2006/relationships/hyperlink" Target="https://www.screener.in/company/OBEROIRLTY/consolidated/" TargetMode="External"/><Relationship Id="rId37" Type="http://schemas.openxmlformats.org/officeDocument/2006/relationships/hyperlink" Target="https://www.screener.in/company/HINDZINC/" TargetMode="External"/><Relationship Id="rId176" Type="http://schemas.openxmlformats.org/officeDocument/2006/relationships/hyperlink" Target="https://www.screener.in/company/GLAXO/consolidated/" TargetMode="External"/><Relationship Id="rId36" Type="http://schemas.openxmlformats.org/officeDocument/2006/relationships/hyperlink" Target="https://www.screener.in/company/TECHM/consolidated/" TargetMode="External"/><Relationship Id="rId175" Type="http://schemas.openxmlformats.org/officeDocument/2006/relationships/hyperlink" Target="https://www.screener.in/company/3MINDIA/" TargetMode="External"/><Relationship Id="rId39" Type="http://schemas.openxmlformats.org/officeDocument/2006/relationships/hyperlink" Target="https://www.screener.in/company/POWERGRID/consolidated/" TargetMode="External"/><Relationship Id="rId174" Type="http://schemas.openxmlformats.org/officeDocument/2006/relationships/hyperlink" Target="https://www.screener.in/company/NAM-INDIA/consolidated/" TargetMode="External"/><Relationship Id="rId38" Type="http://schemas.openxmlformats.org/officeDocument/2006/relationships/hyperlink" Target="https://www.screener.in/company/DIVISLAB/consolidated/" TargetMode="External"/><Relationship Id="rId173" Type="http://schemas.openxmlformats.org/officeDocument/2006/relationships/hyperlink" Target="https://www.screener.in/company/PFIZER/" TargetMode="External"/><Relationship Id="rId179" Type="http://schemas.openxmlformats.org/officeDocument/2006/relationships/hyperlink" Target="https://www.screener.in/company/TIINDIA/consolidated/" TargetMode="External"/><Relationship Id="rId178" Type="http://schemas.openxmlformats.org/officeDocument/2006/relationships/hyperlink" Target="https://www.screener.in/company/PERSISTENT/consolidated/" TargetMode="External"/><Relationship Id="rId177" Type="http://schemas.openxmlformats.org/officeDocument/2006/relationships/hyperlink" Target="https://www.screener.in/company/WHIRLPOOL/" TargetMode="External"/><Relationship Id="rId20" Type="http://schemas.openxmlformats.org/officeDocument/2006/relationships/hyperlink" Target="https://www.screener.in/company/AXISBANK/consolidated/" TargetMode="External"/><Relationship Id="rId22" Type="http://schemas.openxmlformats.org/officeDocument/2006/relationships/hyperlink" Target="https://www.screener.in/company/ULTRACEMCO/consolidated/" TargetMode="External"/><Relationship Id="rId21" Type="http://schemas.openxmlformats.org/officeDocument/2006/relationships/hyperlink" Target="https://www.screener.in/company/LT/consolidated/" TargetMode="External"/><Relationship Id="rId24" Type="http://schemas.openxmlformats.org/officeDocument/2006/relationships/hyperlink" Target="https://www.screener.in/company/NESTLEIND/" TargetMode="External"/><Relationship Id="rId23" Type="http://schemas.openxmlformats.org/officeDocument/2006/relationships/hyperlink" Target="https://www.screener.in/company/MARUTI/consolidated/" TargetMode="External"/><Relationship Id="rId26" Type="http://schemas.openxmlformats.org/officeDocument/2006/relationships/hyperlink" Target="https://www.screener.in/company/TATASTEEL/consolidated/" TargetMode="External"/><Relationship Id="rId25" Type="http://schemas.openxmlformats.org/officeDocument/2006/relationships/hyperlink" Target="https://www.screener.in/company/SUNPHARMA/consolidated/" TargetMode="External"/><Relationship Id="rId28" Type="http://schemas.openxmlformats.org/officeDocument/2006/relationships/hyperlink" Target="https://www.screener.in/company/TITAN/consolidated/" TargetMode="External"/><Relationship Id="rId27" Type="http://schemas.openxmlformats.org/officeDocument/2006/relationships/hyperlink" Target="https://www.screener.in/company/ADANIGREEN/consolidated/" TargetMode="External"/><Relationship Id="rId29" Type="http://schemas.openxmlformats.org/officeDocument/2006/relationships/hyperlink" Target="https://www.screener.in/company/ADANIENT/consolidated/" TargetMode="External"/><Relationship Id="rId11" Type="http://schemas.openxmlformats.org/officeDocument/2006/relationships/hyperlink" Target="https://www.screener.in/company/SBIN/consolidated/" TargetMode="External"/><Relationship Id="rId10" Type="http://schemas.openxmlformats.org/officeDocument/2006/relationships/hyperlink" Target="https://www.screener.in/company/BAJFINANCE/consolidated/" TargetMode="External"/><Relationship Id="rId13" Type="http://schemas.openxmlformats.org/officeDocument/2006/relationships/hyperlink" Target="https://www.screener.in/company/KOTAKBANK/consolidated/" TargetMode="External"/><Relationship Id="rId12" Type="http://schemas.openxmlformats.org/officeDocument/2006/relationships/hyperlink" Target="https://www.screener.in/company/WIPRO/consolidated/" TargetMode="External"/><Relationship Id="rId15" Type="http://schemas.openxmlformats.org/officeDocument/2006/relationships/hyperlink" Target="https://www.screener.in/company/HCLTECH/consolidated/" TargetMode="External"/><Relationship Id="rId198" Type="http://schemas.openxmlformats.org/officeDocument/2006/relationships/hyperlink" Target="https://www.screener.in/company/FORTIS/consolidated/" TargetMode="External"/><Relationship Id="rId14" Type="http://schemas.openxmlformats.org/officeDocument/2006/relationships/hyperlink" Target="https://www.screener.in/company/BHARTIARTL/consolidated/" TargetMode="External"/><Relationship Id="rId197" Type="http://schemas.openxmlformats.org/officeDocument/2006/relationships/hyperlink" Target="https://www.screener.in/company/ALKYLAMINE/" TargetMode="External"/><Relationship Id="rId17" Type="http://schemas.openxmlformats.org/officeDocument/2006/relationships/hyperlink" Target="https://www.screener.in/company/BAJAJFINSV/consolidated/" TargetMode="External"/><Relationship Id="rId196" Type="http://schemas.openxmlformats.org/officeDocument/2006/relationships/hyperlink" Target="https://www.screener.in/company/SCHAEFFLER/" TargetMode="External"/><Relationship Id="rId16" Type="http://schemas.openxmlformats.org/officeDocument/2006/relationships/hyperlink" Target="https://www.screener.in/company/ASIANPAINT/consolidated/" TargetMode="External"/><Relationship Id="rId195" Type="http://schemas.openxmlformats.org/officeDocument/2006/relationships/hyperlink" Target="https://www.screener.in/company/BATAINDIA/consolidated/" TargetMode="External"/><Relationship Id="rId19" Type="http://schemas.openxmlformats.org/officeDocument/2006/relationships/hyperlink" Target="https://www.screener.in/company/DMART/consolidated/" TargetMode="External"/><Relationship Id="rId18" Type="http://schemas.openxmlformats.org/officeDocument/2006/relationships/hyperlink" Target="https://www.screener.in/company/ITC/consolidated/" TargetMode="External"/><Relationship Id="rId199" Type="http://schemas.openxmlformats.org/officeDocument/2006/relationships/hyperlink" Target="https://www.screener.in/company/TATACHEM/consolidated/" TargetMode="External"/><Relationship Id="rId84" Type="http://schemas.openxmlformats.org/officeDocument/2006/relationships/hyperlink" Target="https://www.screener.in/company/CADILAHC/consolidated/" TargetMode="External"/><Relationship Id="rId83" Type="http://schemas.openxmlformats.org/officeDocument/2006/relationships/hyperlink" Target="https://www.screener.in/company/SRF/consolidated/" TargetMode="External"/><Relationship Id="rId86" Type="http://schemas.openxmlformats.org/officeDocument/2006/relationships/hyperlink" Target="https://www.screener.in/company/HEROMOTOCO/consolidated/" TargetMode="External"/><Relationship Id="rId85" Type="http://schemas.openxmlformats.org/officeDocument/2006/relationships/hyperlink" Target="https://www.screener.in/company/UPL/consolidated/" TargetMode="External"/><Relationship Id="rId88" Type="http://schemas.openxmlformats.org/officeDocument/2006/relationships/hyperlink" Target="https://www.screener.in/company/TORNTPHARM/consolidated/" TargetMode="External"/><Relationship Id="rId150" Type="http://schemas.openxmlformats.org/officeDocument/2006/relationships/hyperlink" Target="https://www.screener.in/company/IPCALAB/consolidated/" TargetMode="External"/><Relationship Id="rId87" Type="http://schemas.openxmlformats.org/officeDocument/2006/relationships/hyperlink" Target="https://www.screener.in/company/MPHASIS/consolidated/" TargetMode="External"/><Relationship Id="rId89" Type="http://schemas.openxmlformats.org/officeDocument/2006/relationships/hyperlink" Target="https://www.screener.in/company/JUBLFOOD/consolidated/" TargetMode="External"/><Relationship Id="rId80" Type="http://schemas.openxmlformats.org/officeDocument/2006/relationships/hyperlink" Target="https://www.screener.in/company/MUTHOOTFIN/consolidated/" TargetMode="External"/><Relationship Id="rId82" Type="http://schemas.openxmlformats.org/officeDocument/2006/relationships/hyperlink" Target="https://www.screener.in/company/INDUSTOWER/consolidated/" TargetMode="External"/><Relationship Id="rId81" Type="http://schemas.openxmlformats.org/officeDocument/2006/relationships/hyperlink" Target="https://www.screener.in/company/MINDTREE/consolidated/" TargetMode="External"/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hyperlink" Target="https://www.screener.in/company/RELIANCE/consolidated/" TargetMode="External"/><Relationship Id="rId149" Type="http://schemas.openxmlformats.org/officeDocument/2006/relationships/hyperlink" Target="https://www.screener.in/company/VOLTAS/consolidated/" TargetMode="External"/><Relationship Id="rId4" Type="http://schemas.openxmlformats.org/officeDocument/2006/relationships/hyperlink" Target="https://www.screener.in/company/TCS/consolidated/" TargetMode="External"/><Relationship Id="rId148" Type="http://schemas.openxmlformats.org/officeDocument/2006/relationships/hyperlink" Target="https://www.screener.in/company/LALPATHLAB/consolidated/" TargetMode="External"/><Relationship Id="rId9" Type="http://schemas.openxmlformats.org/officeDocument/2006/relationships/hyperlink" Target="https://www.screener.in/company/ICICIBANK/consolidated/" TargetMode="External"/><Relationship Id="rId143" Type="http://schemas.openxmlformats.org/officeDocument/2006/relationships/hyperlink" Target="https://www.screener.in/company/PFC/consolidated/" TargetMode="External"/><Relationship Id="rId142" Type="http://schemas.openxmlformats.org/officeDocument/2006/relationships/hyperlink" Target="https://www.screener.in/company/PETRONET/consolidated/" TargetMode="External"/><Relationship Id="rId141" Type="http://schemas.openxmlformats.org/officeDocument/2006/relationships/hyperlink" Target="https://www.screener.in/company/LAURUSLABS/consolidated/" TargetMode="External"/><Relationship Id="rId140" Type="http://schemas.openxmlformats.org/officeDocument/2006/relationships/hyperlink" Target="https://www.screener.in/company/MAXHEALTH/" TargetMode="External"/><Relationship Id="rId5" Type="http://schemas.openxmlformats.org/officeDocument/2006/relationships/hyperlink" Target="https://www.screener.in/company/HDFCBANK/consolidated/" TargetMode="External"/><Relationship Id="rId147" Type="http://schemas.openxmlformats.org/officeDocument/2006/relationships/hyperlink" Target="https://www.screener.in/company/MRF/consolidated/" TargetMode="External"/><Relationship Id="rId6" Type="http://schemas.openxmlformats.org/officeDocument/2006/relationships/hyperlink" Target="https://www.screener.in/company/INFY/consolidated/" TargetMode="External"/><Relationship Id="rId146" Type="http://schemas.openxmlformats.org/officeDocument/2006/relationships/hyperlink" Target="https://www.screener.in/company/KANSAINER/consolidated/" TargetMode="External"/><Relationship Id="rId7" Type="http://schemas.openxmlformats.org/officeDocument/2006/relationships/hyperlink" Target="https://www.screener.in/company/HINDUNILVR/consolidated/" TargetMode="External"/><Relationship Id="rId145" Type="http://schemas.openxmlformats.org/officeDocument/2006/relationships/hyperlink" Target="https://www.screener.in/company/EMBASSY/consolidated/" TargetMode="External"/><Relationship Id="rId8" Type="http://schemas.openxmlformats.org/officeDocument/2006/relationships/hyperlink" Target="https://www.screener.in/company/HDFC/consolidated/" TargetMode="External"/><Relationship Id="rId144" Type="http://schemas.openxmlformats.org/officeDocument/2006/relationships/hyperlink" Target="https://www.screener.in/company/AARTIIND/consolidated/" TargetMode="External"/><Relationship Id="rId73" Type="http://schemas.openxmlformats.org/officeDocument/2006/relationships/hyperlink" Target="https://www.screener.in/company/MOTHERSUMI/consolidated/" TargetMode="External"/><Relationship Id="rId72" Type="http://schemas.openxmlformats.org/officeDocument/2006/relationships/hyperlink" Target="https://www.screener.in/company/EICHERMOT/consolidated/" TargetMode="External"/><Relationship Id="rId75" Type="http://schemas.openxmlformats.org/officeDocument/2006/relationships/hyperlink" Target="https://www.screener.in/company/MARICO/consolidated/" TargetMode="External"/><Relationship Id="rId74" Type="http://schemas.openxmlformats.org/officeDocument/2006/relationships/hyperlink" Target="https://www.screener.in/company/APOLLOHOSP/consolidated/" TargetMode="External"/><Relationship Id="rId77" Type="http://schemas.openxmlformats.org/officeDocument/2006/relationships/hyperlink" Target="https://www.screener.in/company/GAIL/consolidated/" TargetMode="External"/><Relationship Id="rId76" Type="http://schemas.openxmlformats.org/officeDocument/2006/relationships/hyperlink" Target="https://www.screener.in/company/HDFCAMC/" TargetMode="External"/><Relationship Id="rId79" Type="http://schemas.openxmlformats.org/officeDocument/2006/relationships/hyperlink" Target="https://www.screener.in/company/PEL/consolidated/" TargetMode="External"/><Relationship Id="rId78" Type="http://schemas.openxmlformats.org/officeDocument/2006/relationships/hyperlink" Target="https://www.screener.in/company/GLAND/" TargetMode="External"/><Relationship Id="rId71" Type="http://schemas.openxmlformats.org/officeDocument/2006/relationships/hyperlink" Target="https://www.screener.in/company/INDIGO/consolidated/" TargetMode="External"/><Relationship Id="rId70" Type="http://schemas.openxmlformats.org/officeDocument/2006/relationships/hyperlink" Target="https://www.screener.in/company/ICICIGI/" TargetMode="External"/><Relationship Id="rId139" Type="http://schemas.openxmlformats.org/officeDocument/2006/relationships/hyperlink" Target="https://www.screener.in/company/HONAUT/" TargetMode="External"/><Relationship Id="rId138" Type="http://schemas.openxmlformats.org/officeDocument/2006/relationships/hyperlink" Target="https://www.screener.in/company/PAGEIND/" TargetMode="External"/><Relationship Id="rId137" Type="http://schemas.openxmlformats.org/officeDocument/2006/relationships/hyperlink" Target="https://www.screener.in/company/TRENT/consolidated/" TargetMode="External"/><Relationship Id="rId132" Type="http://schemas.openxmlformats.org/officeDocument/2006/relationships/hyperlink" Target="https://www.screener.in/company/MFSL/consolidated/" TargetMode="External"/><Relationship Id="rId131" Type="http://schemas.openxmlformats.org/officeDocument/2006/relationships/hyperlink" Target="https://www.screener.in/company/VBL/consolidated/" TargetMode="External"/><Relationship Id="rId252" Type="http://schemas.openxmlformats.org/officeDocument/2006/relationships/drawing" Target="../drawings/drawing2.xml"/><Relationship Id="rId130" Type="http://schemas.openxmlformats.org/officeDocument/2006/relationships/hyperlink" Target="https://www.screener.in/company/HINDPETRO/consolidated/" TargetMode="External"/><Relationship Id="rId251" Type="http://schemas.openxmlformats.org/officeDocument/2006/relationships/hyperlink" Target="https://www.screener.in/company/UTIAMC/consolidated/" TargetMode="External"/><Relationship Id="rId250" Type="http://schemas.openxmlformats.org/officeDocument/2006/relationships/hyperlink" Target="https://www.screener.in/company/APLLTD/consolidated/" TargetMode="External"/><Relationship Id="rId136" Type="http://schemas.openxmlformats.org/officeDocument/2006/relationships/hyperlink" Target="https://www.screener.in/company/BHARATFORG/consolidated/" TargetMode="External"/><Relationship Id="rId135" Type="http://schemas.openxmlformats.org/officeDocument/2006/relationships/hyperlink" Target="https://www.screener.in/company/ASHOKLEY/consolidated/" TargetMode="External"/><Relationship Id="rId134" Type="http://schemas.openxmlformats.org/officeDocument/2006/relationships/hyperlink" Target="https://www.screener.in/company/SRTRANSFIN/consolidated/" TargetMode="External"/><Relationship Id="rId133" Type="http://schemas.openxmlformats.org/officeDocument/2006/relationships/hyperlink" Target="https://www.screener.in/company/ADANIPOWER/consolidated/" TargetMode="External"/><Relationship Id="rId62" Type="http://schemas.openxmlformats.org/officeDocument/2006/relationships/hyperlink" Target="https://www.screener.in/company/TATACONSUM/consolidated/" TargetMode="External"/><Relationship Id="rId61" Type="http://schemas.openxmlformats.org/officeDocument/2006/relationships/hyperlink" Target="https://www.screener.in/company/SIEMENS/consolidated/" TargetMode="External"/><Relationship Id="rId64" Type="http://schemas.openxmlformats.org/officeDocument/2006/relationships/hyperlink" Target="https://www.screener.in/company/DLF/consolidated/" TargetMode="External"/><Relationship Id="rId63" Type="http://schemas.openxmlformats.org/officeDocument/2006/relationships/hyperlink" Target="https://www.screener.in/company/HAVELLS/consolidated/" TargetMode="External"/><Relationship Id="rId66" Type="http://schemas.openxmlformats.org/officeDocument/2006/relationships/hyperlink" Target="https://www.screener.in/company/NAUKRI/consolidated/" TargetMode="External"/><Relationship Id="rId172" Type="http://schemas.openxmlformats.org/officeDocument/2006/relationships/hyperlink" Target="https://www.screener.in/company/GICRE/consolidated/" TargetMode="External"/><Relationship Id="rId65" Type="http://schemas.openxmlformats.org/officeDocument/2006/relationships/hyperlink" Target="https://www.screener.in/company/BERGEPAINT/consolidated/" TargetMode="External"/><Relationship Id="rId171" Type="http://schemas.openxmlformats.org/officeDocument/2006/relationships/hyperlink" Target="https://www.screener.in/company/ABCAPITAL/consolidated/" TargetMode="External"/><Relationship Id="rId68" Type="http://schemas.openxmlformats.org/officeDocument/2006/relationships/hyperlink" Target="https://www.screener.in/company/INDUSINDBK/consolidated/" TargetMode="External"/><Relationship Id="rId170" Type="http://schemas.openxmlformats.org/officeDocument/2006/relationships/hyperlink" Target="https://www.screener.in/company/NHPC/consolidated/" TargetMode="External"/><Relationship Id="rId67" Type="http://schemas.openxmlformats.org/officeDocument/2006/relationships/hyperlink" Target="https://www.screener.in/company/DRREDDY/consolidated/" TargetMode="External"/><Relationship Id="rId60" Type="http://schemas.openxmlformats.org/officeDocument/2006/relationships/hyperlink" Target="https://www.screener.in/company/AMBUJACEM/consolidated/" TargetMode="External"/><Relationship Id="rId165" Type="http://schemas.openxmlformats.org/officeDocument/2006/relationships/hyperlink" Target="https://www.screener.in/company/YESBANK/consolidated/" TargetMode="External"/><Relationship Id="rId69" Type="http://schemas.openxmlformats.org/officeDocument/2006/relationships/hyperlink" Target="https://www.screener.in/company/CIPLA/consolidated/" TargetMode="External"/><Relationship Id="rId164" Type="http://schemas.openxmlformats.org/officeDocument/2006/relationships/hyperlink" Target="https://www.screener.in/company/NIACL/consolidated/" TargetMode="External"/><Relationship Id="rId163" Type="http://schemas.openxmlformats.org/officeDocument/2006/relationships/hyperlink" Target="https://www.screener.in/company/CUMMINSIND/consolidated/" TargetMode="External"/><Relationship Id="rId162" Type="http://schemas.openxmlformats.org/officeDocument/2006/relationships/hyperlink" Target="https://www.screener.in/company/CANBK/consolidated/" TargetMode="External"/><Relationship Id="rId169" Type="http://schemas.openxmlformats.org/officeDocument/2006/relationships/hyperlink" Target="https://www.screener.in/company/IDFCFIRSTB/" TargetMode="External"/><Relationship Id="rId168" Type="http://schemas.openxmlformats.org/officeDocument/2006/relationships/hyperlink" Target="https://www.screener.in/company/EMAMILTD/consolidated/" TargetMode="External"/><Relationship Id="rId167" Type="http://schemas.openxmlformats.org/officeDocument/2006/relationships/hyperlink" Target="https://www.screener.in/company/ATUL/consolidated/" TargetMode="External"/><Relationship Id="rId166" Type="http://schemas.openxmlformats.org/officeDocument/2006/relationships/hyperlink" Target="https://www.screener.in/company/SUPREMEIND/consolidated/" TargetMode="External"/><Relationship Id="rId51" Type="http://schemas.openxmlformats.org/officeDocument/2006/relationships/hyperlink" Target="https://www.screener.in/company/IOC/consolidated/" TargetMode="External"/><Relationship Id="rId50" Type="http://schemas.openxmlformats.org/officeDocument/2006/relationships/hyperlink" Target="https://www.screener.in/company/BPCL/consolidated/" TargetMode="External"/><Relationship Id="rId53" Type="http://schemas.openxmlformats.org/officeDocument/2006/relationships/hyperlink" Target="https://www.screener.in/company/M&amp;M/consolidated/" TargetMode="External"/><Relationship Id="rId52" Type="http://schemas.openxmlformats.org/officeDocument/2006/relationships/hyperlink" Target="https://www.screener.in/company/HINDALCO/consolidated/" TargetMode="External"/><Relationship Id="rId55" Type="http://schemas.openxmlformats.org/officeDocument/2006/relationships/hyperlink" Target="https://www.screener.in/company/GRASIM/consolidated/" TargetMode="External"/><Relationship Id="rId161" Type="http://schemas.openxmlformats.org/officeDocument/2006/relationships/hyperlink" Target="https://www.screener.in/company/SUNDARMFIN/consolidated/" TargetMode="External"/><Relationship Id="rId54" Type="http://schemas.openxmlformats.org/officeDocument/2006/relationships/hyperlink" Target="https://www.screener.in/company/SHREECEM/consolidated/" TargetMode="External"/><Relationship Id="rId160" Type="http://schemas.openxmlformats.org/officeDocument/2006/relationships/hyperlink" Target="https://www.screener.in/company/RELAXO/" TargetMode="External"/><Relationship Id="rId57" Type="http://schemas.openxmlformats.org/officeDocument/2006/relationships/hyperlink" Target="https://www.screener.in/company/ICICIPRULI/consolidated/" TargetMode="External"/><Relationship Id="rId56" Type="http://schemas.openxmlformats.org/officeDocument/2006/relationships/hyperlink" Target="https://www.screener.in/company/BRITANNIA/consolidated/" TargetMode="External"/><Relationship Id="rId159" Type="http://schemas.openxmlformats.org/officeDocument/2006/relationships/hyperlink" Target="https://www.screener.in/company/CROMPTON/" TargetMode="External"/><Relationship Id="rId59" Type="http://schemas.openxmlformats.org/officeDocument/2006/relationships/hyperlink" Target="https://www.screener.in/company/COALINDIA/consolidated/" TargetMode="External"/><Relationship Id="rId154" Type="http://schemas.openxmlformats.org/officeDocument/2006/relationships/hyperlink" Target="https://www.screener.in/company/POLYCAB/consolidated/" TargetMode="External"/><Relationship Id="rId58" Type="http://schemas.openxmlformats.org/officeDocument/2006/relationships/hyperlink" Target="https://www.screener.in/company/LTI/consolidated/" TargetMode="External"/><Relationship Id="rId153" Type="http://schemas.openxmlformats.org/officeDocument/2006/relationships/hyperlink" Target="https://www.screener.in/company/DEEPAKNTR/consolidated/" TargetMode="External"/><Relationship Id="rId152" Type="http://schemas.openxmlformats.org/officeDocument/2006/relationships/hyperlink" Target="https://www.screener.in/company/COFORGE/consolidated/" TargetMode="External"/><Relationship Id="rId151" Type="http://schemas.openxmlformats.org/officeDocument/2006/relationships/hyperlink" Target="https://www.screener.in/company/RUCHI/" TargetMode="External"/><Relationship Id="rId158" Type="http://schemas.openxmlformats.org/officeDocument/2006/relationships/hyperlink" Target="https://www.screener.in/company/RECLTD/consolidated/" TargetMode="External"/><Relationship Id="rId157" Type="http://schemas.openxmlformats.org/officeDocument/2006/relationships/hyperlink" Target="https://www.screener.in/company/SONACOMS/" TargetMode="External"/><Relationship Id="rId156" Type="http://schemas.openxmlformats.org/officeDocument/2006/relationships/hyperlink" Target="https://www.screener.in/company/TATAELXSI/" TargetMode="External"/><Relationship Id="rId155" Type="http://schemas.openxmlformats.org/officeDocument/2006/relationships/hyperlink" Target="https://www.screener.in/company/IRFC/" TargetMode="External"/><Relationship Id="rId107" Type="http://schemas.openxmlformats.org/officeDocument/2006/relationships/hyperlink" Target="https://www.screener.in/company/BIOCON/consolidated/" TargetMode="External"/><Relationship Id="rId228" Type="http://schemas.openxmlformats.org/officeDocument/2006/relationships/hyperlink" Target="https://www.screener.in/company/NATCOPHARM/consolidated/" TargetMode="External"/><Relationship Id="rId106" Type="http://schemas.openxmlformats.org/officeDocument/2006/relationships/hyperlink" Target="https://www.screener.in/company/IRCTC/" TargetMode="External"/><Relationship Id="rId227" Type="http://schemas.openxmlformats.org/officeDocument/2006/relationships/hyperlink" Target="https://www.screener.in/company/CAMS/" TargetMode="External"/><Relationship Id="rId105" Type="http://schemas.openxmlformats.org/officeDocument/2006/relationships/hyperlink" Target="https://www.screener.in/company/LUPIN/consolidated/" TargetMode="External"/><Relationship Id="rId226" Type="http://schemas.openxmlformats.org/officeDocument/2006/relationships/hyperlink" Target="https://www.screener.in/company/GMRINFRA/consolidated/" TargetMode="External"/><Relationship Id="rId104" Type="http://schemas.openxmlformats.org/officeDocument/2006/relationships/hyperlink" Target="https://www.screener.in/company/BALKRISIND/consolidated/" TargetMode="External"/><Relationship Id="rId225" Type="http://schemas.openxmlformats.org/officeDocument/2006/relationships/hyperlink" Target="https://www.screener.in/company/CENTRALBK/consolidated/" TargetMode="External"/><Relationship Id="rId109" Type="http://schemas.openxmlformats.org/officeDocument/2006/relationships/hyperlink" Target="https://www.screener.in/company/LODHA/consolidated/" TargetMode="External"/><Relationship Id="rId108" Type="http://schemas.openxmlformats.org/officeDocument/2006/relationships/hyperlink" Target="https://www.screener.in/company/AUROPHARMA/consolidated/" TargetMode="External"/><Relationship Id="rId229" Type="http://schemas.openxmlformats.org/officeDocument/2006/relationships/hyperlink" Target="https://www.screener.in/company/MINDSPACE/consolidated/" TargetMode="External"/><Relationship Id="rId220" Type="http://schemas.openxmlformats.org/officeDocument/2006/relationships/hyperlink" Target="https://www.screener.in/company/FLUOROCHEM/consolidated/" TargetMode="External"/><Relationship Id="rId103" Type="http://schemas.openxmlformats.org/officeDocument/2006/relationships/hyperlink" Target="https://www.screener.in/company/ACC/consolidated/" TargetMode="External"/><Relationship Id="rId224" Type="http://schemas.openxmlformats.org/officeDocument/2006/relationships/hyperlink" Target="https://www.screener.in/company/VINATIORGA/" TargetMode="External"/><Relationship Id="rId102" Type="http://schemas.openxmlformats.org/officeDocument/2006/relationships/hyperlink" Target="https://www.screener.in/company/BEL/consolidated/" TargetMode="External"/><Relationship Id="rId223" Type="http://schemas.openxmlformats.org/officeDocument/2006/relationships/hyperlink" Target="https://www.screener.in/company/ESCORTS/consolidated/" TargetMode="External"/><Relationship Id="rId101" Type="http://schemas.openxmlformats.org/officeDocument/2006/relationships/hyperlink" Target="https://www.screener.in/company/PGHH/" TargetMode="External"/><Relationship Id="rId222" Type="http://schemas.openxmlformats.org/officeDocument/2006/relationships/hyperlink" Target="https://www.screener.in/company/AIAENG/consolidated/" TargetMode="External"/><Relationship Id="rId100" Type="http://schemas.openxmlformats.org/officeDocument/2006/relationships/hyperlink" Target="https://www.screener.in/company/CHOLAFIN/consolidated/" TargetMode="External"/><Relationship Id="rId221" Type="http://schemas.openxmlformats.org/officeDocument/2006/relationships/hyperlink" Target="https://www.screener.in/company/KAJARIACER/consolidated/" TargetMode="External"/><Relationship Id="rId217" Type="http://schemas.openxmlformats.org/officeDocument/2006/relationships/hyperlink" Target="https://www.screener.in/company/OIL/consolidated/" TargetMode="External"/><Relationship Id="rId216" Type="http://schemas.openxmlformats.org/officeDocument/2006/relationships/hyperlink" Target="https://www.screener.in/company/GILLETTE/" TargetMode="External"/><Relationship Id="rId215" Type="http://schemas.openxmlformats.org/officeDocument/2006/relationships/hyperlink" Target="https://www.screener.in/company/SUNTV/consolidated/" TargetMode="External"/><Relationship Id="rId214" Type="http://schemas.openxmlformats.org/officeDocument/2006/relationships/hyperlink" Target="https://www.screener.in/company/AJANTPHARM/consolidated/" TargetMode="External"/><Relationship Id="rId219" Type="http://schemas.openxmlformats.org/officeDocument/2006/relationships/hyperlink" Target="https://www.screener.in/company/BHEL/consolidated/" TargetMode="External"/><Relationship Id="rId218" Type="http://schemas.openxmlformats.org/officeDocument/2006/relationships/hyperlink" Target="https://www.screener.in/company/GODREJIND/consolidated/" TargetMode="External"/><Relationship Id="rId213" Type="http://schemas.openxmlformats.org/officeDocument/2006/relationships/hyperlink" Target="https://www.screener.in/company/NAVINFLUOR/consolidated/" TargetMode="External"/><Relationship Id="rId212" Type="http://schemas.openxmlformats.org/officeDocument/2006/relationships/hyperlink" Target="https://www.screener.in/company/AAVAS/" TargetMode="External"/><Relationship Id="rId211" Type="http://schemas.openxmlformats.org/officeDocument/2006/relationships/hyperlink" Target="https://www.screener.in/company/ABFRL/" TargetMode="External"/><Relationship Id="rId210" Type="http://schemas.openxmlformats.org/officeDocument/2006/relationships/hyperlink" Target="https://www.screener.in/company/GSPL/consolidated/" TargetMode="External"/><Relationship Id="rId129" Type="http://schemas.openxmlformats.org/officeDocument/2006/relationships/hyperlink" Target="https://www.screener.in/company/IGL/consolidated/" TargetMode="External"/><Relationship Id="rId128" Type="http://schemas.openxmlformats.org/officeDocument/2006/relationships/hyperlink" Target="https://www.screener.in/company/IOB/" TargetMode="External"/><Relationship Id="rId249" Type="http://schemas.openxmlformats.org/officeDocument/2006/relationships/hyperlink" Target="https://www.screener.in/company/GLENMARK/consolidated/" TargetMode="External"/><Relationship Id="rId127" Type="http://schemas.openxmlformats.org/officeDocument/2006/relationships/hyperlink" Target="https://www.screener.in/company/UBL/consolidated/" TargetMode="External"/><Relationship Id="rId248" Type="http://schemas.openxmlformats.org/officeDocument/2006/relationships/hyperlink" Target="https://www.screener.in/company/PHOENIXLTD/consolidated/" TargetMode="External"/><Relationship Id="rId126" Type="http://schemas.openxmlformats.org/officeDocument/2006/relationships/hyperlink" Target="https://www.screener.in/company/JINDALSTEL/consolidated/" TargetMode="External"/><Relationship Id="rId247" Type="http://schemas.openxmlformats.org/officeDocument/2006/relationships/hyperlink" Target="https://www.screener.in/company/SKFINDIA/" TargetMode="External"/><Relationship Id="rId121" Type="http://schemas.openxmlformats.org/officeDocument/2006/relationships/hyperlink" Target="https://www.screener.in/company/OFSS/consolidated/" TargetMode="External"/><Relationship Id="rId242" Type="http://schemas.openxmlformats.org/officeDocument/2006/relationships/hyperlink" Target="https://www.screener.in/company/UCOBANK/" TargetMode="External"/><Relationship Id="rId120" Type="http://schemas.openxmlformats.org/officeDocument/2006/relationships/hyperlink" Target="https://www.screener.in/company/TATACOMM/consolidated/" TargetMode="External"/><Relationship Id="rId241" Type="http://schemas.openxmlformats.org/officeDocument/2006/relationships/hyperlink" Target="https://www.screener.in/company/CLEAN/" TargetMode="External"/><Relationship Id="rId240" Type="http://schemas.openxmlformats.org/officeDocument/2006/relationships/hyperlink" Target="https://www.screener.in/company/BASF/" TargetMode="External"/><Relationship Id="rId125" Type="http://schemas.openxmlformats.org/officeDocument/2006/relationships/hyperlink" Target="https://www.screener.in/company/BANKBARODA/consolidated/" TargetMode="External"/><Relationship Id="rId246" Type="http://schemas.openxmlformats.org/officeDocument/2006/relationships/hyperlink" Target="https://www.screener.in/company/INDIANB/consolidated/" TargetMode="External"/><Relationship Id="rId124" Type="http://schemas.openxmlformats.org/officeDocument/2006/relationships/hyperlink" Target="https://www.screener.in/company/AUBANK/" TargetMode="External"/><Relationship Id="rId245" Type="http://schemas.openxmlformats.org/officeDocument/2006/relationships/hyperlink" Target="https://www.screener.in/company/CARBORUNIV/consolidated/" TargetMode="External"/><Relationship Id="rId123" Type="http://schemas.openxmlformats.org/officeDocument/2006/relationships/hyperlink" Target="https://www.screener.in/company/ASTRAL/consolidated/" TargetMode="External"/><Relationship Id="rId244" Type="http://schemas.openxmlformats.org/officeDocument/2006/relationships/hyperlink" Target="https://www.screener.in/company/KIOCL/" TargetMode="External"/><Relationship Id="rId122" Type="http://schemas.openxmlformats.org/officeDocument/2006/relationships/hyperlink" Target="https://www.screener.in/company/PNB/consolidated/" TargetMode="External"/><Relationship Id="rId243" Type="http://schemas.openxmlformats.org/officeDocument/2006/relationships/hyperlink" Target="https://www.screener.in/company/GRINFRA/consolidated/" TargetMode="External"/><Relationship Id="rId95" Type="http://schemas.openxmlformats.org/officeDocument/2006/relationships/hyperlink" Target="https://www.screener.in/company/HAL/consolidated/" TargetMode="External"/><Relationship Id="rId94" Type="http://schemas.openxmlformats.org/officeDocument/2006/relationships/hyperlink" Target="https://www.screener.in/company/BAJAJHLDNG/consolidated/" TargetMode="External"/><Relationship Id="rId97" Type="http://schemas.openxmlformats.org/officeDocument/2006/relationships/hyperlink" Target="https://www.screener.in/company/COLPAL/" TargetMode="External"/><Relationship Id="rId96" Type="http://schemas.openxmlformats.org/officeDocument/2006/relationships/hyperlink" Target="https://www.screener.in/company/ALKEM/consolidated/" TargetMode="External"/><Relationship Id="rId99" Type="http://schemas.openxmlformats.org/officeDocument/2006/relationships/hyperlink" Target="https://www.screener.in/company/NMDC/consolidated/" TargetMode="External"/><Relationship Id="rId98" Type="http://schemas.openxmlformats.org/officeDocument/2006/relationships/hyperlink" Target="https://www.screener.in/company/BANDHANBNK/" TargetMode="External"/><Relationship Id="rId91" Type="http://schemas.openxmlformats.org/officeDocument/2006/relationships/hyperlink" Target="https://www.screener.in/company/PIIND/consolidated/" TargetMode="External"/><Relationship Id="rId90" Type="http://schemas.openxmlformats.org/officeDocument/2006/relationships/hyperlink" Target="https://www.screener.in/company/MCDOWELL-N/consolidated/" TargetMode="External"/><Relationship Id="rId93" Type="http://schemas.openxmlformats.org/officeDocument/2006/relationships/hyperlink" Target="https://www.screener.in/company/GUJGASLTD/consolidated/" TargetMode="External"/><Relationship Id="rId92" Type="http://schemas.openxmlformats.org/officeDocument/2006/relationships/hyperlink" Target="https://www.screener.in/company/SAIL/consolidated/" TargetMode="External"/><Relationship Id="rId118" Type="http://schemas.openxmlformats.org/officeDocument/2006/relationships/hyperlink" Target="https://www.screener.in/company/BOSCHLTD/consolidated/" TargetMode="External"/><Relationship Id="rId239" Type="http://schemas.openxmlformats.org/officeDocument/2006/relationships/hyperlink" Target="https://www.screener.in/company/SOLARINDS/consolidated/" TargetMode="External"/><Relationship Id="rId117" Type="http://schemas.openxmlformats.org/officeDocument/2006/relationships/hyperlink" Target="https://www.screener.in/company/ABB/" TargetMode="External"/><Relationship Id="rId238" Type="http://schemas.openxmlformats.org/officeDocument/2006/relationships/hyperlink" Target="https://www.screener.in/company/NATIONALUM/consolidated/" TargetMode="External"/><Relationship Id="rId116" Type="http://schemas.openxmlformats.org/officeDocument/2006/relationships/hyperlink" Target="https://www.screener.in/company/DALBHARAT/consolidated/" TargetMode="External"/><Relationship Id="rId237" Type="http://schemas.openxmlformats.org/officeDocument/2006/relationships/hyperlink" Target="https://www.screener.in/company/ZEEL/consolidated/" TargetMode="External"/><Relationship Id="rId115" Type="http://schemas.openxmlformats.org/officeDocument/2006/relationships/hyperlink" Target="https://www.screener.in/company/LTTS/consolidated/" TargetMode="External"/><Relationship Id="rId236" Type="http://schemas.openxmlformats.org/officeDocument/2006/relationships/hyperlink" Target="https://www.screener.in/company/THERMAX/consolidated/" TargetMode="External"/><Relationship Id="rId119" Type="http://schemas.openxmlformats.org/officeDocument/2006/relationships/hyperlink" Target="https://www.screener.in/company/ABBOTINDIA/" TargetMode="External"/><Relationship Id="rId110" Type="http://schemas.openxmlformats.org/officeDocument/2006/relationships/hyperlink" Target="https://www.screener.in/company/JSWENERGY/consolidated/" TargetMode="External"/><Relationship Id="rId231" Type="http://schemas.openxmlformats.org/officeDocument/2006/relationships/hyperlink" Target="https://www.screener.in/company/RAJESHEXPO/consolidated/" TargetMode="External"/><Relationship Id="rId230" Type="http://schemas.openxmlformats.org/officeDocument/2006/relationships/hyperlink" Target="https://www.google.com/search?rlz=1C1GCEU_enIN923IN923&amp;sxsrf=AOaemvKRIujVz4z-EF3-GRZaCnZdb8aAfw:1631769336219&amp;q=BOM:+543217&amp;stick=H4sIAAAAAAAAAONgecRowS3w8sc9YSn9SWtOXmPU5OIKzsgvd80rySypFJLmYoOyBKX4uXj10_UNDbPTCixyLZOKeBaxcjv5-1opmJoYGxmaAwBNHGAbSwAAAA&amp;sa=X&amp;ved=2ahUKEwjXx4-93oLzAhUJeisKHTvwCNsQsRV6BAgoEAM" TargetMode="External"/><Relationship Id="rId114" Type="http://schemas.openxmlformats.org/officeDocument/2006/relationships/hyperlink" Target="https://www.screener.in/company/TATAPOWER/consolidated/" TargetMode="External"/><Relationship Id="rId235" Type="http://schemas.openxmlformats.org/officeDocument/2006/relationships/hyperlink" Target="https://www.screener.in/company/INDHOTEL/consolidated/" TargetMode="External"/><Relationship Id="rId113" Type="http://schemas.openxmlformats.org/officeDocument/2006/relationships/hyperlink" Target="https://www.screener.in/company/CONCOR/consolidated/" TargetMode="External"/><Relationship Id="rId234" Type="http://schemas.openxmlformats.org/officeDocument/2006/relationships/hyperlink" Target="https://www.screener.in/company/SUNDRMFAST/consolidated/" TargetMode="External"/><Relationship Id="rId112" Type="http://schemas.openxmlformats.org/officeDocument/2006/relationships/hyperlink" Target="https://www.screener.in/company/IDBI/consolidated/" TargetMode="External"/><Relationship Id="rId233" Type="http://schemas.openxmlformats.org/officeDocument/2006/relationships/hyperlink" Target="https://www.screener.in/company/IDEA/consolidated/" TargetMode="External"/><Relationship Id="rId111" Type="http://schemas.openxmlformats.org/officeDocument/2006/relationships/hyperlink" Target="https://www.screener.in/company/GODREJPROP/consolidated/" TargetMode="External"/><Relationship Id="rId232" Type="http://schemas.openxmlformats.org/officeDocument/2006/relationships/hyperlink" Target="https://www.screener.in/company/FEDERALBNK/consolidated/" TargetMode="External"/><Relationship Id="rId206" Type="http://schemas.openxmlformats.org/officeDocument/2006/relationships/hyperlink" Target="https://www.screener.in/company/CRISIL/consolidated/" TargetMode="External"/><Relationship Id="rId205" Type="http://schemas.openxmlformats.org/officeDocument/2006/relationships/hyperlink" Target="https://www.screener.in/company/SANOFI/" TargetMode="External"/><Relationship Id="rId204" Type="http://schemas.openxmlformats.org/officeDocument/2006/relationships/hyperlink" Target="https://www.screener.in/company/MINDAIND/consolidated/" TargetMode="External"/><Relationship Id="rId203" Type="http://schemas.openxmlformats.org/officeDocument/2006/relationships/hyperlink" Target="https://www.screener.in/company/APLAPOLLO/consolidated/" TargetMode="External"/><Relationship Id="rId209" Type="http://schemas.openxmlformats.org/officeDocument/2006/relationships/hyperlink" Target="https://www.screener.in/company/M&amp;MFIN/consolidated/" TargetMode="External"/><Relationship Id="rId208" Type="http://schemas.openxmlformats.org/officeDocument/2006/relationships/hyperlink" Target="https://www.screener.in/company/LINDEINDIA/" TargetMode="External"/><Relationship Id="rId207" Type="http://schemas.openxmlformats.org/officeDocument/2006/relationships/hyperlink" Target="https://www.screener.in/company/LICHSGFIN/consolidated/" TargetMode="External"/><Relationship Id="rId202" Type="http://schemas.openxmlformats.org/officeDocument/2006/relationships/hyperlink" Target="https://www.screener.in/company/L&amp;TFH/consolidated/" TargetMode="External"/><Relationship Id="rId201" Type="http://schemas.openxmlformats.org/officeDocument/2006/relationships/hyperlink" Target="https://www.screener.in/company/HAPPSTMNDS/" TargetMode="External"/><Relationship Id="rId200" Type="http://schemas.openxmlformats.org/officeDocument/2006/relationships/hyperlink" Target="https://www.screener.in/company/SUMICHE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reener.in/company/PIDILITIND/consolidated/" TargetMode="External"/><Relationship Id="rId190" Type="http://schemas.openxmlformats.org/officeDocument/2006/relationships/hyperlink" Target="https://www.screener.in/company/ISEC/consolidated/" TargetMode="External"/><Relationship Id="rId42" Type="http://schemas.openxmlformats.org/officeDocument/2006/relationships/hyperlink" Target="https://www.screener.in/company/GODREJCP/consolidated/" TargetMode="External"/><Relationship Id="rId41" Type="http://schemas.openxmlformats.org/officeDocument/2006/relationships/hyperlink" Target="https://www.screener.in/company/NTPC/consolidated/" TargetMode="External"/><Relationship Id="rId44" Type="http://schemas.openxmlformats.org/officeDocument/2006/relationships/hyperlink" Target="https://www.screener.in/company/DABUR/consolidated/" TargetMode="External"/><Relationship Id="rId194" Type="http://schemas.openxmlformats.org/officeDocument/2006/relationships/hyperlink" Target="https://www.screener.in/company/SCHAEFFLER/" TargetMode="External"/><Relationship Id="rId43" Type="http://schemas.openxmlformats.org/officeDocument/2006/relationships/hyperlink" Target="https://www.screener.in/company/VEDL/consolidated/" TargetMode="External"/><Relationship Id="rId193" Type="http://schemas.openxmlformats.org/officeDocument/2006/relationships/hyperlink" Target="https://www.screener.in/company/BATAINDIA/consolidated/" TargetMode="External"/><Relationship Id="rId46" Type="http://schemas.openxmlformats.org/officeDocument/2006/relationships/hyperlink" Target="https://www.screener.in/company/ZOMATO/consolidated/" TargetMode="External"/><Relationship Id="rId192" Type="http://schemas.openxmlformats.org/officeDocument/2006/relationships/hyperlink" Target="https://www.screener.in/company/COROMANDEL/consolidated/" TargetMode="External"/><Relationship Id="rId45" Type="http://schemas.openxmlformats.org/officeDocument/2006/relationships/hyperlink" Target="https://www.screener.in/company/BAJAJ-AUTO/consolidated/" TargetMode="External"/><Relationship Id="rId191" Type="http://schemas.openxmlformats.org/officeDocument/2006/relationships/hyperlink" Target="https://www.screener.in/company/RAMCOCEM/consolidated/" TargetMode="External"/><Relationship Id="rId48" Type="http://schemas.openxmlformats.org/officeDocument/2006/relationships/hyperlink" Target="https://www.screener.in/company/SBICARD/" TargetMode="External"/><Relationship Id="rId187" Type="http://schemas.openxmlformats.org/officeDocument/2006/relationships/hyperlink" Target="https://www.screener.in/company/INDIAMART/consolidated/" TargetMode="External"/><Relationship Id="rId47" Type="http://schemas.openxmlformats.org/officeDocument/2006/relationships/hyperlink" Target="https://www.screener.in/company/TATAMOTORS/consolidated/" TargetMode="External"/><Relationship Id="rId186" Type="http://schemas.openxmlformats.org/officeDocument/2006/relationships/hyperlink" Target="https://www.screener.in/company/UNIONBANK/consolidated/" TargetMode="External"/><Relationship Id="rId185" Type="http://schemas.openxmlformats.org/officeDocument/2006/relationships/hyperlink" Target="https://www.screener.in/company/HATSUN/" TargetMode="External"/><Relationship Id="rId49" Type="http://schemas.openxmlformats.org/officeDocument/2006/relationships/hyperlink" Target="https://www.screener.in/company/BPCL/consolidated/" TargetMode="External"/><Relationship Id="rId184" Type="http://schemas.openxmlformats.org/officeDocument/2006/relationships/hyperlink" Target="https://www.screener.in/company/DIXON/consolidated/" TargetMode="External"/><Relationship Id="rId189" Type="http://schemas.openxmlformats.org/officeDocument/2006/relationships/hyperlink" Target="https://www.screener.in/company/TORNTPOWER/consolidated/" TargetMode="External"/><Relationship Id="rId188" Type="http://schemas.openxmlformats.org/officeDocument/2006/relationships/hyperlink" Target="https://www.screener.in/company/ENDURANCE/consolidated/" TargetMode="External"/><Relationship Id="rId31" Type="http://schemas.openxmlformats.org/officeDocument/2006/relationships/hyperlink" Target="https://www.screener.in/company/ATGL/" TargetMode="External"/><Relationship Id="rId30" Type="http://schemas.openxmlformats.org/officeDocument/2006/relationships/hyperlink" Target="https://www.screener.in/company/ADANITRANS/consolidated/" TargetMode="External"/><Relationship Id="rId33" Type="http://schemas.openxmlformats.org/officeDocument/2006/relationships/hyperlink" Target="https://www.screener.in/company/ADANIPORTS/consolidated/" TargetMode="External"/><Relationship Id="rId183" Type="http://schemas.openxmlformats.org/officeDocument/2006/relationships/hyperlink" Target="https://www.screener.in/company/BAYERCROP/" TargetMode="External"/><Relationship Id="rId32" Type="http://schemas.openxmlformats.org/officeDocument/2006/relationships/hyperlink" Target="https://www.screener.in/company/ONGC/consolidated/" TargetMode="External"/><Relationship Id="rId182" Type="http://schemas.openxmlformats.org/officeDocument/2006/relationships/hyperlink" Target="https://www.screener.in/company/JKCEMENT/consolidated/" TargetMode="External"/><Relationship Id="rId35" Type="http://schemas.openxmlformats.org/officeDocument/2006/relationships/hyperlink" Target="https://www.screener.in/company/TECHM/consolidated/" TargetMode="External"/><Relationship Id="rId181" Type="http://schemas.openxmlformats.org/officeDocument/2006/relationships/hyperlink" Target="https://www.screener.in/company/TVSMOTOR/consolidated/" TargetMode="External"/><Relationship Id="rId34" Type="http://schemas.openxmlformats.org/officeDocument/2006/relationships/hyperlink" Target="https://www.screener.in/company/HDFCLIFE/consolidated/" TargetMode="External"/><Relationship Id="rId180" Type="http://schemas.openxmlformats.org/officeDocument/2006/relationships/hyperlink" Target="https://www.screener.in/company/BANKINDIA/consolidated/" TargetMode="External"/><Relationship Id="rId37" Type="http://schemas.openxmlformats.org/officeDocument/2006/relationships/hyperlink" Target="https://www.screener.in/company/DIVISLAB/consolidated/" TargetMode="External"/><Relationship Id="rId176" Type="http://schemas.openxmlformats.org/officeDocument/2006/relationships/hyperlink" Target="https://www.screener.in/company/PERSISTENT/consolidated/" TargetMode="External"/><Relationship Id="rId36" Type="http://schemas.openxmlformats.org/officeDocument/2006/relationships/hyperlink" Target="https://www.screener.in/company/HINDZINC/" TargetMode="External"/><Relationship Id="rId175" Type="http://schemas.openxmlformats.org/officeDocument/2006/relationships/hyperlink" Target="https://www.screener.in/company/WHIRLPOOL/" TargetMode="External"/><Relationship Id="rId39" Type="http://schemas.openxmlformats.org/officeDocument/2006/relationships/hyperlink" Target="https://www.screener.in/company/SBILIFE/" TargetMode="External"/><Relationship Id="rId174" Type="http://schemas.openxmlformats.org/officeDocument/2006/relationships/hyperlink" Target="https://www.screener.in/company/GLAXO/consolidated/" TargetMode="External"/><Relationship Id="rId38" Type="http://schemas.openxmlformats.org/officeDocument/2006/relationships/hyperlink" Target="https://www.screener.in/company/POWERGRID/consolidated/" TargetMode="External"/><Relationship Id="rId173" Type="http://schemas.openxmlformats.org/officeDocument/2006/relationships/hyperlink" Target="https://www.screener.in/company/3MINDIA/" TargetMode="External"/><Relationship Id="rId179" Type="http://schemas.openxmlformats.org/officeDocument/2006/relationships/hyperlink" Target="https://www.screener.in/company/SYNGENE/" TargetMode="External"/><Relationship Id="rId178" Type="http://schemas.openxmlformats.org/officeDocument/2006/relationships/hyperlink" Target="https://www.screener.in/company/OBEROIRLTY/consolidated/" TargetMode="External"/><Relationship Id="rId177" Type="http://schemas.openxmlformats.org/officeDocument/2006/relationships/hyperlink" Target="https://www.screener.in/company/TIINDIA/consolidated/" TargetMode="External"/><Relationship Id="rId20" Type="http://schemas.openxmlformats.org/officeDocument/2006/relationships/hyperlink" Target="https://www.screener.in/company/LT/consolidated/" TargetMode="External"/><Relationship Id="rId22" Type="http://schemas.openxmlformats.org/officeDocument/2006/relationships/hyperlink" Target="https://www.screener.in/company/MARUTI/consolidated/" TargetMode="External"/><Relationship Id="rId21" Type="http://schemas.openxmlformats.org/officeDocument/2006/relationships/hyperlink" Target="https://www.screener.in/company/ULTRACEMCO/consolidated/" TargetMode="External"/><Relationship Id="rId24" Type="http://schemas.openxmlformats.org/officeDocument/2006/relationships/hyperlink" Target="https://www.screener.in/company/SUNPHARMA/consolidated/" TargetMode="External"/><Relationship Id="rId23" Type="http://schemas.openxmlformats.org/officeDocument/2006/relationships/hyperlink" Target="https://www.screener.in/company/NESTLEIND/" TargetMode="External"/><Relationship Id="rId26" Type="http://schemas.openxmlformats.org/officeDocument/2006/relationships/hyperlink" Target="https://www.screener.in/company/ADANIGREEN/consolidated/" TargetMode="External"/><Relationship Id="rId25" Type="http://schemas.openxmlformats.org/officeDocument/2006/relationships/hyperlink" Target="https://www.screener.in/company/TATASTEEL/consolidated/" TargetMode="External"/><Relationship Id="rId28" Type="http://schemas.openxmlformats.org/officeDocument/2006/relationships/hyperlink" Target="https://www.screener.in/company/ADANIENT/consolidated/" TargetMode="External"/><Relationship Id="rId27" Type="http://schemas.openxmlformats.org/officeDocument/2006/relationships/hyperlink" Target="https://www.screener.in/company/TITAN/consolidated/" TargetMode="External"/><Relationship Id="rId29" Type="http://schemas.openxmlformats.org/officeDocument/2006/relationships/hyperlink" Target="https://www.screener.in/company/JSWSTEEL/consolidated/" TargetMode="External"/><Relationship Id="rId11" Type="http://schemas.openxmlformats.org/officeDocument/2006/relationships/hyperlink" Target="https://www.screener.in/company/WIPRO/consolidated/" TargetMode="External"/><Relationship Id="rId10" Type="http://schemas.openxmlformats.org/officeDocument/2006/relationships/hyperlink" Target="https://www.screener.in/company/SBIN/consolidated/" TargetMode="External"/><Relationship Id="rId13" Type="http://schemas.openxmlformats.org/officeDocument/2006/relationships/hyperlink" Target="https://www.screener.in/company/BHARTIARTL/consolidated/" TargetMode="External"/><Relationship Id="rId12" Type="http://schemas.openxmlformats.org/officeDocument/2006/relationships/hyperlink" Target="https://www.screener.in/company/KOTAKBANK/consolidated/" TargetMode="External"/><Relationship Id="rId15" Type="http://schemas.openxmlformats.org/officeDocument/2006/relationships/hyperlink" Target="https://www.screener.in/company/ASIANPAINT/consolidated/" TargetMode="External"/><Relationship Id="rId198" Type="http://schemas.openxmlformats.org/officeDocument/2006/relationships/hyperlink" Target="https://www.screener.in/company/SUMICHEM/" TargetMode="External"/><Relationship Id="rId14" Type="http://schemas.openxmlformats.org/officeDocument/2006/relationships/hyperlink" Target="https://www.screener.in/company/HCLTECH/consolidated/" TargetMode="External"/><Relationship Id="rId197" Type="http://schemas.openxmlformats.org/officeDocument/2006/relationships/hyperlink" Target="https://www.screener.in/company/TATACHEM/consolidated/" TargetMode="External"/><Relationship Id="rId17" Type="http://schemas.openxmlformats.org/officeDocument/2006/relationships/hyperlink" Target="https://www.screener.in/company/ITC/consolidated/" TargetMode="External"/><Relationship Id="rId196" Type="http://schemas.openxmlformats.org/officeDocument/2006/relationships/hyperlink" Target="https://www.screener.in/company/FORTIS/consolidated/" TargetMode="External"/><Relationship Id="rId16" Type="http://schemas.openxmlformats.org/officeDocument/2006/relationships/hyperlink" Target="https://www.screener.in/company/BAJAJFINSV/consolidated/" TargetMode="External"/><Relationship Id="rId195" Type="http://schemas.openxmlformats.org/officeDocument/2006/relationships/hyperlink" Target="https://www.screener.in/company/ALKYLAMINE/" TargetMode="External"/><Relationship Id="rId19" Type="http://schemas.openxmlformats.org/officeDocument/2006/relationships/hyperlink" Target="https://www.screener.in/company/AXISBANK/consolidated/" TargetMode="External"/><Relationship Id="rId18" Type="http://schemas.openxmlformats.org/officeDocument/2006/relationships/hyperlink" Target="https://www.screener.in/company/DMART/consolidated/" TargetMode="External"/><Relationship Id="rId199" Type="http://schemas.openxmlformats.org/officeDocument/2006/relationships/hyperlink" Target="https://www.screener.in/company/L&amp;TFH/consolidated/" TargetMode="External"/><Relationship Id="rId84" Type="http://schemas.openxmlformats.org/officeDocument/2006/relationships/hyperlink" Target="https://www.screener.in/company/UPL/consolidated/" TargetMode="External"/><Relationship Id="rId83" Type="http://schemas.openxmlformats.org/officeDocument/2006/relationships/hyperlink" Target="https://www.screener.in/company/CADILAHC/consolidated/" TargetMode="External"/><Relationship Id="rId86" Type="http://schemas.openxmlformats.org/officeDocument/2006/relationships/hyperlink" Target="https://www.screener.in/company/MPHASIS/consolidated/" TargetMode="External"/><Relationship Id="rId85" Type="http://schemas.openxmlformats.org/officeDocument/2006/relationships/hyperlink" Target="https://www.screener.in/company/HEROMOTOCO/consolidated/" TargetMode="External"/><Relationship Id="rId88" Type="http://schemas.openxmlformats.org/officeDocument/2006/relationships/hyperlink" Target="https://www.screener.in/company/JUBLFOOD/consolidated/" TargetMode="External"/><Relationship Id="rId150" Type="http://schemas.openxmlformats.org/officeDocument/2006/relationships/hyperlink" Target="https://www.screener.in/company/RUCHI/" TargetMode="External"/><Relationship Id="rId87" Type="http://schemas.openxmlformats.org/officeDocument/2006/relationships/hyperlink" Target="https://www.screener.in/company/TORNTPHARM/consolidated/" TargetMode="External"/><Relationship Id="rId89" Type="http://schemas.openxmlformats.org/officeDocument/2006/relationships/hyperlink" Target="https://www.screener.in/company/MCDOWELL-N/consolidated/" TargetMode="External"/><Relationship Id="rId80" Type="http://schemas.openxmlformats.org/officeDocument/2006/relationships/hyperlink" Target="https://www.screener.in/company/MINDTREE/consolidated/" TargetMode="External"/><Relationship Id="rId82" Type="http://schemas.openxmlformats.org/officeDocument/2006/relationships/hyperlink" Target="https://www.screener.in/company/SRF/consolidated/" TargetMode="External"/><Relationship Id="rId81" Type="http://schemas.openxmlformats.org/officeDocument/2006/relationships/hyperlink" Target="https://www.screener.in/company/INDUSTOWER/consolidated/" TargetMode="External"/><Relationship Id="rId1" Type="http://schemas.openxmlformats.org/officeDocument/2006/relationships/hyperlink" Target="https://www.screener.in/screen/raw/?order=&amp;source=&amp;query=Market+Capitalization+%3E+10000" TargetMode="External"/><Relationship Id="rId2" Type="http://schemas.openxmlformats.org/officeDocument/2006/relationships/hyperlink" Target="https://www.screener.in/screen/raw/?sort=name&amp;order=&amp;source=&amp;query=Market+Capitalization+%3E+10000" TargetMode="External"/><Relationship Id="rId3" Type="http://schemas.openxmlformats.org/officeDocument/2006/relationships/hyperlink" Target="https://www.screener.in/company/RELIANCE/consolidated/" TargetMode="External"/><Relationship Id="rId149" Type="http://schemas.openxmlformats.org/officeDocument/2006/relationships/hyperlink" Target="https://www.screener.in/company/IPCALAB/consolidated/" TargetMode="External"/><Relationship Id="rId4" Type="http://schemas.openxmlformats.org/officeDocument/2006/relationships/hyperlink" Target="https://www.screener.in/company/TCS/consolidated/" TargetMode="External"/><Relationship Id="rId148" Type="http://schemas.openxmlformats.org/officeDocument/2006/relationships/hyperlink" Target="https://www.screener.in/company/VOLTAS/consolidated/" TargetMode="External"/><Relationship Id="rId9" Type="http://schemas.openxmlformats.org/officeDocument/2006/relationships/hyperlink" Target="https://www.screener.in/company/BAJFINANCE/consolidated/" TargetMode="External"/><Relationship Id="rId143" Type="http://schemas.openxmlformats.org/officeDocument/2006/relationships/hyperlink" Target="https://www.screener.in/company/AARTIIND/consolidated/" TargetMode="External"/><Relationship Id="rId142" Type="http://schemas.openxmlformats.org/officeDocument/2006/relationships/hyperlink" Target="https://www.screener.in/company/PFC/consolidated/" TargetMode="External"/><Relationship Id="rId141" Type="http://schemas.openxmlformats.org/officeDocument/2006/relationships/hyperlink" Target="https://www.screener.in/company/PETRONET/consolidated/" TargetMode="External"/><Relationship Id="rId140" Type="http://schemas.openxmlformats.org/officeDocument/2006/relationships/hyperlink" Target="https://www.screener.in/company/LAURUSLABS/consolidated/" TargetMode="External"/><Relationship Id="rId5" Type="http://schemas.openxmlformats.org/officeDocument/2006/relationships/hyperlink" Target="https://www.screener.in/company/INFY/consolidated/" TargetMode="External"/><Relationship Id="rId147" Type="http://schemas.openxmlformats.org/officeDocument/2006/relationships/hyperlink" Target="https://www.screener.in/company/LALPATHLAB/consolidated/" TargetMode="External"/><Relationship Id="rId6" Type="http://schemas.openxmlformats.org/officeDocument/2006/relationships/hyperlink" Target="https://www.screener.in/company/HINDUNILVR/consolidated/" TargetMode="External"/><Relationship Id="rId146" Type="http://schemas.openxmlformats.org/officeDocument/2006/relationships/hyperlink" Target="https://www.screener.in/company/MRF/consolidated/" TargetMode="External"/><Relationship Id="rId7" Type="http://schemas.openxmlformats.org/officeDocument/2006/relationships/hyperlink" Target="https://www.screener.in/company/HDFC/consolidated/" TargetMode="External"/><Relationship Id="rId145" Type="http://schemas.openxmlformats.org/officeDocument/2006/relationships/hyperlink" Target="https://www.screener.in/company/KANSAINER/consolidated/" TargetMode="External"/><Relationship Id="rId8" Type="http://schemas.openxmlformats.org/officeDocument/2006/relationships/hyperlink" Target="https://www.screener.in/company/ICICIBANK/consolidated/" TargetMode="External"/><Relationship Id="rId144" Type="http://schemas.openxmlformats.org/officeDocument/2006/relationships/hyperlink" Target="https://www.screener.in/company/EMBASSY/consolidated/" TargetMode="External"/><Relationship Id="rId73" Type="http://schemas.openxmlformats.org/officeDocument/2006/relationships/hyperlink" Target="https://www.screener.in/company/APOLLOHOSP/consolidated/" TargetMode="External"/><Relationship Id="rId72" Type="http://schemas.openxmlformats.org/officeDocument/2006/relationships/hyperlink" Target="https://www.screener.in/company/MOTHERSUMI/consolidated/" TargetMode="External"/><Relationship Id="rId75" Type="http://schemas.openxmlformats.org/officeDocument/2006/relationships/hyperlink" Target="https://www.screener.in/company/HDFCAMC/" TargetMode="External"/><Relationship Id="rId74" Type="http://schemas.openxmlformats.org/officeDocument/2006/relationships/hyperlink" Target="https://www.screener.in/company/MARICO/consolidated/" TargetMode="External"/><Relationship Id="rId77" Type="http://schemas.openxmlformats.org/officeDocument/2006/relationships/hyperlink" Target="https://www.screener.in/company/GLAND/" TargetMode="External"/><Relationship Id="rId76" Type="http://schemas.openxmlformats.org/officeDocument/2006/relationships/hyperlink" Target="https://www.screener.in/company/GAIL/consolidated/" TargetMode="External"/><Relationship Id="rId79" Type="http://schemas.openxmlformats.org/officeDocument/2006/relationships/hyperlink" Target="https://www.screener.in/company/MUTHOOTFIN/consolidated/" TargetMode="External"/><Relationship Id="rId78" Type="http://schemas.openxmlformats.org/officeDocument/2006/relationships/hyperlink" Target="https://www.screener.in/company/PEL/consolidated/" TargetMode="External"/><Relationship Id="rId71" Type="http://schemas.openxmlformats.org/officeDocument/2006/relationships/hyperlink" Target="https://www.screener.in/company/EICHERMOT/consolidated/" TargetMode="External"/><Relationship Id="rId70" Type="http://schemas.openxmlformats.org/officeDocument/2006/relationships/hyperlink" Target="https://www.screener.in/company/INDIGO/consolidated/" TargetMode="External"/><Relationship Id="rId139" Type="http://schemas.openxmlformats.org/officeDocument/2006/relationships/hyperlink" Target="https://www.screener.in/company/MAXHEALTH/" TargetMode="External"/><Relationship Id="rId138" Type="http://schemas.openxmlformats.org/officeDocument/2006/relationships/hyperlink" Target="https://www.screener.in/company/HONAUT/" TargetMode="External"/><Relationship Id="rId137" Type="http://schemas.openxmlformats.org/officeDocument/2006/relationships/hyperlink" Target="https://www.screener.in/company/PAGEIND/" TargetMode="External"/><Relationship Id="rId132" Type="http://schemas.openxmlformats.org/officeDocument/2006/relationships/hyperlink" Target="https://www.screener.in/company/ADANIPOWER/consolidated/" TargetMode="External"/><Relationship Id="rId131" Type="http://schemas.openxmlformats.org/officeDocument/2006/relationships/hyperlink" Target="https://www.screener.in/company/MFSL/consolidated/" TargetMode="External"/><Relationship Id="rId130" Type="http://schemas.openxmlformats.org/officeDocument/2006/relationships/hyperlink" Target="https://www.screener.in/company/VBL/consolidated/" TargetMode="External"/><Relationship Id="rId136" Type="http://schemas.openxmlformats.org/officeDocument/2006/relationships/hyperlink" Target="https://www.screener.in/company/TRENT/consolidated/" TargetMode="External"/><Relationship Id="rId135" Type="http://schemas.openxmlformats.org/officeDocument/2006/relationships/hyperlink" Target="https://www.screener.in/company/BHARATFORG/consolidated/" TargetMode="External"/><Relationship Id="rId134" Type="http://schemas.openxmlformats.org/officeDocument/2006/relationships/hyperlink" Target="https://www.screener.in/company/ASHOKLEY/consolidated/" TargetMode="External"/><Relationship Id="rId133" Type="http://schemas.openxmlformats.org/officeDocument/2006/relationships/hyperlink" Target="https://www.screener.in/company/SRTRANSFIN/consolidated/" TargetMode="External"/><Relationship Id="rId62" Type="http://schemas.openxmlformats.org/officeDocument/2006/relationships/hyperlink" Target="https://www.screener.in/company/HAVELLS/consolidated/" TargetMode="External"/><Relationship Id="rId61" Type="http://schemas.openxmlformats.org/officeDocument/2006/relationships/hyperlink" Target="https://www.screener.in/company/TATACONSUM/consolidated/" TargetMode="External"/><Relationship Id="rId64" Type="http://schemas.openxmlformats.org/officeDocument/2006/relationships/hyperlink" Target="https://www.screener.in/company/BERGEPAINT/consolidated/" TargetMode="External"/><Relationship Id="rId63" Type="http://schemas.openxmlformats.org/officeDocument/2006/relationships/hyperlink" Target="https://www.screener.in/company/DLF/consolidated/" TargetMode="External"/><Relationship Id="rId66" Type="http://schemas.openxmlformats.org/officeDocument/2006/relationships/hyperlink" Target="https://www.screener.in/company/DRREDDY/consolidated/" TargetMode="External"/><Relationship Id="rId172" Type="http://schemas.openxmlformats.org/officeDocument/2006/relationships/hyperlink" Target="https://www.screener.in/company/NAM-INDIA/consolidated/" TargetMode="External"/><Relationship Id="rId65" Type="http://schemas.openxmlformats.org/officeDocument/2006/relationships/hyperlink" Target="https://www.screener.in/company/NAUKRI/consolidated/" TargetMode="External"/><Relationship Id="rId171" Type="http://schemas.openxmlformats.org/officeDocument/2006/relationships/hyperlink" Target="https://www.screener.in/company/PFIZER/" TargetMode="External"/><Relationship Id="rId68" Type="http://schemas.openxmlformats.org/officeDocument/2006/relationships/hyperlink" Target="https://www.screener.in/company/CIPLA/consolidated/" TargetMode="External"/><Relationship Id="rId170" Type="http://schemas.openxmlformats.org/officeDocument/2006/relationships/hyperlink" Target="https://www.screener.in/company/GICRE/consolidated/" TargetMode="External"/><Relationship Id="rId67" Type="http://schemas.openxmlformats.org/officeDocument/2006/relationships/hyperlink" Target="https://www.screener.in/company/INDUSINDBK/consolidated/" TargetMode="External"/><Relationship Id="rId60" Type="http://schemas.openxmlformats.org/officeDocument/2006/relationships/hyperlink" Target="https://www.screener.in/company/SIEMENS/consolidated/" TargetMode="External"/><Relationship Id="rId165" Type="http://schemas.openxmlformats.org/officeDocument/2006/relationships/hyperlink" Target="https://www.screener.in/company/ATUL/consolidated/" TargetMode="External"/><Relationship Id="rId69" Type="http://schemas.openxmlformats.org/officeDocument/2006/relationships/hyperlink" Target="https://www.screener.in/company/ICICIGI/" TargetMode="External"/><Relationship Id="rId164" Type="http://schemas.openxmlformats.org/officeDocument/2006/relationships/hyperlink" Target="https://www.screener.in/company/SUPREMEIND/consolidated/" TargetMode="External"/><Relationship Id="rId163" Type="http://schemas.openxmlformats.org/officeDocument/2006/relationships/hyperlink" Target="https://www.screener.in/company/YESBANK/consolidated/" TargetMode="External"/><Relationship Id="rId162" Type="http://schemas.openxmlformats.org/officeDocument/2006/relationships/hyperlink" Target="https://www.screener.in/company/NIACL/consolidated/" TargetMode="External"/><Relationship Id="rId169" Type="http://schemas.openxmlformats.org/officeDocument/2006/relationships/hyperlink" Target="https://www.screener.in/company/ABCAPITAL/consolidated/" TargetMode="External"/><Relationship Id="rId168" Type="http://schemas.openxmlformats.org/officeDocument/2006/relationships/hyperlink" Target="https://www.screener.in/company/NHPC/consolidated/" TargetMode="External"/><Relationship Id="rId167" Type="http://schemas.openxmlformats.org/officeDocument/2006/relationships/hyperlink" Target="https://www.screener.in/company/IDFCFIRSTB/" TargetMode="External"/><Relationship Id="rId166" Type="http://schemas.openxmlformats.org/officeDocument/2006/relationships/hyperlink" Target="https://www.screener.in/company/EMAMILTD/consolidated/" TargetMode="External"/><Relationship Id="rId51" Type="http://schemas.openxmlformats.org/officeDocument/2006/relationships/hyperlink" Target="https://www.screener.in/company/HINDALCO/consolidated/" TargetMode="External"/><Relationship Id="rId50" Type="http://schemas.openxmlformats.org/officeDocument/2006/relationships/hyperlink" Target="https://www.screener.in/company/IOC/consolidated/" TargetMode="External"/><Relationship Id="rId53" Type="http://schemas.openxmlformats.org/officeDocument/2006/relationships/hyperlink" Target="https://www.screener.in/company/SHREECEM/consolidated/" TargetMode="External"/><Relationship Id="rId52" Type="http://schemas.openxmlformats.org/officeDocument/2006/relationships/hyperlink" Target="https://www.screener.in/company/M&amp;M/consolidated/" TargetMode="External"/><Relationship Id="rId55" Type="http://schemas.openxmlformats.org/officeDocument/2006/relationships/hyperlink" Target="https://www.screener.in/company/BRITANNIA/consolidated/" TargetMode="External"/><Relationship Id="rId161" Type="http://schemas.openxmlformats.org/officeDocument/2006/relationships/hyperlink" Target="https://www.screener.in/company/CUMMINSIND/consolidated/" TargetMode="External"/><Relationship Id="rId54" Type="http://schemas.openxmlformats.org/officeDocument/2006/relationships/hyperlink" Target="https://www.screener.in/company/GRASIM/consolidated/" TargetMode="External"/><Relationship Id="rId160" Type="http://schemas.openxmlformats.org/officeDocument/2006/relationships/hyperlink" Target="https://www.screener.in/company/CANBK/consolidated/" TargetMode="External"/><Relationship Id="rId57" Type="http://schemas.openxmlformats.org/officeDocument/2006/relationships/hyperlink" Target="https://www.screener.in/company/LTI/consolidated/" TargetMode="External"/><Relationship Id="rId56" Type="http://schemas.openxmlformats.org/officeDocument/2006/relationships/hyperlink" Target="https://www.screener.in/company/ICICIPRULI/consolidated/" TargetMode="External"/><Relationship Id="rId159" Type="http://schemas.openxmlformats.org/officeDocument/2006/relationships/hyperlink" Target="https://www.screener.in/company/RELAXO/" TargetMode="External"/><Relationship Id="rId59" Type="http://schemas.openxmlformats.org/officeDocument/2006/relationships/hyperlink" Target="https://www.screener.in/company/AMBUJACEM/consolidated/" TargetMode="External"/><Relationship Id="rId154" Type="http://schemas.openxmlformats.org/officeDocument/2006/relationships/hyperlink" Target="https://www.screener.in/company/IRFC/" TargetMode="External"/><Relationship Id="rId58" Type="http://schemas.openxmlformats.org/officeDocument/2006/relationships/hyperlink" Target="https://www.screener.in/company/COALINDIA/consolidated/" TargetMode="External"/><Relationship Id="rId153" Type="http://schemas.openxmlformats.org/officeDocument/2006/relationships/hyperlink" Target="https://www.screener.in/company/POLYCAB/consolidated/" TargetMode="External"/><Relationship Id="rId152" Type="http://schemas.openxmlformats.org/officeDocument/2006/relationships/hyperlink" Target="https://www.screener.in/company/DEEPAKNTR/consolidated/" TargetMode="External"/><Relationship Id="rId151" Type="http://schemas.openxmlformats.org/officeDocument/2006/relationships/hyperlink" Target="https://www.screener.in/company/COFORGE/consolidated/" TargetMode="External"/><Relationship Id="rId158" Type="http://schemas.openxmlformats.org/officeDocument/2006/relationships/hyperlink" Target="https://www.screener.in/company/CROMPTON/" TargetMode="External"/><Relationship Id="rId157" Type="http://schemas.openxmlformats.org/officeDocument/2006/relationships/hyperlink" Target="https://www.screener.in/company/RECLTD/consolidated/" TargetMode="External"/><Relationship Id="rId156" Type="http://schemas.openxmlformats.org/officeDocument/2006/relationships/hyperlink" Target="https://www.screener.in/company/SONACOMS/" TargetMode="External"/><Relationship Id="rId155" Type="http://schemas.openxmlformats.org/officeDocument/2006/relationships/hyperlink" Target="https://www.screener.in/company/TATAELXSI/" TargetMode="External"/><Relationship Id="rId107" Type="http://schemas.openxmlformats.org/officeDocument/2006/relationships/hyperlink" Target="https://www.screener.in/company/AUROPHARMA/consolidated/" TargetMode="External"/><Relationship Id="rId228" Type="http://schemas.openxmlformats.org/officeDocument/2006/relationships/hyperlink" Target="https://www.screener.in/company/FEDERALBNK/consolidated/" TargetMode="External"/><Relationship Id="rId106" Type="http://schemas.openxmlformats.org/officeDocument/2006/relationships/hyperlink" Target="https://www.screener.in/company/BIOCON/consolidated/" TargetMode="External"/><Relationship Id="rId227" Type="http://schemas.openxmlformats.org/officeDocument/2006/relationships/hyperlink" Target="https://www.screener.in/company/RAJESHEXPO/consolidated/" TargetMode="External"/><Relationship Id="rId105" Type="http://schemas.openxmlformats.org/officeDocument/2006/relationships/hyperlink" Target="https://www.screener.in/company/IRCTC/" TargetMode="External"/><Relationship Id="rId226" Type="http://schemas.openxmlformats.org/officeDocument/2006/relationships/hyperlink" Target="https://www.google.com/search?rlz=1C1GCEU_enIN923IN923&amp;sxsrf=AOaemvKRIujVz4z-EF3-GRZaCnZdb8aAfw:1631769336219&amp;q=BOM:+543217&amp;stick=H4sIAAAAAAAAAONgecRowS3w8sc9YSn9SWtOXmPU5OIKzsgvd80rySypFJLmYoOyBKX4uXj10_UNDbPTCixyLZOKeBaxcjv5-1opmJoYGxmaAwBNHGAbSwAAAA&amp;sa=X&amp;ved=2ahUKEwjXx4-93oLzAhUJeisKHTvwCNsQsRV6BAgoEAM" TargetMode="External"/><Relationship Id="rId104" Type="http://schemas.openxmlformats.org/officeDocument/2006/relationships/hyperlink" Target="https://www.screener.in/company/LUPIN/consolidated/" TargetMode="External"/><Relationship Id="rId225" Type="http://schemas.openxmlformats.org/officeDocument/2006/relationships/hyperlink" Target="https://www.screener.in/company/MINDSPACE/consolidated/" TargetMode="External"/><Relationship Id="rId109" Type="http://schemas.openxmlformats.org/officeDocument/2006/relationships/hyperlink" Target="https://www.screener.in/company/JSWENERGY/consolidated/" TargetMode="External"/><Relationship Id="rId108" Type="http://schemas.openxmlformats.org/officeDocument/2006/relationships/hyperlink" Target="https://www.screener.in/company/LODHA/consolidated/" TargetMode="External"/><Relationship Id="rId229" Type="http://schemas.openxmlformats.org/officeDocument/2006/relationships/hyperlink" Target="https://www.screener.in/company/IDEA/consolidated/" TargetMode="External"/><Relationship Id="rId220" Type="http://schemas.openxmlformats.org/officeDocument/2006/relationships/hyperlink" Target="https://www.screener.in/company/ESCORTS/consolidated/" TargetMode="External"/><Relationship Id="rId103" Type="http://schemas.openxmlformats.org/officeDocument/2006/relationships/hyperlink" Target="https://www.screener.in/company/BALKRISIND/consolidated/" TargetMode="External"/><Relationship Id="rId224" Type="http://schemas.openxmlformats.org/officeDocument/2006/relationships/hyperlink" Target="https://www.screener.in/company/NATCOPHARM/consolidated/" TargetMode="External"/><Relationship Id="rId102" Type="http://schemas.openxmlformats.org/officeDocument/2006/relationships/hyperlink" Target="https://www.screener.in/company/ACC/consolidated/" TargetMode="External"/><Relationship Id="rId223" Type="http://schemas.openxmlformats.org/officeDocument/2006/relationships/hyperlink" Target="https://www.screener.in/company/GMRINFRA/consolidated/" TargetMode="External"/><Relationship Id="rId101" Type="http://schemas.openxmlformats.org/officeDocument/2006/relationships/hyperlink" Target="https://www.screener.in/company/BEL/consolidated/" TargetMode="External"/><Relationship Id="rId222" Type="http://schemas.openxmlformats.org/officeDocument/2006/relationships/hyperlink" Target="https://www.screener.in/company/CENTRALBK/consolidated/" TargetMode="External"/><Relationship Id="rId100" Type="http://schemas.openxmlformats.org/officeDocument/2006/relationships/hyperlink" Target="https://www.screener.in/company/PGHH/" TargetMode="External"/><Relationship Id="rId221" Type="http://schemas.openxmlformats.org/officeDocument/2006/relationships/hyperlink" Target="https://www.screener.in/company/VINATIORGA/" TargetMode="External"/><Relationship Id="rId217" Type="http://schemas.openxmlformats.org/officeDocument/2006/relationships/hyperlink" Target="https://www.screener.in/company/FLUOROCHEM/consolidated/" TargetMode="External"/><Relationship Id="rId216" Type="http://schemas.openxmlformats.org/officeDocument/2006/relationships/hyperlink" Target="https://www.screener.in/company/BHEL/consolidated/" TargetMode="External"/><Relationship Id="rId215" Type="http://schemas.openxmlformats.org/officeDocument/2006/relationships/hyperlink" Target="https://www.screener.in/company/GODREJIND/consolidated/" TargetMode="External"/><Relationship Id="rId214" Type="http://schemas.openxmlformats.org/officeDocument/2006/relationships/hyperlink" Target="https://www.screener.in/company/OIL/consolidated/" TargetMode="External"/><Relationship Id="rId219" Type="http://schemas.openxmlformats.org/officeDocument/2006/relationships/hyperlink" Target="https://www.screener.in/company/AIAENG/consolidated/" TargetMode="External"/><Relationship Id="rId218" Type="http://schemas.openxmlformats.org/officeDocument/2006/relationships/hyperlink" Target="https://www.screener.in/company/KAJARIACER/consolidated/" TargetMode="External"/><Relationship Id="rId213" Type="http://schemas.openxmlformats.org/officeDocument/2006/relationships/hyperlink" Target="https://www.screener.in/company/GILLETTE/" TargetMode="External"/><Relationship Id="rId212" Type="http://schemas.openxmlformats.org/officeDocument/2006/relationships/hyperlink" Target="https://www.screener.in/company/SUNTV/consolidated/" TargetMode="External"/><Relationship Id="rId211" Type="http://schemas.openxmlformats.org/officeDocument/2006/relationships/hyperlink" Target="https://www.screener.in/company/AJANTPHARM/consolidated/" TargetMode="External"/><Relationship Id="rId210" Type="http://schemas.openxmlformats.org/officeDocument/2006/relationships/hyperlink" Target="https://www.screener.in/company/NAVINFLUOR/consolidated/" TargetMode="External"/><Relationship Id="rId129" Type="http://schemas.openxmlformats.org/officeDocument/2006/relationships/hyperlink" Target="https://www.screener.in/company/HINDPETRO/consolidated/" TargetMode="External"/><Relationship Id="rId128" Type="http://schemas.openxmlformats.org/officeDocument/2006/relationships/hyperlink" Target="https://www.screener.in/company/IGL/consolidated/" TargetMode="External"/><Relationship Id="rId127" Type="http://schemas.openxmlformats.org/officeDocument/2006/relationships/hyperlink" Target="https://www.screener.in/company/IOB/" TargetMode="External"/><Relationship Id="rId126" Type="http://schemas.openxmlformats.org/officeDocument/2006/relationships/hyperlink" Target="https://www.screener.in/company/UBL/consolidated/" TargetMode="External"/><Relationship Id="rId121" Type="http://schemas.openxmlformats.org/officeDocument/2006/relationships/hyperlink" Target="https://www.screener.in/company/PNB/consolidated/" TargetMode="External"/><Relationship Id="rId242" Type="http://schemas.openxmlformats.org/officeDocument/2006/relationships/hyperlink" Target="https://www.screener.in/company/PHOENIXLTD/consolidated/" TargetMode="External"/><Relationship Id="rId120" Type="http://schemas.openxmlformats.org/officeDocument/2006/relationships/hyperlink" Target="https://www.screener.in/company/OFSS/consolidated/" TargetMode="External"/><Relationship Id="rId241" Type="http://schemas.openxmlformats.org/officeDocument/2006/relationships/hyperlink" Target="https://www.screener.in/company/SKFINDIA/" TargetMode="External"/><Relationship Id="rId240" Type="http://schemas.openxmlformats.org/officeDocument/2006/relationships/hyperlink" Target="https://www.screener.in/company/INDIANB/consolidated/" TargetMode="External"/><Relationship Id="rId125" Type="http://schemas.openxmlformats.org/officeDocument/2006/relationships/hyperlink" Target="https://www.screener.in/company/JINDALSTEL/consolidated/" TargetMode="External"/><Relationship Id="rId124" Type="http://schemas.openxmlformats.org/officeDocument/2006/relationships/hyperlink" Target="https://www.screener.in/company/BANKBARODA/consolidated/" TargetMode="External"/><Relationship Id="rId245" Type="http://schemas.openxmlformats.org/officeDocument/2006/relationships/drawing" Target="../drawings/drawing8.xml"/><Relationship Id="rId123" Type="http://schemas.openxmlformats.org/officeDocument/2006/relationships/hyperlink" Target="https://www.screener.in/company/AUBANK/" TargetMode="External"/><Relationship Id="rId244" Type="http://schemas.openxmlformats.org/officeDocument/2006/relationships/hyperlink" Target="https://www.screener.in/company/APLLTD/consolidated/" TargetMode="External"/><Relationship Id="rId122" Type="http://schemas.openxmlformats.org/officeDocument/2006/relationships/hyperlink" Target="https://www.screener.in/company/ASTRAL/consolidated/" TargetMode="External"/><Relationship Id="rId243" Type="http://schemas.openxmlformats.org/officeDocument/2006/relationships/hyperlink" Target="https://www.screener.in/company/GLENMARK/consolidated/" TargetMode="External"/><Relationship Id="rId95" Type="http://schemas.openxmlformats.org/officeDocument/2006/relationships/hyperlink" Target="https://www.screener.in/company/ALKEM/consolidated/" TargetMode="External"/><Relationship Id="rId94" Type="http://schemas.openxmlformats.org/officeDocument/2006/relationships/hyperlink" Target="https://www.screener.in/company/HAL/consolidated/" TargetMode="External"/><Relationship Id="rId97" Type="http://schemas.openxmlformats.org/officeDocument/2006/relationships/hyperlink" Target="https://www.screener.in/company/BANDHANBNK/" TargetMode="External"/><Relationship Id="rId96" Type="http://schemas.openxmlformats.org/officeDocument/2006/relationships/hyperlink" Target="https://www.screener.in/company/COLPAL/" TargetMode="External"/><Relationship Id="rId99" Type="http://schemas.openxmlformats.org/officeDocument/2006/relationships/hyperlink" Target="https://www.screener.in/company/CHOLAFIN/consolidated/" TargetMode="External"/><Relationship Id="rId98" Type="http://schemas.openxmlformats.org/officeDocument/2006/relationships/hyperlink" Target="https://www.screener.in/company/NMDC/consolidated/" TargetMode="External"/><Relationship Id="rId91" Type="http://schemas.openxmlformats.org/officeDocument/2006/relationships/hyperlink" Target="https://www.screener.in/company/SAIL/consolidated/" TargetMode="External"/><Relationship Id="rId90" Type="http://schemas.openxmlformats.org/officeDocument/2006/relationships/hyperlink" Target="https://www.screener.in/company/PIIND/consolidated/" TargetMode="External"/><Relationship Id="rId93" Type="http://schemas.openxmlformats.org/officeDocument/2006/relationships/hyperlink" Target="https://www.screener.in/company/BAJAJHLDNG/consolidated/" TargetMode="External"/><Relationship Id="rId92" Type="http://schemas.openxmlformats.org/officeDocument/2006/relationships/hyperlink" Target="https://www.screener.in/company/GUJGASLTD/consolidated/" TargetMode="External"/><Relationship Id="rId118" Type="http://schemas.openxmlformats.org/officeDocument/2006/relationships/hyperlink" Target="https://www.screener.in/company/ABBOTINDIA/" TargetMode="External"/><Relationship Id="rId239" Type="http://schemas.openxmlformats.org/officeDocument/2006/relationships/hyperlink" Target="https://www.screener.in/company/CARBORUNIV/consolidated/" TargetMode="External"/><Relationship Id="rId117" Type="http://schemas.openxmlformats.org/officeDocument/2006/relationships/hyperlink" Target="https://www.screener.in/company/BOSCHLTD/consolidated/" TargetMode="External"/><Relationship Id="rId238" Type="http://schemas.openxmlformats.org/officeDocument/2006/relationships/hyperlink" Target="https://www.screener.in/company/KIOCL/" TargetMode="External"/><Relationship Id="rId116" Type="http://schemas.openxmlformats.org/officeDocument/2006/relationships/hyperlink" Target="https://www.screener.in/company/ABB/" TargetMode="External"/><Relationship Id="rId237" Type="http://schemas.openxmlformats.org/officeDocument/2006/relationships/hyperlink" Target="https://www.screener.in/company/UCOBANK/" TargetMode="External"/><Relationship Id="rId115" Type="http://schemas.openxmlformats.org/officeDocument/2006/relationships/hyperlink" Target="https://www.screener.in/company/DALBHARAT/consolidated/" TargetMode="External"/><Relationship Id="rId236" Type="http://schemas.openxmlformats.org/officeDocument/2006/relationships/hyperlink" Target="https://www.screener.in/company/BASF/" TargetMode="External"/><Relationship Id="rId119" Type="http://schemas.openxmlformats.org/officeDocument/2006/relationships/hyperlink" Target="https://www.screener.in/company/TATACOMM/consolidated/" TargetMode="External"/><Relationship Id="rId110" Type="http://schemas.openxmlformats.org/officeDocument/2006/relationships/hyperlink" Target="https://www.screener.in/company/GODREJPROP/consolidated/" TargetMode="External"/><Relationship Id="rId231" Type="http://schemas.openxmlformats.org/officeDocument/2006/relationships/hyperlink" Target="https://www.screener.in/company/INDHOTEL/consolidated/" TargetMode="External"/><Relationship Id="rId230" Type="http://schemas.openxmlformats.org/officeDocument/2006/relationships/hyperlink" Target="https://www.screener.in/company/SUNDRMFAST/consolidated/" TargetMode="External"/><Relationship Id="rId114" Type="http://schemas.openxmlformats.org/officeDocument/2006/relationships/hyperlink" Target="https://www.screener.in/company/LTTS/consolidated/" TargetMode="External"/><Relationship Id="rId235" Type="http://schemas.openxmlformats.org/officeDocument/2006/relationships/hyperlink" Target="https://www.screener.in/company/SOLARINDS/consolidated/" TargetMode="External"/><Relationship Id="rId113" Type="http://schemas.openxmlformats.org/officeDocument/2006/relationships/hyperlink" Target="https://www.screener.in/company/TATAPOWER/consolidated/" TargetMode="External"/><Relationship Id="rId234" Type="http://schemas.openxmlformats.org/officeDocument/2006/relationships/hyperlink" Target="https://www.screener.in/company/NATIONALUM/consolidated/" TargetMode="External"/><Relationship Id="rId112" Type="http://schemas.openxmlformats.org/officeDocument/2006/relationships/hyperlink" Target="https://www.screener.in/company/CONCOR/consolidated/" TargetMode="External"/><Relationship Id="rId233" Type="http://schemas.openxmlformats.org/officeDocument/2006/relationships/hyperlink" Target="https://www.screener.in/company/ZEEL/consolidated/" TargetMode="External"/><Relationship Id="rId111" Type="http://schemas.openxmlformats.org/officeDocument/2006/relationships/hyperlink" Target="https://www.screener.in/company/IDBI/consolidated/" TargetMode="External"/><Relationship Id="rId232" Type="http://schemas.openxmlformats.org/officeDocument/2006/relationships/hyperlink" Target="https://www.screener.in/company/THERMAX/consolidated/" TargetMode="External"/><Relationship Id="rId206" Type="http://schemas.openxmlformats.org/officeDocument/2006/relationships/hyperlink" Target="https://www.screener.in/company/M&amp;MFIN/consolidated/" TargetMode="External"/><Relationship Id="rId205" Type="http://schemas.openxmlformats.org/officeDocument/2006/relationships/hyperlink" Target="https://www.screener.in/company/LINDEINDIA/" TargetMode="External"/><Relationship Id="rId204" Type="http://schemas.openxmlformats.org/officeDocument/2006/relationships/hyperlink" Target="https://www.screener.in/company/LICHSGFIN/consolidated/" TargetMode="External"/><Relationship Id="rId203" Type="http://schemas.openxmlformats.org/officeDocument/2006/relationships/hyperlink" Target="https://www.screener.in/company/CRISIL/consolidated/" TargetMode="External"/><Relationship Id="rId209" Type="http://schemas.openxmlformats.org/officeDocument/2006/relationships/hyperlink" Target="https://www.screener.in/company/AAVAS/" TargetMode="External"/><Relationship Id="rId208" Type="http://schemas.openxmlformats.org/officeDocument/2006/relationships/hyperlink" Target="https://www.screener.in/company/ABFRL/" TargetMode="External"/><Relationship Id="rId207" Type="http://schemas.openxmlformats.org/officeDocument/2006/relationships/hyperlink" Target="https://www.screener.in/company/GSPL/consolidated/" TargetMode="External"/><Relationship Id="rId202" Type="http://schemas.openxmlformats.org/officeDocument/2006/relationships/hyperlink" Target="https://www.screener.in/company/SANOFI/" TargetMode="External"/><Relationship Id="rId201" Type="http://schemas.openxmlformats.org/officeDocument/2006/relationships/hyperlink" Target="https://www.screener.in/company/MINDAIND/consolidated/" TargetMode="External"/><Relationship Id="rId200" Type="http://schemas.openxmlformats.org/officeDocument/2006/relationships/hyperlink" Target="https://www.screener.in/company/APLAPOLLO/consolidated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I1" s="1" t="s">
        <v>0</v>
      </c>
      <c r="J1" s="1" t="s">
        <v>1</v>
      </c>
    </row>
    <row r="2">
      <c r="B2" s="1" t="s">
        <v>2</v>
      </c>
      <c r="C2" s="2">
        <f>TODAY()</f>
        <v>44462</v>
      </c>
      <c r="E2" s="3" t="s">
        <v>3</v>
      </c>
      <c r="F2" s="3" t="s">
        <v>4</v>
      </c>
      <c r="G2" s="4"/>
      <c r="H2" s="5" t="s">
        <v>5</v>
      </c>
      <c r="I2" s="1" t="s">
        <v>6</v>
      </c>
    </row>
    <row r="3">
      <c r="B3" s="1" t="s">
        <v>7</v>
      </c>
      <c r="C3" s="6">
        <f>$C$2-1</f>
        <v>44461</v>
      </c>
      <c r="E3" s="7"/>
      <c r="F3" s="8"/>
      <c r="G3" s="9"/>
      <c r="H3" s="9"/>
      <c r="I3" s="10"/>
    </row>
    <row r="4">
      <c r="B4" s="1" t="s">
        <v>6</v>
      </c>
      <c r="C4" s="6">
        <f>$C$2-7</f>
        <v>44455</v>
      </c>
      <c r="E4" s="7">
        <v>1.0</v>
      </c>
      <c r="F4" s="8" t="s">
        <v>8</v>
      </c>
      <c r="G4" s="9" t="s">
        <v>9</v>
      </c>
      <c r="H4" s="9">
        <f>IFERROR(__xludf.DUMMYFUNCTION("GOOGLEFINANCE(""NSE:""&amp;G4)"),2488.1)</f>
        <v>2488.1</v>
      </c>
      <c r="I4" s="10">
        <f>IFERROR(__xludf.DUMMYFUNCTION("INDEX(GOOGLEFINANCE(""NSE:""&amp;G4,$I$1,C4),2,2)"),2390.55)</f>
        <v>2390.55</v>
      </c>
    </row>
    <row r="5">
      <c r="B5" s="1" t="s">
        <v>10</v>
      </c>
      <c r="C5" s="6">
        <f>$C$2-14</f>
        <v>44448</v>
      </c>
      <c r="E5" s="7">
        <v>1.0</v>
      </c>
      <c r="F5" s="8" t="s">
        <v>8</v>
      </c>
      <c r="G5" s="9" t="s">
        <v>9</v>
      </c>
      <c r="H5" s="9">
        <f>IFERROR(__xludf.DUMMYFUNCTION("GOOGLEFINANCE(""NSE:""&amp;G5)"),2488.1)</f>
        <v>2488.1</v>
      </c>
      <c r="I5" s="10">
        <f>IFERROR(__xludf.DUMMYFUNCTION("GOOGLEFINANCE(""NSE:""&amp;G5,""closeyest"")"),2430.5)</f>
        <v>2430.5</v>
      </c>
    </row>
    <row r="6">
      <c r="B6" s="1" t="s">
        <v>11</v>
      </c>
      <c r="C6" s="6">
        <f>$C$2-28</f>
        <v>44434</v>
      </c>
    </row>
  </sheetData>
  <hyperlinks>
    <hyperlink r:id="rId1" ref="E2"/>
    <hyperlink r:id="rId2" ref="F2"/>
    <hyperlink r:id="rId3" ref="F4"/>
    <hyperlink r:id="rId4" ref="F5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38.57"/>
  </cols>
  <sheetData>
    <row r="1">
      <c r="A1" s="1"/>
      <c r="B1" s="1" t="s">
        <v>1622</v>
      </c>
    </row>
    <row r="2">
      <c r="A2" s="53" t="s">
        <v>1623</v>
      </c>
      <c r="B2" s="1" t="s">
        <v>1624</v>
      </c>
      <c r="C2" s="54" t="s">
        <v>1625</v>
      </c>
    </row>
    <row r="3">
      <c r="A3" s="55" t="s">
        <v>1626</v>
      </c>
      <c r="B3" s="1" t="s">
        <v>1627</v>
      </c>
      <c r="C3" s="54" t="s">
        <v>1628</v>
      </c>
    </row>
    <row r="4" ht="32.25" customHeight="1">
      <c r="A4" s="56" t="s">
        <v>1629</v>
      </c>
      <c r="B4" s="1" t="s">
        <v>1630</v>
      </c>
      <c r="C4" s="54" t="s">
        <v>1631</v>
      </c>
    </row>
    <row r="5">
      <c r="A5" s="57" t="s">
        <v>1632</v>
      </c>
      <c r="B5" s="1" t="s">
        <v>1633</v>
      </c>
      <c r="C5" s="58" t="s">
        <v>1634</v>
      </c>
    </row>
    <row r="6">
      <c r="A6" s="59" t="s">
        <v>1635</v>
      </c>
      <c r="B6" s="1" t="s">
        <v>1636</v>
      </c>
      <c r="C6" s="54" t="s">
        <v>1637</v>
      </c>
    </row>
    <row r="7">
      <c r="C7" s="54" t="s">
        <v>1635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8" width="9.57"/>
  </cols>
  <sheetData>
    <row r="1">
      <c r="A1" s="3" t="s">
        <v>3</v>
      </c>
      <c r="B1" s="3" t="s">
        <v>4</v>
      </c>
      <c r="C1" s="11"/>
      <c r="D1" s="5" t="s">
        <v>5</v>
      </c>
      <c r="E1" s="12" t="s">
        <v>12</v>
      </c>
      <c r="F1" s="12" t="s">
        <v>13</v>
      </c>
      <c r="G1" s="12" t="s">
        <v>14</v>
      </c>
      <c r="H1" s="12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4" t="s">
        <v>20</v>
      </c>
      <c r="N1" s="14" t="s">
        <v>21</v>
      </c>
      <c r="O1" s="14" t="s">
        <v>22</v>
      </c>
      <c r="P1" s="14" t="s">
        <v>23</v>
      </c>
      <c r="Q1" s="15"/>
      <c r="R1" s="15"/>
      <c r="S1" s="15"/>
      <c r="T1" s="15"/>
      <c r="U1" s="15"/>
      <c r="V1" s="15"/>
      <c r="W1" s="15"/>
    </row>
    <row r="2">
      <c r="A2" s="7">
        <v>1.0</v>
      </c>
      <c r="B2" s="8" t="s">
        <v>8</v>
      </c>
      <c r="C2" s="9" t="s">
        <v>9</v>
      </c>
      <c r="D2" s="9">
        <f>IFERROR(__xludf.DUMMYFUNCTION("GOOGLEFINANCE(""NSE:""&amp;C2)"),2488.1)</f>
        <v>2488.1</v>
      </c>
      <c r="E2" s="10" t="str">
        <f>IFERROR(__xludf.DUMMYFUNCTION("INDEX(GOOGLEFINANCE(""NSE:""&amp;B2,dates!$I$1,dates!$C$3),2,2)"),"#N/A")</f>
        <v>#N/A</v>
      </c>
      <c r="F2" s="10">
        <f>IFERROR(__xludf.DUMMYFUNCTION("INDEX(GOOGLEFINANCE(""NSE:""&amp;C2,dates!$I$1,dates!$C$4),2,2)"),2390.55)</f>
        <v>2390.55</v>
      </c>
      <c r="G2" s="10">
        <f>IFERROR(__xludf.DUMMYFUNCTION("INDEX(GOOGLEFINANCE(""NSE:""&amp;C2,dates!$I$1,dates!$C$5),2,2)"),2371.55)</f>
        <v>2371.55</v>
      </c>
      <c r="H2" s="10">
        <f>IFERROR(__xludf.DUMMYFUNCTION("INDEX(GOOGLEFINANCE(""NSE:""&amp;C2,dates!$I$1,dates!$C$6),2,2)"),2227.4)</f>
        <v>2227.4</v>
      </c>
      <c r="I2" s="16">
        <f t="shared" ref="I2:I249" si="1">(D2-F2)/F2</f>
        <v>0.04080650896</v>
      </c>
      <c r="J2" s="16">
        <f t="shared" ref="J2:J249" si="2">(D2-G2)/G2</f>
        <v>0.0491450739</v>
      </c>
      <c r="K2" s="16">
        <f t="shared" ref="K2:K249" si="3">(D2-H2)/H2</f>
        <v>0.1170422915</v>
      </c>
      <c r="L2" s="16">
        <f t="shared" ref="L2:L249" si="4">I2-J2</f>
        <v>-0.008338564934</v>
      </c>
      <c r="M2" s="17" t="str">
        <f t="shared" ref="M2:M249" si="5">RANK(I2,$I$2:$I$249)</f>
        <v>#N/A</v>
      </c>
      <c r="N2" s="17" t="str">
        <f t="shared" ref="N2:N249" si="6">RANK(J2,$J$2:$J$249)</f>
        <v>#N/A</v>
      </c>
      <c r="O2" s="17">
        <f t="shared" ref="O2:O249" si="7">RANK(K2,$K$2:$K$249)</f>
        <v>61</v>
      </c>
      <c r="P2" s="17" t="str">
        <f t="shared" ref="P2:P249" si="8">RANK(L2,$L$2:$L$249)</f>
        <v>#N/A</v>
      </c>
    </row>
    <row r="3">
      <c r="A3" s="7">
        <v>2.0</v>
      </c>
      <c r="B3" s="18" t="s">
        <v>24</v>
      </c>
      <c r="C3" s="9" t="s">
        <v>24</v>
      </c>
      <c r="D3" s="9">
        <f>IFERROR(__xludf.DUMMYFUNCTION("GOOGLEFINANCE(""NSE:""&amp;C3)"),3872.0)</f>
        <v>3872</v>
      </c>
      <c r="E3" s="10" t="str">
        <f>IFERROR(__xludf.DUMMYFUNCTION("INDEX(GOOGLEFINANCE(""NSE:""&amp;B3,dates!$I$1,dates!$C$3),2,2)"),"#N/A")</f>
        <v>#N/A</v>
      </c>
      <c r="F3" s="10">
        <f>IFERROR(__xludf.DUMMYFUNCTION("INDEX(GOOGLEFINANCE(""NSE:""&amp;C3,dates!$I$1,dates!$C$4),2,2)"),3827.85)</f>
        <v>3827.85</v>
      </c>
      <c r="G3" s="10">
        <f>IFERROR(__xludf.DUMMYFUNCTION("INDEX(GOOGLEFINANCE(""NSE:""&amp;C3,dates!$I$1,dates!$C$5),2,2)"),3845.35)</f>
        <v>3845.35</v>
      </c>
      <c r="H3" s="10">
        <f>IFERROR(__xludf.DUMMYFUNCTION("INDEX(GOOGLEFINANCE(""NSE:""&amp;C3,dates!$I$1,dates!$C$6),2,2)"),3720.15)</f>
        <v>3720.15</v>
      </c>
      <c r="I3" s="16">
        <f t="shared" si="1"/>
        <v>0.01153388978</v>
      </c>
      <c r="J3" s="16">
        <f t="shared" si="2"/>
        <v>0.006930448464</v>
      </c>
      <c r="K3" s="16">
        <f t="shared" si="3"/>
        <v>0.04081824658</v>
      </c>
      <c r="L3" s="16">
        <f t="shared" si="4"/>
        <v>0.004603441318</v>
      </c>
      <c r="M3" s="17" t="str">
        <f t="shared" si="5"/>
        <v>#N/A</v>
      </c>
      <c r="N3" s="17" t="str">
        <f t="shared" si="6"/>
        <v>#N/A</v>
      </c>
      <c r="O3" s="17">
        <f t="shared" si="7"/>
        <v>150</v>
      </c>
      <c r="P3" s="17" t="str">
        <f t="shared" si="8"/>
        <v>#N/A</v>
      </c>
    </row>
    <row r="4">
      <c r="A4" s="7">
        <v>3.0</v>
      </c>
      <c r="B4" s="18" t="s">
        <v>25</v>
      </c>
      <c r="C4" s="9" t="s">
        <v>26</v>
      </c>
      <c r="D4" s="9">
        <f>IFERROR(__xludf.DUMMYFUNCTION("GOOGLEFINANCE(""NSE:""&amp;C4)"),1571.6)</f>
        <v>1571.6</v>
      </c>
      <c r="E4" s="10" t="str">
        <f>IFERROR(__xludf.DUMMYFUNCTION("INDEX(GOOGLEFINANCE(""NSE:""&amp;B4,dates!$I$1,dates!$C$3),2,2)"),"#N/A")</f>
        <v>#N/A</v>
      </c>
      <c r="F4" s="10">
        <f>IFERROR(__xludf.DUMMYFUNCTION("INDEX(GOOGLEFINANCE(""NSE:""&amp;C4,dates!$I$1,dates!$C$4),2,2)"),1582.15)</f>
        <v>1582.15</v>
      </c>
      <c r="G4" s="10">
        <f>IFERROR(__xludf.DUMMYFUNCTION("INDEX(GOOGLEFINANCE(""NSE:""&amp;C4,dates!$I$1,dates!$C$5),2,2)"),1555.55)</f>
        <v>1555.55</v>
      </c>
      <c r="H4" s="10">
        <f>IFERROR(__xludf.DUMMYFUNCTION("INDEX(GOOGLEFINANCE(""NSE:""&amp;C4,dates!$I$1,dates!$C$6),2,2)"),1548.45)</f>
        <v>1548.45</v>
      </c>
      <c r="I4" s="16">
        <f t="shared" si="1"/>
        <v>-0.006668141453</v>
      </c>
      <c r="J4" s="16">
        <f t="shared" si="2"/>
        <v>0.01031789399</v>
      </c>
      <c r="K4" s="16">
        <f t="shared" si="3"/>
        <v>0.01495043431</v>
      </c>
      <c r="L4" s="16">
        <f t="shared" si="4"/>
        <v>-0.01698603545</v>
      </c>
      <c r="M4" s="17" t="str">
        <f t="shared" si="5"/>
        <v>#N/A</v>
      </c>
      <c r="N4" s="17" t="str">
        <f t="shared" si="6"/>
        <v>#N/A</v>
      </c>
      <c r="O4" s="17">
        <f t="shared" si="7"/>
        <v>191</v>
      </c>
      <c r="P4" s="17" t="str">
        <f t="shared" si="8"/>
        <v>#N/A</v>
      </c>
    </row>
    <row r="5">
      <c r="A5" s="7">
        <v>4.0</v>
      </c>
      <c r="B5" s="18" t="s">
        <v>27</v>
      </c>
      <c r="C5" s="9" t="s">
        <v>28</v>
      </c>
      <c r="D5" s="9">
        <f>IFERROR(__xludf.DUMMYFUNCTION("GOOGLEFINANCE(""NSE:""&amp;C5)"),1742.1)</f>
        <v>1742.1</v>
      </c>
      <c r="E5" s="10" t="str">
        <f>IFERROR(__xludf.DUMMYFUNCTION("INDEX(GOOGLEFINANCE(""NSE:""&amp;B5,dates!$I$1,dates!$C$3),2,2)"),"#N/A")</f>
        <v>#N/A</v>
      </c>
      <c r="F5" s="10">
        <f>IFERROR(__xludf.DUMMYFUNCTION("INDEX(GOOGLEFINANCE(""NSE:""&amp;C5,dates!$I$1,dates!$C$4),2,2)"),1691.3)</f>
        <v>1691.3</v>
      </c>
      <c r="G5" s="10">
        <f>IFERROR(__xludf.DUMMYFUNCTION("INDEX(GOOGLEFINANCE(""NSE:""&amp;C5,dates!$I$1,dates!$C$5),2,2)"),1691.9)</f>
        <v>1691.9</v>
      </c>
      <c r="H5" s="10">
        <f>IFERROR(__xludf.DUMMYFUNCTION("INDEX(GOOGLEFINANCE(""NSE:""&amp;C5,dates!$I$1,dates!$C$6),2,2)"),1708.8)</f>
        <v>1708.8</v>
      </c>
      <c r="I5" s="16">
        <f t="shared" si="1"/>
        <v>0.03003606693</v>
      </c>
      <c r="J5" s="16">
        <f t="shared" si="2"/>
        <v>0.02967078433</v>
      </c>
      <c r="K5" s="16">
        <f t="shared" si="3"/>
        <v>0.01948735955</v>
      </c>
      <c r="L5" s="16">
        <f t="shared" si="4"/>
        <v>0.0003652826054</v>
      </c>
      <c r="M5" s="17" t="str">
        <f t="shared" si="5"/>
        <v>#N/A</v>
      </c>
      <c r="N5" s="17" t="str">
        <f t="shared" si="6"/>
        <v>#N/A</v>
      </c>
      <c r="O5" s="17">
        <f t="shared" si="7"/>
        <v>184</v>
      </c>
      <c r="P5" s="17" t="str">
        <f t="shared" si="8"/>
        <v>#N/A</v>
      </c>
    </row>
    <row r="6">
      <c r="A6" s="7">
        <v>5.0</v>
      </c>
      <c r="B6" s="18" t="s">
        <v>29</v>
      </c>
      <c r="C6" s="9" t="s">
        <v>30</v>
      </c>
      <c r="D6" s="9">
        <f>IFERROR(__xludf.DUMMYFUNCTION("GOOGLEFINANCE(""NSE:""&amp;C6)"),2782.0)</f>
        <v>2782</v>
      </c>
      <c r="E6" s="10" t="str">
        <f>IFERROR(__xludf.DUMMYFUNCTION("INDEX(GOOGLEFINANCE(""NSE:""&amp;B6,dates!$I$1,dates!$C$3),2,2)"),"#N/A")</f>
        <v>#N/A</v>
      </c>
      <c r="F6" s="10">
        <f>IFERROR(__xludf.DUMMYFUNCTION("INDEX(GOOGLEFINANCE(""NSE:""&amp;C6,dates!$I$1,dates!$C$4),2,2)"),2722.25)</f>
        <v>2722.25</v>
      </c>
      <c r="G6" s="10">
        <f>IFERROR(__xludf.DUMMYFUNCTION("INDEX(GOOGLEFINANCE(""NSE:""&amp;C6,dates!$I$1,dates!$C$5),2,2)"),2786.35)</f>
        <v>2786.35</v>
      </c>
      <c r="H6" s="10">
        <f>IFERROR(__xludf.DUMMYFUNCTION("INDEX(GOOGLEFINANCE(""NSE:""&amp;C6,dates!$I$1,dates!$C$6),2,2)"),2677.95)</f>
        <v>2677.95</v>
      </c>
      <c r="I6" s="16">
        <f t="shared" si="1"/>
        <v>0.02194875562</v>
      </c>
      <c r="J6" s="16">
        <f t="shared" si="2"/>
        <v>-0.001561182192</v>
      </c>
      <c r="K6" s="16">
        <f t="shared" si="3"/>
        <v>0.03885434754</v>
      </c>
      <c r="L6" s="16">
        <f t="shared" si="4"/>
        <v>0.02350993782</v>
      </c>
      <c r="M6" s="17" t="str">
        <f t="shared" si="5"/>
        <v>#N/A</v>
      </c>
      <c r="N6" s="17" t="str">
        <f t="shared" si="6"/>
        <v>#N/A</v>
      </c>
      <c r="O6" s="17">
        <f t="shared" si="7"/>
        <v>152</v>
      </c>
      <c r="P6" s="17" t="str">
        <f t="shared" si="8"/>
        <v>#N/A</v>
      </c>
    </row>
    <row r="7">
      <c r="A7" s="7">
        <v>6.0</v>
      </c>
      <c r="B7" s="18" t="s">
        <v>31</v>
      </c>
      <c r="C7" s="9" t="s">
        <v>32</v>
      </c>
      <c r="D7" s="9">
        <f>IFERROR(__xludf.DUMMYFUNCTION("GOOGLEFINANCE(""NSE:""&amp;C7)"),2825.15)</f>
        <v>2825.15</v>
      </c>
      <c r="E7" s="10" t="str">
        <f>IFERROR(__xludf.DUMMYFUNCTION("INDEX(GOOGLEFINANCE(""NSE:""&amp;B7,dates!$I$1,dates!$C$3),2,2)"),"#N/A")</f>
        <v>#N/A</v>
      </c>
      <c r="F7" s="10">
        <f>IFERROR(__xludf.DUMMYFUNCTION("INDEX(GOOGLEFINANCE(""NSE:""&amp;C7,dates!$I$1,dates!$C$4),2,2)"),2825.65)</f>
        <v>2825.65</v>
      </c>
      <c r="G7" s="10">
        <f>IFERROR(__xludf.DUMMYFUNCTION("INDEX(GOOGLEFINANCE(""NSE:""&amp;C7,dates!$I$1,dates!$C$5),2,2)"),2849.8)</f>
        <v>2849.8</v>
      </c>
      <c r="H7" s="10">
        <f>IFERROR(__xludf.DUMMYFUNCTION("INDEX(GOOGLEFINANCE(""NSE:""&amp;C7,dates!$I$1,dates!$C$6),2,2)"),2718.2)</f>
        <v>2718.2</v>
      </c>
      <c r="I7" s="16">
        <f t="shared" si="1"/>
        <v>-0.0001769504362</v>
      </c>
      <c r="J7" s="16">
        <f t="shared" si="2"/>
        <v>-0.008649729806</v>
      </c>
      <c r="K7" s="16">
        <f t="shared" si="3"/>
        <v>0.03934589066</v>
      </c>
      <c r="L7" s="16">
        <f t="shared" si="4"/>
        <v>0.008472779369</v>
      </c>
      <c r="M7" s="17" t="str">
        <f t="shared" si="5"/>
        <v>#N/A</v>
      </c>
      <c r="N7" s="17" t="str">
        <f t="shared" si="6"/>
        <v>#N/A</v>
      </c>
      <c r="O7" s="17">
        <f t="shared" si="7"/>
        <v>151</v>
      </c>
      <c r="P7" s="17" t="str">
        <f t="shared" si="8"/>
        <v>#N/A</v>
      </c>
    </row>
    <row r="8">
      <c r="A8" s="7">
        <v>7.0</v>
      </c>
      <c r="B8" s="18" t="s">
        <v>33</v>
      </c>
      <c r="C8" s="9" t="s">
        <v>34</v>
      </c>
      <c r="D8" s="9">
        <f>IFERROR(__xludf.DUMMYFUNCTION("GOOGLEFINANCE(""NSE:""&amp;C8)"),717.0)</f>
        <v>717</v>
      </c>
      <c r="E8" s="10" t="str">
        <f>IFERROR(__xludf.DUMMYFUNCTION("INDEX(GOOGLEFINANCE(""NSE:""&amp;B8,dates!$I$1,dates!$C$3),2,2)"),"#N/A")</f>
        <v>#N/A</v>
      </c>
      <c r="F8" s="10">
        <f>IFERROR(__xludf.DUMMYFUNCTION("INDEX(GOOGLEFINANCE(""NSE:""&amp;C8,dates!$I$1,dates!$C$4),2,2)"),720.15)</f>
        <v>720.15</v>
      </c>
      <c r="G8" s="10">
        <f>IFERROR(__xludf.DUMMYFUNCTION("INDEX(GOOGLEFINANCE(""NSE:""&amp;C8,dates!$I$1,dates!$C$5),2,2)"),707.4)</f>
        <v>707.4</v>
      </c>
      <c r="H8" s="10">
        <f>IFERROR(__xludf.DUMMYFUNCTION("INDEX(GOOGLEFINANCE(""NSE:""&amp;C8,dates!$I$1,dates!$C$6),2,2)"),699.75)</f>
        <v>699.75</v>
      </c>
      <c r="I8" s="16">
        <f t="shared" si="1"/>
        <v>-0.004374088732</v>
      </c>
      <c r="J8" s="16">
        <f t="shared" si="2"/>
        <v>0.01357082273</v>
      </c>
      <c r="K8" s="16">
        <f t="shared" si="3"/>
        <v>0.02465166131</v>
      </c>
      <c r="L8" s="16">
        <f t="shared" si="4"/>
        <v>-0.01794491146</v>
      </c>
      <c r="M8" s="17" t="str">
        <f t="shared" si="5"/>
        <v>#N/A</v>
      </c>
      <c r="N8" s="17" t="str">
        <f t="shared" si="6"/>
        <v>#N/A</v>
      </c>
      <c r="O8" s="17">
        <f t="shared" si="7"/>
        <v>171</v>
      </c>
      <c r="P8" s="17" t="str">
        <f t="shared" si="8"/>
        <v>#N/A</v>
      </c>
    </row>
    <row r="9">
      <c r="A9" s="7">
        <v>8.0</v>
      </c>
      <c r="B9" s="18" t="s">
        <v>35</v>
      </c>
      <c r="C9" s="9" t="s">
        <v>36</v>
      </c>
      <c r="D9" s="9">
        <f>IFERROR(__xludf.DUMMYFUNCTION("GOOGLEFINANCE(""NSE:""&amp;C9)"),7890.05)</f>
        <v>7890.05</v>
      </c>
      <c r="E9" s="10" t="str">
        <f>IFERROR(__xludf.DUMMYFUNCTION("INDEX(GOOGLEFINANCE(""NSE:""&amp;B9,dates!$I$1,dates!$C$3),2,2)"),"#N/A")</f>
        <v>#N/A</v>
      </c>
      <c r="F9" s="10">
        <f>IFERROR(__xludf.DUMMYFUNCTION("INDEX(GOOGLEFINANCE(""NSE:""&amp;C9,dates!$I$1,dates!$C$4),2,2)"),7428.8)</f>
        <v>7428.8</v>
      </c>
      <c r="G9" s="10">
        <f>IFERROR(__xludf.DUMMYFUNCTION("INDEX(GOOGLEFINANCE(""NSE:""&amp;C9,dates!$I$1,dates!$C$5),2,2)"),7445.55)</f>
        <v>7445.55</v>
      </c>
      <c r="H9" s="10">
        <f>IFERROR(__xludf.DUMMYFUNCTION("INDEX(GOOGLEFINANCE(""NSE:""&amp;C9,dates!$I$1,dates!$C$6),2,2)"),6966.6)</f>
        <v>6966.6</v>
      </c>
      <c r="I9" s="16">
        <f t="shared" si="1"/>
        <v>0.06208943571</v>
      </c>
      <c r="J9" s="16">
        <f t="shared" si="2"/>
        <v>0.05970008932</v>
      </c>
      <c r="K9" s="16">
        <f t="shared" si="3"/>
        <v>0.1325539</v>
      </c>
      <c r="L9" s="16">
        <f t="shared" si="4"/>
        <v>0.002389346395</v>
      </c>
      <c r="M9" s="17" t="str">
        <f t="shared" si="5"/>
        <v>#N/A</v>
      </c>
      <c r="N9" s="17" t="str">
        <f t="shared" si="6"/>
        <v>#N/A</v>
      </c>
      <c r="O9" s="17">
        <f t="shared" si="7"/>
        <v>54</v>
      </c>
      <c r="P9" s="17" t="str">
        <f t="shared" si="8"/>
        <v>#N/A</v>
      </c>
    </row>
    <row r="10">
      <c r="A10" s="7">
        <v>9.0</v>
      </c>
      <c r="B10" s="18" t="s">
        <v>37</v>
      </c>
      <c r="C10" s="9" t="s">
        <v>38</v>
      </c>
      <c r="D10" s="9">
        <f>IFERROR(__xludf.DUMMYFUNCTION("GOOGLEFINANCE(""NSE:""&amp;C10)"),450.0)</f>
        <v>450</v>
      </c>
      <c r="E10" s="10" t="str">
        <f>IFERROR(__xludf.DUMMYFUNCTION("INDEX(GOOGLEFINANCE(""NSE:""&amp;B10,dates!$I$1,dates!$C$3),2,2)"),"#N/A")</f>
        <v>#N/A</v>
      </c>
      <c r="F10" s="10">
        <f>IFERROR(__xludf.DUMMYFUNCTION("INDEX(GOOGLEFINANCE(""NSE:""&amp;C10,dates!$I$1,dates!$C$4),2,2)"),454.1)</f>
        <v>454.1</v>
      </c>
      <c r="G10" s="10">
        <f>IFERROR(__xludf.DUMMYFUNCTION("INDEX(GOOGLEFINANCE(""NSE:""&amp;C10,dates!$I$1,dates!$C$5),2,2)"),432.85)</f>
        <v>432.85</v>
      </c>
      <c r="H10" s="10">
        <f>IFERROR(__xludf.DUMMYFUNCTION("INDEX(GOOGLEFINANCE(""NSE:""&amp;C10,dates!$I$1,dates!$C$6),2,2)"),412.45)</f>
        <v>412.45</v>
      </c>
      <c r="I10" s="16">
        <f t="shared" si="1"/>
        <v>-0.009028848271</v>
      </c>
      <c r="J10" s="16">
        <f t="shared" si="2"/>
        <v>0.03962111586</v>
      </c>
      <c r="K10" s="16">
        <f t="shared" si="3"/>
        <v>0.09104133834</v>
      </c>
      <c r="L10" s="16">
        <f t="shared" si="4"/>
        <v>-0.04864996413</v>
      </c>
      <c r="M10" s="17" t="str">
        <f t="shared" si="5"/>
        <v>#N/A</v>
      </c>
      <c r="N10" s="17" t="str">
        <f t="shared" si="6"/>
        <v>#N/A</v>
      </c>
      <c r="O10" s="17">
        <f t="shared" si="7"/>
        <v>82</v>
      </c>
      <c r="P10" s="17" t="str">
        <f t="shared" si="8"/>
        <v>#N/A</v>
      </c>
    </row>
    <row r="11">
      <c r="A11" s="7">
        <v>10.0</v>
      </c>
      <c r="B11" s="18" t="s">
        <v>39</v>
      </c>
      <c r="C11" s="9" t="s">
        <v>40</v>
      </c>
      <c r="D11" s="9">
        <f>IFERROR(__xludf.DUMMYFUNCTION("GOOGLEFINANCE(""NSE:""&amp;C11)"),674.0)</f>
        <v>674</v>
      </c>
      <c r="E11" s="10" t="str">
        <f>IFERROR(__xludf.DUMMYFUNCTION("INDEX(GOOGLEFINANCE(""NSE:""&amp;B11,dates!$I$1,dates!$C$3),2,2)"),"#N/A")</f>
        <v>#N/A</v>
      </c>
      <c r="F11" s="10">
        <f>IFERROR(__xludf.DUMMYFUNCTION("INDEX(GOOGLEFINANCE(""NSE:""&amp;C11,dates!$I$1,dates!$C$4),2,2)"),665.25)</f>
        <v>665.25</v>
      </c>
      <c r="G11" s="10">
        <f>IFERROR(__xludf.DUMMYFUNCTION("INDEX(GOOGLEFINANCE(""NSE:""&amp;C11,dates!$I$1,dates!$C$5),2,2)"),670.75)</f>
        <v>670.75</v>
      </c>
      <c r="H11" s="10">
        <f>IFERROR(__xludf.DUMMYFUNCTION("INDEX(GOOGLEFINANCE(""NSE:""&amp;C11,dates!$I$1,dates!$C$6),2,2)"),634.95)</f>
        <v>634.95</v>
      </c>
      <c r="I11" s="16">
        <f t="shared" si="1"/>
        <v>0.01315295002</v>
      </c>
      <c r="J11" s="16">
        <f t="shared" si="2"/>
        <v>0.0048453224</v>
      </c>
      <c r="K11" s="16">
        <f t="shared" si="3"/>
        <v>0.06150090558</v>
      </c>
      <c r="L11" s="16">
        <f t="shared" si="4"/>
        <v>0.008307627618</v>
      </c>
      <c r="M11" s="17" t="str">
        <f t="shared" si="5"/>
        <v>#N/A</v>
      </c>
      <c r="N11" s="17" t="str">
        <f t="shared" si="6"/>
        <v>#N/A</v>
      </c>
      <c r="O11" s="17">
        <f t="shared" si="7"/>
        <v>120</v>
      </c>
      <c r="P11" s="17" t="str">
        <f t="shared" si="8"/>
        <v>#N/A</v>
      </c>
    </row>
    <row r="12">
      <c r="A12" s="7">
        <v>11.0</v>
      </c>
      <c r="B12" s="18" t="s">
        <v>41</v>
      </c>
      <c r="C12" s="9" t="s">
        <v>42</v>
      </c>
      <c r="D12" s="9">
        <f>IFERROR(__xludf.DUMMYFUNCTION("GOOGLEFINANCE(""NSE:""&amp;C12)"),2024.05)</f>
        <v>2024.05</v>
      </c>
      <c r="E12" s="10" t="str">
        <f>IFERROR(__xludf.DUMMYFUNCTION("INDEX(GOOGLEFINANCE(""NSE:""&amp;B12,dates!$I$1,dates!$C$3),2,2)"),"#N/A")</f>
        <v>#N/A</v>
      </c>
      <c r="F12" s="10">
        <f>IFERROR(__xludf.DUMMYFUNCTION("INDEX(GOOGLEFINANCE(""NSE:""&amp;C12,dates!$I$1,dates!$C$4),2,2)"),2007.95)</f>
        <v>2007.95</v>
      </c>
      <c r="G12" s="10">
        <f>IFERROR(__xludf.DUMMYFUNCTION("INDEX(GOOGLEFINANCE(""NSE:""&amp;C12,dates!$I$1,dates!$C$5),2,2)"),1840.05)</f>
        <v>1840.05</v>
      </c>
      <c r="H12" s="10">
        <f>IFERROR(__xludf.DUMMYFUNCTION("INDEX(GOOGLEFINANCE(""NSE:""&amp;C12,dates!$I$1,dates!$C$6),2,2)"),1713.55)</f>
        <v>1713.55</v>
      </c>
      <c r="I12" s="16">
        <f t="shared" si="1"/>
        <v>0.008018127941</v>
      </c>
      <c r="J12" s="16">
        <f t="shared" si="2"/>
        <v>0.09999728268</v>
      </c>
      <c r="K12" s="16">
        <f t="shared" si="3"/>
        <v>0.1812027662</v>
      </c>
      <c r="L12" s="16">
        <f t="shared" si="4"/>
        <v>-0.09197915474</v>
      </c>
      <c r="M12" s="17" t="str">
        <f t="shared" si="5"/>
        <v>#N/A</v>
      </c>
      <c r="N12" s="17" t="str">
        <f t="shared" si="6"/>
        <v>#N/A</v>
      </c>
      <c r="O12" s="17">
        <f t="shared" si="7"/>
        <v>29</v>
      </c>
      <c r="P12" s="17" t="str">
        <f t="shared" si="8"/>
        <v>#N/A</v>
      </c>
    </row>
    <row r="13">
      <c r="A13" s="7">
        <v>12.0</v>
      </c>
      <c r="B13" s="18" t="s">
        <v>43</v>
      </c>
      <c r="C13" s="9" t="s">
        <v>44</v>
      </c>
      <c r="D13" s="9">
        <f>IFERROR(__xludf.DUMMYFUNCTION("GOOGLEFINANCE(""NSE:""&amp;C13)"),726.95)</f>
        <v>726.95</v>
      </c>
      <c r="E13" s="10" t="str">
        <f>IFERROR(__xludf.DUMMYFUNCTION("INDEX(GOOGLEFINANCE(""NSE:""&amp;B13,dates!$I$1,dates!$C$3),2,2)"),"#N/A")</f>
        <v>#N/A</v>
      </c>
      <c r="F13" s="10">
        <f>IFERROR(__xludf.DUMMYFUNCTION("INDEX(GOOGLEFINANCE(""NSE:""&amp;C13,dates!$I$1,dates!$C$4),2,2)"),728.15)</f>
        <v>728.15</v>
      </c>
      <c r="G13" s="10">
        <f>IFERROR(__xludf.DUMMYFUNCTION("INDEX(GOOGLEFINANCE(""NSE:""&amp;C13,dates!$I$1,dates!$C$5),2,2)"),693.3)</f>
        <v>693.3</v>
      </c>
      <c r="H13" s="10">
        <f>IFERROR(__xludf.DUMMYFUNCTION("INDEX(GOOGLEFINANCE(""NSE:""&amp;C13,dates!$I$1,dates!$C$6),2,2)"),595.15)</f>
        <v>595.15</v>
      </c>
      <c r="I13" s="16">
        <f t="shared" si="1"/>
        <v>-0.001648012085</v>
      </c>
      <c r="J13" s="16">
        <f t="shared" si="2"/>
        <v>0.04853598731</v>
      </c>
      <c r="K13" s="16">
        <f t="shared" si="3"/>
        <v>0.2214567756</v>
      </c>
      <c r="L13" s="16">
        <f t="shared" si="4"/>
        <v>-0.05018399939</v>
      </c>
      <c r="M13" s="17" t="str">
        <f t="shared" si="5"/>
        <v>#N/A</v>
      </c>
      <c r="N13" s="17" t="str">
        <f t="shared" si="6"/>
        <v>#N/A</v>
      </c>
      <c r="O13" s="17">
        <f t="shared" si="7"/>
        <v>19</v>
      </c>
      <c r="P13" s="17" t="str">
        <f t="shared" si="8"/>
        <v>#N/A</v>
      </c>
    </row>
    <row r="14">
      <c r="A14" s="7">
        <v>13.0</v>
      </c>
      <c r="B14" s="18" t="s">
        <v>45</v>
      </c>
      <c r="C14" s="9" t="s">
        <v>46</v>
      </c>
      <c r="D14" s="9">
        <f>IFERROR(__xludf.DUMMYFUNCTION("GOOGLEFINANCE(""NSE:""&amp;C14)"),1327.0)</f>
        <v>1327</v>
      </c>
      <c r="E14" s="10" t="str">
        <f>IFERROR(__xludf.DUMMYFUNCTION("INDEX(GOOGLEFINANCE(""NSE:""&amp;B14,dates!$I$1,dates!$C$3),2,2)"),"#N/A")</f>
        <v>#N/A</v>
      </c>
      <c r="F14" s="10">
        <f>IFERROR(__xludf.DUMMYFUNCTION("INDEX(GOOGLEFINANCE(""NSE:""&amp;C14,dates!$I$1,dates!$C$4),2,2)"),1263.3)</f>
        <v>1263.3</v>
      </c>
      <c r="G14" s="10">
        <f>IFERROR(__xludf.DUMMYFUNCTION("INDEX(GOOGLEFINANCE(""NSE:""&amp;C14,dates!$I$1,dates!$C$5),2,2)"),1208.4)</f>
        <v>1208.4</v>
      </c>
      <c r="H14" s="10">
        <f>IFERROR(__xludf.DUMMYFUNCTION("INDEX(GOOGLEFINANCE(""NSE:""&amp;C14,dates!$I$1,dates!$C$6),2,2)"),1162.95)</f>
        <v>1162.95</v>
      </c>
      <c r="I14" s="16">
        <f t="shared" si="1"/>
        <v>0.05042349402</v>
      </c>
      <c r="J14" s="16">
        <f t="shared" si="2"/>
        <v>0.09814630917</v>
      </c>
      <c r="K14" s="16">
        <f t="shared" si="3"/>
        <v>0.1410636743</v>
      </c>
      <c r="L14" s="16">
        <f t="shared" si="4"/>
        <v>-0.04772281515</v>
      </c>
      <c r="M14" s="17" t="str">
        <f t="shared" si="5"/>
        <v>#N/A</v>
      </c>
      <c r="N14" s="17" t="str">
        <f t="shared" si="6"/>
        <v>#N/A</v>
      </c>
      <c r="O14" s="17">
        <f t="shared" si="7"/>
        <v>50</v>
      </c>
      <c r="P14" s="17" t="str">
        <f t="shared" si="8"/>
        <v>#N/A</v>
      </c>
    </row>
    <row r="15">
      <c r="A15" s="7">
        <v>14.0</v>
      </c>
      <c r="B15" s="18" t="s">
        <v>47</v>
      </c>
      <c r="C15" s="9" t="s">
        <v>48</v>
      </c>
      <c r="D15" s="9">
        <f>IFERROR(__xludf.DUMMYFUNCTION("GOOGLEFINANCE(""NSE:""&amp;C15)"),3326.0)</f>
        <v>3326</v>
      </c>
      <c r="E15" s="10" t="str">
        <f>IFERROR(__xludf.DUMMYFUNCTION("INDEX(GOOGLEFINANCE(""NSE:""&amp;B15,dates!$I$1,dates!$C$3),2,2)"),"#N/A")</f>
        <v>#N/A</v>
      </c>
      <c r="F15" s="10">
        <f>IFERROR(__xludf.DUMMYFUNCTION("INDEX(GOOGLEFINANCE(""NSE:""&amp;C15,dates!$I$1,dates!$C$4),2,2)"),3303.05)</f>
        <v>3303.05</v>
      </c>
      <c r="G15" s="10">
        <f>IFERROR(__xludf.DUMMYFUNCTION("INDEX(GOOGLEFINANCE(""NSE:""&amp;C15,dates!$I$1,dates!$C$5),2,2)"),3367.05)</f>
        <v>3367.05</v>
      </c>
      <c r="H15" s="10">
        <f>IFERROR(__xludf.DUMMYFUNCTION("INDEX(GOOGLEFINANCE(""NSE:""&amp;C15,dates!$I$1,dates!$C$6),2,2)"),3036.8)</f>
        <v>3036.8</v>
      </c>
      <c r="I15" s="16">
        <f t="shared" si="1"/>
        <v>0.006948123704</v>
      </c>
      <c r="J15" s="16">
        <f t="shared" si="2"/>
        <v>-0.01219168115</v>
      </c>
      <c r="K15" s="16">
        <f t="shared" si="3"/>
        <v>0.09523182297</v>
      </c>
      <c r="L15" s="16">
        <f t="shared" si="4"/>
        <v>0.01913980485</v>
      </c>
      <c r="M15" s="17" t="str">
        <f t="shared" si="5"/>
        <v>#N/A</v>
      </c>
      <c r="N15" s="17" t="str">
        <f t="shared" si="6"/>
        <v>#N/A</v>
      </c>
      <c r="O15" s="17">
        <f t="shared" si="7"/>
        <v>78</v>
      </c>
      <c r="P15" s="17" t="str">
        <f t="shared" si="8"/>
        <v>#N/A</v>
      </c>
    </row>
    <row r="16">
      <c r="A16" s="7">
        <v>15.0</v>
      </c>
      <c r="B16" s="18" t="s">
        <v>49</v>
      </c>
      <c r="C16" s="9" t="s">
        <v>50</v>
      </c>
      <c r="D16" s="9">
        <f>IFERROR(__xludf.DUMMYFUNCTION("GOOGLEFINANCE(""NSE:""&amp;C16)"),18430.0)</f>
        <v>18430</v>
      </c>
      <c r="E16" s="10" t="str">
        <f>IFERROR(__xludf.DUMMYFUNCTION("INDEX(GOOGLEFINANCE(""NSE:""&amp;B16,dates!$I$1,dates!$C$3),2,2)"),"#N/A")</f>
        <v>#N/A</v>
      </c>
      <c r="F16" s="10">
        <f>IFERROR(__xludf.DUMMYFUNCTION("INDEX(GOOGLEFINANCE(""NSE:""&amp;C16,dates!$I$1,dates!$C$4),2,2)"),16840.2)</f>
        <v>16840.2</v>
      </c>
      <c r="G16" s="10">
        <f>IFERROR(__xludf.DUMMYFUNCTION("INDEX(GOOGLEFINANCE(""NSE:""&amp;C16,dates!$I$1,dates!$C$5),2,2)"),16938.2)</f>
        <v>16938.2</v>
      </c>
      <c r="H16" s="10">
        <f>IFERROR(__xludf.DUMMYFUNCTION("INDEX(GOOGLEFINANCE(""NSE:""&amp;C16,dates!$I$1,dates!$C$6),2,2)"),16195.6)</f>
        <v>16195.6</v>
      </c>
      <c r="I16" s="16">
        <f t="shared" si="1"/>
        <v>0.09440505457</v>
      </c>
      <c r="J16" s="16">
        <f t="shared" si="2"/>
        <v>0.08807311285</v>
      </c>
      <c r="K16" s="16">
        <f t="shared" si="3"/>
        <v>0.1379633975</v>
      </c>
      <c r="L16" s="16">
        <f t="shared" si="4"/>
        <v>0.006331941726</v>
      </c>
      <c r="M16" s="17" t="str">
        <f t="shared" si="5"/>
        <v>#N/A</v>
      </c>
      <c r="N16" s="17" t="str">
        <f t="shared" si="6"/>
        <v>#N/A</v>
      </c>
      <c r="O16" s="17">
        <f t="shared" si="7"/>
        <v>51</v>
      </c>
      <c r="P16" s="17" t="str">
        <f t="shared" si="8"/>
        <v>#N/A</v>
      </c>
    </row>
    <row r="17">
      <c r="A17" s="7">
        <v>16.0</v>
      </c>
      <c r="B17" s="18" t="s">
        <v>51</v>
      </c>
      <c r="C17" s="9" t="s">
        <v>51</v>
      </c>
      <c r="D17" s="9">
        <f>IFERROR(__xludf.DUMMYFUNCTION("GOOGLEFINANCE(""NSE:""&amp;C17)"),242.35)</f>
        <v>242.35</v>
      </c>
      <c r="E17" s="10" t="str">
        <f>IFERROR(__xludf.DUMMYFUNCTION("INDEX(GOOGLEFINANCE(""NSE:""&amp;B17,dates!$I$1,dates!$C$3),2,2)"),"#N/A")</f>
        <v>#N/A</v>
      </c>
      <c r="F17" s="10">
        <f>IFERROR(__xludf.DUMMYFUNCTION("INDEX(GOOGLEFINANCE(""NSE:""&amp;C17,dates!$I$1,dates!$C$4),2,2)"),231.15)</f>
        <v>231.15</v>
      </c>
      <c r="G17" s="10">
        <f>IFERROR(__xludf.DUMMYFUNCTION("INDEX(GOOGLEFINANCE(""NSE:""&amp;C17,dates!$I$1,dates!$C$5),2,2)"),214.15)</f>
        <v>214.15</v>
      </c>
      <c r="H17" s="10">
        <f>IFERROR(__xludf.DUMMYFUNCTION("INDEX(GOOGLEFINANCE(""NSE:""&amp;C17,dates!$I$1,dates!$C$6),2,2)"),205.9)</f>
        <v>205.9</v>
      </c>
      <c r="I17" s="16">
        <f t="shared" si="1"/>
        <v>0.04845338525</v>
      </c>
      <c r="J17" s="16">
        <f t="shared" si="2"/>
        <v>0.1316833995</v>
      </c>
      <c r="K17" s="16">
        <f t="shared" si="3"/>
        <v>0.1770276833</v>
      </c>
      <c r="L17" s="16">
        <f t="shared" si="4"/>
        <v>-0.08323001424</v>
      </c>
      <c r="M17" s="17" t="str">
        <f t="shared" si="5"/>
        <v>#N/A</v>
      </c>
      <c r="N17" s="17" t="str">
        <f t="shared" si="6"/>
        <v>#N/A</v>
      </c>
      <c r="O17" s="17">
        <f t="shared" si="7"/>
        <v>32</v>
      </c>
      <c r="P17" s="17" t="str">
        <f t="shared" si="8"/>
        <v>#N/A</v>
      </c>
    </row>
    <row r="18">
      <c r="A18" s="7">
        <v>17.0</v>
      </c>
      <c r="B18" s="18" t="s">
        <v>52</v>
      </c>
      <c r="C18" s="9" t="s">
        <v>53</v>
      </c>
      <c r="D18" s="9">
        <f>IFERROR(__xludf.DUMMYFUNCTION("GOOGLEFINANCE(""NSE:""&amp;C18)"),4408.55)</f>
        <v>4408.55</v>
      </c>
      <c r="E18" s="10" t="str">
        <f>IFERROR(__xludf.DUMMYFUNCTION("INDEX(GOOGLEFINANCE(""NSE:""&amp;B18,dates!$I$1,dates!$C$3),2,2)"),"#N/A")</f>
        <v>#N/A</v>
      </c>
      <c r="F18" s="10">
        <f>IFERROR(__xludf.DUMMYFUNCTION("INDEX(GOOGLEFINANCE(""NSE:""&amp;C18,dates!$I$1,dates!$C$4),2,2)"),4239.65)</f>
        <v>4239.65</v>
      </c>
      <c r="G18" s="10">
        <f>IFERROR(__xludf.DUMMYFUNCTION("INDEX(GOOGLEFINANCE(""NSE:""&amp;C18,dates!$I$1,dates!$C$5),2,2)"),3961.85)</f>
        <v>3961.85</v>
      </c>
      <c r="H18" s="10">
        <f>IFERROR(__xludf.DUMMYFUNCTION("INDEX(GOOGLEFINANCE(""NSE:""&amp;C18,dates!$I$1,dates!$C$6),2,2)"),3833.05)</f>
        <v>3833.05</v>
      </c>
      <c r="I18" s="16">
        <f t="shared" si="1"/>
        <v>0.03983819419</v>
      </c>
      <c r="J18" s="16">
        <f t="shared" si="2"/>
        <v>0.1127503565</v>
      </c>
      <c r="K18" s="16">
        <f t="shared" si="3"/>
        <v>0.1501415322</v>
      </c>
      <c r="L18" s="16">
        <f t="shared" si="4"/>
        <v>-0.07291216233</v>
      </c>
      <c r="M18" s="17" t="str">
        <f t="shared" si="5"/>
        <v>#N/A</v>
      </c>
      <c r="N18" s="17" t="str">
        <f t="shared" si="6"/>
        <v>#N/A</v>
      </c>
      <c r="O18" s="17">
        <f t="shared" si="7"/>
        <v>47</v>
      </c>
      <c r="P18" s="17" t="str">
        <f t="shared" si="8"/>
        <v>#N/A</v>
      </c>
    </row>
    <row r="19">
      <c r="A19" s="7">
        <v>18.0</v>
      </c>
      <c r="B19" s="18" t="s">
        <v>54</v>
      </c>
      <c r="C19" s="9" t="s">
        <v>55</v>
      </c>
      <c r="D19" s="9">
        <f>IFERROR(__xludf.DUMMYFUNCTION("GOOGLEFINANCE(""NSE:""&amp;C19)"),813.0)</f>
        <v>813</v>
      </c>
      <c r="E19" s="10" t="str">
        <f>IFERROR(__xludf.DUMMYFUNCTION("INDEX(GOOGLEFINANCE(""NSE:""&amp;B19,dates!$I$1,dates!$C$3),2,2)"),"#N/A")</f>
        <v>#N/A</v>
      </c>
      <c r="F19" s="10">
        <f>IFERROR(__xludf.DUMMYFUNCTION("INDEX(GOOGLEFINANCE(""NSE:""&amp;C19,dates!$I$1,dates!$C$4),2,2)"),807.35)</f>
        <v>807.35</v>
      </c>
      <c r="G19" s="10">
        <f>IFERROR(__xludf.DUMMYFUNCTION("INDEX(GOOGLEFINANCE(""NSE:""&amp;C19,dates!$I$1,dates!$C$5),2,2)"),788.35)</f>
        <v>788.35</v>
      </c>
      <c r="H19" s="10">
        <f>IFERROR(__xludf.DUMMYFUNCTION("INDEX(GOOGLEFINANCE(""NSE:""&amp;C19,dates!$I$1,dates!$C$6),2,2)"),752.4)</f>
        <v>752.4</v>
      </c>
      <c r="I19" s="16">
        <f t="shared" si="1"/>
        <v>0.006998204001</v>
      </c>
      <c r="J19" s="16">
        <f t="shared" si="2"/>
        <v>0.03126783789</v>
      </c>
      <c r="K19" s="16">
        <f t="shared" si="3"/>
        <v>0.08054226475</v>
      </c>
      <c r="L19" s="16">
        <f t="shared" si="4"/>
        <v>-0.02426963389</v>
      </c>
      <c r="M19" s="17" t="str">
        <f t="shared" si="5"/>
        <v>#N/A</v>
      </c>
      <c r="N19" s="17" t="str">
        <f t="shared" si="6"/>
        <v>#N/A</v>
      </c>
      <c r="O19" s="17">
        <f t="shared" si="7"/>
        <v>93</v>
      </c>
      <c r="P19" s="17" t="str">
        <f t="shared" si="8"/>
        <v>#N/A</v>
      </c>
    </row>
    <row r="20">
      <c r="A20" s="7">
        <v>19.0</v>
      </c>
      <c r="B20" s="18" t="s">
        <v>56</v>
      </c>
      <c r="C20" s="9" t="s">
        <v>57</v>
      </c>
      <c r="D20" s="9">
        <f>IFERROR(__xludf.DUMMYFUNCTION("GOOGLEFINANCE(""NSE:""&amp;C20)"),1774.55)</f>
        <v>1774.55</v>
      </c>
      <c r="E20" s="10" t="str">
        <f>IFERROR(__xludf.DUMMYFUNCTION("INDEX(GOOGLEFINANCE(""NSE:""&amp;B20,dates!$I$1,dates!$C$3),2,2)"),"#N/A")</f>
        <v>#N/A</v>
      </c>
      <c r="F20" s="10">
        <f>IFERROR(__xludf.DUMMYFUNCTION("INDEX(GOOGLEFINANCE(""NSE:""&amp;C20,dates!$I$1,dates!$C$4),2,2)"),1716.2)</f>
        <v>1716.2</v>
      </c>
      <c r="G20" s="10">
        <f>IFERROR(__xludf.DUMMYFUNCTION("INDEX(GOOGLEFINANCE(""NSE:""&amp;C20,dates!$I$1,dates!$C$5),2,2)"),1671.7)</f>
        <v>1671.7</v>
      </c>
      <c r="H20" s="10">
        <f>IFERROR(__xludf.DUMMYFUNCTION("INDEX(GOOGLEFINANCE(""NSE:""&amp;C20,dates!$I$1,dates!$C$6),2,2)"),1638.1)</f>
        <v>1638.1</v>
      </c>
      <c r="I20" s="16">
        <f t="shared" si="1"/>
        <v>0.03399953385</v>
      </c>
      <c r="J20" s="16">
        <f t="shared" si="2"/>
        <v>0.06152419693</v>
      </c>
      <c r="K20" s="16">
        <f t="shared" si="3"/>
        <v>0.08329772297</v>
      </c>
      <c r="L20" s="16">
        <f t="shared" si="4"/>
        <v>-0.02752466307</v>
      </c>
      <c r="M20" s="17" t="str">
        <f t="shared" si="5"/>
        <v>#N/A</v>
      </c>
      <c r="N20" s="17" t="str">
        <f t="shared" si="6"/>
        <v>#N/A</v>
      </c>
      <c r="O20" s="17">
        <f t="shared" si="7"/>
        <v>90</v>
      </c>
      <c r="P20" s="17" t="str">
        <f t="shared" si="8"/>
        <v>#N/A</v>
      </c>
    </row>
    <row r="21">
      <c r="A21" s="7">
        <v>20.0</v>
      </c>
      <c r="B21" s="18" t="s">
        <v>58</v>
      </c>
      <c r="C21" s="9" t="s">
        <v>59</v>
      </c>
      <c r="D21" s="9">
        <f>IFERROR(__xludf.DUMMYFUNCTION("GOOGLEFINANCE(""NSE:""&amp;C21)"),7628.0)</f>
        <v>7628</v>
      </c>
      <c r="E21" s="10" t="str">
        <f>IFERROR(__xludf.DUMMYFUNCTION("INDEX(GOOGLEFINANCE(""NSE:""&amp;B21,dates!$I$1,dates!$C$3),2,2)"),"#N/A")</f>
        <v>#N/A</v>
      </c>
      <c r="F21" s="10">
        <f>IFERROR(__xludf.DUMMYFUNCTION("INDEX(GOOGLEFINANCE(""NSE:""&amp;C21,dates!$I$1,dates!$C$4),2,2)"),7711.85)</f>
        <v>7711.85</v>
      </c>
      <c r="G21" s="10">
        <f>IFERROR(__xludf.DUMMYFUNCTION("INDEX(GOOGLEFINANCE(""NSE:""&amp;C21,dates!$I$1,dates!$C$5),2,2)"),7944.45)</f>
        <v>7944.45</v>
      </c>
      <c r="H21" s="10">
        <f>IFERROR(__xludf.DUMMYFUNCTION("INDEX(GOOGLEFINANCE(""NSE:""&amp;C21,dates!$I$1,dates!$C$6),2,2)"),7565.6)</f>
        <v>7565.6</v>
      </c>
      <c r="I21" s="16">
        <f t="shared" si="1"/>
        <v>-0.01087287745</v>
      </c>
      <c r="J21" s="16">
        <f t="shared" si="2"/>
        <v>-0.03983283928</v>
      </c>
      <c r="K21" s="16">
        <f t="shared" si="3"/>
        <v>0.008247858729</v>
      </c>
      <c r="L21" s="16">
        <f t="shared" si="4"/>
        <v>0.02895996182</v>
      </c>
      <c r="M21" s="17" t="str">
        <f t="shared" si="5"/>
        <v>#N/A</v>
      </c>
      <c r="N21" s="17" t="str">
        <f t="shared" si="6"/>
        <v>#N/A</v>
      </c>
      <c r="O21" s="17">
        <f t="shared" si="7"/>
        <v>196</v>
      </c>
      <c r="P21" s="17" t="str">
        <f t="shared" si="8"/>
        <v>#N/A</v>
      </c>
    </row>
    <row r="22">
      <c r="A22" s="7">
        <v>21.0</v>
      </c>
      <c r="B22" s="18" t="s">
        <v>60</v>
      </c>
      <c r="C22" s="9" t="s">
        <v>61</v>
      </c>
      <c r="D22" s="9">
        <f>IFERROR(__xludf.DUMMYFUNCTION("GOOGLEFINANCE(""NSE:""&amp;C22)"),6843.0)</f>
        <v>6843</v>
      </c>
      <c r="E22" s="10" t="str">
        <f>IFERROR(__xludf.DUMMYFUNCTION("INDEX(GOOGLEFINANCE(""NSE:""&amp;B22,dates!$I$1,dates!$C$3),2,2)"),"#N/A")</f>
        <v>#N/A</v>
      </c>
      <c r="F22" s="10">
        <f>IFERROR(__xludf.DUMMYFUNCTION("INDEX(GOOGLEFINANCE(""NSE:""&amp;C22,dates!$I$1,dates!$C$4),2,2)"),7014.45)</f>
        <v>7014.45</v>
      </c>
      <c r="G22" s="10">
        <f>IFERROR(__xludf.DUMMYFUNCTION("INDEX(GOOGLEFINANCE(""NSE:""&amp;C22,dates!$I$1,dates!$C$5),2,2)"),6873.7)</f>
        <v>6873.7</v>
      </c>
      <c r="H22" s="10">
        <f>IFERROR(__xludf.DUMMYFUNCTION("INDEX(GOOGLEFINANCE(""NSE:""&amp;C22,dates!$I$1,dates!$C$6),2,2)"),6624.85)</f>
        <v>6624.85</v>
      </c>
      <c r="I22" s="16">
        <f t="shared" si="1"/>
        <v>-0.02444240104</v>
      </c>
      <c r="J22" s="16">
        <f t="shared" si="2"/>
        <v>-0.004466299082</v>
      </c>
      <c r="K22" s="16">
        <f t="shared" si="3"/>
        <v>0.03292904745</v>
      </c>
      <c r="L22" s="16">
        <f t="shared" si="4"/>
        <v>-0.01997610196</v>
      </c>
      <c r="M22" s="17" t="str">
        <f t="shared" si="5"/>
        <v>#N/A</v>
      </c>
      <c r="N22" s="17" t="str">
        <f t="shared" si="6"/>
        <v>#N/A</v>
      </c>
      <c r="O22" s="17">
        <f t="shared" si="7"/>
        <v>155</v>
      </c>
      <c r="P22" s="17" t="str">
        <f t="shared" si="8"/>
        <v>#N/A</v>
      </c>
    </row>
    <row r="23">
      <c r="A23" s="7">
        <v>22.0</v>
      </c>
      <c r="B23" s="18" t="s">
        <v>62</v>
      </c>
      <c r="C23" s="9" t="s">
        <v>63</v>
      </c>
      <c r="D23" s="9">
        <f>IFERROR(__xludf.DUMMYFUNCTION("GOOGLEFINANCE(""NSE:""&amp;C23)"),19844.0)</f>
        <v>19844</v>
      </c>
      <c r="E23" s="10" t="str">
        <f>IFERROR(__xludf.DUMMYFUNCTION("INDEX(GOOGLEFINANCE(""NSE:""&amp;B23,dates!$I$1,dates!$C$3),2,2)"),"#N/A")</f>
        <v>#N/A</v>
      </c>
      <c r="F23" s="10">
        <f>IFERROR(__xludf.DUMMYFUNCTION("INDEX(GOOGLEFINANCE(""NSE:""&amp;C23,dates!$I$1,dates!$C$4),2,2)"),20175.7)</f>
        <v>20175.7</v>
      </c>
      <c r="G23" s="10">
        <f>IFERROR(__xludf.DUMMYFUNCTION("INDEX(GOOGLEFINANCE(""NSE:""&amp;C23,dates!$I$1,dates!$C$5),2,2)"),20452.25)</f>
        <v>20452.25</v>
      </c>
      <c r="H23" s="10">
        <f>IFERROR(__xludf.DUMMYFUNCTION("INDEX(GOOGLEFINANCE(""NSE:""&amp;C23,dates!$I$1,dates!$C$6),2,2)"),19957.35)</f>
        <v>19957.35</v>
      </c>
      <c r="I23" s="16">
        <f t="shared" si="1"/>
        <v>-0.0164405696</v>
      </c>
      <c r="J23" s="16">
        <f t="shared" si="2"/>
        <v>-0.02974000416</v>
      </c>
      <c r="K23" s="16">
        <f t="shared" si="3"/>
        <v>-0.005679611772</v>
      </c>
      <c r="L23" s="16">
        <f t="shared" si="4"/>
        <v>0.01329943456</v>
      </c>
      <c r="M23" s="17" t="str">
        <f t="shared" si="5"/>
        <v>#N/A</v>
      </c>
      <c r="N23" s="17" t="str">
        <f t="shared" si="6"/>
        <v>#N/A</v>
      </c>
      <c r="O23" s="17">
        <f t="shared" si="7"/>
        <v>213</v>
      </c>
      <c r="P23" s="17" t="str">
        <f t="shared" si="8"/>
        <v>#N/A</v>
      </c>
    </row>
    <row r="24">
      <c r="A24" s="7">
        <v>23.0</v>
      </c>
      <c r="B24" s="18" t="s">
        <v>64</v>
      </c>
      <c r="C24" s="9" t="s">
        <v>65</v>
      </c>
      <c r="D24" s="9">
        <f>IFERROR(__xludf.DUMMYFUNCTION("GOOGLEFINANCE(""NSE:""&amp;C24)"),769.0)</f>
        <v>769</v>
      </c>
      <c r="E24" s="10" t="str">
        <f>IFERROR(__xludf.DUMMYFUNCTION("INDEX(GOOGLEFINANCE(""NSE:""&amp;B24,dates!$I$1,dates!$C$3),2,2)"),"#N/A")</f>
        <v>#N/A</v>
      </c>
      <c r="F24" s="10">
        <f>IFERROR(__xludf.DUMMYFUNCTION("INDEX(GOOGLEFINANCE(""NSE:""&amp;C24,dates!$I$1,dates!$C$4),2,2)"),769.9)</f>
        <v>769.9</v>
      </c>
      <c r="G24" s="10">
        <f>IFERROR(__xludf.DUMMYFUNCTION("INDEX(GOOGLEFINANCE(""NSE:""&amp;C24,dates!$I$1,dates!$C$5),2,2)"),780.3)</f>
        <v>780.3</v>
      </c>
      <c r="H24" s="10">
        <f>IFERROR(__xludf.DUMMYFUNCTION("INDEX(GOOGLEFINANCE(""NSE:""&amp;C24,dates!$I$1,dates!$C$6),2,2)"),771.8)</f>
        <v>771.8</v>
      </c>
      <c r="I24" s="16">
        <f t="shared" si="1"/>
        <v>-0.001168982985</v>
      </c>
      <c r="J24" s="16">
        <f t="shared" si="2"/>
        <v>-0.01448160964</v>
      </c>
      <c r="K24" s="16">
        <f t="shared" si="3"/>
        <v>-0.003627882871</v>
      </c>
      <c r="L24" s="16">
        <f t="shared" si="4"/>
        <v>0.01331262665</v>
      </c>
      <c r="M24" s="17" t="str">
        <f t="shared" si="5"/>
        <v>#N/A</v>
      </c>
      <c r="N24" s="17" t="str">
        <f t="shared" si="6"/>
        <v>#N/A</v>
      </c>
      <c r="O24" s="17">
        <f t="shared" si="7"/>
        <v>209</v>
      </c>
      <c r="P24" s="17" t="str">
        <f t="shared" si="8"/>
        <v>#N/A</v>
      </c>
    </row>
    <row r="25">
      <c r="A25" s="7">
        <v>24.0</v>
      </c>
      <c r="B25" s="18" t="s">
        <v>66</v>
      </c>
      <c r="C25" s="9" t="s">
        <v>67</v>
      </c>
      <c r="D25" s="9">
        <f>IFERROR(__xludf.DUMMYFUNCTION("GOOGLEFINANCE(""NSE:""&amp;C25)"),1315.5)</f>
        <v>1315.5</v>
      </c>
      <c r="E25" s="10" t="str">
        <f>IFERROR(__xludf.DUMMYFUNCTION("INDEX(GOOGLEFINANCE(""NSE:""&amp;B25,dates!$I$1,dates!$C$3),2,2)"),"#N/A")</f>
        <v>#N/A</v>
      </c>
      <c r="F25" s="10">
        <f>IFERROR(__xludf.DUMMYFUNCTION("INDEX(GOOGLEFINANCE(""NSE:""&amp;C25,dates!$I$1,dates!$C$4),2,2)"),1385.9)</f>
        <v>1385.9</v>
      </c>
      <c r="G25" s="10">
        <f>IFERROR(__xludf.DUMMYFUNCTION("INDEX(GOOGLEFINANCE(""NSE:""&amp;C25,dates!$I$1,dates!$C$5),2,2)"),1463.45)</f>
        <v>1463.45</v>
      </c>
      <c r="H25" s="10">
        <f>IFERROR(__xludf.DUMMYFUNCTION("INDEX(GOOGLEFINANCE(""NSE:""&amp;C25,dates!$I$1,dates!$C$6),2,2)"),1384.15)</f>
        <v>1384.15</v>
      </c>
      <c r="I25" s="16">
        <f t="shared" si="1"/>
        <v>-0.05079731582</v>
      </c>
      <c r="J25" s="16">
        <f t="shared" si="2"/>
        <v>-0.1010967235</v>
      </c>
      <c r="K25" s="16">
        <f t="shared" si="3"/>
        <v>-0.04959722573</v>
      </c>
      <c r="L25" s="16">
        <f t="shared" si="4"/>
        <v>0.05029940767</v>
      </c>
      <c r="M25" s="17" t="str">
        <f t="shared" si="5"/>
        <v>#N/A</v>
      </c>
      <c r="N25" s="17" t="str">
        <f t="shared" si="6"/>
        <v>#N/A</v>
      </c>
      <c r="O25" s="17">
        <f t="shared" si="7"/>
        <v>233</v>
      </c>
      <c r="P25" s="17" t="str">
        <f t="shared" si="8"/>
        <v>#N/A</v>
      </c>
    </row>
    <row r="26">
      <c r="A26" s="7">
        <v>25.0</v>
      </c>
      <c r="B26" s="18" t="s">
        <v>68</v>
      </c>
      <c r="C26" s="9" t="s">
        <v>69</v>
      </c>
      <c r="D26" s="9">
        <f>IFERROR(__xludf.DUMMYFUNCTION("GOOGLEFINANCE(""NSE:""&amp;C26)"),1136.7)</f>
        <v>1136.7</v>
      </c>
      <c r="E26" s="10" t="str">
        <f>IFERROR(__xludf.DUMMYFUNCTION("INDEX(GOOGLEFINANCE(""NSE:""&amp;B26,dates!$I$1,dates!$C$3),2,2)"),"#N/A")</f>
        <v>#N/A</v>
      </c>
      <c r="F26" s="10">
        <f>IFERROR(__xludf.DUMMYFUNCTION("INDEX(GOOGLEFINANCE(""NSE:""&amp;C26,dates!$I$1,dates!$C$4),2,2)"),1153.25)</f>
        <v>1153.25</v>
      </c>
      <c r="G26" s="10">
        <f>IFERROR(__xludf.DUMMYFUNCTION("INDEX(GOOGLEFINANCE(""NSE:""&amp;C26,dates!$I$1,dates!$C$5),2,2)"),1185.2)</f>
        <v>1185.2</v>
      </c>
      <c r="H26" s="10">
        <f>IFERROR(__xludf.DUMMYFUNCTION("INDEX(GOOGLEFINANCE(""NSE:""&amp;C26,dates!$I$1,dates!$C$6),2,2)"),1049.1)</f>
        <v>1049.1</v>
      </c>
      <c r="I26" s="16">
        <f t="shared" si="1"/>
        <v>-0.01435074789</v>
      </c>
      <c r="J26" s="16">
        <f t="shared" si="2"/>
        <v>-0.04092136348</v>
      </c>
      <c r="K26" s="16">
        <f t="shared" si="3"/>
        <v>0.08350014298</v>
      </c>
      <c r="L26" s="16">
        <f t="shared" si="4"/>
        <v>0.0265706156</v>
      </c>
      <c r="M26" s="17" t="str">
        <f t="shared" si="5"/>
        <v>#N/A</v>
      </c>
      <c r="N26" s="17" t="str">
        <f t="shared" si="6"/>
        <v>#N/A</v>
      </c>
      <c r="O26" s="17">
        <f t="shared" si="7"/>
        <v>88</v>
      </c>
      <c r="P26" s="17" t="str">
        <f t="shared" si="8"/>
        <v>#N/A</v>
      </c>
    </row>
    <row r="27">
      <c r="A27" s="7">
        <v>26.0</v>
      </c>
      <c r="B27" s="18" t="s">
        <v>70</v>
      </c>
      <c r="C27" s="9" t="s">
        <v>71</v>
      </c>
      <c r="D27" s="9">
        <f>IFERROR(__xludf.DUMMYFUNCTION("GOOGLEFINANCE(""NSE:""&amp;C27)"),2106.0)</f>
        <v>2106</v>
      </c>
      <c r="E27" s="10" t="str">
        <f>IFERROR(__xludf.DUMMYFUNCTION("INDEX(GOOGLEFINANCE(""NSE:""&amp;B27,dates!$I$1,dates!$C$3),2,2)"),"#N/A")</f>
        <v>#N/A</v>
      </c>
      <c r="F27" s="10">
        <f>IFERROR(__xludf.DUMMYFUNCTION("INDEX(GOOGLEFINANCE(""NSE:""&amp;C27,dates!$I$1,dates!$C$4),2,2)"),2095.6)</f>
        <v>2095.6</v>
      </c>
      <c r="G27" s="10">
        <f>IFERROR(__xludf.DUMMYFUNCTION("INDEX(GOOGLEFINANCE(""NSE:""&amp;C27,dates!$I$1,dates!$C$5),2,2)"),2030.65)</f>
        <v>2030.65</v>
      </c>
      <c r="H27" s="10">
        <f>IFERROR(__xludf.DUMMYFUNCTION("INDEX(GOOGLEFINANCE(""NSE:""&amp;C27,dates!$I$1,dates!$C$6),2,2)"),1822.55)</f>
        <v>1822.55</v>
      </c>
      <c r="I27" s="16">
        <f t="shared" si="1"/>
        <v>0.004962779156</v>
      </c>
      <c r="J27" s="16">
        <f t="shared" si="2"/>
        <v>0.03710634526</v>
      </c>
      <c r="K27" s="16">
        <f t="shared" si="3"/>
        <v>0.1555238539</v>
      </c>
      <c r="L27" s="16">
        <f t="shared" si="4"/>
        <v>-0.0321435661</v>
      </c>
      <c r="M27" s="17" t="str">
        <f t="shared" si="5"/>
        <v>#N/A</v>
      </c>
      <c r="N27" s="17" t="str">
        <f t="shared" si="6"/>
        <v>#N/A</v>
      </c>
      <c r="O27" s="17">
        <f t="shared" si="7"/>
        <v>45</v>
      </c>
      <c r="P27" s="17" t="str">
        <f t="shared" si="8"/>
        <v>#N/A</v>
      </c>
    </row>
    <row r="28">
      <c r="A28" s="7">
        <v>27.0</v>
      </c>
      <c r="B28" s="18" t="s">
        <v>72</v>
      </c>
      <c r="C28" s="9" t="s">
        <v>73</v>
      </c>
      <c r="D28" s="9">
        <f>IFERROR(__xludf.DUMMYFUNCTION("GOOGLEFINANCE(""NSE:""&amp;C28)"),1475.6)</f>
        <v>1475.6</v>
      </c>
      <c r="E28" s="10" t="str">
        <f>IFERROR(__xludf.DUMMYFUNCTION("INDEX(GOOGLEFINANCE(""NSE:""&amp;B28,dates!$I$1,dates!$C$3),2,2)"),"#N/A")</f>
        <v>#N/A</v>
      </c>
      <c r="F28" s="10">
        <f>IFERROR(__xludf.DUMMYFUNCTION("INDEX(GOOGLEFINANCE(""NSE:""&amp;C28,dates!$I$1,dates!$C$4),2,2)"),1480.25)</f>
        <v>1480.25</v>
      </c>
      <c r="G28" s="10">
        <f>IFERROR(__xludf.DUMMYFUNCTION("INDEX(GOOGLEFINANCE(""NSE:""&amp;C28,dates!$I$1,dates!$C$5),2,2)"),1532.45)</f>
        <v>1532.45</v>
      </c>
      <c r="H28" s="10">
        <f>IFERROR(__xludf.DUMMYFUNCTION("INDEX(GOOGLEFINANCE(""NSE:""&amp;C28,dates!$I$1,dates!$C$6),2,2)"),1506.05)</f>
        <v>1506.05</v>
      </c>
      <c r="I28" s="16">
        <f t="shared" si="1"/>
        <v>-0.003141361257</v>
      </c>
      <c r="J28" s="16">
        <f t="shared" si="2"/>
        <v>-0.03709745832</v>
      </c>
      <c r="K28" s="16">
        <f t="shared" si="3"/>
        <v>-0.02021845224</v>
      </c>
      <c r="L28" s="16">
        <f t="shared" si="4"/>
        <v>0.03395609706</v>
      </c>
      <c r="M28" s="17" t="str">
        <f t="shared" si="5"/>
        <v>#N/A</v>
      </c>
      <c r="N28" s="17" t="str">
        <f t="shared" si="6"/>
        <v>#N/A</v>
      </c>
      <c r="O28" s="17">
        <f t="shared" si="7"/>
        <v>225</v>
      </c>
      <c r="P28" s="17" t="str">
        <f t="shared" si="8"/>
        <v>#N/A</v>
      </c>
    </row>
    <row r="29">
      <c r="A29" s="7">
        <v>28.0</v>
      </c>
      <c r="B29" s="18" t="s">
        <v>74</v>
      </c>
      <c r="C29" s="9" t="s">
        <v>75</v>
      </c>
      <c r="D29" s="9">
        <f>IFERROR(__xludf.DUMMYFUNCTION("GOOGLEFINANCE(""NSE:""&amp;C29)"),674.3)</f>
        <v>674.3</v>
      </c>
      <c r="E29" s="10" t="str">
        <f>IFERROR(__xludf.DUMMYFUNCTION("INDEX(GOOGLEFINANCE(""NSE:""&amp;B29,dates!$I$1,dates!$C$3),2,2)"),"#N/A")</f>
        <v>#N/A</v>
      </c>
      <c r="F29" s="10">
        <f>IFERROR(__xludf.DUMMYFUNCTION("INDEX(GOOGLEFINANCE(""NSE:""&amp;C29,dates!$I$1,dates!$C$4),2,2)"),682.3)</f>
        <v>682.3</v>
      </c>
      <c r="G29" s="10">
        <f>IFERROR(__xludf.DUMMYFUNCTION("INDEX(GOOGLEFINANCE(""NSE:""&amp;C29,dates!$I$1,dates!$C$5),2,2)"),694.4)</f>
        <v>694.4</v>
      </c>
      <c r="H29" s="10">
        <f>IFERROR(__xludf.DUMMYFUNCTION("INDEX(GOOGLEFINANCE(""NSE:""&amp;C29,dates!$I$1,dates!$C$6),2,2)"),677.5)</f>
        <v>677.5</v>
      </c>
      <c r="I29" s="16">
        <f t="shared" si="1"/>
        <v>-0.01172504763</v>
      </c>
      <c r="J29" s="16">
        <f t="shared" si="2"/>
        <v>-0.02894585253</v>
      </c>
      <c r="K29" s="16">
        <f t="shared" si="3"/>
        <v>-0.004723247232</v>
      </c>
      <c r="L29" s="16">
        <f t="shared" si="4"/>
        <v>0.0172208049</v>
      </c>
      <c r="M29" s="17" t="str">
        <f t="shared" si="5"/>
        <v>#N/A</v>
      </c>
      <c r="N29" s="17" t="str">
        <f t="shared" si="6"/>
        <v>#N/A</v>
      </c>
      <c r="O29" s="17">
        <f t="shared" si="7"/>
        <v>212</v>
      </c>
      <c r="P29" s="17" t="str">
        <f t="shared" si="8"/>
        <v>#N/A</v>
      </c>
    </row>
    <row r="30">
      <c r="A30" s="7">
        <v>29.0</v>
      </c>
      <c r="B30" s="18" t="s">
        <v>76</v>
      </c>
      <c r="C30" s="9" t="s">
        <v>77</v>
      </c>
      <c r="D30" s="9">
        <f>IFERROR(__xludf.DUMMYFUNCTION("GOOGLEFINANCE(""NSE:""&amp;C30)"),1539.2)</f>
        <v>1539.2</v>
      </c>
      <c r="E30" s="10" t="str">
        <f>IFERROR(__xludf.DUMMYFUNCTION("INDEX(GOOGLEFINANCE(""NSE:""&amp;B30,dates!$I$1,dates!$C$3),2,2)"),"#N/A")</f>
        <v>#N/A</v>
      </c>
      <c r="F30" s="10">
        <f>IFERROR(__xludf.DUMMYFUNCTION("INDEX(GOOGLEFINANCE(""NSE:""&amp;C30,dates!$I$1,dates!$C$4),2,2)"),1820.35)</f>
        <v>1820.35</v>
      </c>
      <c r="G30" s="10">
        <f>IFERROR(__xludf.DUMMYFUNCTION("INDEX(GOOGLEFINANCE(""NSE:""&amp;C30,dates!$I$1,dates!$C$5),2,2)"),1871.4)</f>
        <v>1871.4</v>
      </c>
      <c r="H30" s="10">
        <f>IFERROR(__xludf.DUMMYFUNCTION("INDEX(GOOGLEFINANCE(""NSE:""&amp;C30,dates!$I$1,dates!$C$6),2,2)"),1433.7)</f>
        <v>1433.7</v>
      </c>
      <c r="I30" s="16">
        <f t="shared" si="1"/>
        <v>-0.1544483204</v>
      </c>
      <c r="J30" s="16">
        <f t="shared" si="2"/>
        <v>-0.1775141605</v>
      </c>
      <c r="K30" s="16">
        <f t="shared" si="3"/>
        <v>0.07358582688</v>
      </c>
      <c r="L30" s="16">
        <f t="shared" si="4"/>
        <v>0.02306584014</v>
      </c>
      <c r="M30" s="17" t="str">
        <f t="shared" si="5"/>
        <v>#N/A</v>
      </c>
      <c r="N30" s="17" t="str">
        <f t="shared" si="6"/>
        <v>#N/A</v>
      </c>
      <c r="O30" s="17">
        <f t="shared" si="7"/>
        <v>100</v>
      </c>
      <c r="P30" s="17" t="str">
        <f t="shared" si="8"/>
        <v>#N/A</v>
      </c>
    </row>
    <row r="31">
      <c r="A31" s="7">
        <v>30.0</v>
      </c>
      <c r="B31" s="18" t="s">
        <v>78</v>
      </c>
      <c r="C31" s="9" t="s">
        <v>79</v>
      </c>
      <c r="D31" s="9">
        <f>IFERROR(__xludf.DUMMYFUNCTION("GOOGLEFINANCE(""NSE:""&amp;C31)"),1400.0)</f>
        <v>1400</v>
      </c>
      <c r="E31" s="10" t="str">
        <f>IFERROR(__xludf.DUMMYFUNCTION("INDEX(GOOGLEFINANCE(""NSE:""&amp;B31,dates!$I$1,dates!$C$3),2,2)"),"#N/A")</f>
        <v>#N/A</v>
      </c>
      <c r="F31" s="10">
        <f>IFERROR(__xludf.DUMMYFUNCTION("INDEX(GOOGLEFINANCE(""NSE:""&amp;C31,dates!$I$1,dates!$C$4),2,2)"),1408.4)</f>
        <v>1408.4</v>
      </c>
      <c r="G31" s="10">
        <f>IFERROR(__xludf.DUMMYFUNCTION("INDEX(GOOGLEFINANCE(""NSE:""&amp;C31,dates!$I$1,dates!$C$5),2,2)"),1375.65)</f>
        <v>1375.65</v>
      </c>
      <c r="H31" s="10">
        <f>IFERROR(__xludf.DUMMYFUNCTION("INDEX(GOOGLEFINANCE(""NSE:""&amp;C31,dates!$I$1,dates!$C$6),2,2)"),1320.7)</f>
        <v>1320.7</v>
      </c>
      <c r="I31" s="16">
        <f t="shared" si="1"/>
        <v>-0.005964214712</v>
      </c>
      <c r="J31" s="16">
        <f t="shared" si="2"/>
        <v>0.01770072329</v>
      </c>
      <c r="K31" s="16">
        <f t="shared" si="3"/>
        <v>0.06004391611</v>
      </c>
      <c r="L31" s="16">
        <f t="shared" si="4"/>
        <v>-0.02366493801</v>
      </c>
      <c r="M31" s="17" t="str">
        <f t="shared" si="5"/>
        <v>#N/A</v>
      </c>
      <c r="N31" s="17" t="str">
        <f t="shared" si="6"/>
        <v>#N/A</v>
      </c>
      <c r="O31" s="17">
        <f t="shared" si="7"/>
        <v>121</v>
      </c>
      <c r="P31" s="17" t="str">
        <f t="shared" si="8"/>
        <v>#N/A</v>
      </c>
    </row>
    <row r="32">
      <c r="A32" s="7">
        <v>31.0</v>
      </c>
      <c r="B32" s="18" t="s">
        <v>80</v>
      </c>
      <c r="C32" s="9" t="s">
        <v>81</v>
      </c>
      <c r="D32" s="9">
        <f>IFERROR(__xludf.DUMMYFUNCTION("GOOGLEFINANCE(""NSE:""&amp;C32)"),137.75)</f>
        <v>137.75</v>
      </c>
      <c r="E32" s="10" t="str">
        <f>IFERROR(__xludf.DUMMYFUNCTION("INDEX(GOOGLEFINANCE(""NSE:""&amp;B32,dates!$I$1,dates!$C$3),2,2)"),"#N/A")</f>
        <v>#N/A</v>
      </c>
      <c r="F32" s="10">
        <f>IFERROR(__xludf.DUMMYFUNCTION("INDEX(GOOGLEFINANCE(""NSE:""&amp;C32,dates!$I$1,dates!$C$4),2,2)"),127.75)</f>
        <v>127.75</v>
      </c>
      <c r="G32" s="10">
        <f>IFERROR(__xludf.DUMMYFUNCTION("INDEX(GOOGLEFINANCE(""NSE:""&amp;C32,dates!$I$1,dates!$C$5),2,2)"),123.05)</f>
        <v>123.05</v>
      </c>
      <c r="H32" s="10">
        <f>IFERROR(__xludf.DUMMYFUNCTION("INDEX(GOOGLEFINANCE(""NSE:""&amp;C32,dates!$I$1,dates!$C$6),2,2)"),116.65)</f>
        <v>116.65</v>
      </c>
      <c r="I32" s="16">
        <f t="shared" si="1"/>
        <v>0.0782778865</v>
      </c>
      <c r="J32" s="16">
        <f t="shared" si="2"/>
        <v>0.1194636327</v>
      </c>
      <c r="K32" s="16">
        <f t="shared" si="3"/>
        <v>0.1808829833</v>
      </c>
      <c r="L32" s="16">
        <f t="shared" si="4"/>
        <v>-0.04118574617</v>
      </c>
      <c r="M32" s="17" t="str">
        <f t="shared" si="5"/>
        <v>#N/A</v>
      </c>
      <c r="N32" s="17" t="str">
        <f t="shared" si="6"/>
        <v>#N/A</v>
      </c>
      <c r="O32" s="17">
        <f t="shared" si="7"/>
        <v>30</v>
      </c>
      <c r="P32" s="17" t="str">
        <f t="shared" si="8"/>
        <v>#N/A</v>
      </c>
    </row>
    <row r="33">
      <c r="A33" s="7">
        <v>32.0</v>
      </c>
      <c r="B33" s="18" t="s">
        <v>82</v>
      </c>
      <c r="C33" s="9" t="s">
        <v>83</v>
      </c>
      <c r="D33" s="9">
        <f>IFERROR(__xludf.DUMMYFUNCTION("GOOGLEFINANCE(""NSE:""&amp;C33)"),754.0)</f>
        <v>754</v>
      </c>
      <c r="E33" s="10" t="str">
        <f>IFERROR(__xludf.DUMMYFUNCTION("INDEX(GOOGLEFINANCE(""NSE:""&amp;B33,dates!$I$1,dates!$C$3),2,2)"),"#N/A")</f>
        <v>#N/A</v>
      </c>
      <c r="F33" s="10">
        <f>IFERROR(__xludf.DUMMYFUNCTION("INDEX(GOOGLEFINANCE(""NSE:""&amp;C33,dates!$I$1,dates!$C$4),2,2)"),767.1)</f>
        <v>767.1</v>
      </c>
      <c r="G33" s="10">
        <f>IFERROR(__xludf.DUMMYFUNCTION("INDEX(GOOGLEFINANCE(""NSE:""&amp;C33,dates!$I$1,dates!$C$5),2,2)"),745.1)</f>
        <v>745.1</v>
      </c>
      <c r="H33" s="10">
        <f>IFERROR(__xludf.DUMMYFUNCTION("INDEX(GOOGLEFINANCE(""NSE:""&amp;C33,dates!$I$1,dates!$C$6),2,2)"),727.0)</f>
        <v>727</v>
      </c>
      <c r="I33" s="16">
        <f t="shared" si="1"/>
        <v>-0.01707730413</v>
      </c>
      <c r="J33" s="16">
        <f t="shared" si="2"/>
        <v>0.01194470541</v>
      </c>
      <c r="K33" s="16">
        <f t="shared" si="3"/>
        <v>0.0371389271</v>
      </c>
      <c r="L33" s="16">
        <f t="shared" si="4"/>
        <v>-0.02902200954</v>
      </c>
      <c r="M33" s="17" t="str">
        <f t="shared" si="5"/>
        <v>#N/A</v>
      </c>
      <c r="N33" s="17" t="str">
        <f t="shared" si="6"/>
        <v>#N/A</v>
      </c>
      <c r="O33" s="17">
        <f t="shared" si="7"/>
        <v>153</v>
      </c>
      <c r="P33" s="17" t="str">
        <f t="shared" si="8"/>
        <v>#N/A</v>
      </c>
    </row>
    <row r="34">
      <c r="A34" s="7">
        <v>33.0</v>
      </c>
      <c r="B34" s="18" t="s">
        <v>84</v>
      </c>
      <c r="C34" s="9" t="s">
        <v>85</v>
      </c>
      <c r="D34" s="9">
        <f>IFERROR(__xludf.DUMMYFUNCTION("GOOGLEFINANCE(""NSE:""&amp;C34)"),725.15)</f>
        <v>725.15</v>
      </c>
      <c r="E34" s="10" t="str">
        <f>IFERROR(__xludf.DUMMYFUNCTION("INDEX(GOOGLEFINANCE(""NSE:""&amp;B34,dates!$I$1,dates!$C$3),2,2)"),"#N/A")</f>
        <v>#N/A</v>
      </c>
      <c r="F34" s="10">
        <f>IFERROR(__xludf.DUMMYFUNCTION("INDEX(GOOGLEFINANCE(""NSE:""&amp;C34,dates!$I$1,dates!$C$4),2,2)"),747.75)</f>
        <v>747.75</v>
      </c>
      <c r="G34" s="10">
        <f>IFERROR(__xludf.DUMMYFUNCTION("INDEX(GOOGLEFINANCE(""NSE:""&amp;C34,dates!$I$1,dates!$C$5),2,2)"),734.9)</f>
        <v>734.9</v>
      </c>
      <c r="H34" s="10">
        <f>IFERROR(__xludf.DUMMYFUNCTION("INDEX(GOOGLEFINANCE(""NSE:""&amp;C34,dates!$I$1,dates!$C$6),2,2)"),704.1)</f>
        <v>704.1</v>
      </c>
      <c r="I34" s="16">
        <f t="shared" si="1"/>
        <v>-0.03022400535</v>
      </c>
      <c r="J34" s="16">
        <f t="shared" si="2"/>
        <v>-0.01326711117</v>
      </c>
      <c r="K34" s="16">
        <f t="shared" si="3"/>
        <v>0.02989632155</v>
      </c>
      <c r="L34" s="16">
        <f t="shared" si="4"/>
        <v>-0.01695689418</v>
      </c>
      <c r="M34" s="17" t="str">
        <f t="shared" si="5"/>
        <v>#N/A</v>
      </c>
      <c r="N34" s="17" t="str">
        <f t="shared" si="6"/>
        <v>#N/A</v>
      </c>
      <c r="O34" s="17">
        <f t="shared" si="7"/>
        <v>158</v>
      </c>
      <c r="P34" s="17" t="str">
        <f t="shared" si="8"/>
        <v>#N/A</v>
      </c>
    </row>
    <row r="35">
      <c r="A35" s="7">
        <v>34.0</v>
      </c>
      <c r="B35" s="18" t="s">
        <v>86</v>
      </c>
      <c r="C35" s="9" t="s">
        <v>87</v>
      </c>
      <c r="D35" s="9">
        <f>IFERROR(__xludf.DUMMYFUNCTION("GOOGLEFINANCE(""NSE:""&amp;C35)"),1523.0)</f>
        <v>1523</v>
      </c>
      <c r="E35" s="10" t="str">
        <f>IFERROR(__xludf.DUMMYFUNCTION("INDEX(GOOGLEFINANCE(""NSE:""&amp;B35,dates!$I$1,dates!$C$3),2,2)"),"#N/A")</f>
        <v>#N/A</v>
      </c>
      <c r="F35" s="10">
        <f>IFERROR(__xludf.DUMMYFUNCTION("INDEX(GOOGLEFINANCE(""NSE:""&amp;C35,dates!$I$1,dates!$C$4),2,2)"),1451.55)</f>
        <v>1451.55</v>
      </c>
      <c r="G35" s="10">
        <f>IFERROR(__xludf.DUMMYFUNCTION("INDEX(GOOGLEFINANCE(""NSE:""&amp;C35,dates!$I$1,dates!$C$5),2,2)"),1429.5)</f>
        <v>1429.5</v>
      </c>
      <c r="H35" s="10">
        <f>IFERROR(__xludf.DUMMYFUNCTION("INDEX(GOOGLEFINANCE(""NSE:""&amp;C35,dates!$I$1,dates!$C$6),2,2)"),1445.4)</f>
        <v>1445.4</v>
      </c>
      <c r="I35" s="16">
        <f t="shared" si="1"/>
        <v>0.04922324412</v>
      </c>
      <c r="J35" s="16">
        <f t="shared" si="2"/>
        <v>0.06540748513</v>
      </c>
      <c r="K35" s="16">
        <f t="shared" si="3"/>
        <v>0.05368756054</v>
      </c>
      <c r="L35" s="16">
        <f t="shared" si="4"/>
        <v>-0.01618424102</v>
      </c>
      <c r="M35" s="17" t="str">
        <f t="shared" si="5"/>
        <v>#N/A</v>
      </c>
      <c r="N35" s="17" t="str">
        <f t="shared" si="6"/>
        <v>#N/A</v>
      </c>
      <c r="O35" s="17">
        <f t="shared" si="7"/>
        <v>128</v>
      </c>
      <c r="P35" s="17" t="str">
        <f t="shared" si="8"/>
        <v>#N/A</v>
      </c>
    </row>
    <row r="36">
      <c r="A36" s="7">
        <v>35.0</v>
      </c>
      <c r="B36" s="18" t="s">
        <v>88</v>
      </c>
      <c r="C36" s="9" t="s">
        <v>89</v>
      </c>
      <c r="D36" s="9">
        <f>IFERROR(__xludf.DUMMYFUNCTION("GOOGLEFINANCE(""NSE:""&amp;C36)"),323.2)</f>
        <v>323.2</v>
      </c>
      <c r="E36" s="10" t="str">
        <f>IFERROR(__xludf.DUMMYFUNCTION("INDEX(GOOGLEFINANCE(""NSE:""&amp;B36,dates!$I$1,dates!$C$3),2,2)"),"#N/A")</f>
        <v>#N/A</v>
      </c>
      <c r="F36" s="10">
        <f>IFERROR(__xludf.DUMMYFUNCTION("INDEX(GOOGLEFINANCE(""NSE:""&amp;C36,dates!$I$1,dates!$C$4),2,2)"),334.75)</f>
        <v>334.75</v>
      </c>
      <c r="G36" s="10">
        <f>IFERROR(__xludf.DUMMYFUNCTION("INDEX(GOOGLEFINANCE(""NSE:""&amp;C36,dates!$I$1,dates!$C$5),2,2)"),335.4)</f>
        <v>335.4</v>
      </c>
      <c r="H36" s="10">
        <f>IFERROR(__xludf.DUMMYFUNCTION("INDEX(GOOGLEFINANCE(""NSE:""&amp;C36,dates!$I$1,dates!$C$6),2,2)"),318.2)</f>
        <v>318.2</v>
      </c>
      <c r="I36" s="16">
        <f t="shared" si="1"/>
        <v>-0.03450336072</v>
      </c>
      <c r="J36" s="16">
        <f t="shared" si="2"/>
        <v>-0.03637447823</v>
      </c>
      <c r="K36" s="16">
        <f t="shared" si="3"/>
        <v>0.01571338781</v>
      </c>
      <c r="L36" s="16">
        <f t="shared" si="4"/>
        <v>0.001871117518</v>
      </c>
      <c r="M36" s="17" t="str">
        <f t="shared" si="5"/>
        <v>#N/A</v>
      </c>
      <c r="N36" s="17" t="str">
        <f t="shared" si="6"/>
        <v>#N/A</v>
      </c>
      <c r="O36" s="17">
        <f t="shared" si="7"/>
        <v>189</v>
      </c>
      <c r="P36" s="17" t="str">
        <f t="shared" si="8"/>
        <v>#N/A</v>
      </c>
    </row>
    <row r="37">
      <c r="A37" s="7">
        <v>36.0</v>
      </c>
      <c r="B37" s="18" t="s">
        <v>90</v>
      </c>
      <c r="C37" s="9" t="s">
        <v>91</v>
      </c>
      <c r="D37" s="9">
        <f>IFERROR(__xludf.DUMMYFUNCTION("GOOGLEFINANCE(""NSE:""&amp;C37)"),5219.5)</f>
        <v>5219.5</v>
      </c>
      <c r="E37" s="10" t="str">
        <f>IFERROR(__xludf.DUMMYFUNCTION("INDEX(GOOGLEFINANCE(""NSE:""&amp;B37,dates!$I$1,dates!$C$3),2,2)"),"#N/A")</f>
        <v>#N/A</v>
      </c>
      <c r="F37" s="10">
        <f>IFERROR(__xludf.DUMMYFUNCTION("INDEX(GOOGLEFINANCE(""NSE:""&amp;C37,dates!$I$1,dates!$C$4),2,2)"),5122.8)</f>
        <v>5122.8</v>
      </c>
      <c r="G37" s="10">
        <f>IFERROR(__xludf.DUMMYFUNCTION("INDEX(GOOGLEFINANCE(""NSE:""&amp;C37,dates!$I$1,dates!$C$5),2,2)"),5085.2)</f>
        <v>5085.2</v>
      </c>
      <c r="H37" s="10">
        <f>IFERROR(__xludf.DUMMYFUNCTION("INDEX(GOOGLEFINANCE(""NSE:""&amp;C37,dates!$I$1,dates!$C$6),2,2)"),4910.7)</f>
        <v>4910.7</v>
      </c>
      <c r="I37" s="16">
        <f t="shared" si="1"/>
        <v>0.01887639572</v>
      </c>
      <c r="J37" s="16">
        <f t="shared" si="2"/>
        <v>0.02640997404</v>
      </c>
      <c r="K37" s="16">
        <f t="shared" si="3"/>
        <v>0.06288309202</v>
      </c>
      <c r="L37" s="16">
        <f t="shared" si="4"/>
        <v>-0.007533578321</v>
      </c>
      <c r="M37" s="17" t="str">
        <f t="shared" si="5"/>
        <v>#N/A</v>
      </c>
      <c r="N37" s="17" t="str">
        <f t="shared" si="6"/>
        <v>#N/A</v>
      </c>
      <c r="O37" s="17">
        <f t="shared" si="7"/>
        <v>117</v>
      </c>
      <c r="P37" s="17" t="str">
        <f t="shared" si="8"/>
        <v>#N/A</v>
      </c>
    </row>
    <row r="38">
      <c r="A38" s="7">
        <v>37.0</v>
      </c>
      <c r="B38" s="18" t="s">
        <v>92</v>
      </c>
      <c r="C38" s="9" t="s">
        <v>93</v>
      </c>
      <c r="D38" s="9">
        <f>IFERROR(__xludf.DUMMYFUNCTION("GOOGLEFINANCE(""NSE:""&amp;C38)"),178.2)</f>
        <v>178.2</v>
      </c>
      <c r="E38" s="10" t="str">
        <f>IFERROR(__xludf.DUMMYFUNCTION("INDEX(GOOGLEFINANCE(""NSE:""&amp;B38,dates!$I$1,dates!$C$3),2,2)"),"#N/A")</f>
        <v>#N/A</v>
      </c>
      <c r="F38" s="10">
        <f>IFERROR(__xludf.DUMMYFUNCTION("INDEX(GOOGLEFINANCE(""NSE:""&amp;C38,dates!$I$1,dates!$C$4),2,2)"),178.8)</f>
        <v>178.8</v>
      </c>
      <c r="G38" s="10">
        <f>IFERROR(__xludf.DUMMYFUNCTION("INDEX(GOOGLEFINANCE(""NSE:""&amp;C38,dates!$I$1,dates!$C$5),2,2)"),173.9)</f>
        <v>173.9</v>
      </c>
      <c r="H38" s="10">
        <f>IFERROR(__xludf.DUMMYFUNCTION("INDEX(GOOGLEFINANCE(""NSE:""&amp;C38,dates!$I$1,dates!$C$6),2,2)"),174.35)</f>
        <v>174.35</v>
      </c>
      <c r="I38" s="16">
        <f t="shared" si="1"/>
        <v>-0.003355704698</v>
      </c>
      <c r="J38" s="16">
        <f t="shared" si="2"/>
        <v>0.02472685451</v>
      </c>
      <c r="K38" s="16">
        <f t="shared" si="3"/>
        <v>0.02208201893</v>
      </c>
      <c r="L38" s="16">
        <f t="shared" si="4"/>
        <v>-0.02808255921</v>
      </c>
      <c r="M38" s="17" t="str">
        <f t="shared" si="5"/>
        <v>#N/A</v>
      </c>
      <c r="N38" s="17" t="str">
        <f t="shared" si="6"/>
        <v>#N/A</v>
      </c>
      <c r="O38" s="17">
        <f t="shared" si="7"/>
        <v>177</v>
      </c>
      <c r="P38" s="17" t="str">
        <f t="shared" si="8"/>
        <v>#N/A</v>
      </c>
    </row>
    <row r="39">
      <c r="A39" s="7">
        <v>38.0</v>
      </c>
      <c r="B39" s="18" t="s">
        <v>94</v>
      </c>
      <c r="C39" s="19" t="s">
        <v>95</v>
      </c>
      <c r="D39" s="9">
        <f>IFERROR(__xludf.DUMMYFUNCTION("GOOGLEFINANCE(""NSE:""&amp;C39)"),1219.0)</f>
        <v>1219</v>
      </c>
      <c r="E39" s="10" t="str">
        <f>IFERROR(__xludf.DUMMYFUNCTION("INDEX(GOOGLEFINANCE(""NSE:""&amp;B39,dates!$I$1,dates!$C$3),2,2)"),"#N/A")</f>
        <v>#N/A</v>
      </c>
      <c r="F39" s="10">
        <f>IFERROR(__xludf.DUMMYFUNCTION("INDEX(GOOGLEFINANCE(""NSE:""&amp;C39,dates!$I$1,dates!$C$4),2,2)"),1198.8)</f>
        <v>1198.8</v>
      </c>
      <c r="G39" s="10">
        <f>IFERROR(__xludf.DUMMYFUNCTION("INDEX(GOOGLEFINANCE(""NSE:""&amp;C39,dates!$I$1,dates!$C$5),2,2)"),1165.15)</f>
        <v>1165.15</v>
      </c>
      <c r="H39" s="10">
        <f>IFERROR(__xludf.DUMMYFUNCTION("INDEX(GOOGLEFINANCE(""NSE:""&amp;C39,dates!$I$1,dates!$C$6),2,2)"),1184.05)</f>
        <v>1184.05</v>
      </c>
      <c r="I39" s="16">
        <f t="shared" si="1"/>
        <v>0.01685018352</v>
      </c>
      <c r="J39" s="16">
        <f t="shared" si="2"/>
        <v>0.04621722525</v>
      </c>
      <c r="K39" s="16">
        <f t="shared" si="3"/>
        <v>0.02951733457</v>
      </c>
      <c r="L39" s="16">
        <f t="shared" si="4"/>
        <v>-0.02936704173</v>
      </c>
      <c r="M39" s="17" t="str">
        <f t="shared" si="5"/>
        <v>#N/A</v>
      </c>
      <c r="N39" s="17" t="str">
        <f t="shared" si="6"/>
        <v>#N/A</v>
      </c>
      <c r="O39" s="17">
        <f t="shared" si="7"/>
        <v>160</v>
      </c>
      <c r="P39" s="17" t="str">
        <f t="shared" si="8"/>
        <v>#N/A</v>
      </c>
    </row>
    <row r="40">
      <c r="A40" s="7">
        <v>39.0</v>
      </c>
      <c r="B40" s="18" t="s">
        <v>96</v>
      </c>
      <c r="C40" s="9" t="s">
        <v>97</v>
      </c>
      <c r="D40" s="9">
        <f>IFERROR(__xludf.DUMMYFUNCTION("GOOGLEFINANCE(""NSE:""&amp;C40)"),2431.0)</f>
        <v>2431</v>
      </c>
      <c r="E40" s="10" t="str">
        <f>IFERROR(__xludf.DUMMYFUNCTION("INDEX(GOOGLEFINANCE(""NSE:""&amp;B40,dates!$I$1,dates!$C$3),2,2)"),"#N/A")</f>
        <v>#N/A</v>
      </c>
      <c r="F40" s="10">
        <f>IFERROR(__xludf.DUMMYFUNCTION("INDEX(GOOGLEFINANCE(""NSE:""&amp;C40,dates!$I$1,dates!$C$4),2,2)"),2368.45)</f>
        <v>2368.45</v>
      </c>
      <c r="G40" s="10">
        <f>IFERROR(__xludf.DUMMYFUNCTION("INDEX(GOOGLEFINANCE(""NSE:""&amp;C40,dates!$I$1,dates!$C$5),2,2)"),2397.0)</f>
        <v>2397</v>
      </c>
      <c r="H40" s="10">
        <f>IFERROR(__xludf.DUMMYFUNCTION("INDEX(GOOGLEFINANCE(""NSE:""&amp;C40,dates!$I$1,dates!$C$6),2,2)"),2225.2)</f>
        <v>2225.2</v>
      </c>
      <c r="I40" s="16">
        <f t="shared" si="1"/>
        <v>0.02640967722</v>
      </c>
      <c r="J40" s="16">
        <f t="shared" si="2"/>
        <v>0.01418439716</v>
      </c>
      <c r="K40" s="16">
        <f t="shared" si="3"/>
        <v>0.09248606867</v>
      </c>
      <c r="L40" s="16">
        <f t="shared" si="4"/>
        <v>0.01222528005</v>
      </c>
      <c r="M40" s="17" t="str">
        <f t="shared" si="5"/>
        <v>#N/A</v>
      </c>
      <c r="N40" s="17" t="str">
        <f t="shared" si="6"/>
        <v>#N/A</v>
      </c>
      <c r="O40" s="17">
        <f t="shared" si="7"/>
        <v>81</v>
      </c>
      <c r="P40" s="17" t="str">
        <f t="shared" si="8"/>
        <v>#N/A</v>
      </c>
    </row>
    <row r="41">
      <c r="A41" s="7">
        <v>40.0</v>
      </c>
      <c r="B41" s="18" t="s">
        <v>98</v>
      </c>
      <c r="C41" s="9" t="s">
        <v>98</v>
      </c>
      <c r="D41" s="9">
        <f>IFERROR(__xludf.DUMMYFUNCTION("GOOGLEFINANCE(""NSE:""&amp;C41)"),126.15)</f>
        <v>126.15</v>
      </c>
      <c r="E41" s="10" t="str">
        <f>IFERROR(__xludf.DUMMYFUNCTION("INDEX(GOOGLEFINANCE(""NSE:""&amp;B41,dates!$I$1,dates!$C$3),2,2)"),"#N/A")</f>
        <v>#N/A</v>
      </c>
      <c r="F41" s="10">
        <f>IFERROR(__xludf.DUMMYFUNCTION("INDEX(GOOGLEFINANCE(""NSE:""&amp;C41,dates!$I$1,dates!$C$4),2,2)"),123.75)</f>
        <v>123.75</v>
      </c>
      <c r="G41" s="10">
        <f>IFERROR(__xludf.DUMMYFUNCTION("INDEX(GOOGLEFINANCE(""NSE:""&amp;C41,dates!$I$1,dates!$C$5),2,2)"),115.0)</f>
        <v>115</v>
      </c>
      <c r="H41" s="10">
        <f>IFERROR(__xludf.DUMMYFUNCTION("INDEX(GOOGLEFINANCE(""NSE:""&amp;C41,dates!$I$1,dates!$C$6),2,2)"),113.4)</f>
        <v>113.4</v>
      </c>
      <c r="I41" s="16">
        <f t="shared" si="1"/>
        <v>0.01939393939</v>
      </c>
      <c r="J41" s="16">
        <f t="shared" si="2"/>
        <v>0.09695652174</v>
      </c>
      <c r="K41" s="16">
        <f t="shared" si="3"/>
        <v>0.1124338624</v>
      </c>
      <c r="L41" s="16">
        <f t="shared" si="4"/>
        <v>-0.07756258235</v>
      </c>
      <c r="M41" s="17" t="str">
        <f t="shared" si="5"/>
        <v>#N/A</v>
      </c>
      <c r="N41" s="17" t="str">
        <f t="shared" si="6"/>
        <v>#N/A</v>
      </c>
      <c r="O41" s="17">
        <f t="shared" si="7"/>
        <v>66</v>
      </c>
      <c r="P41" s="17" t="str">
        <f t="shared" si="8"/>
        <v>#N/A</v>
      </c>
    </row>
    <row r="42">
      <c r="A42" s="7">
        <v>41.0</v>
      </c>
      <c r="B42" s="18" t="s">
        <v>99</v>
      </c>
      <c r="C42" s="9" t="s">
        <v>100</v>
      </c>
      <c r="D42" s="9">
        <f>IFERROR(__xludf.DUMMYFUNCTION("GOOGLEFINANCE(""NSE:""&amp;C42)"),1058.0)</f>
        <v>1058</v>
      </c>
      <c r="E42" s="10" t="str">
        <f>IFERROR(__xludf.DUMMYFUNCTION("INDEX(GOOGLEFINANCE(""NSE:""&amp;B42,dates!$I$1,dates!$C$3),2,2)"),"#N/A")</f>
        <v>#N/A</v>
      </c>
      <c r="F42" s="10">
        <f>IFERROR(__xludf.DUMMYFUNCTION("INDEX(GOOGLEFINANCE(""NSE:""&amp;C42,dates!$I$1,dates!$C$4),2,2)"),1090.6)</f>
        <v>1090.6</v>
      </c>
      <c r="G42" s="10">
        <f>IFERROR(__xludf.DUMMYFUNCTION("INDEX(GOOGLEFINANCE(""NSE:""&amp;C42,dates!$I$1,dates!$C$5),2,2)"),1121.25)</f>
        <v>1121.25</v>
      </c>
      <c r="H42" s="10">
        <f>IFERROR(__xludf.DUMMYFUNCTION("INDEX(GOOGLEFINANCE(""NSE:""&amp;C42,dates!$I$1,dates!$C$6),2,2)"),1054.05)</f>
        <v>1054.05</v>
      </c>
      <c r="I42" s="16">
        <f t="shared" si="1"/>
        <v>-0.02989180268</v>
      </c>
      <c r="J42" s="16">
        <f t="shared" si="2"/>
        <v>-0.05641025641</v>
      </c>
      <c r="K42" s="16">
        <f t="shared" si="3"/>
        <v>0.003747450311</v>
      </c>
      <c r="L42" s="16">
        <f t="shared" si="4"/>
        <v>0.02651845373</v>
      </c>
      <c r="M42" s="17" t="str">
        <f t="shared" si="5"/>
        <v>#N/A</v>
      </c>
      <c r="N42" s="17" t="str">
        <f t="shared" si="6"/>
        <v>#N/A</v>
      </c>
      <c r="O42" s="17">
        <f t="shared" si="7"/>
        <v>200</v>
      </c>
      <c r="P42" s="17" t="str">
        <f t="shared" si="8"/>
        <v>#N/A</v>
      </c>
    </row>
    <row r="43">
      <c r="A43" s="7">
        <v>42.0</v>
      </c>
      <c r="B43" s="18" t="s">
        <v>101</v>
      </c>
      <c r="C43" s="9" t="s">
        <v>102</v>
      </c>
      <c r="D43" s="9">
        <f>IFERROR(__xludf.DUMMYFUNCTION("GOOGLEFINANCE(""NSE:""&amp;C43)"),299.0)</f>
        <v>299</v>
      </c>
      <c r="E43" s="10" t="str">
        <f>IFERROR(__xludf.DUMMYFUNCTION("INDEX(GOOGLEFINANCE(""NSE:""&amp;B43,dates!$I$1,dates!$C$3),2,2)"),"#N/A")</f>
        <v>#N/A</v>
      </c>
      <c r="F43" s="10">
        <f>IFERROR(__xludf.DUMMYFUNCTION("INDEX(GOOGLEFINANCE(""NSE:""&amp;C43,dates!$I$1,dates!$C$4),2,2)"),302.0)</f>
        <v>302</v>
      </c>
      <c r="G43" s="10">
        <f>IFERROR(__xludf.DUMMYFUNCTION("INDEX(GOOGLEFINANCE(""NSE:""&amp;C43,dates!$I$1,dates!$C$5),2,2)"),308.55)</f>
        <v>308.55</v>
      </c>
      <c r="H43" s="10">
        <f>IFERROR(__xludf.DUMMYFUNCTION("INDEX(GOOGLEFINANCE(""NSE:""&amp;C43,dates!$I$1,dates!$C$6),2,2)"),292.6)</f>
        <v>292.6</v>
      </c>
      <c r="I43" s="16">
        <f t="shared" si="1"/>
        <v>-0.009933774834</v>
      </c>
      <c r="J43" s="16">
        <f t="shared" si="2"/>
        <v>-0.03095122346</v>
      </c>
      <c r="K43" s="16">
        <f t="shared" si="3"/>
        <v>0.02187286398</v>
      </c>
      <c r="L43" s="16">
        <f t="shared" si="4"/>
        <v>0.02101744863</v>
      </c>
      <c r="M43" s="17" t="str">
        <f t="shared" si="5"/>
        <v>#N/A</v>
      </c>
      <c r="N43" s="17" t="str">
        <f t="shared" si="6"/>
        <v>#N/A</v>
      </c>
      <c r="O43" s="17">
        <f t="shared" si="7"/>
        <v>179</v>
      </c>
      <c r="P43" s="17" t="str">
        <f t="shared" si="8"/>
        <v>#N/A</v>
      </c>
    </row>
    <row r="44">
      <c r="A44" s="7">
        <v>43.0</v>
      </c>
      <c r="B44" s="18" t="s">
        <v>103</v>
      </c>
      <c r="C44" s="9" t="s">
        <v>104</v>
      </c>
      <c r="D44" s="9">
        <f>IFERROR(__xludf.DUMMYFUNCTION("GOOGLEFINANCE(""NSE:""&amp;C44)"),649.0)</f>
        <v>649</v>
      </c>
      <c r="E44" s="10" t="str">
        <f>IFERROR(__xludf.DUMMYFUNCTION("INDEX(GOOGLEFINANCE(""NSE:""&amp;B44,dates!$I$1,dates!$C$3),2,2)"),"#N/A")</f>
        <v>#N/A</v>
      </c>
      <c r="F44" s="10">
        <f>IFERROR(__xludf.DUMMYFUNCTION("INDEX(GOOGLEFINANCE(""NSE:""&amp;C44,dates!$I$1,dates!$C$4),2,2)"),653.95)</f>
        <v>653.95</v>
      </c>
      <c r="G44" s="10">
        <f>IFERROR(__xludf.DUMMYFUNCTION("INDEX(GOOGLEFINANCE(""NSE:""&amp;C44,dates!$I$1,dates!$C$5),2,2)"),640.2)</f>
        <v>640.2</v>
      </c>
      <c r="H44" s="10">
        <f>IFERROR(__xludf.DUMMYFUNCTION("INDEX(GOOGLEFINANCE(""NSE:""&amp;C44,dates!$I$1,dates!$C$6),2,2)"),608.75)</f>
        <v>608.75</v>
      </c>
      <c r="I44" s="16">
        <f t="shared" si="1"/>
        <v>-0.007569386039</v>
      </c>
      <c r="J44" s="16">
        <f t="shared" si="2"/>
        <v>0.01374570447</v>
      </c>
      <c r="K44" s="16">
        <f t="shared" si="3"/>
        <v>0.06611909651</v>
      </c>
      <c r="L44" s="16">
        <f t="shared" si="4"/>
        <v>-0.02131509051</v>
      </c>
      <c r="M44" s="17" t="str">
        <f t="shared" si="5"/>
        <v>#N/A</v>
      </c>
      <c r="N44" s="17" t="str">
        <f t="shared" si="6"/>
        <v>#N/A</v>
      </c>
      <c r="O44" s="17">
        <f t="shared" si="7"/>
        <v>110</v>
      </c>
      <c r="P44" s="17" t="str">
        <f t="shared" si="8"/>
        <v>#N/A</v>
      </c>
    </row>
    <row r="45">
      <c r="A45" s="7">
        <v>44.0</v>
      </c>
      <c r="B45" s="18" t="s">
        <v>105</v>
      </c>
      <c r="C45" s="9" t="s">
        <v>106</v>
      </c>
      <c r="D45" s="9">
        <f>IFERROR(__xludf.DUMMYFUNCTION("GOOGLEFINANCE(""NSE:""&amp;C45)"),3795.0)</f>
        <v>3795</v>
      </c>
      <c r="E45" s="10" t="str">
        <f>IFERROR(__xludf.DUMMYFUNCTION("INDEX(GOOGLEFINANCE(""NSE:""&amp;B45,dates!$I$1,dates!$C$3),2,2)"),"#N/A")</f>
        <v>#N/A</v>
      </c>
      <c r="F45" s="10">
        <f>IFERROR(__xludf.DUMMYFUNCTION("INDEX(GOOGLEFINANCE(""NSE:""&amp;C45,dates!$I$1,dates!$C$4),2,2)"),3822.2)</f>
        <v>3822.2</v>
      </c>
      <c r="G45" s="10">
        <f>IFERROR(__xludf.DUMMYFUNCTION("INDEX(GOOGLEFINANCE(""NSE:""&amp;C45,dates!$I$1,dates!$C$5),2,2)"),3699.55)</f>
        <v>3699.55</v>
      </c>
      <c r="H45" s="10">
        <f>IFERROR(__xludf.DUMMYFUNCTION("INDEX(GOOGLEFINANCE(""NSE:""&amp;C45,dates!$I$1,dates!$C$6),2,2)"),3699.45)</f>
        <v>3699.45</v>
      </c>
      <c r="I45" s="16">
        <f t="shared" si="1"/>
        <v>-0.007116320444</v>
      </c>
      <c r="J45" s="16">
        <f t="shared" si="2"/>
        <v>0.02580043519</v>
      </c>
      <c r="K45" s="16">
        <f t="shared" si="3"/>
        <v>0.02582816365</v>
      </c>
      <c r="L45" s="16">
        <f t="shared" si="4"/>
        <v>-0.03291675563</v>
      </c>
      <c r="M45" s="17" t="str">
        <f t="shared" si="5"/>
        <v>#N/A</v>
      </c>
      <c r="N45" s="17" t="str">
        <f t="shared" si="6"/>
        <v>#N/A</v>
      </c>
      <c r="O45" s="17">
        <f t="shared" si="7"/>
        <v>168</v>
      </c>
      <c r="P45" s="17" t="str">
        <f t="shared" si="8"/>
        <v>#N/A</v>
      </c>
    </row>
    <row r="46">
      <c r="A46" s="7">
        <v>45.0</v>
      </c>
      <c r="B46" s="18" t="s">
        <v>107</v>
      </c>
      <c r="C46" s="9" t="s">
        <v>108</v>
      </c>
      <c r="D46" s="9">
        <f>IFERROR(__xludf.DUMMYFUNCTION("GOOGLEFINANCE(""NSE:""&amp;C46)"),137.7)</f>
        <v>137.7</v>
      </c>
      <c r="E46" s="10" t="str">
        <f>IFERROR(__xludf.DUMMYFUNCTION("INDEX(GOOGLEFINANCE(""NSE:""&amp;B46,dates!$I$1,dates!$C$3),2,2)"),"#N/A")</f>
        <v>#N/A</v>
      </c>
      <c r="F46" s="10">
        <f>IFERROR(__xludf.DUMMYFUNCTION("INDEX(GOOGLEFINANCE(""NSE:""&amp;C46,dates!$I$1,dates!$C$4),2,2)"),137.9)</f>
        <v>137.9</v>
      </c>
      <c r="G46" s="10">
        <f>IFERROR(__xludf.DUMMYFUNCTION("INDEX(GOOGLEFINANCE(""NSE:""&amp;C46,dates!$I$1,dates!$C$5),2,2)"),143.15)</f>
        <v>143.15</v>
      </c>
      <c r="H46" s="10">
        <f>IFERROR(__xludf.DUMMYFUNCTION("INDEX(GOOGLEFINANCE(""NSE:""&amp;C46,dates!$I$1,dates!$C$6),2,2)"),124.7)</f>
        <v>124.7</v>
      </c>
      <c r="I46" s="16">
        <f t="shared" si="1"/>
        <v>-0.001450326323</v>
      </c>
      <c r="J46" s="16">
        <f t="shared" si="2"/>
        <v>-0.0380719525</v>
      </c>
      <c r="K46" s="16">
        <f t="shared" si="3"/>
        <v>0.1042502005</v>
      </c>
      <c r="L46" s="16">
        <f t="shared" si="4"/>
        <v>0.03662162617</v>
      </c>
      <c r="M46" s="17" t="str">
        <f t="shared" si="5"/>
        <v>#N/A</v>
      </c>
      <c r="N46" s="17" t="str">
        <f t="shared" si="6"/>
        <v>#N/A</v>
      </c>
      <c r="O46" s="17">
        <f t="shared" si="7"/>
        <v>73</v>
      </c>
      <c r="P46" s="17" t="str">
        <f t="shared" si="8"/>
        <v>#N/A</v>
      </c>
    </row>
    <row r="47">
      <c r="A47" s="7">
        <v>46.0</v>
      </c>
      <c r="B47" s="18" t="s">
        <v>109</v>
      </c>
      <c r="C47" s="9" t="s">
        <v>110</v>
      </c>
      <c r="D47" s="9">
        <f>IFERROR(__xludf.DUMMYFUNCTION("GOOGLEFINANCE(""NSE:""&amp;C47)"),321.0)</f>
        <v>321</v>
      </c>
      <c r="E47" s="10" t="str">
        <f>IFERROR(__xludf.DUMMYFUNCTION("INDEX(GOOGLEFINANCE(""NSE:""&amp;B47,dates!$I$1,dates!$C$3),2,2)"),"#N/A")</f>
        <v>#N/A</v>
      </c>
      <c r="F47" s="10">
        <f>IFERROR(__xludf.DUMMYFUNCTION("INDEX(GOOGLEFINANCE(""NSE:""&amp;C47,dates!$I$1,dates!$C$4),2,2)"),308.6)</f>
        <v>308.6</v>
      </c>
      <c r="G47" s="10">
        <f>IFERROR(__xludf.DUMMYFUNCTION("INDEX(GOOGLEFINANCE(""NSE:""&amp;C47,dates!$I$1,dates!$C$5),2,2)"),301.2)</f>
        <v>301.2</v>
      </c>
      <c r="H47" s="10">
        <f>IFERROR(__xludf.DUMMYFUNCTION("INDEX(GOOGLEFINANCE(""NSE:""&amp;C47,dates!$I$1,dates!$C$6),2,2)"),285.75)</f>
        <v>285.75</v>
      </c>
      <c r="I47" s="16">
        <f t="shared" si="1"/>
        <v>0.04018146468</v>
      </c>
      <c r="J47" s="16">
        <f t="shared" si="2"/>
        <v>0.06573705179</v>
      </c>
      <c r="K47" s="16">
        <f t="shared" si="3"/>
        <v>0.1233595801</v>
      </c>
      <c r="L47" s="16">
        <f t="shared" si="4"/>
        <v>-0.02555558711</v>
      </c>
      <c r="M47" s="17" t="str">
        <f t="shared" si="5"/>
        <v>#N/A</v>
      </c>
      <c r="N47" s="17" t="str">
        <f t="shared" si="6"/>
        <v>#N/A</v>
      </c>
      <c r="O47" s="17">
        <f t="shared" si="7"/>
        <v>57</v>
      </c>
      <c r="P47" s="17" t="str">
        <f t="shared" si="8"/>
        <v>#N/A</v>
      </c>
    </row>
    <row r="48">
      <c r="A48" s="7">
        <v>47.0</v>
      </c>
      <c r="B48" s="18" t="s">
        <v>111</v>
      </c>
      <c r="C48" s="9" t="s">
        <v>112</v>
      </c>
      <c r="D48" s="9">
        <f>IFERROR(__xludf.DUMMYFUNCTION("GOOGLEFINANCE(""NSE:""&amp;C48)"),1044.0)</f>
        <v>1044</v>
      </c>
      <c r="E48" s="10" t="str">
        <f>IFERROR(__xludf.DUMMYFUNCTION("INDEX(GOOGLEFINANCE(""NSE:""&amp;B48,dates!$I$1,dates!$C$3),2,2)"),"#N/A")</f>
        <v>#N/A</v>
      </c>
      <c r="F48" s="10">
        <f>IFERROR(__xludf.DUMMYFUNCTION("INDEX(GOOGLEFINANCE(""NSE:""&amp;C48,dates!$I$1,dates!$C$4),2,2)"),1078.05)</f>
        <v>1078.05</v>
      </c>
      <c r="G48" s="10">
        <f>IFERROR(__xludf.DUMMYFUNCTION("INDEX(GOOGLEFINANCE(""NSE:""&amp;C48,dates!$I$1,dates!$C$5),2,2)"),1085.95)</f>
        <v>1085.95</v>
      </c>
      <c r="H48" s="10">
        <f>IFERROR(__xludf.DUMMYFUNCTION("INDEX(GOOGLEFINANCE(""NSE:""&amp;C48,dates!$I$1,dates!$C$6),2,2)"),1091.0)</f>
        <v>1091</v>
      </c>
      <c r="I48" s="16">
        <f t="shared" si="1"/>
        <v>-0.0315848059</v>
      </c>
      <c r="J48" s="16">
        <f t="shared" si="2"/>
        <v>-0.03862977117</v>
      </c>
      <c r="K48" s="16">
        <f t="shared" si="3"/>
        <v>-0.04307974335</v>
      </c>
      <c r="L48" s="16">
        <f t="shared" si="4"/>
        <v>0.007044965269</v>
      </c>
      <c r="M48" s="17" t="str">
        <f t="shared" si="5"/>
        <v>#N/A</v>
      </c>
      <c r="N48" s="17" t="str">
        <f t="shared" si="6"/>
        <v>#N/A</v>
      </c>
      <c r="O48" s="17">
        <f t="shared" si="7"/>
        <v>232</v>
      </c>
      <c r="P48" s="17" t="str">
        <f t="shared" si="8"/>
        <v>#N/A</v>
      </c>
    </row>
    <row r="49">
      <c r="A49" s="7">
        <v>48.0</v>
      </c>
      <c r="B49" s="18" t="s">
        <v>113</v>
      </c>
      <c r="C49" s="9" t="s">
        <v>114</v>
      </c>
      <c r="D49" s="9">
        <f>IFERROR(__xludf.DUMMYFUNCTION("GOOGLEFINANCE(""NSE:""&amp;C49)"),419.55)</f>
        <v>419.55</v>
      </c>
      <c r="E49" s="10" t="str">
        <f>IFERROR(__xludf.DUMMYFUNCTION("INDEX(GOOGLEFINANCE(""NSE:""&amp;B49,dates!$I$1,dates!$C$3),2,2)"),"#N/A")</f>
        <v>#N/A</v>
      </c>
      <c r="F49" s="10">
        <f>IFERROR(__xludf.DUMMYFUNCTION("INDEX(GOOGLEFINANCE(""NSE:""&amp;C49,dates!$I$1,dates!$C$4),2,2)"),436.25)</f>
        <v>436.25</v>
      </c>
      <c r="G49" s="10">
        <f>IFERROR(__xludf.DUMMYFUNCTION("INDEX(GOOGLEFINANCE(""NSE:""&amp;C49,dates!$I$1,dates!$C$5),2,2)"),498.1)</f>
        <v>498.1</v>
      </c>
      <c r="H49" s="10">
        <f>IFERROR(__xludf.DUMMYFUNCTION("INDEX(GOOGLEFINANCE(""NSE:""&amp;C49,dates!$I$1,dates!$C$6),2,2)"),471.3)</f>
        <v>471.3</v>
      </c>
      <c r="I49" s="16">
        <f t="shared" si="1"/>
        <v>-0.03828080229</v>
      </c>
      <c r="J49" s="16">
        <f t="shared" si="2"/>
        <v>-0.1576992572</v>
      </c>
      <c r="K49" s="16">
        <f t="shared" si="3"/>
        <v>-0.1098026735</v>
      </c>
      <c r="L49" s="16">
        <f t="shared" si="4"/>
        <v>0.1194184549</v>
      </c>
      <c r="M49" s="17" t="str">
        <f t="shared" si="5"/>
        <v>#N/A</v>
      </c>
      <c r="N49" s="17" t="str">
        <f t="shared" si="6"/>
        <v>#N/A</v>
      </c>
      <c r="O49" s="17">
        <f t="shared" si="7"/>
        <v>245</v>
      </c>
      <c r="P49" s="17" t="str">
        <f t="shared" si="8"/>
        <v>#N/A</v>
      </c>
    </row>
    <row r="50">
      <c r="A50" s="7">
        <v>49.0</v>
      </c>
      <c r="B50" s="18" t="s">
        <v>115</v>
      </c>
      <c r="C50" s="9" t="s">
        <v>116</v>
      </c>
      <c r="D50" s="9">
        <f>IFERROR(__xludf.DUMMYFUNCTION("GOOGLEFINANCE(""NSE:""&amp;C50)"),117.85)</f>
        <v>117.85</v>
      </c>
      <c r="E50" s="10" t="str">
        <f>IFERROR(__xludf.DUMMYFUNCTION("INDEX(GOOGLEFINANCE(""NSE:""&amp;B50,dates!$I$1,dates!$C$3),2,2)"),"#N/A")</f>
        <v>#N/A</v>
      </c>
      <c r="F50" s="10">
        <f>IFERROR(__xludf.DUMMYFUNCTION("INDEX(GOOGLEFINANCE(""NSE:""&amp;C50,dates!$I$1,dates!$C$4),2,2)"),118.25)</f>
        <v>118.25</v>
      </c>
      <c r="G50" s="10">
        <f>IFERROR(__xludf.DUMMYFUNCTION("INDEX(GOOGLEFINANCE(""NSE:""&amp;C50,dates!$I$1,dates!$C$5),2,2)"),114.0)</f>
        <v>114</v>
      </c>
      <c r="H50" s="10">
        <f>IFERROR(__xludf.DUMMYFUNCTION("INDEX(GOOGLEFINANCE(""NSE:""&amp;C50,dates!$I$1,dates!$C$6),2,2)"),105.95)</f>
        <v>105.95</v>
      </c>
      <c r="I50" s="16">
        <f t="shared" si="1"/>
        <v>-0.003382663848</v>
      </c>
      <c r="J50" s="16">
        <f t="shared" si="2"/>
        <v>0.03377192982</v>
      </c>
      <c r="K50" s="16">
        <f t="shared" si="3"/>
        <v>0.1123171307</v>
      </c>
      <c r="L50" s="16">
        <f t="shared" si="4"/>
        <v>-0.03715459367</v>
      </c>
      <c r="M50" s="17" t="str">
        <f t="shared" si="5"/>
        <v>#N/A</v>
      </c>
      <c r="N50" s="17" t="str">
        <f t="shared" si="6"/>
        <v>#N/A</v>
      </c>
      <c r="O50" s="17">
        <f t="shared" si="7"/>
        <v>67</v>
      </c>
      <c r="P50" s="17" t="str">
        <f t="shared" si="8"/>
        <v>#N/A</v>
      </c>
    </row>
    <row r="51">
      <c r="A51" s="7">
        <v>50.0</v>
      </c>
      <c r="B51" s="18" t="s">
        <v>117</v>
      </c>
      <c r="C51" s="9" t="s">
        <v>118</v>
      </c>
      <c r="D51" s="9">
        <f>IFERROR(__xludf.DUMMYFUNCTION("GOOGLEFINANCE(""NSE:""&amp;C51)"),483.8)</f>
        <v>483.8</v>
      </c>
      <c r="E51" s="10" t="str">
        <f>IFERROR(__xludf.DUMMYFUNCTION("INDEX(GOOGLEFINANCE(""NSE:""&amp;B51,dates!$I$1,dates!$C$3),2,2)"),"#N/A")</f>
        <v>#N/A</v>
      </c>
      <c r="F51" s="10">
        <f>IFERROR(__xludf.DUMMYFUNCTION("INDEX(GOOGLEFINANCE(""NSE:""&amp;C51,dates!$I$1,dates!$C$4),2,2)"),473.05)</f>
        <v>473.05</v>
      </c>
      <c r="G51" s="10">
        <f>IFERROR(__xludf.DUMMYFUNCTION("INDEX(GOOGLEFINANCE(""NSE:""&amp;C51,dates!$I$1,dates!$C$5),2,2)"),478.35)</f>
        <v>478.35</v>
      </c>
      <c r="H51" s="10">
        <f>IFERROR(__xludf.DUMMYFUNCTION("INDEX(GOOGLEFINANCE(""NSE:""&amp;C51,dates!$I$1,dates!$C$6),2,2)"),437.9)</f>
        <v>437.9</v>
      </c>
      <c r="I51" s="16">
        <f t="shared" si="1"/>
        <v>0.02272487052</v>
      </c>
      <c r="J51" s="16">
        <f t="shared" si="2"/>
        <v>0.01139333124</v>
      </c>
      <c r="K51" s="16">
        <f t="shared" si="3"/>
        <v>0.1048184517</v>
      </c>
      <c r="L51" s="16">
        <f t="shared" si="4"/>
        <v>0.01133153928</v>
      </c>
      <c r="M51" s="17" t="str">
        <f t="shared" si="5"/>
        <v>#N/A</v>
      </c>
      <c r="N51" s="17" t="str">
        <f t="shared" si="6"/>
        <v>#N/A</v>
      </c>
      <c r="O51" s="17">
        <f t="shared" si="7"/>
        <v>72</v>
      </c>
      <c r="P51" s="17" t="str">
        <f t="shared" si="8"/>
        <v>#N/A</v>
      </c>
    </row>
    <row r="52">
      <c r="A52" s="7">
        <v>51.0</v>
      </c>
      <c r="B52" s="18" t="s">
        <v>119</v>
      </c>
      <c r="C52" s="19" t="s">
        <v>120</v>
      </c>
      <c r="D52" s="9">
        <f>IFERROR(__xludf.DUMMYFUNCTION("GOOGLEFINANCE(""NSE:""&amp;C52)"),758.1)</f>
        <v>758.1</v>
      </c>
      <c r="E52" s="10" t="str">
        <f>IFERROR(__xludf.DUMMYFUNCTION("INDEX(GOOGLEFINANCE(""NSE:""&amp;B52,dates!$I$1,dates!$C$3),2,2)"),"#N/A")</f>
        <v>#N/A</v>
      </c>
      <c r="F52" s="10">
        <f>IFERROR(__xludf.DUMMYFUNCTION("INDEX(GOOGLEFINANCE(""NSE:""&amp;C52,dates!$I$1,dates!$C$4),2,2)"),754.15)</f>
        <v>754.15</v>
      </c>
      <c r="G52" s="10">
        <f>IFERROR(__xludf.DUMMYFUNCTION("INDEX(GOOGLEFINANCE(""NSE:""&amp;C52,dates!$I$1,dates!$C$5),2,2)"),745.55)</f>
        <v>745.55</v>
      </c>
      <c r="H52" s="10">
        <f>IFERROR(__xludf.DUMMYFUNCTION("INDEX(GOOGLEFINANCE(""NSE:""&amp;C52,dates!$I$1,dates!$C$6),2,2)"),775.15)</f>
        <v>775.15</v>
      </c>
      <c r="I52" s="16">
        <f t="shared" si="1"/>
        <v>0.005237684811</v>
      </c>
      <c r="J52" s="16">
        <f t="shared" si="2"/>
        <v>0.01683321038</v>
      </c>
      <c r="K52" s="16">
        <f t="shared" si="3"/>
        <v>-0.02199574276</v>
      </c>
      <c r="L52" s="16">
        <f t="shared" si="4"/>
        <v>-0.01159552557</v>
      </c>
      <c r="M52" s="17" t="str">
        <f t="shared" si="5"/>
        <v>#N/A</v>
      </c>
      <c r="N52" s="17" t="str">
        <f t="shared" si="6"/>
        <v>#N/A</v>
      </c>
      <c r="O52" s="17">
        <f t="shared" si="7"/>
        <v>226</v>
      </c>
      <c r="P52" s="17" t="str">
        <f t="shared" si="8"/>
        <v>#N/A</v>
      </c>
    </row>
    <row r="53">
      <c r="A53" s="7">
        <v>52.0</v>
      </c>
      <c r="B53" s="18" t="s">
        <v>121</v>
      </c>
      <c r="C53" s="9" t="s">
        <v>122</v>
      </c>
      <c r="D53" s="9">
        <f>IFERROR(__xludf.DUMMYFUNCTION("GOOGLEFINANCE(""NSE:""&amp;C53)"),29900.0)</f>
        <v>29900</v>
      </c>
      <c r="E53" s="10" t="str">
        <f>IFERROR(__xludf.DUMMYFUNCTION("INDEX(GOOGLEFINANCE(""NSE:""&amp;B53,dates!$I$1,dates!$C$3),2,2)"),"#N/A")</f>
        <v>#N/A</v>
      </c>
      <c r="F53" s="10">
        <f>IFERROR(__xludf.DUMMYFUNCTION("INDEX(GOOGLEFINANCE(""NSE:""&amp;C53,dates!$I$1,dates!$C$4),2,2)"),30559.45)</f>
        <v>30559.45</v>
      </c>
      <c r="G53" s="10">
        <f>IFERROR(__xludf.DUMMYFUNCTION("INDEX(GOOGLEFINANCE(""NSE:""&amp;C53,dates!$I$1,dates!$C$5),2,2)"),30663.35)</f>
        <v>30663.35</v>
      </c>
      <c r="H53" s="10">
        <f>IFERROR(__xludf.DUMMYFUNCTION("INDEX(GOOGLEFINANCE(""NSE:""&amp;C53,dates!$I$1,dates!$C$6),2,2)"),26897.75)</f>
        <v>26897.75</v>
      </c>
      <c r="I53" s="16">
        <f t="shared" si="1"/>
        <v>-0.02157924963</v>
      </c>
      <c r="J53" s="16">
        <f t="shared" si="2"/>
        <v>-0.02489454022</v>
      </c>
      <c r="K53" s="16">
        <f t="shared" si="3"/>
        <v>0.1116171427</v>
      </c>
      <c r="L53" s="16">
        <f t="shared" si="4"/>
        <v>0.003315290598</v>
      </c>
      <c r="M53" s="17" t="str">
        <f t="shared" si="5"/>
        <v>#N/A</v>
      </c>
      <c r="N53" s="17" t="str">
        <f t="shared" si="6"/>
        <v>#N/A</v>
      </c>
      <c r="O53" s="17">
        <f t="shared" si="7"/>
        <v>68</v>
      </c>
      <c r="P53" s="17" t="str">
        <f t="shared" si="8"/>
        <v>#N/A</v>
      </c>
    </row>
    <row r="54">
      <c r="A54" s="7">
        <v>53.0</v>
      </c>
      <c r="B54" s="18" t="s">
        <v>123</v>
      </c>
      <c r="C54" s="9" t="s">
        <v>124</v>
      </c>
      <c r="D54" s="9">
        <f>IFERROR(__xludf.DUMMYFUNCTION("GOOGLEFINANCE(""NSE:""&amp;C54)"),1608.05)</f>
        <v>1608.05</v>
      </c>
      <c r="E54" s="10" t="str">
        <f>IFERROR(__xludf.DUMMYFUNCTION("INDEX(GOOGLEFINANCE(""NSE:""&amp;B54,dates!$I$1,dates!$C$3),2,2)"),"#N/A")</f>
        <v>#N/A</v>
      </c>
      <c r="F54" s="10">
        <f>IFERROR(__xludf.DUMMYFUNCTION("INDEX(GOOGLEFINANCE(""NSE:""&amp;C54,dates!$I$1,dates!$C$4),2,2)"),1568.8)</f>
        <v>1568.8</v>
      </c>
      <c r="G54" s="10">
        <f>IFERROR(__xludf.DUMMYFUNCTION("INDEX(GOOGLEFINANCE(""NSE:""&amp;C54,dates!$I$1,dates!$C$5),2,2)"),1606.35)</f>
        <v>1606.35</v>
      </c>
      <c r="H54" s="10">
        <f>IFERROR(__xludf.DUMMYFUNCTION("INDEX(GOOGLEFINANCE(""NSE:""&amp;C54,dates!$I$1,dates!$C$6),2,2)"),1458.3)</f>
        <v>1458.3</v>
      </c>
      <c r="I54" s="16">
        <f t="shared" si="1"/>
        <v>0.0250191229</v>
      </c>
      <c r="J54" s="16">
        <f t="shared" si="2"/>
        <v>0.001058299872</v>
      </c>
      <c r="K54" s="16">
        <f t="shared" si="3"/>
        <v>0.1026880614</v>
      </c>
      <c r="L54" s="16">
        <f t="shared" si="4"/>
        <v>0.02396082302</v>
      </c>
      <c r="M54" s="17" t="str">
        <f t="shared" si="5"/>
        <v>#N/A</v>
      </c>
      <c r="N54" s="17" t="str">
        <f t="shared" si="6"/>
        <v>#N/A</v>
      </c>
      <c r="O54" s="17">
        <f t="shared" si="7"/>
        <v>75</v>
      </c>
      <c r="P54" s="17" t="str">
        <f t="shared" si="8"/>
        <v>#N/A</v>
      </c>
    </row>
    <row r="55">
      <c r="A55" s="7">
        <v>54.0</v>
      </c>
      <c r="B55" s="18" t="s">
        <v>125</v>
      </c>
      <c r="C55" s="9" t="s">
        <v>126</v>
      </c>
      <c r="D55" s="9">
        <f>IFERROR(__xludf.DUMMYFUNCTION("GOOGLEFINANCE(""NSE:""&amp;C55)"),4048.95)</f>
        <v>4048.95</v>
      </c>
      <c r="E55" s="10" t="str">
        <f>IFERROR(__xludf.DUMMYFUNCTION("INDEX(GOOGLEFINANCE(""NSE:""&amp;B55,dates!$I$1,dates!$C$3),2,2)"),"#N/A")</f>
        <v>#N/A</v>
      </c>
      <c r="F55" s="10">
        <f>IFERROR(__xludf.DUMMYFUNCTION("INDEX(GOOGLEFINANCE(""NSE:""&amp;C55,dates!$I$1,dates!$C$4),2,2)"),4051.85)</f>
        <v>4051.85</v>
      </c>
      <c r="G55" s="10">
        <f>IFERROR(__xludf.DUMMYFUNCTION("INDEX(GOOGLEFINANCE(""NSE:""&amp;C55,dates!$I$1,dates!$C$5),2,2)"),4093.85)</f>
        <v>4093.85</v>
      </c>
      <c r="H55" s="10">
        <f>IFERROR(__xludf.DUMMYFUNCTION("INDEX(GOOGLEFINANCE(""NSE:""&amp;C55,dates!$I$1,dates!$C$6),2,2)"),3941.55)</f>
        <v>3941.55</v>
      </c>
      <c r="I55" s="16">
        <f t="shared" si="1"/>
        <v>-0.0007157224478</v>
      </c>
      <c r="J55" s="16">
        <f t="shared" si="2"/>
        <v>-0.01096767102</v>
      </c>
      <c r="K55" s="16">
        <f t="shared" si="3"/>
        <v>0.02724816379</v>
      </c>
      <c r="L55" s="16">
        <f t="shared" si="4"/>
        <v>0.01025194857</v>
      </c>
      <c r="M55" s="17" t="str">
        <f t="shared" si="5"/>
        <v>#N/A</v>
      </c>
      <c r="N55" s="17" t="str">
        <f t="shared" si="6"/>
        <v>#N/A</v>
      </c>
      <c r="O55" s="17">
        <f t="shared" si="7"/>
        <v>164</v>
      </c>
      <c r="P55" s="17" t="str">
        <f t="shared" si="8"/>
        <v>#N/A</v>
      </c>
    </row>
    <row r="56">
      <c r="A56" s="7">
        <v>55.0</v>
      </c>
      <c r="B56" s="18" t="s">
        <v>127</v>
      </c>
      <c r="C56" s="9" t="s">
        <v>128</v>
      </c>
      <c r="D56" s="9">
        <f>IFERROR(__xludf.DUMMYFUNCTION("GOOGLEFINANCE(""NSE:""&amp;C56)"),684.7)</f>
        <v>684.7</v>
      </c>
      <c r="E56" s="10" t="str">
        <f>IFERROR(__xludf.DUMMYFUNCTION("INDEX(GOOGLEFINANCE(""NSE:""&amp;B56,dates!$I$1,dates!$C$3),2,2)"),"#N/A")</f>
        <v>#N/A</v>
      </c>
      <c r="F56" s="10">
        <f>IFERROR(__xludf.DUMMYFUNCTION("INDEX(GOOGLEFINANCE(""NSE:""&amp;C56,dates!$I$1,dates!$C$4),2,2)"),703.55)</f>
        <v>703.55</v>
      </c>
      <c r="G56" s="10">
        <f>IFERROR(__xludf.DUMMYFUNCTION("INDEX(GOOGLEFINANCE(""NSE:""&amp;C56,dates!$I$1,dates!$C$5),2,2)"),693.4)</f>
        <v>693.4</v>
      </c>
      <c r="H56" s="10">
        <f>IFERROR(__xludf.DUMMYFUNCTION("INDEX(GOOGLEFINANCE(""NSE:""&amp;C56,dates!$I$1,dates!$C$6),2,2)"),656.15)</f>
        <v>656.15</v>
      </c>
      <c r="I56" s="16">
        <f t="shared" si="1"/>
        <v>-0.02679269419</v>
      </c>
      <c r="J56" s="16">
        <f t="shared" si="2"/>
        <v>-0.01254687049</v>
      </c>
      <c r="K56" s="16">
        <f t="shared" si="3"/>
        <v>0.04351139221</v>
      </c>
      <c r="L56" s="16">
        <f t="shared" si="4"/>
        <v>-0.0142458237</v>
      </c>
      <c r="M56" s="17" t="str">
        <f t="shared" si="5"/>
        <v>#N/A</v>
      </c>
      <c r="N56" s="17" t="str">
        <f t="shared" si="6"/>
        <v>#N/A</v>
      </c>
      <c r="O56" s="17">
        <f t="shared" si="7"/>
        <v>145</v>
      </c>
      <c r="P56" s="17" t="str">
        <f t="shared" si="8"/>
        <v>#N/A</v>
      </c>
    </row>
    <row r="57">
      <c r="A57" s="7">
        <v>56.0</v>
      </c>
      <c r="B57" s="18" t="s">
        <v>129</v>
      </c>
      <c r="C57" s="9" t="s">
        <v>130</v>
      </c>
      <c r="D57" s="9">
        <f>IFERROR(__xludf.DUMMYFUNCTION("GOOGLEFINANCE(""NSE:""&amp;C57)"),6090.0)</f>
        <v>6090</v>
      </c>
      <c r="E57" s="10" t="str">
        <f>IFERROR(__xludf.DUMMYFUNCTION("INDEX(GOOGLEFINANCE(""NSE:""&amp;B57,dates!$I$1,dates!$C$3),2,2)"),"#N/A")</f>
        <v>#N/A</v>
      </c>
      <c r="F57" s="10">
        <f>IFERROR(__xludf.DUMMYFUNCTION("INDEX(GOOGLEFINANCE(""NSE:""&amp;C57,dates!$I$1,dates!$C$4),2,2)"),5715.25)</f>
        <v>5715.25</v>
      </c>
      <c r="G57" s="10">
        <f>IFERROR(__xludf.DUMMYFUNCTION("INDEX(GOOGLEFINANCE(""NSE:""&amp;C57,dates!$I$1,dates!$C$5),2,2)"),5488.95)</f>
        <v>5488.95</v>
      </c>
      <c r="H57" s="10">
        <f>IFERROR(__xludf.DUMMYFUNCTION("INDEX(GOOGLEFINANCE(""NSE:""&amp;C57,dates!$I$1,dates!$C$6),2,2)"),5233.6)</f>
        <v>5233.6</v>
      </c>
      <c r="I57" s="16">
        <f t="shared" si="1"/>
        <v>0.06557018503</v>
      </c>
      <c r="J57" s="16">
        <f t="shared" si="2"/>
        <v>0.1095018173</v>
      </c>
      <c r="K57" s="16">
        <f t="shared" si="3"/>
        <v>0.163634974</v>
      </c>
      <c r="L57" s="16">
        <f t="shared" si="4"/>
        <v>-0.04393163226</v>
      </c>
      <c r="M57" s="17" t="str">
        <f t="shared" si="5"/>
        <v>#N/A</v>
      </c>
      <c r="N57" s="17" t="str">
        <f t="shared" si="6"/>
        <v>#N/A</v>
      </c>
      <c r="O57" s="17">
        <f t="shared" si="7"/>
        <v>37</v>
      </c>
      <c r="P57" s="17" t="str">
        <f t="shared" si="8"/>
        <v>#N/A</v>
      </c>
    </row>
    <row r="58">
      <c r="A58" s="7">
        <v>57.0</v>
      </c>
      <c r="B58" s="18" t="s">
        <v>131</v>
      </c>
      <c r="C58" s="9" t="s">
        <v>132</v>
      </c>
      <c r="D58" s="9">
        <f>IFERROR(__xludf.DUMMYFUNCTION("GOOGLEFINANCE(""NSE:""&amp;C58)"),167.5)</f>
        <v>167.5</v>
      </c>
      <c r="E58" s="10" t="str">
        <f>IFERROR(__xludf.DUMMYFUNCTION("INDEX(GOOGLEFINANCE(""NSE:""&amp;B58,dates!$I$1,dates!$C$3),2,2)"),"#N/A")</f>
        <v>#N/A</v>
      </c>
      <c r="F58" s="10">
        <f>IFERROR(__xludf.DUMMYFUNCTION("INDEX(GOOGLEFINANCE(""NSE:""&amp;C58,dates!$I$1,dates!$C$4),2,2)"),156.7)</f>
        <v>156.7</v>
      </c>
      <c r="G58" s="10">
        <f>IFERROR(__xludf.DUMMYFUNCTION("INDEX(GOOGLEFINANCE(""NSE:""&amp;C58,dates!$I$1,dates!$C$5),2,2)"),154.6)</f>
        <v>154.6</v>
      </c>
      <c r="H58" s="10">
        <f>IFERROR(__xludf.DUMMYFUNCTION("INDEX(GOOGLEFINANCE(""NSE:""&amp;C58,dates!$I$1,dates!$C$6),2,2)"),138.55)</f>
        <v>138.55</v>
      </c>
      <c r="I58" s="16">
        <f t="shared" si="1"/>
        <v>0.06892150606</v>
      </c>
      <c r="J58" s="16">
        <f t="shared" si="2"/>
        <v>0.08344113842</v>
      </c>
      <c r="K58" s="16">
        <f t="shared" si="3"/>
        <v>0.2089498376</v>
      </c>
      <c r="L58" s="16">
        <f t="shared" si="4"/>
        <v>-0.01451963236</v>
      </c>
      <c r="M58" s="17" t="str">
        <f t="shared" si="5"/>
        <v>#N/A</v>
      </c>
      <c r="N58" s="17" t="str">
        <f t="shared" si="6"/>
        <v>#N/A</v>
      </c>
      <c r="O58" s="17">
        <f t="shared" si="7"/>
        <v>21</v>
      </c>
      <c r="P58" s="17" t="str">
        <f t="shared" si="8"/>
        <v>#N/A</v>
      </c>
    </row>
    <row r="59">
      <c r="A59" s="7">
        <v>58.0</v>
      </c>
      <c r="B59" s="18" t="s">
        <v>133</v>
      </c>
      <c r="C59" s="9" t="s">
        <v>134</v>
      </c>
      <c r="D59" s="9">
        <f>IFERROR(__xludf.DUMMYFUNCTION("GOOGLEFINANCE(""NSE:""&amp;C59)"),418.55)</f>
        <v>418.55</v>
      </c>
      <c r="E59" s="10" t="str">
        <f>IFERROR(__xludf.DUMMYFUNCTION("INDEX(GOOGLEFINANCE(""NSE:""&amp;B59,dates!$I$1,dates!$C$3),2,2)"),"#N/A")</f>
        <v>#N/A</v>
      </c>
      <c r="F59" s="10">
        <f>IFERROR(__xludf.DUMMYFUNCTION("INDEX(GOOGLEFINANCE(""NSE:""&amp;C59,dates!$I$1,dates!$C$4),2,2)"),419.8)</f>
        <v>419.8</v>
      </c>
      <c r="G59" s="10">
        <f>IFERROR(__xludf.DUMMYFUNCTION("INDEX(GOOGLEFINANCE(""NSE:""&amp;C59,dates!$I$1,dates!$C$5),2,2)"),436.25)</f>
        <v>436.25</v>
      </c>
      <c r="H59" s="10">
        <f>IFERROR(__xludf.DUMMYFUNCTION("INDEX(GOOGLEFINANCE(""NSE:""&amp;C59,dates!$I$1,dates!$C$6),2,2)"),410.05)</f>
        <v>410.05</v>
      </c>
      <c r="I59" s="16">
        <f t="shared" si="1"/>
        <v>-0.002977608385</v>
      </c>
      <c r="J59" s="16">
        <f t="shared" si="2"/>
        <v>-0.0405730659</v>
      </c>
      <c r="K59" s="16">
        <f t="shared" si="3"/>
        <v>0.02072917937</v>
      </c>
      <c r="L59" s="16">
        <f t="shared" si="4"/>
        <v>0.03759545752</v>
      </c>
      <c r="M59" s="17" t="str">
        <f t="shared" si="5"/>
        <v>#N/A</v>
      </c>
      <c r="N59" s="17" t="str">
        <f t="shared" si="6"/>
        <v>#N/A</v>
      </c>
      <c r="O59" s="17">
        <f t="shared" si="7"/>
        <v>182</v>
      </c>
      <c r="P59" s="17" t="str">
        <f t="shared" si="8"/>
        <v>#N/A</v>
      </c>
    </row>
    <row r="60">
      <c r="A60" s="7">
        <v>59.0</v>
      </c>
      <c r="B60" s="18" t="s">
        <v>135</v>
      </c>
      <c r="C60" s="9" t="s">
        <v>136</v>
      </c>
      <c r="D60" s="9">
        <f>IFERROR(__xludf.DUMMYFUNCTION("GOOGLEFINANCE(""NSE:""&amp;C60)"),2165.0)</f>
        <v>2165</v>
      </c>
      <c r="E60" s="10" t="str">
        <f>IFERROR(__xludf.DUMMYFUNCTION("INDEX(GOOGLEFINANCE(""NSE:""&amp;B60,dates!$I$1,dates!$C$3),2,2)"),"#N/A")</f>
        <v>#N/A</v>
      </c>
      <c r="F60" s="10">
        <f>IFERROR(__xludf.DUMMYFUNCTION("INDEX(GOOGLEFINANCE(""NSE:""&amp;C60,dates!$I$1,dates!$C$4),2,2)"),2180.55)</f>
        <v>2180.55</v>
      </c>
      <c r="G60" s="10">
        <f>IFERROR(__xludf.DUMMYFUNCTION("INDEX(GOOGLEFINANCE(""NSE:""&amp;C60,dates!$I$1,dates!$C$5),2,2)"),2208.55)</f>
        <v>2208.55</v>
      </c>
      <c r="H60" s="10">
        <f>IFERROR(__xludf.DUMMYFUNCTION("INDEX(GOOGLEFINANCE(""NSE:""&amp;C60,dates!$I$1,dates!$C$6),2,2)"),2222.2)</f>
        <v>2222.2</v>
      </c>
      <c r="I60" s="16">
        <f t="shared" si="1"/>
        <v>-0.00713122836</v>
      </c>
      <c r="J60" s="16">
        <f t="shared" si="2"/>
        <v>-0.01971882004</v>
      </c>
      <c r="K60" s="16">
        <f t="shared" si="3"/>
        <v>-0.0257402574</v>
      </c>
      <c r="L60" s="16">
        <f t="shared" si="4"/>
        <v>0.01258759168</v>
      </c>
      <c r="M60" s="17" t="str">
        <f t="shared" si="5"/>
        <v>#N/A</v>
      </c>
      <c r="N60" s="17" t="str">
        <f t="shared" si="6"/>
        <v>#N/A</v>
      </c>
      <c r="O60" s="17">
        <f t="shared" si="7"/>
        <v>227</v>
      </c>
      <c r="P60" s="17" t="str">
        <f t="shared" si="8"/>
        <v>#N/A</v>
      </c>
    </row>
    <row r="61">
      <c r="A61" s="7">
        <v>60.0</v>
      </c>
      <c r="B61" s="18" t="s">
        <v>137</v>
      </c>
      <c r="C61" s="9" t="s">
        <v>138</v>
      </c>
      <c r="D61" s="9">
        <f>IFERROR(__xludf.DUMMYFUNCTION("GOOGLEFINANCE(""NSE:""&amp;C61)"),850.0)</f>
        <v>850</v>
      </c>
      <c r="E61" s="10" t="str">
        <f>IFERROR(__xludf.DUMMYFUNCTION("INDEX(GOOGLEFINANCE(""NSE:""&amp;B61,dates!$I$1,dates!$C$3),2,2)"),"#N/A")</f>
        <v>#N/A</v>
      </c>
      <c r="F61" s="10">
        <f>IFERROR(__xludf.DUMMYFUNCTION("INDEX(GOOGLEFINANCE(""NSE:""&amp;C61,dates!$I$1,dates!$C$4),2,2)"),874.15)</f>
        <v>874.15</v>
      </c>
      <c r="G61" s="10">
        <f>IFERROR(__xludf.DUMMYFUNCTION("INDEX(GOOGLEFINANCE(""NSE:""&amp;C61,dates!$I$1,dates!$C$5),2,2)"),882.1)</f>
        <v>882.1</v>
      </c>
      <c r="H61" s="10">
        <f>IFERROR(__xludf.DUMMYFUNCTION("INDEX(GOOGLEFINANCE(""NSE:""&amp;C61,dates!$I$1,dates!$C$6),2,2)"),847.95)</f>
        <v>847.95</v>
      </c>
      <c r="I61" s="16">
        <f t="shared" si="1"/>
        <v>-0.0276268375</v>
      </c>
      <c r="J61" s="16">
        <f t="shared" si="2"/>
        <v>-0.03639043192</v>
      </c>
      <c r="K61" s="16">
        <f t="shared" si="3"/>
        <v>0.002417595377</v>
      </c>
      <c r="L61" s="16">
        <f t="shared" si="4"/>
        <v>0.008763594425</v>
      </c>
      <c r="M61" s="17" t="str">
        <f t="shared" si="5"/>
        <v>#N/A</v>
      </c>
      <c r="N61" s="17" t="str">
        <f t="shared" si="6"/>
        <v>#N/A</v>
      </c>
      <c r="O61" s="17">
        <f t="shared" si="7"/>
        <v>201</v>
      </c>
      <c r="P61" s="17" t="str">
        <f t="shared" si="8"/>
        <v>#N/A</v>
      </c>
    </row>
    <row r="62">
      <c r="A62" s="7">
        <v>61.0</v>
      </c>
      <c r="B62" s="18" t="s">
        <v>139</v>
      </c>
      <c r="C62" s="9" t="s">
        <v>140</v>
      </c>
      <c r="D62" s="9">
        <f>IFERROR(__xludf.DUMMYFUNCTION("GOOGLEFINANCE(""NSE:""&amp;C62)"),1435.65)</f>
        <v>1435.65</v>
      </c>
      <c r="E62" s="10" t="str">
        <f>IFERROR(__xludf.DUMMYFUNCTION("INDEX(GOOGLEFINANCE(""NSE:""&amp;B62,dates!$I$1,dates!$C$3),2,2)"),"#N/A")</f>
        <v>#N/A</v>
      </c>
      <c r="F62" s="10">
        <f>IFERROR(__xludf.DUMMYFUNCTION("INDEX(GOOGLEFINANCE(""NSE:""&amp;C62,dates!$I$1,dates!$C$4),2,2)"),1471.9)</f>
        <v>1471.9</v>
      </c>
      <c r="G62" s="10">
        <f>IFERROR(__xludf.DUMMYFUNCTION("INDEX(GOOGLEFINANCE(""NSE:""&amp;C62,dates!$I$1,dates!$C$5),2,2)"),1450.1)</f>
        <v>1450.1</v>
      </c>
      <c r="H62" s="10">
        <f>IFERROR(__xludf.DUMMYFUNCTION("INDEX(GOOGLEFINANCE(""NSE:""&amp;C62,dates!$I$1,dates!$C$6),2,2)"),1235.0)</f>
        <v>1235</v>
      </c>
      <c r="I62" s="16">
        <f t="shared" si="1"/>
        <v>-0.0246280318</v>
      </c>
      <c r="J62" s="16">
        <f t="shared" si="2"/>
        <v>-0.009964830012</v>
      </c>
      <c r="K62" s="16">
        <f t="shared" si="3"/>
        <v>0.1624696356</v>
      </c>
      <c r="L62" s="16">
        <f t="shared" si="4"/>
        <v>-0.01466320178</v>
      </c>
      <c r="M62" s="17" t="str">
        <f t="shared" si="5"/>
        <v>#N/A</v>
      </c>
      <c r="N62" s="17" t="str">
        <f t="shared" si="6"/>
        <v>#N/A</v>
      </c>
      <c r="O62" s="17">
        <f t="shared" si="7"/>
        <v>38</v>
      </c>
      <c r="P62" s="17" t="str">
        <f t="shared" si="8"/>
        <v>#N/A</v>
      </c>
    </row>
    <row r="63">
      <c r="A63" s="7">
        <v>62.0</v>
      </c>
      <c r="B63" s="18" t="s">
        <v>141</v>
      </c>
      <c r="C63" s="9" t="s">
        <v>141</v>
      </c>
      <c r="D63" s="9">
        <f>IFERROR(__xludf.DUMMYFUNCTION("GOOGLEFINANCE(""NSE:""&amp;C63)"),402.9)</f>
        <v>402.9</v>
      </c>
      <c r="E63" s="10" t="str">
        <f>IFERROR(__xludf.DUMMYFUNCTION("INDEX(GOOGLEFINANCE(""NSE:""&amp;B63,dates!$I$1,dates!$C$3),2,2)"),"#N/A")</f>
        <v>#N/A</v>
      </c>
      <c r="F63" s="10">
        <f>IFERROR(__xludf.DUMMYFUNCTION("INDEX(GOOGLEFINANCE(""NSE:""&amp;C63,dates!$I$1,dates!$C$4),2,2)"),334.75)</f>
        <v>334.75</v>
      </c>
      <c r="G63" s="10">
        <f>IFERROR(__xludf.DUMMYFUNCTION("INDEX(GOOGLEFINANCE(""NSE:""&amp;C63,dates!$I$1,dates!$C$5),2,2)"),339.65)</f>
        <v>339.65</v>
      </c>
      <c r="H63" s="10">
        <f>IFERROR(__xludf.DUMMYFUNCTION("INDEX(GOOGLEFINANCE(""NSE:""&amp;C63,dates!$I$1,dates!$C$6),2,2)"),311.8)</f>
        <v>311.8</v>
      </c>
      <c r="I63" s="16">
        <f t="shared" si="1"/>
        <v>0.2035847647</v>
      </c>
      <c r="J63" s="16">
        <f t="shared" si="2"/>
        <v>0.18622111</v>
      </c>
      <c r="K63" s="16">
        <f t="shared" si="3"/>
        <v>0.2921744708</v>
      </c>
      <c r="L63" s="16">
        <f t="shared" si="4"/>
        <v>0.01736365478</v>
      </c>
      <c r="M63" s="17" t="str">
        <f t="shared" si="5"/>
        <v>#N/A</v>
      </c>
      <c r="N63" s="17" t="str">
        <f t="shared" si="6"/>
        <v>#N/A</v>
      </c>
      <c r="O63" s="17">
        <f t="shared" si="7"/>
        <v>9</v>
      </c>
      <c r="P63" s="17" t="str">
        <f t="shared" si="8"/>
        <v>#N/A</v>
      </c>
    </row>
    <row r="64">
      <c r="A64" s="7">
        <v>63.0</v>
      </c>
      <c r="B64" s="18" t="s">
        <v>142</v>
      </c>
      <c r="C64" s="9" t="s">
        <v>143</v>
      </c>
      <c r="D64" s="9">
        <f>IFERROR(__xludf.DUMMYFUNCTION("GOOGLEFINANCE(""NSE:""&amp;C64)"),822.0)</f>
        <v>822</v>
      </c>
      <c r="E64" s="10" t="str">
        <f>IFERROR(__xludf.DUMMYFUNCTION("INDEX(GOOGLEFINANCE(""NSE:""&amp;B64,dates!$I$1,dates!$C$3),2,2)"),"#N/A")</f>
        <v>#N/A</v>
      </c>
      <c r="F64" s="10">
        <f>IFERROR(__xludf.DUMMYFUNCTION("INDEX(GOOGLEFINANCE(""NSE:""&amp;C64,dates!$I$1,dates!$C$4),2,2)"),818.75)</f>
        <v>818.75</v>
      </c>
      <c r="G64" s="10">
        <f>IFERROR(__xludf.DUMMYFUNCTION("INDEX(GOOGLEFINANCE(""NSE:""&amp;C64,dates!$I$1,dates!$C$5),2,2)"),839.3)</f>
        <v>839.3</v>
      </c>
      <c r="H64" s="10">
        <f>IFERROR(__xludf.DUMMYFUNCTION("INDEX(GOOGLEFINANCE(""NSE:""&amp;C64,dates!$I$1,dates!$C$6),2,2)"),785.85)</f>
        <v>785.85</v>
      </c>
      <c r="I64" s="16">
        <f t="shared" si="1"/>
        <v>0.003969465649</v>
      </c>
      <c r="J64" s="16">
        <f t="shared" si="2"/>
        <v>-0.02061241511</v>
      </c>
      <c r="K64" s="16">
        <f t="shared" si="3"/>
        <v>0.04600114526</v>
      </c>
      <c r="L64" s="16">
        <f t="shared" si="4"/>
        <v>0.02458188076</v>
      </c>
      <c r="M64" s="17" t="str">
        <f t="shared" si="5"/>
        <v>#N/A</v>
      </c>
      <c r="N64" s="17" t="str">
        <f t="shared" si="6"/>
        <v>#N/A</v>
      </c>
      <c r="O64" s="17">
        <f t="shared" si="7"/>
        <v>142</v>
      </c>
      <c r="P64" s="17" t="str">
        <f t="shared" si="8"/>
        <v>#N/A</v>
      </c>
    </row>
    <row r="65">
      <c r="A65" s="7">
        <v>64.0</v>
      </c>
      <c r="B65" s="18" t="s">
        <v>144</v>
      </c>
      <c r="C65" s="9" t="s">
        <v>145</v>
      </c>
      <c r="D65" s="9">
        <f>IFERROR(__xludf.DUMMYFUNCTION("GOOGLEFINANCE(""NSE:""&amp;C65)"),6826.0)</f>
        <v>6826</v>
      </c>
      <c r="E65" s="10" t="str">
        <f>IFERROR(__xludf.DUMMYFUNCTION("INDEX(GOOGLEFINANCE(""NSE:""&amp;B65,dates!$I$1,dates!$C$3),2,2)"),"#N/A")</f>
        <v>#N/A</v>
      </c>
      <c r="F65" s="10">
        <f>IFERROR(__xludf.DUMMYFUNCTION("INDEX(GOOGLEFINANCE(""NSE:""&amp;C65,dates!$I$1,dates!$C$4),2,2)"),6614.7)</f>
        <v>6614.7</v>
      </c>
      <c r="G65" s="10">
        <f>IFERROR(__xludf.DUMMYFUNCTION("INDEX(GOOGLEFINANCE(""NSE:""&amp;C65,dates!$I$1,dates!$C$5),2,2)"),6604.35)</f>
        <v>6604.35</v>
      </c>
      <c r="H65" s="10">
        <f>IFERROR(__xludf.DUMMYFUNCTION("INDEX(GOOGLEFINANCE(""NSE:""&amp;C65,dates!$I$1,dates!$C$6),2,2)"),5895.65)</f>
        <v>5895.65</v>
      </c>
      <c r="I65" s="16">
        <f t="shared" si="1"/>
        <v>0.03194400351</v>
      </c>
      <c r="J65" s="16">
        <f t="shared" si="2"/>
        <v>0.03356121344</v>
      </c>
      <c r="K65" s="16">
        <f t="shared" si="3"/>
        <v>0.1578027868</v>
      </c>
      <c r="L65" s="16">
        <f t="shared" si="4"/>
        <v>-0.001617209935</v>
      </c>
      <c r="M65" s="17" t="str">
        <f t="shared" si="5"/>
        <v>#N/A</v>
      </c>
      <c r="N65" s="17" t="str">
        <f t="shared" si="6"/>
        <v>#N/A</v>
      </c>
      <c r="O65" s="17">
        <f t="shared" si="7"/>
        <v>43</v>
      </c>
      <c r="P65" s="17" t="str">
        <f t="shared" si="8"/>
        <v>#N/A</v>
      </c>
    </row>
    <row r="66">
      <c r="A66" s="7">
        <v>65.0</v>
      </c>
      <c r="B66" s="18" t="s">
        <v>146</v>
      </c>
      <c r="C66" s="9" t="s">
        <v>147</v>
      </c>
      <c r="D66" s="9">
        <f>IFERROR(__xludf.DUMMYFUNCTION("GOOGLEFINANCE(""NSE:""&amp;C66)"),4799.95)</f>
        <v>4799.95</v>
      </c>
      <c r="E66" s="10" t="str">
        <f>IFERROR(__xludf.DUMMYFUNCTION("INDEX(GOOGLEFINANCE(""NSE:""&amp;B66,dates!$I$1,dates!$C$3),2,2)"),"#N/A")</f>
        <v>#N/A</v>
      </c>
      <c r="F66" s="10" t="str">
        <f>IFERROR(__xludf.DUMMYFUNCTION("INDEX(GOOGLEFINANCE(""NSE:""&amp;C66,dates!$I$1,dates!$C$4),2,2)"),"#N/A")</f>
        <v>#N/A</v>
      </c>
      <c r="G66" s="10">
        <f>IFERROR(__xludf.DUMMYFUNCTION("INDEX(GOOGLEFINANCE(""NSE:""&amp;C66,dates!$I$1,dates!$C$5),2,2)"),4931.4)</f>
        <v>4931.4</v>
      </c>
      <c r="H66" s="10">
        <f>IFERROR(__xludf.DUMMYFUNCTION("INDEX(GOOGLEFINANCE(""NSE:""&amp;C66,dates!$I$1,dates!$C$6),2,2)"),4600.55)</f>
        <v>4600.55</v>
      </c>
      <c r="I66" s="16" t="str">
        <f t="shared" si="1"/>
        <v>#N/A</v>
      </c>
      <c r="J66" s="16">
        <f t="shared" si="2"/>
        <v>-0.02665571643</v>
      </c>
      <c r="K66" s="16">
        <f t="shared" si="3"/>
        <v>0.04334264381</v>
      </c>
      <c r="L66" s="16" t="str">
        <f t="shared" si="4"/>
        <v>#N/A</v>
      </c>
      <c r="M66" s="17" t="str">
        <f t="shared" si="5"/>
        <v>#N/A</v>
      </c>
      <c r="N66" s="17" t="str">
        <f t="shared" si="6"/>
        <v>#N/A</v>
      </c>
      <c r="O66" s="17">
        <f t="shared" si="7"/>
        <v>146</v>
      </c>
      <c r="P66" s="17" t="str">
        <f t="shared" si="8"/>
        <v>#N/A</v>
      </c>
    </row>
    <row r="67">
      <c r="A67" s="7">
        <v>66.0</v>
      </c>
      <c r="B67" s="18" t="s">
        <v>148</v>
      </c>
      <c r="C67" s="9" t="s">
        <v>149</v>
      </c>
      <c r="D67" s="9">
        <f>IFERROR(__xludf.DUMMYFUNCTION("GOOGLEFINANCE(""NSE:""&amp;C67)"),1172.0)</f>
        <v>1172</v>
      </c>
      <c r="E67" s="10" t="str">
        <f>IFERROR(__xludf.DUMMYFUNCTION("INDEX(GOOGLEFINANCE(""NSE:""&amp;B67,dates!$I$1,dates!$C$3),2,2)"),"#N/A")</f>
        <v>#N/A</v>
      </c>
      <c r="F67" s="10">
        <f>IFERROR(__xludf.DUMMYFUNCTION("INDEX(GOOGLEFINANCE(""NSE:""&amp;C67,dates!$I$1,dates!$C$4),2,2)"),1130.0)</f>
        <v>1130</v>
      </c>
      <c r="G67" s="10">
        <f>IFERROR(__xludf.DUMMYFUNCTION("INDEX(GOOGLEFINANCE(""NSE:""&amp;C67,dates!$I$1,dates!$C$5),2,2)"),996.3)</f>
        <v>996.3</v>
      </c>
      <c r="H67" s="10">
        <f>IFERROR(__xludf.DUMMYFUNCTION("INDEX(GOOGLEFINANCE(""NSE:""&amp;C67,dates!$I$1,dates!$C$6),2,2)"),990.2)</f>
        <v>990.2</v>
      </c>
      <c r="I67" s="16">
        <f t="shared" si="1"/>
        <v>0.03716814159</v>
      </c>
      <c r="J67" s="16">
        <f t="shared" si="2"/>
        <v>0.1763525043</v>
      </c>
      <c r="K67" s="16">
        <f t="shared" si="3"/>
        <v>0.1835992729</v>
      </c>
      <c r="L67" s="16">
        <f t="shared" si="4"/>
        <v>-0.1391843627</v>
      </c>
      <c r="M67" s="17" t="str">
        <f t="shared" si="5"/>
        <v>#N/A</v>
      </c>
      <c r="N67" s="17" t="str">
        <f t="shared" si="6"/>
        <v>#N/A</v>
      </c>
      <c r="O67" s="17">
        <f t="shared" si="7"/>
        <v>27</v>
      </c>
      <c r="P67" s="17" t="str">
        <f t="shared" si="8"/>
        <v>#N/A</v>
      </c>
    </row>
    <row r="68">
      <c r="A68" s="7">
        <v>67.0</v>
      </c>
      <c r="B68" s="18" t="s">
        <v>150</v>
      </c>
      <c r="C68" s="9" t="s">
        <v>151</v>
      </c>
      <c r="D68" s="9">
        <f>IFERROR(__xludf.DUMMYFUNCTION("GOOGLEFINANCE(""NSE:""&amp;C68)"),969.0)</f>
        <v>969</v>
      </c>
      <c r="E68" s="10" t="str">
        <f>IFERROR(__xludf.DUMMYFUNCTION("INDEX(GOOGLEFINANCE(""NSE:""&amp;B68,dates!$I$1,dates!$C$3),2,2)"),"#N/A")</f>
        <v>#N/A</v>
      </c>
      <c r="F68" s="10">
        <f>IFERROR(__xludf.DUMMYFUNCTION("INDEX(GOOGLEFINANCE(""NSE:""&amp;C68,dates!$I$1,dates!$C$4),2,2)"),954.05)</f>
        <v>954.05</v>
      </c>
      <c r="G68" s="10">
        <f>IFERROR(__xludf.DUMMYFUNCTION("INDEX(GOOGLEFINANCE(""NSE:""&amp;C68,dates!$I$1,dates!$C$5),2,2)"),950.45)</f>
        <v>950.45</v>
      </c>
      <c r="H68" s="10">
        <f>IFERROR(__xludf.DUMMYFUNCTION("INDEX(GOOGLEFINANCE(""NSE:""&amp;C68,dates!$I$1,dates!$C$6),2,2)"),923.9)</f>
        <v>923.9</v>
      </c>
      <c r="I68" s="16">
        <f t="shared" si="1"/>
        <v>0.01567003826</v>
      </c>
      <c r="J68" s="16">
        <f t="shared" si="2"/>
        <v>0.01951707086</v>
      </c>
      <c r="K68" s="16">
        <f t="shared" si="3"/>
        <v>0.0488148068</v>
      </c>
      <c r="L68" s="16">
        <f t="shared" si="4"/>
        <v>-0.003847032603</v>
      </c>
      <c r="M68" s="17" t="str">
        <f t="shared" si="5"/>
        <v>#N/A</v>
      </c>
      <c r="N68" s="17" t="str">
        <f t="shared" si="6"/>
        <v>#N/A</v>
      </c>
      <c r="O68" s="17">
        <f t="shared" si="7"/>
        <v>134</v>
      </c>
      <c r="P68" s="17" t="str">
        <f t="shared" si="8"/>
        <v>#N/A</v>
      </c>
    </row>
    <row r="69">
      <c r="A69" s="7">
        <v>68.0</v>
      </c>
      <c r="B69" s="18" t="s">
        <v>152</v>
      </c>
      <c r="C69" s="19" t="s">
        <v>153</v>
      </c>
      <c r="D69" s="9">
        <f>IFERROR(__xludf.DUMMYFUNCTION("GOOGLEFINANCE(""NSE:""&amp;C69)"),1571.0)</f>
        <v>1571</v>
      </c>
      <c r="E69" s="10" t="str">
        <f>IFERROR(__xludf.DUMMYFUNCTION("INDEX(GOOGLEFINANCE(""NSE:""&amp;B69,dates!$I$1,dates!$C$3),2,2)"),"#N/A")</f>
        <v>#N/A</v>
      </c>
      <c r="F69" s="10">
        <f>IFERROR(__xludf.DUMMYFUNCTION("INDEX(GOOGLEFINANCE(""NSE:""&amp;C69,dates!$I$1,dates!$C$4),2,2)"),1603.95)</f>
        <v>1603.95</v>
      </c>
      <c r="G69" s="10">
        <f>IFERROR(__xludf.DUMMYFUNCTION("INDEX(GOOGLEFINANCE(""NSE:""&amp;C69,dates!$I$1,dates!$C$5),2,2)"),1636.85)</f>
        <v>1636.85</v>
      </c>
      <c r="H69" s="10">
        <f>IFERROR(__xludf.DUMMYFUNCTION("INDEX(GOOGLEFINANCE(""NSE:""&amp;C69,dates!$I$1,dates!$C$6),2,2)"),1557.7)</f>
        <v>1557.7</v>
      </c>
      <c r="I69" s="16">
        <f t="shared" si="1"/>
        <v>-0.02054303438</v>
      </c>
      <c r="J69" s="16">
        <f t="shared" si="2"/>
        <v>-0.0402297095</v>
      </c>
      <c r="K69" s="16">
        <f t="shared" si="3"/>
        <v>0.008538229441</v>
      </c>
      <c r="L69" s="16">
        <f t="shared" si="4"/>
        <v>0.01968667512</v>
      </c>
      <c r="M69" s="17" t="str">
        <f t="shared" si="5"/>
        <v>#N/A</v>
      </c>
      <c r="N69" s="17" t="str">
        <f t="shared" si="6"/>
        <v>#N/A</v>
      </c>
      <c r="O69" s="17">
        <f t="shared" si="7"/>
        <v>195</v>
      </c>
      <c r="P69" s="17" t="str">
        <f t="shared" si="8"/>
        <v>#N/A</v>
      </c>
    </row>
    <row r="70">
      <c r="A70" s="7">
        <v>69.0</v>
      </c>
      <c r="B70" s="18" t="s">
        <v>154</v>
      </c>
      <c r="C70" s="9" t="s">
        <v>155</v>
      </c>
      <c r="D70" s="9">
        <f>IFERROR(__xludf.DUMMYFUNCTION("GOOGLEFINANCE(""NSE:""&amp;C70)"),2215.1)</f>
        <v>2215.1</v>
      </c>
      <c r="E70" s="10" t="str">
        <f>IFERROR(__xludf.DUMMYFUNCTION("INDEX(GOOGLEFINANCE(""NSE:""&amp;B70,dates!$I$1,dates!$C$3),2,2)"),"#N/A")</f>
        <v>#N/A</v>
      </c>
      <c r="F70" s="10">
        <f>IFERROR(__xludf.DUMMYFUNCTION("INDEX(GOOGLEFINANCE(""NSE:""&amp;C70,dates!$I$1,dates!$C$4),2,2)"),2196.05)</f>
        <v>2196.05</v>
      </c>
      <c r="G70" s="10">
        <f>IFERROR(__xludf.DUMMYFUNCTION("INDEX(GOOGLEFINANCE(""NSE:""&amp;C70,dates!$I$1,dates!$C$5),2,2)"),1897.7)</f>
        <v>1897.7</v>
      </c>
      <c r="H70" s="10">
        <f>IFERROR(__xludf.DUMMYFUNCTION("INDEX(GOOGLEFINANCE(""NSE:""&amp;C70,dates!$I$1,dates!$C$6),2,2)"),1776.85)</f>
        <v>1776.85</v>
      </c>
      <c r="I70" s="16">
        <f t="shared" si="1"/>
        <v>0.008674665877</v>
      </c>
      <c r="J70" s="16">
        <f t="shared" si="2"/>
        <v>0.1672550983</v>
      </c>
      <c r="K70" s="16">
        <f t="shared" si="3"/>
        <v>0.2466443425</v>
      </c>
      <c r="L70" s="16">
        <f t="shared" si="4"/>
        <v>-0.1585804324</v>
      </c>
      <c r="M70" s="17" t="str">
        <f t="shared" si="5"/>
        <v>#N/A</v>
      </c>
      <c r="N70" s="17" t="str">
        <f t="shared" si="6"/>
        <v>#N/A</v>
      </c>
      <c r="O70" s="17">
        <f t="shared" si="7"/>
        <v>15</v>
      </c>
      <c r="P70" s="17" t="str">
        <f t="shared" si="8"/>
        <v>#N/A</v>
      </c>
    </row>
    <row r="71">
      <c r="A71" s="7">
        <v>70.0</v>
      </c>
      <c r="B71" s="18" t="s">
        <v>156</v>
      </c>
      <c r="C71" s="9" t="s">
        <v>157</v>
      </c>
      <c r="D71" s="9">
        <f>IFERROR(__xludf.DUMMYFUNCTION("GOOGLEFINANCE(""NSE:""&amp;C71)"),2858.7)</f>
        <v>2858.7</v>
      </c>
      <c r="E71" s="10" t="str">
        <f>IFERROR(__xludf.DUMMYFUNCTION("INDEX(GOOGLEFINANCE(""NSE:""&amp;B71,dates!$I$1,dates!$C$3),2,2)"),"#N/A")</f>
        <v>#N/A</v>
      </c>
      <c r="F71" s="10">
        <f>IFERROR(__xludf.DUMMYFUNCTION("INDEX(GOOGLEFINANCE(""NSE:""&amp;C71,dates!$I$1,dates!$C$4),2,2)"),2898.55)</f>
        <v>2898.55</v>
      </c>
      <c r="G71" s="10">
        <f>IFERROR(__xludf.DUMMYFUNCTION("INDEX(GOOGLEFINANCE(""NSE:""&amp;C71,dates!$I$1,dates!$C$5),2,2)"),2805.0)</f>
        <v>2805</v>
      </c>
      <c r="H71" s="10">
        <f>IFERROR(__xludf.DUMMYFUNCTION("INDEX(GOOGLEFINANCE(""NSE:""&amp;C71,dates!$I$1,dates!$C$6),2,2)"),2576.1)</f>
        <v>2576.1</v>
      </c>
      <c r="I71" s="16">
        <f t="shared" si="1"/>
        <v>-0.01374825344</v>
      </c>
      <c r="J71" s="16">
        <f t="shared" si="2"/>
        <v>0.01914438503</v>
      </c>
      <c r="K71" s="16">
        <f t="shared" si="3"/>
        <v>0.1097007104</v>
      </c>
      <c r="L71" s="16">
        <f t="shared" si="4"/>
        <v>-0.03289263846</v>
      </c>
      <c r="M71" s="17" t="str">
        <f t="shared" si="5"/>
        <v>#N/A</v>
      </c>
      <c r="N71" s="17" t="str">
        <f t="shared" si="6"/>
        <v>#N/A</v>
      </c>
      <c r="O71" s="17">
        <f t="shared" si="7"/>
        <v>69</v>
      </c>
      <c r="P71" s="17" t="str">
        <f t="shared" si="8"/>
        <v>#N/A</v>
      </c>
    </row>
    <row r="72">
      <c r="A72" s="7">
        <v>71.0</v>
      </c>
      <c r="B72" s="18" t="s">
        <v>158</v>
      </c>
      <c r="C72" s="9" t="s">
        <v>159</v>
      </c>
      <c r="D72" s="9">
        <f>IFERROR(__xludf.DUMMYFUNCTION("GOOGLEFINANCE(""NSE:""&amp;C72)"),226.8)</f>
        <v>226.8</v>
      </c>
      <c r="E72" s="10" t="str">
        <f>IFERROR(__xludf.DUMMYFUNCTION("INDEX(GOOGLEFINANCE(""NSE:""&amp;B72,dates!$I$1,dates!$C$3),2,2)"),"#N/A")</f>
        <v>#N/A</v>
      </c>
      <c r="F72" s="10">
        <f>IFERROR(__xludf.DUMMYFUNCTION("INDEX(GOOGLEFINANCE(""NSE:""&amp;C72,dates!$I$1,dates!$C$4),2,2)"),223.0)</f>
        <v>223</v>
      </c>
      <c r="G72" s="10">
        <f>IFERROR(__xludf.DUMMYFUNCTION("INDEX(GOOGLEFINANCE(""NSE:""&amp;C72,dates!$I$1,dates!$C$5),2,2)"),213.25)</f>
        <v>213.25</v>
      </c>
      <c r="H72" s="10">
        <f>IFERROR(__xludf.DUMMYFUNCTION("INDEX(GOOGLEFINANCE(""NSE:""&amp;C72,dates!$I$1,dates!$C$6),2,2)"),214.25)</f>
        <v>214.25</v>
      </c>
      <c r="I72" s="16">
        <f t="shared" si="1"/>
        <v>0.01704035874</v>
      </c>
      <c r="J72" s="16">
        <f t="shared" si="2"/>
        <v>0.06354044549</v>
      </c>
      <c r="K72" s="16">
        <f t="shared" si="3"/>
        <v>0.0585764294</v>
      </c>
      <c r="L72" s="16">
        <f t="shared" si="4"/>
        <v>-0.04650008674</v>
      </c>
      <c r="M72" s="17" t="str">
        <f t="shared" si="5"/>
        <v>#N/A</v>
      </c>
      <c r="N72" s="17" t="str">
        <f t="shared" si="6"/>
        <v>#N/A</v>
      </c>
      <c r="O72" s="17">
        <f t="shared" si="7"/>
        <v>124</v>
      </c>
      <c r="P72" s="17" t="str">
        <f t="shared" si="8"/>
        <v>#N/A</v>
      </c>
    </row>
    <row r="73">
      <c r="A73" s="7">
        <v>72.0</v>
      </c>
      <c r="B73" s="18" t="s">
        <v>160</v>
      </c>
      <c r="C73" s="9" t="s">
        <v>161</v>
      </c>
      <c r="D73" s="9">
        <f>IFERROR(__xludf.DUMMYFUNCTION("GOOGLEFINANCE(""NSE:""&amp;C73)"),5129.0)</f>
        <v>5129</v>
      </c>
      <c r="E73" s="10" t="str">
        <f>IFERROR(__xludf.DUMMYFUNCTION("INDEX(GOOGLEFINANCE(""NSE:""&amp;B73,dates!$I$1,dates!$C$3),2,2)"),"#N/A")</f>
        <v>#N/A</v>
      </c>
      <c r="F73" s="10">
        <f>IFERROR(__xludf.DUMMYFUNCTION("INDEX(GOOGLEFINANCE(""NSE:""&amp;C73,dates!$I$1,dates!$C$4),2,2)"),4908.25)</f>
        <v>4908.25</v>
      </c>
      <c r="G73" s="10">
        <f>IFERROR(__xludf.DUMMYFUNCTION("INDEX(GOOGLEFINANCE(""NSE:""&amp;C73,dates!$I$1,dates!$C$5),2,2)"),4745.85)</f>
        <v>4745.85</v>
      </c>
      <c r="H73" s="10">
        <f>IFERROR(__xludf.DUMMYFUNCTION("INDEX(GOOGLEFINANCE(""NSE:""&amp;C73,dates!$I$1,dates!$C$6),2,2)"),4765.1)</f>
        <v>4765.1</v>
      </c>
      <c r="I73" s="16">
        <f t="shared" si="1"/>
        <v>0.04497529669</v>
      </c>
      <c r="J73" s="16">
        <f t="shared" si="2"/>
        <v>0.08073369365</v>
      </c>
      <c r="K73" s="16">
        <f t="shared" si="3"/>
        <v>0.07636775723</v>
      </c>
      <c r="L73" s="16">
        <f t="shared" si="4"/>
        <v>-0.03575839695</v>
      </c>
      <c r="M73" s="17" t="str">
        <f t="shared" si="5"/>
        <v>#N/A</v>
      </c>
      <c r="N73" s="17" t="str">
        <f t="shared" si="6"/>
        <v>#N/A</v>
      </c>
      <c r="O73" s="17">
        <f t="shared" si="7"/>
        <v>98</v>
      </c>
      <c r="P73" s="17" t="str">
        <f t="shared" si="8"/>
        <v>#N/A</v>
      </c>
    </row>
    <row r="74">
      <c r="A74" s="7">
        <v>73.0</v>
      </c>
      <c r="B74" s="18" t="s">
        <v>162</v>
      </c>
      <c r="C74" s="9" t="s">
        <v>163</v>
      </c>
      <c r="D74" s="9">
        <f>IFERROR(__xludf.DUMMYFUNCTION("GOOGLEFINANCE(""NSE:""&amp;C74)"),568.75)</f>
        <v>568.75</v>
      </c>
      <c r="E74" s="10" t="str">
        <f>IFERROR(__xludf.DUMMYFUNCTION("INDEX(GOOGLEFINANCE(""NSE:""&amp;B74,dates!$I$1,dates!$C$3),2,2)"),"#N/A")</f>
        <v>#N/A</v>
      </c>
      <c r="F74" s="10">
        <f>IFERROR(__xludf.DUMMYFUNCTION("INDEX(GOOGLEFINANCE(""NSE:""&amp;C74,dates!$I$1,dates!$C$4),2,2)"),560.1)</f>
        <v>560.1</v>
      </c>
      <c r="G74" s="10">
        <f>IFERROR(__xludf.DUMMYFUNCTION("INDEX(GOOGLEFINANCE(""NSE:""&amp;C74,dates!$I$1,dates!$C$5),2,2)"),575.6)</f>
        <v>575.6</v>
      </c>
      <c r="H74" s="10">
        <f>IFERROR(__xludf.DUMMYFUNCTION("INDEX(GOOGLEFINANCE(""NSE:""&amp;C74,dates!$I$1,dates!$C$6),2,2)"),524.95)</f>
        <v>524.95</v>
      </c>
      <c r="I74" s="16">
        <f t="shared" si="1"/>
        <v>0.01544367077</v>
      </c>
      <c r="J74" s="16">
        <f t="shared" si="2"/>
        <v>-0.01190062543</v>
      </c>
      <c r="K74" s="16">
        <f t="shared" si="3"/>
        <v>0.08343651776</v>
      </c>
      <c r="L74" s="16">
        <f t="shared" si="4"/>
        <v>0.02734429621</v>
      </c>
      <c r="M74" s="17" t="str">
        <f t="shared" si="5"/>
        <v>#N/A</v>
      </c>
      <c r="N74" s="17" t="str">
        <f t="shared" si="6"/>
        <v>#N/A</v>
      </c>
      <c r="O74" s="17">
        <f t="shared" si="7"/>
        <v>89</v>
      </c>
      <c r="P74" s="17" t="str">
        <f t="shared" si="8"/>
        <v>#N/A</v>
      </c>
    </row>
    <row r="75">
      <c r="A75" s="7">
        <v>74.0</v>
      </c>
      <c r="B75" s="18" t="s">
        <v>164</v>
      </c>
      <c r="C75" s="9" t="s">
        <v>165</v>
      </c>
      <c r="D75" s="9">
        <f>IFERROR(__xludf.DUMMYFUNCTION("GOOGLEFINANCE(""NSE:""&amp;C75)"),3228.0)</f>
        <v>3228</v>
      </c>
      <c r="E75" s="10" t="str">
        <f>IFERROR(__xludf.DUMMYFUNCTION("INDEX(GOOGLEFINANCE(""NSE:""&amp;B75,dates!$I$1,dates!$C$3),2,2)"),"#N/A")</f>
        <v>#N/A</v>
      </c>
      <c r="F75" s="10">
        <f>IFERROR(__xludf.DUMMYFUNCTION("INDEX(GOOGLEFINANCE(""NSE:""&amp;C75,dates!$I$1,dates!$C$4),2,2)"),3268.8)</f>
        <v>3268.8</v>
      </c>
      <c r="G75" s="10">
        <f>IFERROR(__xludf.DUMMYFUNCTION("INDEX(GOOGLEFINANCE(""NSE:""&amp;C75,dates!$I$1,dates!$C$5),2,2)"),3302.05)</f>
        <v>3302.05</v>
      </c>
      <c r="H75" s="10">
        <f>IFERROR(__xludf.DUMMYFUNCTION("INDEX(GOOGLEFINANCE(""NSE:""&amp;C75,dates!$I$1,dates!$C$6),2,2)"),3030.3)</f>
        <v>3030.3</v>
      </c>
      <c r="I75" s="16">
        <f t="shared" si="1"/>
        <v>-0.01248164464</v>
      </c>
      <c r="J75" s="16">
        <f t="shared" si="2"/>
        <v>-0.02242546297</v>
      </c>
      <c r="K75" s="16">
        <f t="shared" si="3"/>
        <v>0.06524106524</v>
      </c>
      <c r="L75" s="16">
        <f t="shared" si="4"/>
        <v>0.00994381833</v>
      </c>
      <c r="M75" s="17" t="str">
        <f t="shared" si="5"/>
        <v>#N/A</v>
      </c>
      <c r="N75" s="17" t="str">
        <f t="shared" si="6"/>
        <v>#N/A</v>
      </c>
      <c r="O75" s="17">
        <f t="shared" si="7"/>
        <v>111</v>
      </c>
      <c r="P75" s="17" t="str">
        <f t="shared" si="8"/>
        <v>#N/A</v>
      </c>
    </row>
    <row r="76">
      <c r="A76" s="7">
        <v>75.0</v>
      </c>
      <c r="B76" s="18" t="s">
        <v>166</v>
      </c>
      <c r="C76" s="9" t="s">
        <v>167</v>
      </c>
      <c r="D76" s="9">
        <f>IFERROR(__xludf.DUMMYFUNCTION("GOOGLEFINANCE(""NSE:""&amp;C76)"),153.15)</f>
        <v>153.15</v>
      </c>
      <c r="E76" s="10" t="str">
        <f>IFERROR(__xludf.DUMMYFUNCTION("INDEX(GOOGLEFINANCE(""NSE:""&amp;B76,dates!$I$1,dates!$C$3),2,2)"),"#N/A")</f>
        <v>#N/A</v>
      </c>
      <c r="F76" s="10">
        <f>IFERROR(__xludf.DUMMYFUNCTION("INDEX(GOOGLEFINANCE(""NSE:""&amp;C76,dates!$I$1,dates!$C$4),2,2)"),154.1)</f>
        <v>154.1</v>
      </c>
      <c r="G76" s="10">
        <f>IFERROR(__xludf.DUMMYFUNCTION("INDEX(GOOGLEFINANCE(""NSE:""&amp;C76,dates!$I$1,dates!$C$5),2,2)"),145.9)</f>
        <v>145.9</v>
      </c>
      <c r="H76" s="10">
        <f>IFERROR(__xludf.DUMMYFUNCTION("INDEX(GOOGLEFINANCE(""NSE:""&amp;C76,dates!$I$1,dates!$C$6),2,2)"),143.5)</f>
        <v>143.5</v>
      </c>
      <c r="I76" s="16">
        <f t="shared" si="1"/>
        <v>-0.006164828034</v>
      </c>
      <c r="J76" s="16">
        <f t="shared" si="2"/>
        <v>0.04969156957</v>
      </c>
      <c r="K76" s="16">
        <f t="shared" si="3"/>
        <v>0.06724738676</v>
      </c>
      <c r="L76" s="16">
        <f t="shared" si="4"/>
        <v>-0.0558563976</v>
      </c>
      <c r="M76" s="17" t="str">
        <f t="shared" si="5"/>
        <v>#N/A</v>
      </c>
      <c r="N76" s="17" t="str">
        <f t="shared" si="6"/>
        <v>#N/A</v>
      </c>
      <c r="O76" s="17">
        <f t="shared" si="7"/>
        <v>107</v>
      </c>
      <c r="P76" s="17" t="str">
        <f t="shared" si="8"/>
        <v>#N/A</v>
      </c>
    </row>
    <row r="77">
      <c r="A77" s="7">
        <v>76.0</v>
      </c>
      <c r="B77" s="18" t="s">
        <v>168</v>
      </c>
      <c r="C77" s="9" t="s">
        <v>169</v>
      </c>
      <c r="D77" s="9">
        <f>IFERROR(__xludf.DUMMYFUNCTION("GOOGLEFINANCE(""NSE:""&amp;C77)"),3902.0)</f>
        <v>3902</v>
      </c>
      <c r="E77" s="10" t="str">
        <f>IFERROR(__xludf.DUMMYFUNCTION("INDEX(GOOGLEFINANCE(""NSE:""&amp;B77,dates!$I$1,dates!$C$3),2,2)"),"#N/A")</f>
        <v>#N/A</v>
      </c>
      <c r="F77" s="10">
        <f>IFERROR(__xludf.DUMMYFUNCTION("INDEX(GOOGLEFINANCE(""NSE:""&amp;C77,dates!$I$1,dates!$C$4),2,2)"),3962.9)</f>
        <v>3962.9</v>
      </c>
      <c r="G77" s="10">
        <f>IFERROR(__xludf.DUMMYFUNCTION("INDEX(GOOGLEFINANCE(""NSE:""&amp;C77,dates!$I$1,dates!$C$5),2,2)"),3810.0)</f>
        <v>3810</v>
      </c>
      <c r="H77" s="10">
        <f>IFERROR(__xludf.DUMMYFUNCTION("INDEX(GOOGLEFINANCE(""NSE:""&amp;C77,dates!$I$1,dates!$C$6),2,2)"),3930.25)</f>
        <v>3930.25</v>
      </c>
      <c r="I77" s="16">
        <f t="shared" si="1"/>
        <v>-0.01536753388</v>
      </c>
      <c r="J77" s="16">
        <f t="shared" si="2"/>
        <v>0.02414698163</v>
      </c>
      <c r="K77" s="16">
        <f t="shared" si="3"/>
        <v>-0.007187837924</v>
      </c>
      <c r="L77" s="16">
        <f t="shared" si="4"/>
        <v>-0.0395145155</v>
      </c>
      <c r="M77" s="17" t="str">
        <f t="shared" si="5"/>
        <v>#N/A</v>
      </c>
      <c r="N77" s="17" t="str">
        <f t="shared" si="6"/>
        <v>#N/A</v>
      </c>
      <c r="O77" s="17">
        <f t="shared" si="7"/>
        <v>214</v>
      </c>
      <c r="P77" s="17" t="str">
        <f t="shared" si="8"/>
        <v>#N/A</v>
      </c>
    </row>
    <row r="78">
      <c r="A78" s="7">
        <v>77.0</v>
      </c>
      <c r="B78" s="18" t="s">
        <v>170</v>
      </c>
      <c r="C78" s="9" t="s">
        <v>171</v>
      </c>
      <c r="D78" s="9">
        <f>IFERROR(__xludf.DUMMYFUNCTION("GOOGLEFINANCE(""NSE:""&amp;C78)"),2781.0)</f>
        <v>2781</v>
      </c>
      <c r="E78" s="10" t="str">
        <f>IFERROR(__xludf.DUMMYFUNCTION("INDEX(GOOGLEFINANCE(""NSE:""&amp;B78,dates!$I$1,dates!$C$3),2,2)"),"#N/A")</f>
        <v>#N/A</v>
      </c>
      <c r="F78" s="10">
        <f>IFERROR(__xludf.DUMMYFUNCTION("INDEX(GOOGLEFINANCE(""NSE:""&amp;C78,dates!$I$1,dates!$C$4),2,2)"),2634.7)</f>
        <v>2634.7</v>
      </c>
      <c r="G78" s="10">
        <f>IFERROR(__xludf.DUMMYFUNCTION("INDEX(GOOGLEFINANCE(""NSE:""&amp;C78,dates!$I$1,dates!$C$5),2,2)"),2570.6)</f>
        <v>2570.6</v>
      </c>
      <c r="H78" s="10">
        <f>IFERROR(__xludf.DUMMYFUNCTION("INDEX(GOOGLEFINANCE(""NSE:""&amp;C78,dates!$I$1,dates!$C$6),2,2)"),2571.1)</f>
        <v>2571.1</v>
      </c>
      <c r="I78" s="16">
        <f t="shared" si="1"/>
        <v>0.05552814362</v>
      </c>
      <c r="J78" s="16">
        <f t="shared" si="2"/>
        <v>0.08184859566</v>
      </c>
      <c r="K78" s="16">
        <f t="shared" si="3"/>
        <v>0.08163820933</v>
      </c>
      <c r="L78" s="16">
        <f t="shared" si="4"/>
        <v>-0.02632045204</v>
      </c>
      <c r="M78" s="17" t="str">
        <f t="shared" si="5"/>
        <v>#N/A</v>
      </c>
      <c r="N78" s="17" t="str">
        <f t="shared" si="6"/>
        <v>#N/A</v>
      </c>
      <c r="O78" s="17">
        <f t="shared" si="7"/>
        <v>92</v>
      </c>
      <c r="P78" s="17" t="str">
        <f t="shared" si="8"/>
        <v>#N/A</v>
      </c>
    </row>
    <row r="79">
      <c r="A79" s="7">
        <v>78.0</v>
      </c>
      <c r="B79" s="18" t="s">
        <v>172</v>
      </c>
      <c r="C79" s="9" t="s">
        <v>173</v>
      </c>
      <c r="D79" s="9">
        <f>IFERROR(__xludf.DUMMYFUNCTION("GOOGLEFINANCE(""NSE:""&amp;C79)"),1522.2)</f>
        <v>1522.2</v>
      </c>
      <c r="E79" s="10" t="str">
        <f>IFERROR(__xludf.DUMMYFUNCTION("INDEX(GOOGLEFINANCE(""NSE:""&amp;B79,dates!$I$1,dates!$C$3),2,2)"),"#N/A")</f>
        <v>#N/A</v>
      </c>
      <c r="F79" s="10">
        <f>IFERROR(__xludf.DUMMYFUNCTION("INDEX(GOOGLEFINANCE(""NSE:""&amp;C79,dates!$I$1,dates!$C$4),2,2)"),1513.5)</f>
        <v>1513.5</v>
      </c>
      <c r="G79" s="10">
        <f>IFERROR(__xludf.DUMMYFUNCTION("INDEX(GOOGLEFINANCE(""NSE:""&amp;C79,dates!$I$1,dates!$C$5),2,2)"),1544.55)</f>
        <v>1544.55</v>
      </c>
      <c r="H79" s="10">
        <f>IFERROR(__xludf.DUMMYFUNCTION("INDEX(GOOGLEFINANCE(""NSE:""&amp;C79,dates!$I$1,dates!$C$6),2,2)"),1491.7)</f>
        <v>1491.7</v>
      </c>
      <c r="I79" s="16">
        <f t="shared" si="1"/>
        <v>0.00574826561</v>
      </c>
      <c r="J79" s="16">
        <f t="shared" si="2"/>
        <v>-0.01447023405</v>
      </c>
      <c r="K79" s="16">
        <f t="shared" si="3"/>
        <v>0.02044647047</v>
      </c>
      <c r="L79" s="16">
        <f t="shared" si="4"/>
        <v>0.02021849966</v>
      </c>
      <c r="M79" s="17" t="str">
        <f t="shared" si="5"/>
        <v>#N/A</v>
      </c>
      <c r="N79" s="17" t="str">
        <f t="shared" si="6"/>
        <v>#N/A</v>
      </c>
      <c r="O79" s="17">
        <f t="shared" si="7"/>
        <v>183</v>
      </c>
      <c r="P79" s="17" t="str">
        <f t="shared" si="8"/>
        <v>#N/A</v>
      </c>
    </row>
    <row r="80">
      <c r="A80" s="7">
        <v>79.0</v>
      </c>
      <c r="B80" s="18" t="s">
        <v>174</v>
      </c>
      <c r="C80" s="9" t="s">
        <v>175</v>
      </c>
      <c r="D80" s="9">
        <f>IFERROR(__xludf.DUMMYFUNCTION("GOOGLEFINANCE(""NSE:""&amp;C80)"),4570.0)</f>
        <v>4570</v>
      </c>
      <c r="E80" s="10" t="str">
        <f>IFERROR(__xludf.DUMMYFUNCTION("INDEX(GOOGLEFINANCE(""NSE:""&amp;B80,dates!$I$1,dates!$C$3),2,2)"),"#N/A")</f>
        <v>#N/A</v>
      </c>
      <c r="F80" s="10">
        <f>IFERROR(__xludf.DUMMYFUNCTION("INDEX(GOOGLEFINANCE(""NSE:""&amp;C80,dates!$I$1,dates!$C$4),2,2)"),4184.2)</f>
        <v>4184.2</v>
      </c>
      <c r="G80" s="10">
        <f>IFERROR(__xludf.DUMMYFUNCTION("INDEX(GOOGLEFINANCE(""NSE:""&amp;C80,dates!$I$1,dates!$C$5),2,2)"),3935.05)</f>
        <v>3935.05</v>
      </c>
      <c r="H80" s="10">
        <f>IFERROR(__xludf.DUMMYFUNCTION("INDEX(GOOGLEFINANCE(""NSE:""&amp;C80,dates!$I$1,dates!$C$6),2,2)"),3643.05)</f>
        <v>3643.05</v>
      </c>
      <c r="I80" s="16">
        <f t="shared" si="1"/>
        <v>0.09220400554</v>
      </c>
      <c r="J80" s="16">
        <f t="shared" si="2"/>
        <v>0.1613575431</v>
      </c>
      <c r="K80" s="16">
        <f t="shared" si="3"/>
        <v>0.2544433922</v>
      </c>
      <c r="L80" s="16">
        <f t="shared" si="4"/>
        <v>-0.06915353756</v>
      </c>
      <c r="M80" s="17" t="str">
        <f t="shared" si="5"/>
        <v>#N/A</v>
      </c>
      <c r="N80" s="17" t="str">
        <f t="shared" si="6"/>
        <v>#N/A</v>
      </c>
      <c r="O80" s="17">
        <f t="shared" si="7"/>
        <v>13</v>
      </c>
      <c r="P80" s="17" t="str">
        <f t="shared" si="8"/>
        <v>#N/A</v>
      </c>
    </row>
    <row r="81">
      <c r="A81" s="7">
        <v>80.0</v>
      </c>
      <c r="B81" s="18" t="s">
        <v>176</v>
      </c>
      <c r="C81" s="9" t="s">
        <v>177</v>
      </c>
      <c r="D81" s="9">
        <f>IFERROR(__xludf.DUMMYFUNCTION("GOOGLEFINANCE(""NSE:""&amp;C81)"),278.9)</f>
        <v>278.9</v>
      </c>
      <c r="E81" s="10" t="str">
        <f>IFERROR(__xludf.DUMMYFUNCTION("INDEX(GOOGLEFINANCE(""NSE:""&amp;B81,dates!$I$1,dates!$C$3),2,2)"),"#N/A")</f>
        <v>#N/A</v>
      </c>
      <c r="F81" s="10">
        <f>IFERROR(__xludf.DUMMYFUNCTION("INDEX(GOOGLEFINANCE(""NSE:""&amp;C81,dates!$I$1,dates!$C$4),2,2)"),268.75)</f>
        <v>268.75</v>
      </c>
      <c r="G81" s="10">
        <f>IFERROR(__xludf.DUMMYFUNCTION("INDEX(GOOGLEFINANCE(""NSE:""&amp;C81,dates!$I$1,dates!$C$5),2,2)"),238.85)</f>
        <v>238.85</v>
      </c>
      <c r="H81" s="10">
        <f>IFERROR(__xludf.DUMMYFUNCTION("INDEX(GOOGLEFINANCE(""NSE:""&amp;C81,dates!$I$1,dates!$C$6),2,2)"),216.3)</f>
        <v>216.3</v>
      </c>
      <c r="I81" s="16">
        <f t="shared" si="1"/>
        <v>0.03776744186</v>
      </c>
      <c r="J81" s="16">
        <f t="shared" si="2"/>
        <v>0.1676784593</v>
      </c>
      <c r="K81" s="16">
        <f t="shared" si="3"/>
        <v>0.2894128525</v>
      </c>
      <c r="L81" s="16">
        <f t="shared" si="4"/>
        <v>-0.1299110174</v>
      </c>
      <c r="M81" s="17" t="str">
        <f t="shared" si="5"/>
        <v>#N/A</v>
      </c>
      <c r="N81" s="17" t="str">
        <f t="shared" si="6"/>
        <v>#N/A</v>
      </c>
      <c r="O81" s="17">
        <f t="shared" si="7"/>
        <v>10</v>
      </c>
      <c r="P81" s="17" t="str">
        <f t="shared" si="8"/>
        <v>#N/A</v>
      </c>
    </row>
    <row r="82">
      <c r="A82" s="7">
        <v>81.0</v>
      </c>
      <c r="B82" s="18" t="s">
        <v>178</v>
      </c>
      <c r="C82" s="9" t="s">
        <v>178</v>
      </c>
      <c r="D82" s="9">
        <f>IFERROR(__xludf.DUMMYFUNCTION("GOOGLEFINANCE(""NSE:""&amp;C82)"),11004.0)</f>
        <v>11004</v>
      </c>
      <c r="E82" s="10" t="str">
        <f>IFERROR(__xludf.DUMMYFUNCTION("INDEX(GOOGLEFINANCE(""NSE:""&amp;B82,dates!$I$1,dates!$C$3),2,2)"),"#N/A")</f>
        <v>#N/A</v>
      </c>
      <c r="F82" s="10">
        <f>IFERROR(__xludf.DUMMYFUNCTION("INDEX(GOOGLEFINANCE(""NSE:""&amp;C82,dates!$I$1,dates!$C$4),2,2)"),11099.05)</f>
        <v>11099.05</v>
      </c>
      <c r="G82" s="10">
        <f>IFERROR(__xludf.DUMMYFUNCTION("INDEX(GOOGLEFINANCE(""NSE:""&amp;C82,dates!$I$1,dates!$C$5),2,2)"),10685.5)</f>
        <v>10685.5</v>
      </c>
      <c r="H82" s="10">
        <f>IFERROR(__xludf.DUMMYFUNCTION("INDEX(GOOGLEFINANCE(""NSE:""&amp;C82,dates!$I$1,dates!$C$6),2,2)"),9423.55)</f>
        <v>9423.55</v>
      </c>
      <c r="I82" s="16">
        <f t="shared" si="1"/>
        <v>-0.008563796001</v>
      </c>
      <c r="J82" s="16">
        <f t="shared" si="2"/>
        <v>0.02980674746</v>
      </c>
      <c r="K82" s="16">
        <f t="shared" si="3"/>
        <v>0.1677128046</v>
      </c>
      <c r="L82" s="16">
        <f t="shared" si="4"/>
        <v>-0.03837054346</v>
      </c>
      <c r="M82" s="17" t="str">
        <f t="shared" si="5"/>
        <v>#N/A</v>
      </c>
      <c r="N82" s="17" t="str">
        <f t="shared" si="6"/>
        <v>#N/A</v>
      </c>
      <c r="O82" s="17">
        <f t="shared" si="7"/>
        <v>36</v>
      </c>
      <c r="P82" s="17" t="str">
        <f t="shared" si="8"/>
        <v>#N/A</v>
      </c>
    </row>
    <row r="83">
      <c r="A83" s="7">
        <v>82.0</v>
      </c>
      <c r="B83" s="18" t="s">
        <v>179</v>
      </c>
      <c r="C83" s="9" t="s">
        <v>180</v>
      </c>
      <c r="D83" s="9">
        <f>IFERROR(__xludf.DUMMYFUNCTION("GOOGLEFINANCE(""NSE:""&amp;C83)"),567.0)</f>
        <v>567</v>
      </c>
      <c r="E83" s="10" t="str">
        <f>IFERROR(__xludf.DUMMYFUNCTION("INDEX(GOOGLEFINANCE(""NSE:""&amp;B83,dates!$I$1,dates!$C$3),2,2)"),"#N/A")</f>
        <v>#N/A</v>
      </c>
      <c r="F83" s="10">
        <f>IFERROR(__xludf.DUMMYFUNCTION("INDEX(GOOGLEFINANCE(""NSE:""&amp;C83,dates!$I$1,dates!$C$4),2,2)"),557.2)</f>
        <v>557.2</v>
      </c>
      <c r="G83" s="10">
        <f>IFERROR(__xludf.DUMMYFUNCTION("INDEX(GOOGLEFINANCE(""NSE:""&amp;C83,dates!$I$1,dates!$C$5),2,2)"),555.55)</f>
        <v>555.55</v>
      </c>
      <c r="H83" s="10">
        <f>IFERROR(__xludf.DUMMYFUNCTION("INDEX(GOOGLEFINANCE(""NSE:""&amp;C83,dates!$I$1,dates!$C$6),2,2)"),550.55)</f>
        <v>550.55</v>
      </c>
      <c r="I83" s="16">
        <f t="shared" si="1"/>
        <v>0.0175879397</v>
      </c>
      <c r="J83" s="16">
        <f t="shared" si="2"/>
        <v>0.0206102061</v>
      </c>
      <c r="K83" s="16">
        <f t="shared" si="3"/>
        <v>0.0298792117</v>
      </c>
      <c r="L83" s="16">
        <f t="shared" si="4"/>
        <v>-0.003022266404</v>
      </c>
      <c r="M83" s="17" t="str">
        <f t="shared" si="5"/>
        <v>#N/A</v>
      </c>
      <c r="N83" s="17" t="str">
        <f t="shared" si="6"/>
        <v>#N/A</v>
      </c>
      <c r="O83" s="17">
        <f t="shared" si="7"/>
        <v>159</v>
      </c>
      <c r="P83" s="17" t="str">
        <f t="shared" si="8"/>
        <v>#N/A</v>
      </c>
    </row>
    <row r="84">
      <c r="A84" s="7">
        <v>83.0</v>
      </c>
      <c r="B84" s="18" t="s">
        <v>181</v>
      </c>
      <c r="C84" s="9" t="s">
        <v>181</v>
      </c>
      <c r="D84" s="9">
        <f>IFERROR(__xludf.DUMMYFUNCTION("GOOGLEFINANCE(""NSE:""&amp;C84)"),727.1)</f>
        <v>727.1</v>
      </c>
      <c r="E84" s="10" t="str">
        <f>IFERROR(__xludf.DUMMYFUNCTION("INDEX(GOOGLEFINANCE(""NSE:""&amp;B84,dates!$I$1,dates!$C$3),2,2)"),"#N/A")</f>
        <v>#N/A</v>
      </c>
      <c r="F84" s="10">
        <f>IFERROR(__xludf.DUMMYFUNCTION("INDEX(GOOGLEFINANCE(""NSE:""&amp;C84,dates!$I$1,dates!$C$4),2,2)"),742.35)</f>
        <v>742.35</v>
      </c>
      <c r="G84" s="10">
        <f>IFERROR(__xludf.DUMMYFUNCTION("INDEX(GOOGLEFINANCE(""NSE:""&amp;C84,dates!$I$1,dates!$C$5),2,2)"),756.0)</f>
        <v>756</v>
      </c>
      <c r="H84" s="10">
        <f>IFERROR(__xludf.DUMMYFUNCTION("INDEX(GOOGLEFINANCE(""NSE:""&amp;C84,dates!$I$1,dates!$C$6),2,2)"),729.25)</f>
        <v>729.25</v>
      </c>
      <c r="I84" s="16">
        <f t="shared" si="1"/>
        <v>-0.02054287061</v>
      </c>
      <c r="J84" s="16">
        <f t="shared" si="2"/>
        <v>-0.03822751323</v>
      </c>
      <c r="K84" s="16">
        <f t="shared" si="3"/>
        <v>-0.002948234487</v>
      </c>
      <c r="L84" s="16">
        <f t="shared" si="4"/>
        <v>0.01768464261</v>
      </c>
      <c r="M84" s="17" t="str">
        <f t="shared" si="5"/>
        <v>#N/A</v>
      </c>
      <c r="N84" s="17" t="str">
        <f t="shared" si="6"/>
        <v>#N/A</v>
      </c>
      <c r="O84" s="17">
        <f t="shared" si="7"/>
        <v>207</v>
      </c>
      <c r="P84" s="17" t="str">
        <f t="shared" si="8"/>
        <v>#N/A</v>
      </c>
    </row>
    <row r="85">
      <c r="A85" s="7">
        <v>84.0</v>
      </c>
      <c r="B85" s="18" t="s">
        <v>182</v>
      </c>
      <c r="C85" s="9" t="s">
        <v>183</v>
      </c>
      <c r="D85" s="9">
        <f>IFERROR(__xludf.DUMMYFUNCTION("GOOGLEFINANCE(""NSE:""&amp;C85)"),2852.0)</f>
        <v>2852</v>
      </c>
      <c r="E85" s="10" t="str">
        <f>IFERROR(__xludf.DUMMYFUNCTION("INDEX(GOOGLEFINANCE(""NSE:""&amp;B85,dates!$I$1,dates!$C$3),2,2)"),"#N/A")</f>
        <v>#N/A</v>
      </c>
      <c r="F85" s="10">
        <f>IFERROR(__xludf.DUMMYFUNCTION("INDEX(GOOGLEFINANCE(""NSE:""&amp;C85,dates!$I$1,dates!$C$4),2,2)"),2932.1)</f>
        <v>2932.1</v>
      </c>
      <c r="G85" s="10">
        <f>IFERROR(__xludf.DUMMYFUNCTION("INDEX(GOOGLEFINANCE(""NSE:""&amp;C85,dates!$I$1,dates!$C$5),2,2)"),2789.8)</f>
        <v>2789.8</v>
      </c>
      <c r="H85" s="10">
        <f>IFERROR(__xludf.DUMMYFUNCTION("INDEX(GOOGLEFINANCE(""NSE:""&amp;C85,dates!$I$1,dates!$C$6),2,2)"),2674.05)</f>
        <v>2674.05</v>
      </c>
      <c r="I85" s="16">
        <f t="shared" si="1"/>
        <v>-0.02731830429</v>
      </c>
      <c r="J85" s="16">
        <f t="shared" si="2"/>
        <v>0.02229550505</v>
      </c>
      <c r="K85" s="16">
        <f t="shared" si="3"/>
        <v>0.066546998</v>
      </c>
      <c r="L85" s="16">
        <f t="shared" si="4"/>
        <v>-0.04961380934</v>
      </c>
      <c r="M85" s="17" t="str">
        <f t="shared" si="5"/>
        <v>#N/A</v>
      </c>
      <c r="N85" s="17" t="str">
        <f t="shared" si="6"/>
        <v>#N/A</v>
      </c>
      <c r="O85" s="17">
        <f t="shared" si="7"/>
        <v>109</v>
      </c>
      <c r="P85" s="17" t="str">
        <f t="shared" si="8"/>
        <v>#N/A</v>
      </c>
    </row>
    <row r="86">
      <c r="A86" s="7">
        <v>85.0</v>
      </c>
      <c r="B86" s="18" t="s">
        <v>184</v>
      </c>
      <c r="C86" s="9" t="s">
        <v>185</v>
      </c>
      <c r="D86" s="9">
        <f>IFERROR(__xludf.DUMMYFUNCTION("GOOGLEFINANCE(""NSE:""&amp;C86)"),3350.0)</f>
        <v>3350</v>
      </c>
      <c r="E86" s="10" t="str">
        <f>IFERROR(__xludf.DUMMYFUNCTION("INDEX(GOOGLEFINANCE(""NSE:""&amp;B86,dates!$I$1,dates!$C$3),2,2)"),"#N/A")</f>
        <v>#N/A</v>
      </c>
      <c r="F86" s="10">
        <f>IFERROR(__xludf.DUMMYFUNCTION("INDEX(GOOGLEFINANCE(""NSE:""&amp;C86,dates!$I$1,dates!$C$4),2,2)"),3194.1)</f>
        <v>3194.1</v>
      </c>
      <c r="G86" s="10" t="str">
        <f>IFERROR(__xludf.DUMMYFUNCTION("INDEX(GOOGLEFINANCE(""NSE:""&amp;C86,dates!$I$1,dates!$C$5),2,2)"),"#N/A")</f>
        <v>#N/A</v>
      </c>
      <c r="H86" s="10">
        <f>IFERROR(__xludf.DUMMYFUNCTION("INDEX(GOOGLEFINANCE(""NSE:""&amp;C86,dates!$I$1,dates!$C$6),2,2)"),2894.8)</f>
        <v>2894.8</v>
      </c>
      <c r="I86" s="16">
        <f t="shared" si="1"/>
        <v>0.04880874112</v>
      </c>
      <c r="J86" s="16" t="str">
        <f t="shared" si="2"/>
        <v>#N/A</v>
      </c>
      <c r="K86" s="16">
        <f t="shared" si="3"/>
        <v>0.1572474782</v>
      </c>
      <c r="L86" s="16" t="str">
        <f t="shared" si="4"/>
        <v>#N/A</v>
      </c>
      <c r="M86" s="17" t="str">
        <f t="shared" si="5"/>
        <v>#N/A</v>
      </c>
      <c r="N86" s="17" t="str">
        <f t="shared" si="6"/>
        <v>#N/A</v>
      </c>
      <c r="O86" s="17">
        <f t="shared" si="7"/>
        <v>44</v>
      </c>
      <c r="P86" s="17" t="str">
        <f t="shared" si="8"/>
        <v>#N/A</v>
      </c>
    </row>
    <row r="87">
      <c r="A87" s="7">
        <v>86.0</v>
      </c>
      <c r="B87" s="18" t="s">
        <v>186</v>
      </c>
      <c r="C87" s="9" t="s">
        <v>187</v>
      </c>
      <c r="D87" s="9">
        <f>IFERROR(__xludf.DUMMYFUNCTION("GOOGLEFINANCE(""NSE:""&amp;C87)"),3100.65)</f>
        <v>3100.65</v>
      </c>
      <c r="E87" s="10" t="str">
        <f>IFERROR(__xludf.DUMMYFUNCTION("INDEX(GOOGLEFINANCE(""NSE:""&amp;B87,dates!$I$1,dates!$C$3),2,2)"),"#N/A")</f>
        <v>#N/A</v>
      </c>
      <c r="F87" s="10">
        <f>IFERROR(__xludf.DUMMYFUNCTION("INDEX(GOOGLEFINANCE(""NSE:""&amp;C87,dates!$I$1,dates!$C$4),2,2)"),3097.2)</f>
        <v>3097.2</v>
      </c>
      <c r="G87" s="10">
        <f>IFERROR(__xludf.DUMMYFUNCTION("INDEX(GOOGLEFINANCE(""NSE:""&amp;C87,dates!$I$1,dates!$C$5),2,2)"),3126.05)</f>
        <v>3126.05</v>
      </c>
      <c r="H87" s="10">
        <f>IFERROR(__xludf.DUMMYFUNCTION("INDEX(GOOGLEFINANCE(""NSE:""&amp;C87,dates!$I$1,dates!$C$6),2,2)"),3046.9)</f>
        <v>3046.9</v>
      </c>
      <c r="I87" s="16">
        <f t="shared" si="1"/>
        <v>0.001113909337</v>
      </c>
      <c r="J87" s="16">
        <f t="shared" si="2"/>
        <v>-0.008125269909</v>
      </c>
      <c r="K87" s="16">
        <f t="shared" si="3"/>
        <v>0.0176408809</v>
      </c>
      <c r="L87" s="16">
        <f t="shared" si="4"/>
        <v>0.009239179247</v>
      </c>
      <c r="M87" s="17" t="str">
        <f t="shared" si="5"/>
        <v>#N/A</v>
      </c>
      <c r="N87" s="17" t="str">
        <f t="shared" si="6"/>
        <v>#N/A</v>
      </c>
      <c r="O87" s="17">
        <f t="shared" si="7"/>
        <v>188</v>
      </c>
      <c r="P87" s="17" t="str">
        <f t="shared" si="8"/>
        <v>#N/A</v>
      </c>
    </row>
    <row r="88">
      <c r="A88" s="7">
        <v>87.0</v>
      </c>
      <c r="B88" s="18" t="s">
        <v>188</v>
      </c>
      <c r="C88" s="9" t="s">
        <v>189</v>
      </c>
      <c r="D88" s="9">
        <f>IFERROR(__xludf.DUMMYFUNCTION("GOOGLEFINANCE(""NSE:""&amp;C88)"),4170.1)</f>
        <v>4170.1</v>
      </c>
      <c r="E88" s="10" t="str">
        <f>IFERROR(__xludf.DUMMYFUNCTION("INDEX(GOOGLEFINANCE(""NSE:""&amp;B88,dates!$I$1,dates!$C$3),2,2)"),"#N/A")</f>
        <v>#N/A</v>
      </c>
      <c r="F88" s="10">
        <f>IFERROR(__xludf.DUMMYFUNCTION("INDEX(GOOGLEFINANCE(""NSE:""&amp;C88,dates!$I$1,dates!$C$4),2,2)"),4102.8)</f>
        <v>4102.8</v>
      </c>
      <c r="G88" s="10">
        <f>IFERROR(__xludf.DUMMYFUNCTION("INDEX(GOOGLEFINANCE(""NSE:""&amp;C88,dates!$I$1,dates!$C$5),2,2)"),4135.2)</f>
        <v>4135.2</v>
      </c>
      <c r="H88" s="10">
        <f>IFERROR(__xludf.DUMMYFUNCTION("INDEX(GOOGLEFINANCE(""NSE:""&amp;C88,dates!$I$1,dates!$C$6),2,2)"),3812.35)</f>
        <v>3812.35</v>
      </c>
      <c r="I88" s="16">
        <f t="shared" si="1"/>
        <v>0.0164034318</v>
      </c>
      <c r="J88" s="16">
        <f t="shared" si="2"/>
        <v>0.008439736893</v>
      </c>
      <c r="K88" s="16">
        <f t="shared" si="3"/>
        <v>0.09383975763</v>
      </c>
      <c r="L88" s="16">
        <f t="shared" si="4"/>
        <v>0.00796369491</v>
      </c>
      <c r="M88" s="17" t="str">
        <f t="shared" si="5"/>
        <v>#N/A</v>
      </c>
      <c r="N88" s="17" t="str">
        <f t="shared" si="6"/>
        <v>#N/A</v>
      </c>
      <c r="O88" s="17">
        <f t="shared" si="7"/>
        <v>80</v>
      </c>
      <c r="P88" s="17" t="str">
        <f t="shared" si="8"/>
        <v>#N/A</v>
      </c>
    </row>
    <row r="89">
      <c r="A89" s="7">
        <v>88.0</v>
      </c>
      <c r="B89" s="18" t="s">
        <v>190</v>
      </c>
      <c r="C89" s="9" t="s">
        <v>191</v>
      </c>
      <c r="D89" s="9">
        <f>IFERROR(__xludf.DUMMYFUNCTION("GOOGLEFINANCE(""NSE:""&amp;C89)"),828.0)</f>
        <v>828</v>
      </c>
      <c r="E89" s="10" t="str">
        <f>IFERROR(__xludf.DUMMYFUNCTION("INDEX(GOOGLEFINANCE(""NSE:""&amp;B89,dates!$I$1,dates!$C$3),2,2)"),"#N/A")</f>
        <v>#N/A</v>
      </c>
      <c r="F89" s="10">
        <f>IFERROR(__xludf.DUMMYFUNCTION("INDEX(GOOGLEFINANCE(""NSE:""&amp;C89,dates!$I$1,dates!$C$4),2,2)"),741.75)</f>
        <v>741.75</v>
      </c>
      <c r="G89" s="10">
        <f>IFERROR(__xludf.DUMMYFUNCTION("INDEX(GOOGLEFINANCE(""NSE:""&amp;C89,dates!$I$1,dates!$C$5),2,2)"),754.6)</f>
        <v>754.6</v>
      </c>
      <c r="H89" s="10">
        <f>IFERROR(__xludf.DUMMYFUNCTION("INDEX(GOOGLEFINANCE(""NSE:""&amp;C89,dates!$I$1,dates!$C$6),2,2)"),700.45)</f>
        <v>700.45</v>
      </c>
      <c r="I89" s="16">
        <f t="shared" si="1"/>
        <v>0.1162790698</v>
      </c>
      <c r="J89" s="16">
        <f t="shared" si="2"/>
        <v>0.09727007686</v>
      </c>
      <c r="K89" s="16">
        <f t="shared" si="3"/>
        <v>0.1820972232</v>
      </c>
      <c r="L89" s="16">
        <f t="shared" si="4"/>
        <v>0.01900899291</v>
      </c>
      <c r="M89" s="17" t="str">
        <f t="shared" si="5"/>
        <v>#N/A</v>
      </c>
      <c r="N89" s="17" t="str">
        <f t="shared" si="6"/>
        <v>#N/A</v>
      </c>
      <c r="O89" s="17">
        <f t="shared" si="7"/>
        <v>28</v>
      </c>
      <c r="P89" s="17" t="str">
        <f t="shared" si="8"/>
        <v>#N/A</v>
      </c>
    </row>
    <row r="90">
      <c r="A90" s="7">
        <v>89.0</v>
      </c>
      <c r="B90" s="18" t="s">
        <v>192</v>
      </c>
      <c r="C90" s="9" t="s">
        <v>193</v>
      </c>
      <c r="D90" s="9">
        <f>IFERROR(__xludf.DUMMYFUNCTION("GOOGLEFINANCE(""NSE:""&amp;C90)"),3269.0)</f>
        <v>3269</v>
      </c>
      <c r="E90" s="10" t="str">
        <f>IFERROR(__xludf.DUMMYFUNCTION("INDEX(GOOGLEFINANCE(""NSE:""&amp;B90,dates!$I$1,dates!$C$3),2,2)"),"#N/A")</f>
        <v>#N/A</v>
      </c>
      <c r="F90" s="10">
        <f>IFERROR(__xludf.DUMMYFUNCTION("INDEX(GOOGLEFINANCE(""NSE:""&amp;C90,dates!$I$1,dates!$C$4),2,2)"),3464.25)</f>
        <v>3464.25</v>
      </c>
      <c r="G90" s="10">
        <f>IFERROR(__xludf.DUMMYFUNCTION("INDEX(GOOGLEFINANCE(""NSE:""&amp;C90,dates!$I$1,dates!$C$5),2,2)"),3447.75)</f>
        <v>3447.75</v>
      </c>
      <c r="H90" s="10">
        <f>IFERROR(__xludf.DUMMYFUNCTION("INDEX(GOOGLEFINANCE(""NSE:""&amp;C90,dates!$I$1,dates!$C$6),2,2)"),3193.3)</f>
        <v>3193.3</v>
      </c>
      <c r="I90" s="16">
        <f t="shared" si="1"/>
        <v>-0.05636140579</v>
      </c>
      <c r="J90" s="16">
        <f t="shared" si="2"/>
        <v>-0.05184540642</v>
      </c>
      <c r="K90" s="16">
        <f t="shared" si="3"/>
        <v>0.0237058842</v>
      </c>
      <c r="L90" s="16">
        <f t="shared" si="4"/>
        <v>-0.004515999363</v>
      </c>
      <c r="M90" s="17" t="str">
        <f t="shared" si="5"/>
        <v>#N/A</v>
      </c>
      <c r="N90" s="17" t="str">
        <f t="shared" si="6"/>
        <v>#N/A</v>
      </c>
      <c r="O90" s="17">
        <f t="shared" si="7"/>
        <v>175</v>
      </c>
      <c r="P90" s="17" t="str">
        <f t="shared" si="8"/>
        <v>#N/A</v>
      </c>
    </row>
    <row r="91">
      <c r="A91" s="7">
        <v>90.0</v>
      </c>
      <c r="B91" s="18" t="s">
        <v>194</v>
      </c>
      <c r="C91" s="9" t="s">
        <v>195</v>
      </c>
      <c r="D91" s="9">
        <f>IFERROR(__xludf.DUMMYFUNCTION("GOOGLEFINANCE(""NSE:""&amp;C91)"),110.2)</f>
        <v>110.2</v>
      </c>
      <c r="E91" s="10" t="str">
        <f>IFERROR(__xludf.DUMMYFUNCTION("INDEX(GOOGLEFINANCE(""NSE:""&amp;B91,dates!$I$1,dates!$C$3),2,2)"),"#N/A")</f>
        <v>#N/A</v>
      </c>
      <c r="F91" s="10">
        <f>IFERROR(__xludf.DUMMYFUNCTION("INDEX(GOOGLEFINANCE(""NSE:""&amp;C91,dates!$I$1,dates!$C$4),2,2)"),115.15)</f>
        <v>115.15</v>
      </c>
      <c r="G91" s="10">
        <f>IFERROR(__xludf.DUMMYFUNCTION("INDEX(GOOGLEFINANCE(""NSE:""&amp;C91,dates!$I$1,dates!$C$5),2,2)"),120.25)</f>
        <v>120.25</v>
      </c>
      <c r="H91" s="10">
        <f>IFERROR(__xludf.DUMMYFUNCTION("INDEX(GOOGLEFINANCE(""NSE:""&amp;C91,dates!$I$1,dates!$C$6),2,2)"),118.25)</f>
        <v>118.25</v>
      </c>
      <c r="I91" s="16">
        <f t="shared" si="1"/>
        <v>-0.04298740773</v>
      </c>
      <c r="J91" s="16">
        <f t="shared" si="2"/>
        <v>-0.08357588358</v>
      </c>
      <c r="K91" s="16">
        <f t="shared" si="3"/>
        <v>-0.06807610994</v>
      </c>
      <c r="L91" s="16">
        <f t="shared" si="4"/>
        <v>0.04058847585</v>
      </c>
      <c r="M91" s="17" t="str">
        <f t="shared" si="5"/>
        <v>#N/A</v>
      </c>
      <c r="N91" s="17" t="str">
        <f t="shared" si="6"/>
        <v>#N/A</v>
      </c>
      <c r="O91" s="17">
        <f t="shared" si="7"/>
        <v>239</v>
      </c>
      <c r="P91" s="17" t="str">
        <f t="shared" si="8"/>
        <v>#N/A</v>
      </c>
    </row>
    <row r="92">
      <c r="A92" s="7">
        <v>91.0</v>
      </c>
      <c r="B92" s="18" t="s">
        <v>196</v>
      </c>
      <c r="C92" s="9" t="s">
        <v>197</v>
      </c>
      <c r="D92" s="9">
        <f>IFERROR(__xludf.DUMMYFUNCTION("GOOGLEFINANCE(""NSE:""&amp;C92)"),627.55)</f>
        <v>627.55</v>
      </c>
      <c r="E92" s="10" t="str">
        <f>IFERROR(__xludf.DUMMYFUNCTION("INDEX(GOOGLEFINANCE(""NSE:""&amp;B92,dates!$I$1,dates!$C$3),2,2)"),"#N/A")</f>
        <v>#N/A</v>
      </c>
      <c r="F92" s="10">
        <f>IFERROR(__xludf.DUMMYFUNCTION("INDEX(GOOGLEFINANCE(""NSE:""&amp;C92,dates!$I$1,dates!$C$4),2,2)"),663.25)</f>
        <v>663.25</v>
      </c>
      <c r="G92" s="10">
        <f>IFERROR(__xludf.DUMMYFUNCTION("INDEX(GOOGLEFINANCE(""NSE:""&amp;C92,dates!$I$1,dates!$C$5),2,2)"),676.15)</f>
        <v>676.15</v>
      </c>
      <c r="H92" s="10">
        <f>IFERROR(__xludf.DUMMYFUNCTION("INDEX(GOOGLEFINANCE(""NSE:""&amp;C92,dates!$I$1,dates!$C$6),2,2)"),710.8)</f>
        <v>710.8</v>
      </c>
      <c r="I92" s="16">
        <f t="shared" si="1"/>
        <v>-0.05382585752</v>
      </c>
      <c r="J92" s="16">
        <f t="shared" si="2"/>
        <v>-0.07187754197</v>
      </c>
      <c r="K92" s="16">
        <f t="shared" si="3"/>
        <v>-0.1171215532</v>
      </c>
      <c r="L92" s="16">
        <f t="shared" si="4"/>
        <v>0.01805168445</v>
      </c>
      <c r="M92" s="17" t="str">
        <f t="shared" si="5"/>
        <v>#N/A</v>
      </c>
      <c r="N92" s="17" t="str">
        <f t="shared" si="6"/>
        <v>#N/A</v>
      </c>
      <c r="O92" s="17">
        <f t="shared" si="7"/>
        <v>246</v>
      </c>
      <c r="P92" s="17" t="str">
        <f t="shared" si="8"/>
        <v>#N/A</v>
      </c>
    </row>
    <row r="93">
      <c r="A93" s="7">
        <v>92.0</v>
      </c>
      <c r="B93" s="18" t="s">
        <v>198</v>
      </c>
      <c r="C93" s="9" t="s">
        <v>199</v>
      </c>
      <c r="D93" s="9">
        <f>IFERROR(__xludf.DUMMYFUNCTION("GOOGLEFINANCE(""NSE:""&amp;C93)"),4950.0)</f>
        <v>4950</v>
      </c>
      <c r="E93" s="10" t="str">
        <f>IFERROR(__xludf.DUMMYFUNCTION("INDEX(GOOGLEFINANCE(""NSE:""&amp;B93,dates!$I$1,dates!$C$3),2,2)"),"#N/A")</f>
        <v>#N/A</v>
      </c>
      <c r="F93" s="10">
        <f>IFERROR(__xludf.DUMMYFUNCTION("INDEX(GOOGLEFINANCE(""NSE:""&amp;C93,dates!$I$1,dates!$C$4),2,2)"),4398.85)</f>
        <v>4398.85</v>
      </c>
      <c r="G93" s="10">
        <f>IFERROR(__xludf.DUMMYFUNCTION("INDEX(GOOGLEFINANCE(""NSE:""&amp;C93,dates!$I$1,dates!$C$5),2,2)"),4281.4)</f>
        <v>4281.4</v>
      </c>
      <c r="H93" s="10">
        <f>IFERROR(__xludf.DUMMYFUNCTION("INDEX(GOOGLEFINANCE(""NSE:""&amp;C93,dates!$I$1,dates!$C$6),2,2)"),4194.95)</f>
        <v>4194.95</v>
      </c>
      <c r="I93" s="16">
        <f t="shared" si="1"/>
        <v>0.125294111</v>
      </c>
      <c r="J93" s="16">
        <f t="shared" si="2"/>
        <v>0.1561638716</v>
      </c>
      <c r="K93" s="16">
        <f t="shared" si="3"/>
        <v>0.1799902263</v>
      </c>
      <c r="L93" s="16">
        <f t="shared" si="4"/>
        <v>-0.03086976067</v>
      </c>
      <c r="M93" s="17" t="str">
        <f t="shared" si="5"/>
        <v>#N/A</v>
      </c>
      <c r="N93" s="17" t="str">
        <f t="shared" si="6"/>
        <v>#N/A</v>
      </c>
      <c r="O93" s="17">
        <f t="shared" si="7"/>
        <v>31</v>
      </c>
      <c r="P93" s="17" t="str">
        <f t="shared" si="8"/>
        <v>#N/A</v>
      </c>
    </row>
    <row r="94">
      <c r="A94" s="7">
        <v>93.0</v>
      </c>
      <c r="B94" s="18" t="s">
        <v>200</v>
      </c>
      <c r="C94" s="9" t="s">
        <v>201</v>
      </c>
      <c r="D94" s="9">
        <f>IFERROR(__xludf.DUMMYFUNCTION("GOOGLEFINANCE(""NSE:""&amp;C94)"),1360.0)</f>
        <v>1360</v>
      </c>
      <c r="E94" s="10" t="str">
        <f>IFERROR(__xludf.DUMMYFUNCTION("INDEX(GOOGLEFINANCE(""NSE:""&amp;B94,dates!$I$1,dates!$C$3),2,2)"),"#N/A")</f>
        <v>#N/A</v>
      </c>
      <c r="F94" s="10">
        <f>IFERROR(__xludf.DUMMYFUNCTION("INDEX(GOOGLEFINANCE(""NSE:""&amp;C94,dates!$I$1,dates!$C$4),2,2)"),1430.6)</f>
        <v>1430.6</v>
      </c>
      <c r="G94" s="10">
        <f>IFERROR(__xludf.DUMMYFUNCTION("INDEX(GOOGLEFINANCE(""NSE:""&amp;C94,dates!$I$1,dates!$C$5),2,2)"),1405.25)</f>
        <v>1405.25</v>
      </c>
      <c r="H94" s="10">
        <f>IFERROR(__xludf.DUMMYFUNCTION("INDEX(GOOGLEFINANCE(""NSE:""&amp;C94,dates!$I$1,dates!$C$6),2,2)"),1381.4)</f>
        <v>1381.4</v>
      </c>
      <c r="I94" s="16">
        <f t="shared" si="1"/>
        <v>-0.04934992311</v>
      </c>
      <c r="J94" s="16">
        <f t="shared" si="2"/>
        <v>-0.03220067604</v>
      </c>
      <c r="K94" s="16">
        <f t="shared" si="3"/>
        <v>-0.01549153033</v>
      </c>
      <c r="L94" s="16">
        <f t="shared" si="4"/>
        <v>-0.01714924707</v>
      </c>
      <c r="M94" s="17" t="str">
        <f t="shared" si="5"/>
        <v>#N/A</v>
      </c>
      <c r="N94" s="17" t="str">
        <f t="shared" si="6"/>
        <v>#N/A</v>
      </c>
      <c r="O94" s="17">
        <f t="shared" si="7"/>
        <v>222</v>
      </c>
      <c r="P94" s="17" t="str">
        <f t="shared" si="8"/>
        <v>#N/A</v>
      </c>
    </row>
    <row r="95">
      <c r="A95" s="7">
        <v>94.0</v>
      </c>
      <c r="B95" s="18" t="s">
        <v>202</v>
      </c>
      <c r="C95" s="9" t="s">
        <v>203</v>
      </c>
      <c r="D95" s="9">
        <f>IFERROR(__xludf.DUMMYFUNCTION("GOOGLEFINANCE(""NSE:""&amp;C95)"),3957.0)</f>
        <v>3957</v>
      </c>
      <c r="E95" s="10" t="str">
        <f>IFERROR(__xludf.DUMMYFUNCTION("INDEX(GOOGLEFINANCE(""NSE:""&amp;B95,dates!$I$1,dates!$C$3),2,2)"),"#N/A")</f>
        <v>#N/A</v>
      </c>
      <c r="F95" s="10">
        <f>IFERROR(__xludf.DUMMYFUNCTION("INDEX(GOOGLEFINANCE(""NSE:""&amp;C95,dates!$I$1,dates!$C$4),2,2)"),3824.95)</f>
        <v>3824.95</v>
      </c>
      <c r="G95" s="10">
        <f>IFERROR(__xludf.DUMMYFUNCTION("INDEX(GOOGLEFINANCE(""NSE:""&amp;C95,dates!$I$1,dates!$C$5),2,2)"),3823.85)</f>
        <v>3823.85</v>
      </c>
      <c r="H95" s="10">
        <f>IFERROR(__xludf.DUMMYFUNCTION("INDEX(GOOGLEFINANCE(""NSE:""&amp;C95,dates!$I$1,dates!$C$6),2,2)"),3887.65)</f>
        <v>3887.65</v>
      </c>
      <c r="I95" s="16">
        <f t="shared" si="1"/>
        <v>0.0345233271</v>
      </c>
      <c r="J95" s="16">
        <f t="shared" si="2"/>
        <v>0.03482092655</v>
      </c>
      <c r="K95" s="16">
        <f t="shared" si="3"/>
        <v>0.01783853999</v>
      </c>
      <c r="L95" s="16">
        <f t="shared" si="4"/>
        <v>-0.0002975994508</v>
      </c>
      <c r="M95" s="17" t="str">
        <f t="shared" si="5"/>
        <v>#N/A</v>
      </c>
      <c r="N95" s="17" t="str">
        <f t="shared" si="6"/>
        <v>#N/A</v>
      </c>
      <c r="O95" s="17">
        <f t="shared" si="7"/>
        <v>187</v>
      </c>
      <c r="P95" s="17" t="str">
        <f t="shared" si="8"/>
        <v>#N/A</v>
      </c>
    </row>
    <row r="96">
      <c r="A96" s="7">
        <v>95.0</v>
      </c>
      <c r="B96" s="18" t="s">
        <v>204</v>
      </c>
      <c r="C96" s="9" t="s">
        <v>205</v>
      </c>
      <c r="D96" s="9">
        <f>IFERROR(__xludf.DUMMYFUNCTION("GOOGLEFINANCE(""NSE:""&amp;C96)"),1703.4)</f>
        <v>1703.4</v>
      </c>
      <c r="E96" s="10" t="str">
        <f>IFERROR(__xludf.DUMMYFUNCTION("INDEX(GOOGLEFINANCE(""NSE:""&amp;B96,dates!$I$1,dates!$C$3),2,2)"),"#N/A")</f>
        <v>#N/A</v>
      </c>
      <c r="F96" s="10">
        <f>IFERROR(__xludf.DUMMYFUNCTION("INDEX(GOOGLEFINANCE(""NSE:""&amp;C96,dates!$I$1,dates!$C$4),2,2)"),1732.55)</f>
        <v>1732.55</v>
      </c>
      <c r="G96" s="10">
        <f>IFERROR(__xludf.DUMMYFUNCTION("INDEX(GOOGLEFINANCE(""NSE:""&amp;C96,dates!$I$1,dates!$C$5),2,2)"),1723.3)</f>
        <v>1723.3</v>
      </c>
      <c r="H96" s="10">
        <f>IFERROR(__xludf.DUMMYFUNCTION("INDEX(GOOGLEFINANCE(""NSE:""&amp;C96,dates!$I$1,dates!$C$6),2,2)"),1655.6)</f>
        <v>1655.6</v>
      </c>
      <c r="I96" s="16">
        <f t="shared" si="1"/>
        <v>-0.01682491126</v>
      </c>
      <c r="J96" s="16">
        <f t="shared" si="2"/>
        <v>-0.01154761214</v>
      </c>
      <c r="K96" s="16">
        <f t="shared" si="3"/>
        <v>0.02887170814</v>
      </c>
      <c r="L96" s="16">
        <f t="shared" si="4"/>
        <v>-0.005277299118</v>
      </c>
      <c r="M96" s="17" t="str">
        <f t="shared" si="5"/>
        <v>#N/A</v>
      </c>
      <c r="N96" s="17" t="str">
        <f t="shared" si="6"/>
        <v>#N/A</v>
      </c>
      <c r="O96" s="17">
        <f t="shared" si="7"/>
        <v>163</v>
      </c>
      <c r="P96" s="17" t="str">
        <f t="shared" si="8"/>
        <v>#N/A</v>
      </c>
    </row>
    <row r="97">
      <c r="A97" s="7">
        <v>96.0</v>
      </c>
      <c r="B97" s="18" t="s">
        <v>206</v>
      </c>
      <c r="C97" s="9" t="s">
        <v>207</v>
      </c>
      <c r="D97" s="9">
        <f>IFERROR(__xludf.DUMMYFUNCTION("GOOGLEFINANCE(""NSE:""&amp;C97)"),288.4)</f>
        <v>288.4</v>
      </c>
      <c r="E97" s="10" t="str">
        <f>IFERROR(__xludf.DUMMYFUNCTION("INDEX(GOOGLEFINANCE(""NSE:""&amp;B97,dates!$I$1,dates!$C$3),2,2)"),"#N/A")</f>
        <v>#N/A</v>
      </c>
      <c r="F97" s="10">
        <f>IFERROR(__xludf.DUMMYFUNCTION("INDEX(GOOGLEFINANCE(""NSE:""&amp;C97,dates!$I$1,dates!$C$4),2,2)"),287.25)</f>
        <v>287.25</v>
      </c>
      <c r="G97" s="10">
        <f>IFERROR(__xludf.DUMMYFUNCTION("INDEX(GOOGLEFINANCE(""NSE:""&amp;C97,dates!$I$1,dates!$C$5),2,2)"),283.95)</f>
        <v>283.95</v>
      </c>
      <c r="H97" s="10">
        <f>IFERROR(__xludf.DUMMYFUNCTION("INDEX(GOOGLEFINANCE(""NSE:""&amp;C97,dates!$I$1,dates!$C$6),2,2)"),276.1)</f>
        <v>276.1</v>
      </c>
      <c r="I97" s="16">
        <f t="shared" si="1"/>
        <v>0.004003481288</v>
      </c>
      <c r="J97" s="16">
        <f t="shared" si="2"/>
        <v>0.0156717732</v>
      </c>
      <c r="K97" s="16">
        <f t="shared" si="3"/>
        <v>0.04454907642</v>
      </c>
      <c r="L97" s="16">
        <f t="shared" si="4"/>
        <v>-0.01166829191</v>
      </c>
      <c r="M97" s="17" t="str">
        <f t="shared" si="5"/>
        <v>#N/A</v>
      </c>
      <c r="N97" s="17" t="str">
        <f t="shared" si="6"/>
        <v>#N/A</v>
      </c>
      <c r="O97" s="17">
        <f t="shared" si="7"/>
        <v>144</v>
      </c>
      <c r="P97" s="17" t="str">
        <f t="shared" si="8"/>
        <v>#N/A</v>
      </c>
    </row>
    <row r="98">
      <c r="A98" s="7">
        <v>97.0</v>
      </c>
      <c r="B98" s="18" t="s">
        <v>208</v>
      </c>
      <c r="C98" s="9" t="s">
        <v>208</v>
      </c>
      <c r="D98" s="9">
        <f>IFERROR(__xludf.DUMMYFUNCTION("GOOGLEFINANCE(""NSE:""&amp;C98)"),142.85)</f>
        <v>142.85</v>
      </c>
      <c r="E98" s="10" t="str">
        <f>IFERROR(__xludf.DUMMYFUNCTION("INDEX(GOOGLEFINANCE(""NSE:""&amp;B98,dates!$I$1,dates!$C$3),2,2)"),"#N/A")</f>
        <v>#N/A</v>
      </c>
      <c r="F98" s="10">
        <f>IFERROR(__xludf.DUMMYFUNCTION("INDEX(GOOGLEFINANCE(""NSE:""&amp;C98,dates!$I$1,dates!$C$4),2,2)"),147.4)</f>
        <v>147.4</v>
      </c>
      <c r="G98" s="10">
        <f>IFERROR(__xludf.DUMMYFUNCTION("INDEX(GOOGLEFINANCE(""NSE:""&amp;C98,dates!$I$1,dates!$C$5),2,2)"),151.55)</f>
        <v>151.55</v>
      </c>
      <c r="H98" s="10">
        <f>IFERROR(__xludf.DUMMYFUNCTION("INDEX(GOOGLEFINANCE(""NSE:""&amp;C98,dates!$I$1,dates!$C$6),2,2)"),152.2)</f>
        <v>152.2</v>
      </c>
      <c r="I98" s="16">
        <f t="shared" si="1"/>
        <v>-0.03086838535</v>
      </c>
      <c r="J98" s="16">
        <f t="shared" si="2"/>
        <v>-0.05740679644</v>
      </c>
      <c r="K98" s="16">
        <f t="shared" si="3"/>
        <v>-0.06143232589</v>
      </c>
      <c r="L98" s="16">
        <f t="shared" si="4"/>
        <v>0.02653841109</v>
      </c>
      <c r="M98" s="17" t="str">
        <f t="shared" si="5"/>
        <v>#N/A</v>
      </c>
      <c r="N98" s="17" t="str">
        <f t="shared" si="6"/>
        <v>#N/A</v>
      </c>
      <c r="O98" s="17">
        <f t="shared" si="7"/>
        <v>236</v>
      </c>
      <c r="P98" s="17" t="str">
        <f t="shared" si="8"/>
        <v>#N/A</v>
      </c>
    </row>
    <row r="99">
      <c r="A99" s="7">
        <v>98.0</v>
      </c>
      <c r="B99" s="18" t="s">
        <v>209</v>
      </c>
      <c r="C99" s="9" t="s">
        <v>210</v>
      </c>
      <c r="D99" s="9">
        <f>IFERROR(__xludf.DUMMYFUNCTION("GOOGLEFINANCE(""NSE:""&amp;C99)"),585.3)</f>
        <v>585.3</v>
      </c>
      <c r="E99" s="10" t="str">
        <f>IFERROR(__xludf.DUMMYFUNCTION("INDEX(GOOGLEFINANCE(""NSE:""&amp;B99,dates!$I$1,dates!$C$3),2,2)"),"#N/A")</f>
        <v>#N/A</v>
      </c>
      <c r="F99" s="10">
        <f>IFERROR(__xludf.DUMMYFUNCTION("INDEX(GOOGLEFINANCE(""NSE:""&amp;C99,dates!$I$1,dates!$C$4),2,2)"),606.85)</f>
        <v>606.85</v>
      </c>
      <c r="G99" s="10">
        <f>IFERROR(__xludf.DUMMYFUNCTION("INDEX(GOOGLEFINANCE(""NSE:""&amp;C99,dates!$I$1,dates!$C$5),2,2)"),584.4)</f>
        <v>584.4</v>
      </c>
      <c r="H99" s="10">
        <f>IFERROR(__xludf.DUMMYFUNCTION("INDEX(GOOGLEFINANCE(""NSE:""&amp;C99,dates!$I$1,dates!$C$6),2,2)"),524.8)</f>
        <v>524.8</v>
      </c>
      <c r="I99" s="16">
        <f t="shared" si="1"/>
        <v>-0.0355112466</v>
      </c>
      <c r="J99" s="16">
        <f t="shared" si="2"/>
        <v>0.001540041068</v>
      </c>
      <c r="K99" s="16">
        <f t="shared" si="3"/>
        <v>0.1152820122</v>
      </c>
      <c r="L99" s="16">
        <f t="shared" si="4"/>
        <v>-0.03705128767</v>
      </c>
      <c r="M99" s="17" t="str">
        <f t="shared" si="5"/>
        <v>#N/A</v>
      </c>
      <c r="N99" s="17" t="str">
        <f t="shared" si="6"/>
        <v>#N/A</v>
      </c>
      <c r="O99" s="17">
        <f t="shared" si="7"/>
        <v>64</v>
      </c>
      <c r="P99" s="17" t="str">
        <f t="shared" si="8"/>
        <v>#N/A</v>
      </c>
    </row>
    <row r="100">
      <c r="A100" s="7">
        <v>99.0</v>
      </c>
      <c r="B100" s="18" t="s">
        <v>211</v>
      </c>
      <c r="C100" s="9" t="s">
        <v>212</v>
      </c>
      <c r="D100" s="9">
        <f>IFERROR(__xludf.DUMMYFUNCTION("GOOGLEFINANCE(""NSE:""&amp;C100)"),14325.7)</f>
        <v>14325.7</v>
      </c>
      <c r="E100" s="10" t="str">
        <f>IFERROR(__xludf.DUMMYFUNCTION("INDEX(GOOGLEFINANCE(""NSE:""&amp;B100,dates!$I$1,dates!$C$3),2,2)"),"#N/A")</f>
        <v>#N/A</v>
      </c>
      <c r="F100" s="10">
        <f>IFERROR(__xludf.DUMMYFUNCTION("INDEX(GOOGLEFINANCE(""NSE:""&amp;C100,dates!$I$1,dates!$C$4),2,2)"),13923.2)</f>
        <v>13923.2</v>
      </c>
      <c r="G100" s="10">
        <f>IFERROR(__xludf.DUMMYFUNCTION("INDEX(GOOGLEFINANCE(""NSE:""&amp;C100,dates!$I$1,dates!$C$5),2,2)"),14202.9)</f>
        <v>14202.9</v>
      </c>
      <c r="H100" s="10">
        <f>IFERROR(__xludf.DUMMYFUNCTION("INDEX(GOOGLEFINANCE(""NSE:""&amp;C100,dates!$I$1,dates!$C$6),2,2)"),13737.2)</f>
        <v>13737.2</v>
      </c>
      <c r="I100" s="16">
        <f t="shared" si="1"/>
        <v>0.02890858423</v>
      </c>
      <c r="J100" s="16">
        <f t="shared" si="2"/>
        <v>0.008646121567</v>
      </c>
      <c r="K100" s="16">
        <f t="shared" si="3"/>
        <v>0.04283988003</v>
      </c>
      <c r="L100" s="16">
        <f t="shared" si="4"/>
        <v>0.02026246267</v>
      </c>
      <c r="M100" s="17" t="str">
        <f t="shared" si="5"/>
        <v>#N/A</v>
      </c>
      <c r="N100" s="17" t="str">
        <f t="shared" si="6"/>
        <v>#N/A</v>
      </c>
      <c r="O100" s="17">
        <f t="shared" si="7"/>
        <v>147</v>
      </c>
      <c r="P100" s="17" t="str">
        <f t="shared" si="8"/>
        <v>#N/A</v>
      </c>
    </row>
    <row r="101">
      <c r="A101" s="7">
        <v>100.0</v>
      </c>
      <c r="B101" s="18" t="s">
        <v>213</v>
      </c>
      <c r="C101" s="19" t="s">
        <v>214</v>
      </c>
      <c r="D101" s="9">
        <f>IFERROR(__xludf.DUMMYFUNCTION("GOOGLEFINANCE(""NSE:""&amp;C101)"),207.4)</f>
        <v>207.4</v>
      </c>
      <c r="E101" s="10" t="str">
        <f>IFERROR(__xludf.DUMMYFUNCTION("INDEX(GOOGLEFINANCE(""NSE:""&amp;B101,dates!$I$1,dates!$C$3),2,2)"),"#N/A")</f>
        <v>#N/A</v>
      </c>
      <c r="F101" s="10">
        <f>IFERROR(__xludf.DUMMYFUNCTION("INDEX(GOOGLEFINANCE(""NSE:""&amp;C101,dates!$I$1,dates!$C$4),2,2)"),205.3)</f>
        <v>205.3</v>
      </c>
      <c r="G101" s="10">
        <f>IFERROR(__xludf.DUMMYFUNCTION("INDEX(GOOGLEFINANCE(""NSE:""&amp;C101,dates!$I$1,dates!$C$5),2,2)"),196.5)</f>
        <v>196.5</v>
      </c>
      <c r="H101" s="10">
        <f>IFERROR(__xludf.DUMMYFUNCTION("INDEX(GOOGLEFINANCE(""NSE:""&amp;C101,dates!$I$1,dates!$C$6),2,2)"),185.3)</f>
        <v>185.3</v>
      </c>
      <c r="I101" s="16">
        <f t="shared" si="1"/>
        <v>0.01022893327</v>
      </c>
      <c r="J101" s="16">
        <f t="shared" si="2"/>
        <v>0.05547073791</v>
      </c>
      <c r="K101" s="16">
        <f t="shared" si="3"/>
        <v>0.119266055</v>
      </c>
      <c r="L101" s="16">
        <f t="shared" si="4"/>
        <v>-0.04524180465</v>
      </c>
      <c r="M101" s="17" t="str">
        <f t="shared" si="5"/>
        <v>#N/A</v>
      </c>
      <c r="N101" s="17" t="str">
        <f t="shared" si="6"/>
        <v>#N/A</v>
      </c>
      <c r="O101" s="17">
        <f t="shared" si="7"/>
        <v>59</v>
      </c>
      <c r="P101" s="17" t="str">
        <f t="shared" si="8"/>
        <v>#N/A</v>
      </c>
    </row>
    <row r="102">
      <c r="A102" s="7">
        <v>101.0</v>
      </c>
      <c r="B102" s="18" t="s">
        <v>215</v>
      </c>
      <c r="C102" s="9" t="s">
        <v>215</v>
      </c>
      <c r="D102" s="9">
        <f>IFERROR(__xludf.DUMMYFUNCTION("GOOGLEFINANCE(""NSE:""&amp;C102)"),2351.0)</f>
        <v>2351</v>
      </c>
      <c r="E102" s="10" t="str">
        <f>IFERROR(__xludf.DUMMYFUNCTION("INDEX(GOOGLEFINANCE(""NSE:""&amp;B102,dates!$I$1,dates!$C$3),2,2)"),"#N/A")</f>
        <v>#N/A</v>
      </c>
      <c r="F102" s="10">
        <f>IFERROR(__xludf.DUMMYFUNCTION("INDEX(GOOGLEFINANCE(""NSE:""&amp;C102,dates!$I$1,dates!$C$4),2,2)"),2394.85)</f>
        <v>2394.85</v>
      </c>
      <c r="G102" s="10">
        <f>IFERROR(__xludf.DUMMYFUNCTION("INDEX(GOOGLEFINANCE(""NSE:""&amp;C102,dates!$I$1,dates!$C$5),2,2)"),2471.4)</f>
        <v>2471.4</v>
      </c>
      <c r="H102" s="10">
        <f>IFERROR(__xludf.DUMMYFUNCTION("INDEX(GOOGLEFINANCE(""NSE:""&amp;C102,dates!$I$1,dates!$C$6),2,2)"),2348.1)</f>
        <v>2348.1</v>
      </c>
      <c r="I102" s="16">
        <f t="shared" si="1"/>
        <v>-0.01831012381</v>
      </c>
      <c r="J102" s="16">
        <f t="shared" si="2"/>
        <v>-0.04871732621</v>
      </c>
      <c r="K102" s="16">
        <f t="shared" si="3"/>
        <v>0.001235041097</v>
      </c>
      <c r="L102" s="16">
        <f t="shared" si="4"/>
        <v>0.0304072024</v>
      </c>
      <c r="M102" s="17" t="str">
        <f t="shared" si="5"/>
        <v>#N/A</v>
      </c>
      <c r="N102" s="17" t="str">
        <f t="shared" si="6"/>
        <v>#N/A</v>
      </c>
      <c r="O102" s="17">
        <f t="shared" si="7"/>
        <v>202</v>
      </c>
      <c r="P102" s="17" t="str">
        <f t="shared" si="8"/>
        <v>#N/A</v>
      </c>
    </row>
    <row r="103">
      <c r="A103" s="7">
        <v>102.0</v>
      </c>
      <c r="B103" s="18" t="s">
        <v>216</v>
      </c>
      <c r="C103" s="9" t="s">
        <v>217</v>
      </c>
      <c r="D103" s="9">
        <f>IFERROR(__xludf.DUMMYFUNCTION("GOOGLEFINANCE(""NSE:""&amp;C103)"),2645.95)</f>
        <v>2645.95</v>
      </c>
      <c r="E103" s="10" t="str">
        <f>IFERROR(__xludf.DUMMYFUNCTION("INDEX(GOOGLEFINANCE(""NSE:""&amp;B103,dates!$I$1,dates!$C$3),2,2)"),"#N/A")</f>
        <v>#N/A</v>
      </c>
      <c r="F103" s="10">
        <f>IFERROR(__xludf.DUMMYFUNCTION("INDEX(GOOGLEFINANCE(""NSE:""&amp;C103,dates!$I$1,dates!$C$4),2,2)"),2490.1)</f>
        <v>2490.1</v>
      </c>
      <c r="G103" s="10">
        <f>IFERROR(__xludf.DUMMYFUNCTION("INDEX(GOOGLEFINANCE(""NSE:""&amp;C103,dates!$I$1,dates!$C$5),2,2)"),2448.6)</f>
        <v>2448.6</v>
      </c>
      <c r="H103" s="10">
        <f>IFERROR(__xludf.DUMMYFUNCTION("INDEX(GOOGLEFINANCE(""NSE:""&amp;C103,dates!$I$1,dates!$C$6),2,2)"),2290.85)</f>
        <v>2290.85</v>
      </c>
      <c r="I103" s="16">
        <f t="shared" si="1"/>
        <v>0.06258784788</v>
      </c>
      <c r="J103" s="16">
        <f t="shared" si="2"/>
        <v>0.08059707588</v>
      </c>
      <c r="K103" s="16">
        <f t="shared" si="3"/>
        <v>0.1550079665</v>
      </c>
      <c r="L103" s="16">
        <f t="shared" si="4"/>
        <v>-0.018009228</v>
      </c>
      <c r="M103" s="17" t="str">
        <f t="shared" si="5"/>
        <v>#N/A</v>
      </c>
      <c r="N103" s="17" t="str">
        <f t="shared" si="6"/>
        <v>#N/A</v>
      </c>
      <c r="O103" s="17">
        <f t="shared" si="7"/>
        <v>46</v>
      </c>
      <c r="P103" s="17" t="str">
        <f t="shared" si="8"/>
        <v>#N/A</v>
      </c>
    </row>
    <row r="104">
      <c r="A104" s="7">
        <v>103.0</v>
      </c>
      <c r="B104" s="18" t="s">
        <v>218</v>
      </c>
      <c r="C104" s="9" t="s">
        <v>219</v>
      </c>
      <c r="D104" s="9">
        <f>IFERROR(__xludf.DUMMYFUNCTION("GOOGLEFINANCE(""NSE:""&amp;C104)"),938.9)</f>
        <v>938.9</v>
      </c>
      <c r="E104" s="10" t="str">
        <f>IFERROR(__xludf.DUMMYFUNCTION("INDEX(GOOGLEFINANCE(""NSE:""&amp;B104,dates!$I$1,dates!$C$3),2,2)"),"#N/A")</f>
        <v>#N/A</v>
      </c>
      <c r="F104" s="10">
        <f>IFERROR(__xludf.DUMMYFUNCTION("INDEX(GOOGLEFINANCE(""NSE:""&amp;C104,dates!$I$1,dates!$C$4),2,2)"),950.95)</f>
        <v>950.95</v>
      </c>
      <c r="G104" s="10">
        <f>IFERROR(__xludf.DUMMYFUNCTION("INDEX(GOOGLEFINANCE(""NSE:""&amp;C104,dates!$I$1,dates!$C$5),2,2)"),984.1)</f>
        <v>984.1</v>
      </c>
      <c r="H104" s="10">
        <f>IFERROR(__xludf.DUMMYFUNCTION("INDEX(GOOGLEFINANCE(""NSE:""&amp;C104,dates!$I$1,dates!$C$6),2,2)"),940.1)</f>
        <v>940.1</v>
      </c>
      <c r="I104" s="16">
        <f t="shared" si="1"/>
        <v>-0.01267153899</v>
      </c>
      <c r="J104" s="16">
        <f t="shared" si="2"/>
        <v>-0.04593029164</v>
      </c>
      <c r="K104" s="16">
        <f t="shared" si="3"/>
        <v>-0.001276459951</v>
      </c>
      <c r="L104" s="16">
        <f t="shared" si="4"/>
        <v>0.03325875265</v>
      </c>
      <c r="M104" s="17" t="str">
        <f t="shared" si="5"/>
        <v>#N/A</v>
      </c>
      <c r="N104" s="17" t="str">
        <f t="shared" si="6"/>
        <v>#N/A</v>
      </c>
      <c r="O104" s="17">
        <f t="shared" si="7"/>
        <v>204</v>
      </c>
      <c r="P104" s="17" t="str">
        <f t="shared" si="8"/>
        <v>#N/A</v>
      </c>
    </row>
    <row r="105">
      <c r="A105" s="7">
        <v>104.0</v>
      </c>
      <c r="B105" s="18" t="s">
        <v>220</v>
      </c>
      <c r="C105" s="9" t="s">
        <v>221</v>
      </c>
      <c r="D105" s="9">
        <f>IFERROR(__xludf.DUMMYFUNCTION("GOOGLEFINANCE(""NSE:""&amp;C105)"),3708.0)</f>
        <v>3708</v>
      </c>
      <c r="E105" s="10" t="str">
        <f>IFERROR(__xludf.DUMMYFUNCTION("INDEX(GOOGLEFINANCE(""NSE:""&amp;B105,dates!$I$1,dates!$C$3),2,2)"),"#N/A")</f>
        <v>#N/A</v>
      </c>
      <c r="F105" s="10">
        <f>IFERROR(__xludf.DUMMYFUNCTION("INDEX(GOOGLEFINANCE(""NSE:""&amp;C105,dates!$I$1,dates!$C$4),2,2)"),3863.4)</f>
        <v>3863.4</v>
      </c>
      <c r="G105" s="10">
        <f>IFERROR(__xludf.DUMMYFUNCTION("INDEX(GOOGLEFINANCE(""NSE:""&amp;C105,dates!$I$1,dates!$C$5),2,2)"),3435.75)</f>
        <v>3435.75</v>
      </c>
      <c r="H105" s="10">
        <f>IFERROR(__xludf.DUMMYFUNCTION("INDEX(GOOGLEFINANCE(""NSE:""&amp;C105,dates!$I$1,dates!$C$6),2,2)"),2648.7)</f>
        <v>2648.7</v>
      </c>
      <c r="I105" s="16">
        <f t="shared" si="1"/>
        <v>-0.04022363721</v>
      </c>
      <c r="J105" s="16">
        <f t="shared" si="2"/>
        <v>0.07924034054</v>
      </c>
      <c r="K105" s="16">
        <f t="shared" si="3"/>
        <v>0.3999320421</v>
      </c>
      <c r="L105" s="16">
        <f t="shared" si="4"/>
        <v>-0.1194639777</v>
      </c>
      <c r="M105" s="17" t="str">
        <f t="shared" si="5"/>
        <v>#N/A</v>
      </c>
      <c r="N105" s="17" t="str">
        <f t="shared" si="6"/>
        <v>#N/A</v>
      </c>
      <c r="O105" s="17">
        <f t="shared" si="7"/>
        <v>6</v>
      </c>
      <c r="P105" s="17" t="str">
        <f t="shared" si="8"/>
        <v>#N/A</v>
      </c>
    </row>
    <row r="106">
      <c r="A106" s="7">
        <v>105.0</v>
      </c>
      <c r="B106" s="18" t="s">
        <v>222</v>
      </c>
      <c r="C106" s="9" t="s">
        <v>223</v>
      </c>
      <c r="D106" s="9">
        <f>IFERROR(__xludf.DUMMYFUNCTION("GOOGLEFINANCE(""NSE:""&amp;C106)"),367.05)</f>
        <v>367.05</v>
      </c>
      <c r="E106" s="10" t="str">
        <f>IFERROR(__xludf.DUMMYFUNCTION("INDEX(GOOGLEFINANCE(""NSE:""&amp;B106,dates!$I$1,dates!$C$3),2,2)"),"#N/A")</f>
        <v>#N/A</v>
      </c>
      <c r="F106" s="10">
        <f>IFERROR(__xludf.DUMMYFUNCTION("INDEX(GOOGLEFINANCE(""NSE:""&amp;C106,dates!$I$1,dates!$C$4),2,2)"),377.4)</f>
        <v>377.4</v>
      </c>
      <c r="G106" s="10">
        <f>IFERROR(__xludf.DUMMYFUNCTION("INDEX(GOOGLEFINANCE(""NSE:""&amp;C106,dates!$I$1,dates!$C$5),2,2)"),353.6)</f>
        <v>353.6</v>
      </c>
      <c r="H106" s="10">
        <f>IFERROR(__xludf.DUMMYFUNCTION("INDEX(GOOGLEFINANCE(""NSE:""&amp;C106,dates!$I$1,dates!$C$6),2,2)"),346.7)</f>
        <v>346.7</v>
      </c>
      <c r="I106" s="16">
        <f t="shared" si="1"/>
        <v>-0.02742448331</v>
      </c>
      <c r="J106" s="16">
        <f t="shared" si="2"/>
        <v>0.03803733032</v>
      </c>
      <c r="K106" s="16">
        <f t="shared" si="3"/>
        <v>0.0586962792</v>
      </c>
      <c r="L106" s="16">
        <f t="shared" si="4"/>
        <v>-0.06546181362</v>
      </c>
      <c r="M106" s="17" t="str">
        <f t="shared" si="5"/>
        <v>#N/A</v>
      </c>
      <c r="N106" s="17" t="str">
        <f t="shared" si="6"/>
        <v>#N/A</v>
      </c>
      <c r="O106" s="17">
        <f t="shared" si="7"/>
        <v>123</v>
      </c>
      <c r="P106" s="17" t="str">
        <f t="shared" si="8"/>
        <v>#N/A</v>
      </c>
    </row>
    <row r="107">
      <c r="A107" s="7">
        <v>106.0</v>
      </c>
      <c r="B107" s="18" t="s">
        <v>224</v>
      </c>
      <c r="C107" s="9" t="s">
        <v>225</v>
      </c>
      <c r="D107" s="9">
        <f>IFERROR(__xludf.DUMMYFUNCTION("GOOGLEFINANCE(""NSE:""&amp;C107)"),732.0)</f>
        <v>732</v>
      </c>
      <c r="E107" s="10" t="str">
        <f>IFERROR(__xludf.DUMMYFUNCTION("INDEX(GOOGLEFINANCE(""NSE:""&amp;B107,dates!$I$1,dates!$C$3),2,2)"),"#N/A")</f>
        <v>#N/A</v>
      </c>
      <c r="F107" s="10">
        <f>IFERROR(__xludf.DUMMYFUNCTION("INDEX(GOOGLEFINANCE(""NSE:""&amp;C107,dates!$I$1,dates!$C$4),2,2)"),746.2)</f>
        <v>746.2</v>
      </c>
      <c r="G107" s="10">
        <f>IFERROR(__xludf.DUMMYFUNCTION("INDEX(GOOGLEFINANCE(""NSE:""&amp;C107,dates!$I$1,dates!$C$5),2,2)"),736.15)</f>
        <v>736.15</v>
      </c>
      <c r="H107" s="10">
        <f>IFERROR(__xludf.DUMMYFUNCTION("INDEX(GOOGLEFINANCE(""NSE:""&amp;C107,dates!$I$1,dates!$C$6),2,2)"),710.0)</f>
        <v>710</v>
      </c>
      <c r="I107" s="16">
        <f t="shared" si="1"/>
        <v>-0.01902975074</v>
      </c>
      <c r="J107" s="16">
        <f t="shared" si="2"/>
        <v>-0.005637438022</v>
      </c>
      <c r="K107" s="16">
        <f t="shared" si="3"/>
        <v>0.03098591549</v>
      </c>
      <c r="L107" s="16">
        <f t="shared" si="4"/>
        <v>-0.01339231271</v>
      </c>
      <c r="M107" s="17" t="str">
        <f t="shared" si="5"/>
        <v>#N/A</v>
      </c>
      <c r="N107" s="17" t="str">
        <f t="shared" si="6"/>
        <v>#N/A</v>
      </c>
      <c r="O107" s="17">
        <f t="shared" si="7"/>
        <v>157</v>
      </c>
      <c r="P107" s="17" t="str">
        <f t="shared" si="8"/>
        <v>#N/A</v>
      </c>
    </row>
    <row r="108">
      <c r="A108" s="7">
        <v>107.0</v>
      </c>
      <c r="B108" s="18" t="s">
        <v>226</v>
      </c>
      <c r="C108" s="9" t="s">
        <v>227</v>
      </c>
      <c r="D108" s="9">
        <f>IFERROR(__xludf.DUMMYFUNCTION("GOOGLEFINANCE(""NSE:""&amp;C108)"),1105.0)</f>
        <v>1105</v>
      </c>
      <c r="E108" s="10" t="str">
        <f>IFERROR(__xludf.DUMMYFUNCTION("INDEX(GOOGLEFINANCE(""NSE:""&amp;B108,dates!$I$1,dates!$C$3),2,2)"),"#N/A")</f>
        <v>#N/A</v>
      </c>
      <c r="F108" s="10">
        <f>IFERROR(__xludf.DUMMYFUNCTION("INDEX(GOOGLEFINANCE(""NSE:""&amp;C108,dates!$I$1,dates!$C$4),2,2)"),1005.3)</f>
        <v>1005.3</v>
      </c>
      <c r="G108" s="10">
        <f>IFERROR(__xludf.DUMMYFUNCTION("INDEX(GOOGLEFINANCE(""NSE:""&amp;C108,dates!$I$1,dates!$C$5),2,2)"),1062.75)</f>
        <v>1062.75</v>
      </c>
      <c r="H108" s="10">
        <f>IFERROR(__xludf.DUMMYFUNCTION("INDEX(GOOGLEFINANCE(""NSE:""&amp;C108,dates!$I$1,dates!$C$6),2,2)"),891.3)</f>
        <v>891.3</v>
      </c>
      <c r="I108" s="16">
        <f t="shared" si="1"/>
        <v>0.09917437581</v>
      </c>
      <c r="J108" s="16">
        <f t="shared" si="2"/>
        <v>0.03975535168</v>
      </c>
      <c r="K108" s="16">
        <f t="shared" si="3"/>
        <v>0.2397621452</v>
      </c>
      <c r="L108" s="16">
        <f t="shared" si="4"/>
        <v>0.05941902413</v>
      </c>
      <c r="M108" s="17" t="str">
        <f t="shared" si="5"/>
        <v>#N/A</v>
      </c>
      <c r="N108" s="17" t="str">
        <f t="shared" si="6"/>
        <v>#N/A</v>
      </c>
      <c r="O108" s="17">
        <f t="shared" si="7"/>
        <v>16</v>
      </c>
      <c r="P108" s="17" t="str">
        <f t="shared" si="8"/>
        <v>#N/A</v>
      </c>
    </row>
    <row r="109">
      <c r="A109" s="7">
        <v>108.0</v>
      </c>
      <c r="B109" s="18" t="s">
        <v>228</v>
      </c>
      <c r="C109" s="9" t="s">
        <v>229</v>
      </c>
      <c r="D109" s="9">
        <f>IFERROR(__xludf.DUMMYFUNCTION("GOOGLEFINANCE(""NSE:""&amp;C109)"),349.0)</f>
        <v>349</v>
      </c>
      <c r="E109" s="10" t="str">
        <f>IFERROR(__xludf.DUMMYFUNCTION("INDEX(GOOGLEFINANCE(""NSE:""&amp;B109,dates!$I$1,dates!$C$3),2,2)"),"#N/A")</f>
        <v>#N/A</v>
      </c>
      <c r="F109" s="10">
        <f>IFERROR(__xludf.DUMMYFUNCTION("INDEX(GOOGLEFINANCE(""NSE:""&amp;C109,dates!$I$1,dates!$C$4),2,2)"),323.45)</f>
        <v>323.45</v>
      </c>
      <c r="G109" s="10">
        <f>IFERROR(__xludf.DUMMYFUNCTION("INDEX(GOOGLEFINANCE(""NSE:""&amp;C109,dates!$I$1,dates!$C$5),2,2)"),293.15)</f>
        <v>293.15</v>
      </c>
      <c r="H109" s="10">
        <f>IFERROR(__xludf.DUMMYFUNCTION("INDEX(GOOGLEFINANCE(""NSE:""&amp;C109,dates!$I$1,dates!$C$6),2,2)"),249.2)</f>
        <v>249.2</v>
      </c>
      <c r="I109" s="16">
        <f t="shared" si="1"/>
        <v>0.07899211625</v>
      </c>
      <c r="J109" s="16">
        <f t="shared" si="2"/>
        <v>0.1905168003</v>
      </c>
      <c r="K109" s="16">
        <f t="shared" si="3"/>
        <v>0.4004815409</v>
      </c>
      <c r="L109" s="16">
        <f t="shared" si="4"/>
        <v>-0.111524684</v>
      </c>
      <c r="M109" s="17" t="str">
        <f t="shared" si="5"/>
        <v>#N/A</v>
      </c>
      <c r="N109" s="17" t="str">
        <f t="shared" si="6"/>
        <v>#N/A</v>
      </c>
      <c r="O109" s="17">
        <f t="shared" si="7"/>
        <v>5</v>
      </c>
      <c r="P109" s="17" t="str">
        <f t="shared" si="8"/>
        <v>#N/A</v>
      </c>
    </row>
    <row r="110">
      <c r="A110" s="7">
        <v>109.0</v>
      </c>
      <c r="B110" s="18" t="s">
        <v>230</v>
      </c>
      <c r="C110" s="9" t="s">
        <v>231</v>
      </c>
      <c r="D110" s="9">
        <f>IFERROR(__xludf.DUMMYFUNCTION("GOOGLEFINANCE(""NSE:""&amp;C110)"),2182.05)</f>
        <v>2182.05</v>
      </c>
      <c r="E110" s="10" t="str">
        <f>IFERROR(__xludf.DUMMYFUNCTION("INDEX(GOOGLEFINANCE(""NSE:""&amp;B110,dates!$I$1,dates!$C$3),2,2)"),"#N/A")</f>
        <v>#N/A</v>
      </c>
      <c r="F110" s="10">
        <f>IFERROR(__xludf.DUMMYFUNCTION("INDEX(GOOGLEFINANCE(""NSE:""&amp;C110,dates!$I$1,dates!$C$4),2,2)"),1629.55)</f>
        <v>1629.55</v>
      </c>
      <c r="G110" s="10">
        <f>IFERROR(__xludf.DUMMYFUNCTION("INDEX(GOOGLEFINANCE(""NSE:""&amp;C110,dates!$I$1,dates!$C$5),2,2)"),1605.9)</f>
        <v>1605.9</v>
      </c>
      <c r="H110" s="10">
        <f>IFERROR(__xludf.DUMMYFUNCTION("INDEX(GOOGLEFINANCE(""NSE:""&amp;C110,dates!$I$1,dates!$C$6),2,2)"),1473.7)</f>
        <v>1473.7</v>
      </c>
      <c r="I110" s="16">
        <f t="shared" si="1"/>
        <v>0.3390506582</v>
      </c>
      <c r="J110" s="16">
        <f t="shared" si="2"/>
        <v>0.3587707827</v>
      </c>
      <c r="K110" s="16">
        <f t="shared" si="3"/>
        <v>0.4806609215</v>
      </c>
      <c r="L110" s="16">
        <f t="shared" si="4"/>
        <v>-0.01972012458</v>
      </c>
      <c r="M110" s="17" t="str">
        <f t="shared" si="5"/>
        <v>#N/A</v>
      </c>
      <c r="N110" s="17" t="str">
        <f t="shared" si="6"/>
        <v>#N/A</v>
      </c>
      <c r="O110" s="17">
        <f t="shared" si="7"/>
        <v>3</v>
      </c>
      <c r="P110" s="17" t="str">
        <f t="shared" si="8"/>
        <v>#N/A</v>
      </c>
    </row>
    <row r="111">
      <c r="A111" s="7">
        <v>110.0</v>
      </c>
      <c r="B111" s="18" t="s">
        <v>232</v>
      </c>
      <c r="C111" s="9" t="s">
        <v>233</v>
      </c>
      <c r="D111" s="9">
        <f>IFERROR(__xludf.DUMMYFUNCTION("GOOGLEFINANCE(""NSE:""&amp;C111)"),38.9)</f>
        <v>38.9</v>
      </c>
      <c r="E111" s="10" t="str">
        <f>IFERROR(__xludf.DUMMYFUNCTION("INDEX(GOOGLEFINANCE(""NSE:""&amp;B111,dates!$I$1,dates!$C$3),2,2)"),"#N/A")</f>
        <v>#N/A</v>
      </c>
      <c r="F111" s="10">
        <f>IFERROR(__xludf.DUMMYFUNCTION("INDEX(GOOGLEFINANCE(""NSE:""&amp;C111,dates!$I$1,dates!$C$4),2,2)"),39.15)</f>
        <v>39.15</v>
      </c>
      <c r="G111" s="10">
        <f>IFERROR(__xludf.DUMMYFUNCTION("INDEX(GOOGLEFINANCE(""NSE:""&amp;C111,dates!$I$1,dates!$C$5),2,2)"),39.35)</f>
        <v>39.35</v>
      </c>
      <c r="H111" s="10">
        <f>IFERROR(__xludf.DUMMYFUNCTION("INDEX(GOOGLEFINANCE(""NSE:""&amp;C111,dates!$I$1,dates!$C$6),2,2)"),38.5)</f>
        <v>38.5</v>
      </c>
      <c r="I111" s="16">
        <f t="shared" si="1"/>
        <v>-0.006385696041</v>
      </c>
      <c r="J111" s="16">
        <f t="shared" si="2"/>
        <v>-0.01143583227</v>
      </c>
      <c r="K111" s="16">
        <f t="shared" si="3"/>
        <v>0.01038961039</v>
      </c>
      <c r="L111" s="16">
        <f t="shared" si="4"/>
        <v>0.005050136234</v>
      </c>
      <c r="M111" s="17" t="str">
        <f t="shared" si="5"/>
        <v>#N/A</v>
      </c>
      <c r="N111" s="17" t="str">
        <f t="shared" si="6"/>
        <v>#N/A</v>
      </c>
      <c r="O111" s="17">
        <f t="shared" si="7"/>
        <v>194</v>
      </c>
      <c r="P111" s="17" t="str">
        <f t="shared" si="8"/>
        <v>#N/A</v>
      </c>
    </row>
    <row r="112">
      <c r="A112" s="7">
        <v>111.0</v>
      </c>
      <c r="B112" s="18" t="s">
        <v>234</v>
      </c>
      <c r="C112" s="9" t="s">
        <v>235</v>
      </c>
      <c r="D112" s="9">
        <f>IFERROR(__xludf.DUMMYFUNCTION("GOOGLEFINANCE(""NSE:""&amp;C112)"),711.9)</f>
        <v>711.9</v>
      </c>
      <c r="E112" s="10" t="str">
        <f>IFERROR(__xludf.DUMMYFUNCTION("INDEX(GOOGLEFINANCE(""NSE:""&amp;B112,dates!$I$1,dates!$C$3),2,2)"),"#N/A")</f>
        <v>#N/A</v>
      </c>
      <c r="F112" s="10">
        <f>IFERROR(__xludf.DUMMYFUNCTION("INDEX(GOOGLEFINANCE(""NSE:""&amp;C112,dates!$I$1,dates!$C$4),2,2)"),723.65)</f>
        <v>723.65</v>
      </c>
      <c r="G112" s="10">
        <f>IFERROR(__xludf.DUMMYFUNCTION("INDEX(GOOGLEFINANCE(""NSE:""&amp;C112,dates!$I$1,dates!$C$5),2,2)"),740.55)</f>
        <v>740.55</v>
      </c>
      <c r="H112" s="10">
        <f>IFERROR(__xludf.DUMMYFUNCTION("INDEX(GOOGLEFINANCE(""NSE:""&amp;C112,dates!$I$1,dates!$C$6),2,2)"),653.35)</f>
        <v>653.35</v>
      </c>
      <c r="I112" s="16">
        <f t="shared" si="1"/>
        <v>-0.01623713121</v>
      </c>
      <c r="J112" s="16">
        <f t="shared" si="2"/>
        <v>-0.03868746202</v>
      </c>
      <c r="K112" s="16">
        <f t="shared" si="3"/>
        <v>0.08961506084</v>
      </c>
      <c r="L112" s="16">
        <f t="shared" si="4"/>
        <v>0.02245033081</v>
      </c>
      <c r="M112" s="17" t="str">
        <f t="shared" si="5"/>
        <v>#N/A</v>
      </c>
      <c r="N112" s="17" t="str">
        <f t="shared" si="6"/>
        <v>#N/A</v>
      </c>
      <c r="O112" s="17">
        <f t="shared" si="7"/>
        <v>84</v>
      </c>
      <c r="P112" s="17" t="str">
        <f t="shared" si="8"/>
        <v>#N/A</v>
      </c>
    </row>
    <row r="113">
      <c r="A113" s="7">
        <v>112.0</v>
      </c>
      <c r="B113" s="18" t="s">
        <v>236</v>
      </c>
      <c r="C113" s="9" t="s">
        <v>237</v>
      </c>
      <c r="D113" s="9">
        <f>IFERROR(__xludf.DUMMYFUNCTION("GOOGLEFINANCE(""NSE:""&amp;C113)"),144.05)</f>
        <v>144.05</v>
      </c>
      <c r="E113" s="10" t="str">
        <f>IFERROR(__xludf.DUMMYFUNCTION("INDEX(GOOGLEFINANCE(""NSE:""&amp;B113,dates!$I$1,dates!$C$3),2,2)"),"#N/A")</f>
        <v>#N/A</v>
      </c>
      <c r="F113" s="10">
        <f>IFERROR(__xludf.DUMMYFUNCTION("INDEX(GOOGLEFINANCE(""NSE:""&amp;C113,dates!$I$1,dates!$C$4),2,2)"),137.9)</f>
        <v>137.9</v>
      </c>
      <c r="G113" s="10">
        <f>IFERROR(__xludf.DUMMYFUNCTION("INDEX(GOOGLEFINANCE(""NSE:""&amp;C113,dates!$I$1,dates!$C$5),2,2)"),131.05)</f>
        <v>131.05</v>
      </c>
      <c r="H113" s="10">
        <f>IFERROR(__xludf.DUMMYFUNCTION("INDEX(GOOGLEFINANCE(""NSE:""&amp;C113,dates!$I$1,dates!$C$6),2,2)"),127.25)</f>
        <v>127.25</v>
      </c>
      <c r="I113" s="16">
        <f t="shared" si="1"/>
        <v>0.04459753445</v>
      </c>
      <c r="J113" s="16">
        <f t="shared" si="2"/>
        <v>0.09919877909</v>
      </c>
      <c r="K113" s="16">
        <f t="shared" si="3"/>
        <v>0.1320235756</v>
      </c>
      <c r="L113" s="16">
        <f t="shared" si="4"/>
        <v>-0.05460124465</v>
      </c>
      <c r="M113" s="17" t="str">
        <f t="shared" si="5"/>
        <v>#N/A</v>
      </c>
      <c r="N113" s="17" t="str">
        <f t="shared" si="6"/>
        <v>#N/A</v>
      </c>
      <c r="O113" s="17">
        <f t="shared" si="7"/>
        <v>55</v>
      </c>
      <c r="P113" s="17" t="str">
        <f t="shared" si="8"/>
        <v>#N/A</v>
      </c>
    </row>
    <row r="114">
      <c r="A114" s="7">
        <v>113.0</v>
      </c>
      <c r="B114" s="18" t="s">
        <v>238</v>
      </c>
      <c r="C114" s="9" t="s">
        <v>239</v>
      </c>
      <c r="D114" s="9">
        <f>IFERROR(__xludf.DUMMYFUNCTION("GOOGLEFINANCE(""NSE:""&amp;C114)"),4780.05)</f>
        <v>4780.05</v>
      </c>
      <c r="E114" s="10" t="str">
        <f>IFERROR(__xludf.DUMMYFUNCTION("INDEX(GOOGLEFINANCE(""NSE:""&amp;B114,dates!$I$1,dates!$C$3),2,2)"),"#N/A")</f>
        <v>#N/A</v>
      </c>
      <c r="F114" s="10">
        <f>IFERROR(__xludf.DUMMYFUNCTION("INDEX(GOOGLEFINANCE(""NSE:""&amp;C114,dates!$I$1,dates!$C$4),2,2)"),4558.7)</f>
        <v>4558.7</v>
      </c>
      <c r="G114" s="10">
        <f>IFERROR(__xludf.DUMMYFUNCTION("INDEX(GOOGLEFINANCE(""NSE:""&amp;C114,dates!$I$1,dates!$C$5),2,2)"),4373.25)</f>
        <v>4373.25</v>
      </c>
      <c r="H114" s="10">
        <f>IFERROR(__xludf.DUMMYFUNCTION("INDEX(GOOGLEFINANCE(""NSE:""&amp;C114,dates!$I$1,dates!$C$6),2,2)"),3974.2)</f>
        <v>3974.2</v>
      </c>
      <c r="I114" s="16">
        <f t="shared" si="1"/>
        <v>0.04855550925</v>
      </c>
      <c r="J114" s="16">
        <f t="shared" si="2"/>
        <v>0.09302006517</v>
      </c>
      <c r="K114" s="16">
        <f t="shared" si="3"/>
        <v>0.2027703689</v>
      </c>
      <c r="L114" s="16">
        <f t="shared" si="4"/>
        <v>-0.04446455592</v>
      </c>
      <c r="M114" s="17" t="str">
        <f t="shared" si="5"/>
        <v>#N/A</v>
      </c>
      <c r="N114" s="17" t="str">
        <f t="shared" si="6"/>
        <v>#N/A</v>
      </c>
      <c r="O114" s="17">
        <f t="shared" si="7"/>
        <v>23</v>
      </c>
      <c r="P114" s="17" t="str">
        <f t="shared" si="8"/>
        <v>#N/A</v>
      </c>
    </row>
    <row r="115">
      <c r="A115" s="7">
        <v>114.0</v>
      </c>
      <c r="B115" s="18" t="s">
        <v>240</v>
      </c>
      <c r="C115" s="9" t="s">
        <v>241</v>
      </c>
      <c r="D115" s="9">
        <f>IFERROR(__xludf.DUMMYFUNCTION("GOOGLEFINANCE(""NSE:""&amp;C115)"),2125.9)</f>
        <v>2125.9</v>
      </c>
      <c r="E115" s="10" t="str">
        <f>IFERROR(__xludf.DUMMYFUNCTION("INDEX(GOOGLEFINANCE(""NSE:""&amp;B115,dates!$I$1,dates!$C$3),2,2)"),"#N/A")</f>
        <v>#N/A</v>
      </c>
      <c r="F115" s="10">
        <f>IFERROR(__xludf.DUMMYFUNCTION("INDEX(GOOGLEFINANCE(""NSE:""&amp;C115,dates!$I$1,dates!$C$4),2,2)"),2298.1)</f>
        <v>2298.1</v>
      </c>
      <c r="G115" s="10">
        <f>IFERROR(__xludf.DUMMYFUNCTION("INDEX(GOOGLEFINANCE(""NSE:""&amp;C115,dates!$I$1,dates!$C$5),2,2)"),2409.4)</f>
        <v>2409.4</v>
      </c>
      <c r="H115" s="10">
        <f>IFERROR(__xludf.DUMMYFUNCTION("INDEX(GOOGLEFINANCE(""NSE:""&amp;C115,dates!$I$1,dates!$C$6),2,2)"),2032.05)</f>
        <v>2032.05</v>
      </c>
      <c r="I115" s="16">
        <f t="shared" si="1"/>
        <v>-0.07493146512</v>
      </c>
      <c r="J115" s="16">
        <f t="shared" si="2"/>
        <v>-0.1176641488</v>
      </c>
      <c r="K115" s="16">
        <f t="shared" si="3"/>
        <v>0.04618488718</v>
      </c>
      <c r="L115" s="16">
        <f t="shared" si="4"/>
        <v>0.04273268363</v>
      </c>
      <c r="M115" s="17" t="str">
        <f t="shared" si="5"/>
        <v>#N/A</v>
      </c>
      <c r="N115" s="17" t="str">
        <f t="shared" si="6"/>
        <v>#N/A</v>
      </c>
      <c r="O115" s="17">
        <f t="shared" si="7"/>
        <v>141</v>
      </c>
      <c r="P115" s="17" t="str">
        <f t="shared" si="8"/>
        <v>#N/A</v>
      </c>
    </row>
    <row r="116">
      <c r="A116" s="7">
        <v>115.0</v>
      </c>
      <c r="B116" s="18" t="s">
        <v>242</v>
      </c>
      <c r="C116" s="9" t="s">
        <v>243</v>
      </c>
      <c r="D116" s="9">
        <f>IFERROR(__xludf.DUMMYFUNCTION("GOOGLEFINANCE(""NSE:""&amp;C116)"),1890.0)</f>
        <v>1890</v>
      </c>
      <c r="E116" s="10" t="str">
        <f>IFERROR(__xludf.DUMMYFUNCTION("INDEX(GOOGLEFINANCE(""NSE:""&amp;B116,dates!$I$1,dates!$C$3),2,2)"),"#N/A")</f>
        <v>#N/A</v>
      </c>
      <c r="F116" s="10">
        <f>IFERROR(__xludf.DUMMYFUNCTION("INDEX(GOOGLEFINANCE(""NSE:""&amp;C116,dates!$I$1,dates!$C$4),2,2)"),1843.2)</f>
        <v>1843.2</v>
      </c>
      <c r="G116" s="10">
        <f>IFERROR(__xludf.DUMMYFUNCTION("INDEX(GOOGLEFINANCE(""NSE:""&amp;C116,dates!$I$1,dates!$C$5),2,2)"),1861.0)</f>
        <v>1861</v>
      </c>
      <c r="H116" s="10">
        <f>IFERROR(__xludf.DUMMYFUNCTION("INDEX(GOOGLEFINANCE(""NSE:""&amp;C116,dates!$I$1,dates!$C$6),2,2)"),1850.05)</f>
        <v>1850.05</v>
      </c>
      <c r="I116" s="16">
        <f t="shared" si="1"/>
        <v>0.025390625</v>
      </c>
      <c r="J116" s="16">
        <f t="shared" si="2"/>
        <v>0.01558301988</v>
      </c>
      <c r="K116" s="16">
        <f t="shared" si="3"/>
        <v>0.02159401097</v>
      </c>
      <c r="L116" s="16">
        <f t="shared" si="4"/>
        <v>0.009807605118</v>
      </c>
      <c r="M116" s="17" t="str">
        <f t="shared" si="5"/>
        <v>#N/A</v>
      </c>
      <c r="N116" s="17" t="str">
        <f t="shared" si="6"/>
        <v>#N/A</v>
      </c>
      <c r="O116" s="17">
        <f t="shared" si="7"/>
        <v>181</v>
      </c>
      <c r="P116" s="17" t="str">
        <f t="shared" si="8"/>
        <v>#N/A</v>
      </c>
    </row>
    <row r="117">
      <c r="A117" s="7">
        <v>116.0</v>
      </c>
      <c r="B117" s="18" t="s">
        <v>244</v>
      </c>
      <c r="C117" s="9" t="s">
        <v>245</v>
      </c>
      <c r="D117" s="9">
        <f>IFERROR(__xludf.DUMMYFUNCTION("GOOGLEFINANCE(""NSE:""&amp;C117)"),15374.0)</f>
        <v>15374</v>
      </c>
      <c r="E117" s="10" t="str">
        <f>IFERROR(__xludf.DUMMYFUNCTION("INDEX(GOOGLEFINANCE(""NSE:""&amp;B117,dates!$I$1,dates!$C$3),2,2)"),"#N/A")</f>
        <v>#N/A</v>
      </c>
      <c r="F117" s="10">
        <f>IFERROR(__xludf.DUMMYFUNCTION("INDEX(GOOGLEFINANCE(""NSE:""&amp;C117,dates!$I$1,dates!$C$4),2,2)"),15076.0)</f>
        <v>15076</v>
      </c>
      <c r="G117" s="10">
        <f>IFERROR(__xludf.DUMMYFUNCTION("INDEX(GOOGLEFINANCE(""NSE:""&amp;C117,dates!$I$1,dates!$C$5),2,2)"),14566.1)</f>
        <v>14566.1</v>
      </c>
      <c r="H117" s="10">
        <f>IFERROR(__xludf.DUMMYFUNCTION("INDEX(GOOGLEFINANCE(""NSE:""&amp;C117,dates!$I$1,dates!$C$6),2,2)"),13642.75)</f>
        <v>13642.75</v>
      </c>
      <c r="I117" s="16">
        <f t="shared" si="1"/>
        <v>0.01976651632</v>
      </c>
      <c r="J117" s="16">
        <f t="shared" si="2"/>
        <v>0.05546440022</v>
      </c>
      <c r="K117" s="16">
        <f t="shared" si="3"/>
        <v>0.1268989023</v>
      </c>
      <c r="L117" s="16">
        <f t="shared" si="4"/>
        <v>-0.0356978839</v>
      </c>
      <c r="M117" s="17" t="str">
        <f t="shared" si="5"/>
        <v>#N/A</v>
      </c>
      <c r="N117" s="17" t="str">
        <f t="shared" si="6"/>
        <v>#N/A</v>
      </c>
      <c r="O117" s="17">
        <f t="shared" si="7"/>
        <v>56</v>
      </c>
      <c r="P117" s="17" t="str">
        <f t="shared" si="8"/>
        <v>#N/A</v>
      </c>
    </row>
    <row r="118">
      <c r="A118" s="7">
        <v>117.0</v>
      </c>
      <c r="B118" s="18" t="s">
        <v>246</v>
      </c>
      <c r="C118" s="9" t="s">
        <v>247</v>
      </c>
      <c r="D118" s="9">
        <f>IFERROR(__xludf.DUMMYFUNCTION("GOOGLEFINANCE(""NSE:""&amp;C118)"),21610.0)</f>
        <v>21610</v>
      </c>
      <c r="E118" s="10" t="str">
        <f>IFERROR(__xludf.DUMMYFUNCTION("INDEX(GOOGLEFINANCE(""NSE:""&amp;B118,dates!$I$1,dates!$C$3),2,2)"),"#N/A")</f>
        <v>#N/A</v>
      </c>
      <c r="F118" s="10">
        <f>IFERROR(__xludf.DUMMYFUNCTION("INDEX(GOOGLEFINANCE(""NSE:""&amp;C118,dates!$I$1,dates!$C$4),2,2)"),20480.6)</f>
        <v>20480.6</v>
      </c>
      <c r="G118" s="10">
        <f>IFERROR(__xludf.DUMMYFUNCTION("INDEX(GOOGLEFINANCE(""NSE:""&amp;C118,dates!$I$1,dates!$C$5),2,2)"),21378.55)</f>
        <v>21378.55</v>
      </c>
      <c r="H118" s="10">
        <f>IFERROR(__xludf.DUMMYFUNCTION("INDEX(GOOGLEFINANCE(""NSE:""&amp;C118,dates!$I$1,dates!$C$6),2,2)"),19028.8)</f>
        <v>19028.8</v>
      </c>
      <c r="I118" s="16">
        <f t="shared" si="1"/>
        <v>0.0551448688</v>
      </c>
      <c r="J118" s="16">
        <f t="shared" si="2"/>
        <v>0.01082627213</v>
      </c>
      <c r="K118" s="16">
        <f t="shared" si="3"/>
        <v>0.1356470193</v>
      </c>
      <c r="L118" s="16">
        <f t="shared" si="4"/>
        <v>0.04431859667</v>
      </c>
      <c r="M118" s="17" t="str">
        <f t="shared" si="5"/>
        <v>#N/A</v>
      </c>
      <c r="N118" s="17" t="str">
        <f t="shared" si="6"/>
        <v>#N/A</v>
      </c>
      <c r="O118" s="17">
        <f t="shared" si="7"/>
        <v>52</v>
      </c>
      <c r="P118" s="17" t="str">
        <f t="shared" si="8"/>
        <v>#N/A</v>
      </c>
    </row>
    <row r="119">
      <c r="A119" s="7">
        <v>118.0</v>
      </c>
      <c r="B119" s="18" t="s">
        <v>248</v>
      </c>
      <c r="C119" s="9" t="s">
        <v>249</v>
      </c>
      <c r="D119" s="9">
        <f>IFERROR(__xludf.DUMMYFUNCTION("GOOGLEFINANCE(""NSE:""&amp;C119)"),1453.95)</f>
        <v>1453.95</v>
      </c>
      <c r="E119" s="10" t="str">
        <f>IFERROR(__xludf.DUMMYFUNCTION("INDEX(GOOGLEFINANCE(""NSE:""&amp;B119,dates!$I$1,dates!$C$3),2,2)"),"#N/A")</f>
        <v>#N/A</v>
      </c>
      <c r="F119" s="10">
        <f>IFERROR(__xludf.DUMMYFUNCTION("INDEX(GOOGLEFINANCE(""NSE:""&amp;C119,dates!$I$1,dates!$C$4),2,2)"),1406.85)</f>
        <v>1406.85</v>
      </c>
      <c r="G119" s="10">
        <f>IFERROR(__xludf.DUMMYFUNCTION("INDEX(GOOGLEFINANCE(""NSE:""&amp;C119,dates!$I$1,dates!$C$5),2,2)"),1346.8)</f>
        <v>1346.8</v>
      </c>
      <c r="H119" s="10">
        <f>IFERROR(__xludf.DUMMYFUNCTION("INDEX(GOOGLEFINANCE(""NSE:""&amp;C119,dates!$I$1,dates!$C$6),2,2)"),1388.2)</f>
        <v>1388.2</v>
      </c>
      <c r="I119" s="16">
        <f t="shared" si="1"/>
        <v>0.03347904894</v>
      </c>
      <c r="J119" s="16">
        <f t="shared" si="2"/>
        <v>0.07955895456</v>
      </c>
      <c r="K119" s="16">
        <f t="shared" si="3"/>
        <v>0.04736349229</v>
      </c>
      <c r="L119" s="16">
        <f t="shared" si="4"/>
        <v>-0.04607990562</v>
      </c>
      <c r="M119" s="17" t="str">
        <f t="shared" si="5"/>
        <v>#N/A</v>
      </c>
      <c r="N119" s="17" t="str">
        <f t="shared" si="6"/>
        <v>#N/A</v>
      </c>
      <c r="O119" s="17">
        <f t="shared" si="7"/>
        <v>137</v>
      </c>
      <c r="P119" s="17" t="str">
        <f t="shared" si="8"/>
        <v>#N/A</v>
      </c>
    </row>
    <row r="120">
      <c r="A120" s="7">
        <v>119.0</v>
      </c>
      <c r="B120" s="18" t="s">
        <v>250</v>
      </c>
      <c r="C120" s="9" t="s">
        <v>251</v>
      </c>
      <c r="D120" s="9">
        <f>IFERROR(__xludf.DUMMYFUNCTION("GOOGLEFINANCE(""NSE:""&amp;C120)"),4709.95)</f>
        <v>4709.95</v>
      </c>
      <c r="E120" s="10" t="str">
        <f>IFERROR(__xludf.DUMMYFUNCTION("INDEX(GOOGLEFINANCE(""NSE:""&amp;B120,dates!$I$1,dates!$C$3),2,2)"),"#N/A")</f>
        <v>#N/A</v>
      </c>
      <c r="F120" s="10">
        <f>IFERROR(__xludf.DUMMYFUNCTION("INDEX(GOOGLEFINANCE(""NSE:""&amp;C120,dates!$I$1,dates!$C$4),2,2)"),4790.8)</f>
        <v>4790.8</v>
      </c>
      <c r="G120" s="10">
        <f>IFERROR(__xludf.DUMMYFUNCTION("INDEX(GOOGLEFINANCE(""NSE:""&amp;C120,dates!$I$1,dates!$C$5),2,2)"),4856.05)</f>
        <v>4856.05</v>
      </c>
      <c r="H120" s="10">
        <f>IFERROR(__xludf.DUMMYFUNCTION("INDEX(GOOGLEFINANCE(""NSE:""&amp;C120,dates!$I$1,dates!$C$6),2,2)"),4763.55)</f>
        <v>4763.55</v>
      </c>
      <c r="I120" s="16">
        <f t="shared" si="1"/>
        <v>-0.01687609585</v>
      </c>
      <c r="J120" s="16">
        <f t="shared" si="2"/>
        <v>-0.03008618116</v>
      </c>
      <c r="K120" s="16">
        <f t="shared" si="3"/>
        <v>-0.0112521124</v>
      </c>
      <c r="L120" s="16">
        <f t="shared" si="4"/>
        <v>0.01321008531</v>
      </c>
      <c r="M120" s="17" t="str">
        <f t="shared" si="5"/>
        <v>#N/A</v>
      </c>
      <c r="N120" s="17" t="str">
        <f t="shared" si="6"/>
        <v>#N/A</v>
      </c>
      <c r="O120" s="17">
        <f t="shared" si="7"/>
        <v>217</v>
      </c>
      <c r="P120" s="17" t="str">
        <f t="shared" si="8"/>
        <v>#N/A</v>
      </c>
    </row>
    <row r="121">
      <c r="A121" s="7">
        <v>120.0</v>
      </c>
      <c r="B121" s="18" t="s">
        <v>252</v>
      </c>
      <c r="C121" s="9" t="s">
        <v>253</v>
      </c>
      <c r="D121" s="9">
        <f>IFERROR(__xludf.DUMMYFUNCTION("GOOGLEFINANCE(""NSE:""&amp;C121)"),38.45)</f>
        <v>38.45</v>
      </c>
      <c r="E121" s="10" t="str">
        <f>IFERROR(__xludf.DUMMYFUNCTION("INDEX(GOOGLEFINANCE(""NSE:""&amp;B121,dates!$I$1,dates!$C$3),2,2)"),"#N/A")</f>
        <v>#N/A</v>
      </c>
      <c r="F121" s="10">
        <f>IFERROR(__xludf.DUMMYFUNCTION("INDEX(GOOGLEFINANCE(""NSE:""&amp;C121,dates!$I$1,dates!$C$4),2,2)"),39.75)</f>
        <v>39.75</v>
      </c>
      <c r="G121" s="10">
        <f>IFERROR(__xludf.DUMMYFUNCTION("INDEX(GOOGLEFINANCE(""NSE:""&amp;C121,dates!$I$1,dates!$C$5),2,2)"),37.6)</f>
        <v>37.6</v>
      </c>
      <c r="H121" s="10">
        <f>IFERROR(__xludf.DUMMYFUNCTION("INDEX(GOOGLEFINANCE(""NSE:""&amp;C121,dates!$I$1,dates!$C$6),2,2)"),36.15)</f>
        <v>36.15</v>
      </c>
      <c r="I121" s="16">
        <f t="shared" si="1"/>
        <v>-0.03270440252</v>
      </c>
      <c r="J121" s="16">
        <f t="shared" si="2"/>
        <v>0.02260638298</v>
      </c>
      <c r="K121" s="16">
        <f t="shared" si="3"/>
        <v>0.06362378976</v>
      </c>
      <c r="L121" s="16">
        <f t="shared" si="4"/>
        <v>-0.05531078549</v>
      </c>
      <c r="M121" s="17" t="str">
        <f t="shared" si="5"/>
        <v>#N/A</v>
      </c>
      <c r="N121" s="17" t="str">
        <f t="shared" si="6"/>
        <v>#N/A</v>
      </c>
      <c r="O121" s="17">
        <f t="shared" si="7"/>
        <v>114</v>
      </c>
      <c r="P121" s="17" t="str">
        <f t="shared" si="8"/>
        <v>#N/A</v>
      </c>
    </row>
    <row r="122">
      <c r="A122" s="7">
        <v>121.0</v>
      </c>
      <c r="B122" s="18" t="s">
        <v>254</v>
      </c>
      <c r="C122" s="9" t="s">
        <v>255</v>
      </c>
      <c r="D122" s="9">
        <f>IFERROR(__xludf.DUMMYFUNCTION("GOOGLEFINANCE(""NSE:""&amp;C122)"),2109.0)</f>
        <v>2109</v>
      </c>
      <c r="E122" s="10" t="str">
        <f>IFERROR(__xludf.DUMMYFUNCTION("INDEX(GOOGLEFINANCE(""NSE:""&amp;B122,dates!$I$1,dates!$C$3),2,2)"),"#N/A")</f>
        <v>#N/A</v>
      </c>
      <c r="F122" s="10">
        <f>IFERROR(__xludf.DUMMYFUNCTION("INDEX(GOOGLEFINANCE(""NSE:""&amp;C122,dates!$I$1,dates!$C$4),2,2)"),2120.75)</f>
        <v>2120.75</v>
      </c>
      <c r="G122" s="10">
        <f>IFERROR(__xludf.DUMMYFUNCTION("INDEX(GOOGLEFINANCE(""NSE:""&amp;C122,dates!$I$1,dates!$C$5),2,2)"),2135.6)</f>
        <v>2135.6</v>
      </c>
      <c r="H122" s="10">
        <f>IFERROR(__xludf.DUMMYFUNCTION("INDEX(GOOGLEFINANCE(""NSE:""&amp;C122,dates!$I$1,dates!$C$6),2,2)"),1982.05)</f>
        <v>1982.05</v>
      </c>
      <c r="I122" s="16">
        <f t="shared" si="1"/>
        <v>-0.00554049275</v>
      </c>
      <c r="J122" s="16">
        <f t="shared" si="2"/>
        <v>-0.01245551601</v>
      </c>
      <c r="K122" s="16">
        <f t="shared" si="3"/>
        <v>0.06404984738</v>
      </c>
      <c r="L122" s="16">
        <f t="shared" si="4"/>
        <v>0.006915023264</v>
      </c>
      <c r="M122" s="17" t="str">
        <f t="shared" si="5"/>
        <v>#N/A</v>
      </c>
      <c r="N122" s="17" t="str">
        <f t="shared" si="6"/>
        <v>#N/A</v>
      </c>
      <c r="O122" s="17">
        <f t="shared" si="7"/>
        <v>113</v>
      </c>
      <c r="P122" s="17" t="str">
        <f t="shared" si="8"/>
        <v>#N/A</v>
      </c>
    </row>
    <row r="123">
      <c r="A123" s="7">
        <v>122.0</v>
      </c>
      <c r="B123" s="18" t="s">
        <v>256</v>
      </c>
      <c r="C123" s="9" t="s">
        <v>257</v>
      </c>
      <c r="D123" s="9">
        <f>IFERROR(__xludf.DUMMYFUNCTION("GOOGLEFINANCE(""NSE:""&amp;C123)"),1107.0)</f>
        <v>1107</v>
      </c>
      <c r="E123" s="10" t="str">
        <f>IFERROR(__xludf.DUMMYFUNCTION("INDEX(GOOGLEFINANCE(""NSE:""&amp;B123,dates!$I$1,dates!$C$3),2,2)"),"#N/A")</f>
        <v>#N/A</v>
      </c>
      <c r="F123" s="10">
        <f>IFERROR(__xludf.DUMMYFUNCTION("INDEX(GOOGLEFINANCE(""NSE:""&amp;C123,dates!$I$1,dates!$C$4),2,2)"),1116.4)</f>
        <v>1116.4</v>
      </c>
      <c r="G123" s="10">
        <f>IFERROR(__xludf.DUMMYFUNCTION("INDEX(GOOGLEFINANCE(""NSE:""&amp;C123,dates!$I$1,dates!$C$5),2,2)"),1150.4)</f>
        <v>1150.4</v>
      </c>
      <c r="H123" s="10">
        <f>IFERROR(__xludf.DUMMYFUNCTION("INDEX(GOOGLEFINANCE(""NSE:""&amp;C123,dates!$I$1,dates!$C$6),2,2)"),1285.5)</f>
        <v>1285.5</v>
      </c>
      <c r="I123" s="16">
        <f t="shared" si="1"/>
        <v>-0.008419921175</v>
      </c>
      <c r="J123" s="16">
        <f t="shared" si="2"/>
        <v>-0.03772600834</v>
      </c>
      <c r="K123" s="16">
        <f t="shared" si="3"/>
        <v>-0.1388564761</v>
      </c>
      <c r="L123" s="16">
        <f t="shared" si="4"/>
        <v>0.02930608717</v>
      </c>
      <c r="M123" s="17" t="str">
        <f t="shared" si="5"/>
        <v>#N/A</v>
      </c>
      <c r="N123" s="17" t="str">
        <f t="shared" si="6"/>
        <v>#N/A</v>
      </c>
      <c r="O123" s="17">
        <f t="shared" si="7"/>
        <v>247</v>
      </c>
      <c r="P123" s="17" t="str">
        <f t="shared" si="8"/>
        <v>#N/A</v>
      </c>
    </row>
    <row r="124">
      <c r="A124" s="7">
        <v>123.0</v>
      </c>
      <c r="B124" s="18" t="s">
        <v>258</v>
      </c>
      <c r="C124" s="9" t="s">
        <v>259</v>
      </c>
      <c r="D124" s="9">
        <f>IFERROR(__xludf.DUMMYFUNCTION("GOOGLEFINANCE(""NSE:""&amp;C124)"),79.6)</f>
        <v>79.6</v>
      </c>
      <c r="E124" s="10" t="str">
        <f>IFERROR(__xludf.DUMMYFUNCTION("INDEX(GOOGLEFINANCE(""NSE:""&amp;B124,dates!$I$1,dates!$C$3),2,2)"),"#N/A")</f>
        <v>#N/A</v>
      </c>
      <c r="F124" s="10">
        <f>IFERROR(__xludf.DUMMYFUNCTION("INDEX(GOOGLEFINANCE(""NSE:""&amp;C124,dates!$I$1,dates!$C$4),2,2)"),82.3)</f>
        <v>82.3</v>
      </c>
      <c r="G124" s="10">
        <f>IFERROR(__xludf.DUMMYFUNCTION("INDEX(GOOGLEFINANCE(""NSE:""&amp;C124,dates!$I$1,dates!$C$5),2,2)"),78.25)</f>
        <v>78.25</v>
      </c>
      <c r="H124" s="10">
        <f>IFERROR(__xludf.DUMMYFUNCTION("INDEX(GOOGLEFINANCE(""NSE:""&amp;C124,dates!$I$1,dates!$C$6),2,2)"),74.55)</f>
        <v>74.55</v>
      </c>
      <c r="I124" s="16">
        <f t="shared" si="1"/>
        <v>-0.03280680437</v>
      </c>
      <c r="J124" s="16">
        <f t="shared" si="2"/>
        <v>0.01725239617</v>
      </c>
      <c r="K124" s="16">
        <f t="shared" si="3"/>
        <v>0.06773977197</v>
      </c>
      <c r="L124" s="16">
        <f t="shared" si="4"/>
        <v>-0.05005920054</v>
      </c>
      <c r="M124" s="17" t="str">
        <f t="shared" si="5"/>
        <v>#N/A</v>
      </c>
      <c r="N124" s="17" t="str">
        <f t="shared" si="6"/>
        <v>#N/A</v>
      </c>
      <c r="O124" s="17">
        <f t="shared" si="7"/>
        <v>106</v>
      </c>
      <c r="P124" s="17" t="str">
        <f t="shared" si="8"/>
        <v>#N/A</v>
      </c>
    </row>
    <row r="125">
      <c r="A125" s="7">
        <v>124.0</v>
      </c>
      <c r="B125" s="18" t="s">
        <v>260</v>
      </c>
      <c r="C125" s="9" t="s">
        <v>261</v>
      </c>
      <c r="D125" s="9">
        <f>IFERROR(__xludf.DUMMYFUNCTION("GOOGLEFINANCE(""NSE:""&amp;C125)"),370.55)</f>
        <v>370.55</v>
      </c>
      <c r="E125" s="10" t="str">
        <f>IFERROR(__xludf.DUMMYFUNCTION("INDEX(GOOGLEFINANCE(""NSE:""&amp;B125,dates!$I$1,dates!$C$3),2,2)"),"#N/A")</f>
        <v>#N/A</v>
      </c>
      <c r="F125" s="10">
        <f>IFERROR(__xludf.DUMMYFUNCTION("INDEX(GOOGLEFINANCE(""NSE:""&amp;C125,dates!$I$1,dates!$C$4),2,2)"),386.6)</f>
        <v>386.6</v>
      </c>
      <c r="G125" s="10">
        <f>IFERROR(__xludf.DUMMYFUNCTION("INDEX(GOOGLEFINANCE(""NSE:""&amp;C125,dates!$I$1,dates!$C$5),2,2)"),403.5)</f>
        <v>403.5</v>
      </c>
      <c r="H125" s="10">
        <f>IFERROR(__xludf.DUMMYFUNCTION("INDEX(GOOGLEFINANCE(""NSE:""&amp;C125,dates!$I$1,dates!$C$6),2,2)"),371.5)</f>
        <v>371.5</v>
      </c>
      <c r="I125" s="16">
        <f t="shared" si="1"/>
        <v>-0.04151577858</v>
      </c>
      <c r="J125" s="16">
        <f t="shared" si="2"/>
        <v>-0.08166047088</v>
      </c>
      <c r="K125" s="16">
        <f t="shared" si="3"/>
        <v>-0.002557200538</v>
      </c>
      <c r="L125" s="16">
        <f t="shared" si="4"/>
        <v>0.0401446923</v>
      </c>
      <c r="M125" s="17" t="str">
        <f t="shared" si="5"/>
        <v>#N/A</v>
      </c>
      <c r="N125" s="17" t="str">
        <f t="shared" si="6"/>
        <v>#N/A</v>
      </c>
      <c r="O125" s="17">
        <f t="shared" si="7"/>
        <v>205</v>
      </c>
      <c r="P125" s="17" t="str">
        <f t="shared" si="8"/>
        <v>#N/A</v>
      </c>
    </row>
    <row r="126">
      <c r="A126" s="7">
        <v>125.0</v>
      </c>
      <c r="B126" s="18" t="s">
        <v>262</v>
      </c>
      <c r="C126" s="9" t="s">
        <v>263</v>
      </c>
      <c r="D126" s="9">
        <f>IFERROR(__xludf.DUMMYFUNCTION("GOOGLEFINANCE(""NSE:""&amp;C126)"),1654.4)</f>
        <v>1654.4</v>
      </c>
      <c r="E126" s="10" t="str">
        <f>IFERROR(__xludf.DUMMYFUNCTION("INDEX(GOOGLEFINANCE(""NSE:""&amp;B126,dates!$I$1,dates!$C$3),2,2)"),"#N/A")</f>
        <v>#N/A</v>
      </c>
      <c r="F126" s="10">
        <f>IFERROR(__xludf.DUMMYFUNCTION("INDEX(GOOGLEFINANCE(""NSE:""&amp;C126,dates!$I$1,dates!$C$4),2,2)"),1594.65)</f>
        <v>1594.65</v>
      </c>
      <c r="G126" s="10">
        <f>IFERROR(__xludf.DUMMYFUNCTION("INDEX(GOOGLEFINANCE(""NSE:""&amp;C126,dates!$I$1,dates!$C$5),2,2)"),1599.1)</f>
        <v>1599.1</v>
      </c>
      <c r="H126" s="10">
        <f>IFERROR(__xludf.DUMMYFUNCTION("INDEX(GOOGLEFINANCE(""NSE:""&amp;C126,dates!$I$1,dates!$C$6),2,2)"),1448.6)</f>
        <v>1448.6</v>
      </c>
      <c r="I126" s="16">
        <f t="shared" si="1"/>
        <v>0.03746903709</v>
      </c>
      <c r="J126" s="16">
        <f t="shared" si="2"/>
        <v>0.03458195235</v>
      </c>
      <c r="K126" s="16">
        <f t="shared" si="3"/>
        <v>0.1420682038</v>
      </c>
      <c r="L126" s="16">
        <f t="shared" si="4"/>
        <v>0.002887084745</v>
      </c>
      <c r="M126" s="17" t="str">
        <f t="shared" si="5"/>
        <v>#N/A</v>
      </c>
      <c r="N126" s="17" t="str">
        <f t="shared" si="6"/>
        <v>#N/A</v>
      </c>
      <c r="O126" s="17">
        <f t="shared" si="7"/>
        <v>48</v>
      </c>
      <c r="P126" s="17" t="str">
        <f t="shared" si="8"/>
        <v>#N/A</v>
      </c>
    </row>
    <row r="127">
      <c r="A127" s="7">
        <v>126.0</v>
      </c>
      <c r="B127" s="18" t="s">
        <v>264</v>
      </c>
      <c r="C127" s="9" t="s">
        <v>265</v>
      </c>
      <c r="D127" s="9">
        <f>IFERROR(__xludf.DUMMYFUNCTION("GOOGLEFINANCE(""NSE:""&amp;C127)"),20.6)</f>
        <v>20.6</v>
      </c>
      <c r="E127" s="10" t="str">
        <f>IFERROR(__xludf.DUMMYFUNCTION("INDEX(GOOGLEFINANCE(""NSE:""&amp;B127,dates!$I$1,dates!$C$3),2,2)"),"#N/A")</f>
        <v>#N/A</v>
      </c>
      <c r="F127" s="10">
        <f>IFERROR(__xludf.DUMMYFUNCTION("INDEX(GOOGLEFINANCE(""NSE:""&amp;C127,dates!$I$1,dates!$C$4),2,2)"),21.85)</f>
        <v>21.85</v>
      </c>
      <c r="G127" s="10">
        <f>IFERROR(__xludf.DUMMYFUNCTION("INDEX(GOOGLEFINANCE(""NSE:""&amp;C127,dates!$I$1,dates!$C$5),2,2)"),19.55)</f>
        <v>19.55</v>
      </c>
      <c r="H127" s="10">
        <f>IFERROR(__xludf.DUMMYFUNCTION("INDEX(GOOGLEFINANCE(""NSE:""&amp;C127,dates!$I$1,dates!$C$6),2,2)"),19.55)</f>
        <v>19.55</v>
      </c>
      <c r="I127" s="16">
        <f t="shared" si="1"/>
        <v>-0.05720823799</v>
      </c>
      <c r="J127" s="16">
        <f t="shared" si="2"/>
        <v>0.0537084399</v>
      </c>
      <c r="K127" s="16">
        <f t="shared" si="3"/>
        <v>0.0537084399</v>
      </c>
      <c r="L127" s="16">
        <f t="shared" si="4"/>
        <v>-0.1109166779</v>
      </c>
      <c r="M127" s="17" t="str">
        <f t="shared" si="5"/>
        <v>#N/A</v>
      </c>
      <c r="N127" s="17" t="str">
        <f t="shared" si="6"/>
        <v>#N/A</v>
      </c>
      <c r="O127" s="17">
        <f t="shared" si="7"/>
        <v>127</v>
      </c>
      <c r="P127" s="17" t="str">
        <f t="shared" si="8"/>
        <v>#N/A</v>
      </c>
    </row>
    <row r="128">
      <c r="A128" s="7">
        <v>127.0</v>
      </c>
      <c r="B128" s="18" t="s">
        <v>266</v>
      </c>
      <c r="C128" s="9" t="s">
        <v>267</v>
      </c>
      <c r="D128" s="9">
        <f>IFERROR(__xludf.DUMMYFUNCTION("GOOGLEFINANCE(""NSE:""&amp;C128)"),537.7)</f>
        <v>537.7</v>
      </c>
      <c r="E128" s="10" t="str">
        <f>IFERROR(__xludf.DUMMYFUNCTION("INDEX(GOOGLEFINANCE(""NSE:""&amp;B128,dates!$I$1,dates!$C$3),2,2)"),"#N/A")</f>
        <v>#N/A</v>
      </c>
      <c r="F128" s="10">
        <f>IFERROR(__xludf.DUMMYFUNCTION("INDEX(GOOGLEFINANCE(""NSE:""&amp;C128,dates!$I$1,dates!$C$4),2,2)"),561.35)</f>
        <v>561.35</v>
      </c>
      <c r="G128" s="10">
        <f>IFERROR(__xludf.DUMMYFUNCTION("INDEX(GOOGLEFINANCE(""NSE:""&amp;C128,dates!$I$1,dates!$C$5),2,2)"),591.45)</f>
        <v>591.45</v>
      </c>
      <c r="H128" s="10">
        <f>IFERROR(__xludf.DUMMYFUNCTION("INDEX(GOOGLEFINANCE(""NSE:""&amp;C128,dates!$I$1,dates!$C$6),2,2)"),524.8)</f>
        <v>524.8</v>
      </c>
      <c r="I128" s="16">
        <f t="shared" si="1"/>
        <v>-0.04213057807</v>
      </c>
      <c r="J128" s="16">
        <f t="shared" si="2"/>
        <v>-0.09087834982</v>
      </c>
      <c r="K128" s="16">
        <f t="shared" si="3"/>
        <v>0.02458079268</v>
      </c>
      <c r="L128" s="16">
        <f t="shared" si="4"/>
        <v>0.04874777175</v>
      </c>
      <c r="M128" s="17" t="str">
        <f t="shared" si="5"/>
        <v>#N/A</v>
      </c>
      <c r="N128" s="17" t="str">
        <f t="shared" si="6"/>
        <v>#N/A</v>
      </c>
      <c r="O128" s="17">
        <f t="shared" si="7"/>
        <v>172</v>
      </c>
      <c r="P128" s="17" t="str">
        <f t="shared" si="8"/>
        <v>#N/A</v>
      </c>
    </row>
    <row r="129">
      <c r="A129" s="7">
        <v>128.0</v>
      </c>
      <c r="B129" s="18" t="s">
        <v>268</v>
      </c>
      <c r="C129" s="9" t="s">
        <v>269</v>
      </c>
      <c r="D129" s="9">
        <f>IFERROR(__xludf.DUMMYFUNCTION("GOOGLEFINANCE(""NSE:""&amp;C129)"),279.5)</f>
        <v>279.5</v>
      </c>
      <c r="E129" s="10" t="str">
        <f>IFERROR(__xludf.DUMMYFUNCTION("INDEX(GOOGLEFINANCE(""NSE:""&amp;B129,dates!$I$1,dates!$C$3),2,2)"),"#N/A")</f>
        <v>#N/A</v>
      </c>
      <c r="F129" s="10">
        <f>IFERROR(__xludf.DUMMYFUNCTION("INDEX(GOOGLEFINANCE(""NSE:""&amp;C129,dates!$I$1,dates!$C$4),2,2)"),282.95)</f>
        <v>282.95</v>
      </c>
      <c r="G129" s="10">
        <f>IFERROR(__xludf.DUMMYFUNCTION("INDEX(GOOGLEFINANCE(""NSE:""&amp;C129,dates!$I$1,dates!$C$5),2,2)"),270.65)</f>
        <v>270.65</v>
      </c>
      <c r="H129" s="10">
        <f>IFERROR(__xludf.DUMMYFUNCTION("INDEX(GOOGLEFINANCE(""NSE:""&amp;C129,dates!$I$1,dates!$C$6),2,2)"),256.6)</f>
        <v>256.6</v>
      </c>
      <c r="I129" s="16">
        <f t="shared" si="1"/>
        <v>-0.01219296696</v>
      </c>
      <c r="J129" s="16">
        <f t="shared" si="2"/>
        <v>0.03269905782</v>
      </c>
      <c r="K129" s="16">
        <f t="shared" si="3"/>
        <v>0.08924395947</v>
      </c>
      <c r="L129" s="16">
        <f t="shared" si="4"/>
        <v>-0.04489202478</v>
      </c>
      <c r="M129" s="17" t="str">
        <f t="shared" si="5"/>
        <v>#N/A</v>
      </c>
      <c r="N129" s="17" t="str">
        <f t="shared" si="6"/>
        <v>#N/A</v>
      </c>
      <c r="O129" s="17">
        <f t="shared" si="7"/>
        <v>86</v>
      </c>
      <c r="P129" s="17" t="str">
        <f t="shared" si="8"/>
        <v>#N/A</v>
      </c>
    </row>
    <row r="130">
      <c r="A130" s="7">
        <v>129.0</v>
      </c>
      <c r="B130" s="18" t="s">
        <v>270</v>
      </c>
      <c r="C130" s="9" t="s">
        <v>271</v>
      </c>
      <c r="D130" s="9">
        <f>IFERROR(__xludf.DUMMYFUNCTION("GOOGLEFINANCE(""NSE:""&amp;C130)"),929.1)</f>
        <v>929.1</v>
      </c>
      <c r="E130" s="10" t="str">
        <f>IFERROR(__xludf.DUMMYFUNCTION("INDEX(GOOGLEFINANCE(""NSE:""&amp;B130,dates!$I$1,dates!$C$3),2,2)"),"#N/A")</f>
        <v>#N/A</v>
      </c>
      <c r="F130" s="10">
        <f>IFERROR(__xludf.DUMMYFUNCTION("INDEX(GOOGLEFINANCE(""NSE:""&amp;C130,dates!$I$1,dates!$C$4),2,2)"),882.1)</f>
        <v>882.1</v>
      </c>
      <c r="G130" s="10">
        <f>IFERROR(__xludf.DUMMYFUNCTION("INDEX(GOOGLEFINANCE(""NSE:""&amp;C130,dates!$I$1,dates!$C$5),2,2)"),928.7)</f>
        <v>928.7</v>
      </c>
      <c r="H130" s="10">
        <f>IFERROR(__xludf.DUMMYFUNCTION("INDEX(GOOGLEFINANCE(""NSE:""&amp;C130,dates!$I$1,dates!$C$6),2,2)"),852.45)</f>
        <v>852.45</v>
      </c>
      <c r="I130" s="16">
        <f t="shared" si="1"/>
        <v>0.05328194082</v>
      </c>
      <c r="J130" s="16">
        <f t="shared" si="2"/>
        <v>0.0004307095941</v>
      </c>
      <c r="K130" s="16">
        <f t="shared" si="3"/>
        <v>0.0899172972</v>
      </c>
      <c r="L130" s="16">
        <f t="shared" si="4"/>
        <v>0.05285123123</v>
      </c>
      <c r="M130" s="17" t="str">
        <f t="shared" si="5"/>
        <v>#N/A</v>
      </c>
      <c r="N130" s="17" t="str">
        <f t="shared" si="6"/>
        <v>#N/A</v>
      </c>
      <c r="O130" s="17">
        <f t="shared" si="7"/>
        <v>83</v>
      </c>
      <c r="P130" s="17" t="str">
        <f t="shared" si="8"/>
        <v>#N/A</v>
      </c>
    </row>
    <row r="131">
      <c r="A131" s="7">
        <v>130.0</v>
      </c>
      <c r="B131" s="18" t="s">
        <v>272</v>
      </c>
      <c r="C131" s="9" t="s">
        <v>273</v>
      </c>
      <c r="D131" s="9">
        <f>IFERROR(__xludf.DUMMYFUNCTION("GOOGLEFINANCE(""NSE:""&amp;C131)"),1044.0)</f>
        <v>1044</v>
      </c>
      <c r="E131" s="10" t="str">
        <f>IFERROR(__xludf.DUMMYFUNCTION("INDEX(GOOGLEFINANCE(""NSE:""&amp;B131,dates!$I$1,dates!$C$3),2,2)"),"#N/A")</f>
        <v>#N/A</v>
      </c>
      <c r="F131" s="10">
        <f>IFERROR(__xludf.DUMMYFUNCTION("INDEX(GOOGLEFINANCE(""NSE:""&amp;C131,dates!$I$1,dates!$C$4),2,2)"),1081.7)</f>
        <v>1081.7</v>
      </c>
      <c r="G131" s="10">
        <f>IFERROR(__xludf.DUMMYFUNCTION("INDEX(GOOGLEFINANCE(""NSE:""&amp;C131,dates!$I$1,dates!$C$5),2,2)"),1094.9)</f>
        <v>1094.9</v>
      </c>
      <c r="H131" s="10">
        <f>IFERROR(__xludf.DUMMYFUNCTION("INDEX(GOOGLEFINANCE(""NSE:""&amp;C131,dates!$I$1,dates!$C$6),2,2)"),1019.8)</f>
        <v>1019.8</v>
      </c>
      <c r="I131" s="16">
        <f t="shared" si="1"/>
        <v>-0.03485254692</v>
      </c>
      <c r="J131" s="16">
        <f t="shared" si="2"/>
        <v>-0.04648826377</v>
      </c>
      <c r="K131" s="16">
        <f t="shared" si="3"/>
        <v>0.02373014317</v>
      </c>
      <c r="L131" s="16">
        <f t="shared" si="4"/>
        <v>0.01163571685</v>
      </c>
      <c r="M131" s="17" t="str">
        <f t="shared" si="5"/>
        <v>#N/A</v>
      </c>
      <c r="N131" s="17" t="str">
        <f t="shared" si="6"/>
        <v>#N/A</v>
      </c>
      <c r="O131" s="17">
        <f t="shared" si="7"/>
        <v>174</v>
      </c>
      <c r="P131" s="17" t="str">
        <f t="shared" si="8"/>
        <v>#N/A</v>
      </c>
    </row>
    <row r="132">
      <c r="A132" s="7">
        <v>131.0</v>
      </c>
      <c r="B132" s="18" t="s">
        <v>274</v>
      </c>
      <c r="C132" s="9" t="s">
        <v>275</v>
      </c>
      <c r="D132" s="9">
        <f>IFERROR(__xludf.DUMMYFUNCTION("GOOGLEFINANCE(""NSE:""&amp;C132)"),97.4)</f>
        <v>97.4</v>
      </c>
      <c r="E132" s="10" t="str">
        <f>IFERROR(__xludf.DUMMYFUNCTION("INDEX(GOOGLEFINANCE(""NSE:""&amp;B132,dates!$I$1,dates!$C$3),2,2)"),"#N/A")</f>
        <v>#N/A</v>
      </c>
      <c r="F132" s="10">
        <f>IFERROR(__xludf.DUMMYFUNCTION("INDEX(GOOGLEFINANCE(""NSE:""&amp;C132,dates!$I$1,dates!$C$4),2,2)"),100.45)</f>
        <v>100.45</v>
      </c>
      <c r="G132" s="10">
        <f>IFERROR(__xludf.DUMMYFUNCTION("INDEX(GOOGLEFINANCE(""NSE:""&amp;C132,dates!$I$1,dates!$C$5),2,2)"),100.55)</f>
        <v>100.55</v>
      </c>
      <c r="H132" s="10">
        <f>IFERROR(__xludf.DUMMYFUNCTION("INDEX(GOOGLEFINANCE(""NSE:""&amp;C132,dates!$I$1,dates!$C$6),2,2)"),89.4)</f>
        <v>89.4</v>
      </c>
      <c r="I132" s="16">
        <f t="shared" si="1"/>
        <v>-0.03036336486</v>
      </c>
      <c r="J132" s="16">
        <f t="shared" si="2"/>
        <v>-0.03132769766</v>
      </c>
      <c r="K132" s="16">
        <f t="shared" si="3"/>
        <v>0.08948545861</v>
      </c>
      <c r="L132" s="16">
        <f t="shared" si="4"/>
        <v>0.0009643328047</v>
      </c>
      <c r="M132" s="17" t="str">
        <f t="shared" si="5"/>
        <v>#N/A</v>
      </c>
      <c r="N132" s="17" t="str">
        <f t="shared" si="6"/>
        <v>#N/A</v>
      </c>
      <c r="O132" s="17">
        <f t="shared" si="7"/>
        <v>85</v>
      </c>
      <c r="P132" s="17" t="str">
        <f t="shared" si="8"/>
        <v>#N/A</v>
      </c>
    </row>
    <row r="133">
      <c r="A133" s="7">
        <v>132.0</v>
      </c>
      <c r="B133" s="18" t="s">
        <v>276</v>
      </c>
      <c r="C133" s="9" t="s">
        <v>277</v>
      </c>
      <c r="D133" s="9">
        <f>IFERROR(__xludf.DUMMYFUNCTION("GOOGLEFINANCE(""NSE:""&amp;C133)"),1383.0)</f>
        <v>1383</v>
      </c>
      <c r="E133" s="10" t="str">
        <f>IFERROR(__xludf.DUMMYFUNCTION("INDEX(GOOGLEFINANCE(""NSE:""&amp;B133,dates!$I$1,dates!$C$3),2,2)"),"#N/A")</f>
        <v>#N/A</v>
      </c>
      <c r="F133" s="10">
        <f>IFERROR(__xludf.DUMMYFUNCTION("INDEX(GOOGLEFINANCE(""NSE:""&amp;C133,dates!$I$1,dates!$C$4),2,2)"),1360.8)</f>
        <v>1360.8</v>
      </c>
      <c r="G133" s="10">
        <f>IFERROR(__xludf.DUMMYFUNCTION("INDEX(GOOGLEFINANCE(""NSE:""&amp;C133,dates!$I$1,dates!$C$5),2,2)"),1341.7)</f>
        <v>1341.7</v>
      </c>
      <c r="H133" s="10">
        <f>IFERROR(__xludf.DUMMYFUNCTION("INDEX(GOOGLEFINANCE(""NSE:""&amp;C133,dates!$I$1,dates!$C$6),2,2)"),1281.4)</f>
        <v>1281.4</v>
      </c>
      <c r="I133" s="16">
        <f t="shared" si="1"/>
        <v>0.01631393298</v>
      </c>
      <c r="J133" s="16">
        <f t="shared" si="2"/>
        <v>0.03078184393</v>
      </c>
      <c r="K133" s="16">
        <f t="shared" si="3"/>
        <v>0.07928827845</v>
      </c>
      <c r="L133" s="16">
        <f t="shared" si="4"/>
        <v>-0.01446791095</v>
      </c>
      <c r="M133" s="17" t="str">
        <f t="shared" si="5"/>
        <v>#N/A</v>
      </c>
      <c r="N133" s="17" t="str">
        <f t="shared" si="6"/>
        <v>#N/A</v>
      </c>
      <c r="O133" s="17">
        <f t="shared" si="7"/>
        <v>95</v>
      </c>
      <c r="P133" s="17" t="str">
        <f t="shared" si="8"/>
        <v>#N/A</v>
      </c>
    </row>
    <row r="134">
      <c r="A134" s="7">
        <v>133.0</v>
      </c>
      <c r="B134" s="18" t="s">
        <v>278</v>
      </c>
      <c r="C134" s="9" t="s">
        <v>279</v>
      </c>
      <c r="D134" s="9">
        <f>IFERROR(__xludf.DUMMYFUNCTION("GOOGLEFINANCE(""NSE:""&amp;C134)"),128.9)</f>
        <v>128.9</v>
      </c>
      <c r="E134" s="10" t="str">
        <f>IFERROR(__xludf.DUMMYFUNCTION("INDEX(GOOGLEFINANCE(""NSE:""&amp;B134,dates!$I$1,dates!$C$3),2,2)"),"#N/A")</f>
        <v>#N/A</v>
      </c>
      <c r="F134" s="10">
        <f>IFERROR(__xludf.DUMMYFUNCTION("INDEX(GOOGLEFINANCE(""NSE:""&amp;C134,dates!$I$1,dates!$C$4),2,2)"),125.15)</f>
        <v>125.15</v>
      </c>
      <c r="G134" s="10">
        <f>IFERROR(__xludf.DUMMYFUNCTION("INDEX(GOOGLEFINANCE(""NSE:""&amp;C134,dates!$I$1,dates!$C$5),2,2)"),123.3)</f>
        <v>123.3</v>
      </c>
      <c r="H134" s="10">
        <f>IFERROR(__xludf.DUMMYFUNCTION("INDEX(GOOGLEFINANCE(""NSE:""&amp;C134,dates!$I$1,dates!$C$6),2,2)"),120.25)</f>
        <v>120.25</v>
      </c>
      <c r="I134" s="16">
        <f t="shared" si="1"/>
        <v>0.02996404315</v>
      </c>
      <c r="J134" s="16">
        <f t="shared" si="2"/>
        <v>0.04541768045</v>
      </c>
      <c r="K134" s="16">
        <f t="shared" si="3"/>
        <v>0.07193347193</v>
      </c>
      <c r="L134" s="16">
        <f t="shared" si="4"/>
        <v>-0.01545363731</v>
      </c>
      <c r="M134" s="17" t="str">
        <f t="shared" si="5"/>
        <v>#N/A</v>
      </c>
      <c r="N134" s="17" t="str">
        <f t="shared" si="6"/>
        <v>#N/A</v>
      </c>
      <c r="O134" s="17">
        <f t="shared" si="7"/>
        <v>103</v>
      </c>
      <c r="P134" s="17" t="str">
        <f t="shared" si="8"/>
        <v>#N/A</v>
      </c>
    </row>
    <row r="135">
      <c r="A135" s="7">
        <v>134.0</v>
      </c>
      <c r="B135" s="18" t="s">
        <v>280</v>
      </c>
      <c r="C135" s="9" t="s">
        <v>281</v>
      </c>
      <c r="D135" s="9">
        <f>IFERROR(__xludf.DUMMYFUNCTION("GOOGLEFINANCE(""NSE:""&amp;C135)"),765.0)</f>
        <v>765</v>
      </c>
      <c r="E135" s="10" t="str">
        <f>IFERROR(__xludf.DUMMYFUNCTION("INDEX(GOOGLEFINANCE(""NSE:""&amp;B135,dates!$I$1,dates!$C$3),2,2)"),"#N/A")</f>
        <v>#N/A</v>
      </c>
      <c r="F135" s="10">
        <f>IFERROR(__xludf.DUMMYFUNCTION("INDEX(GOOGLEFINANCE(""NSE:""&amp;C135,dates!$I$1,dates!$C$4),2,2)"),761.55)</f>
        <v>761.55</v>
      </c>
      <c r="G135" s="10">
        <f>IFERROR(__xludf.DUMMYFUNCTION("INDEX(GOOGLEFINANCE(""NSE:""&amp;C135,dates!$I$1,dates!$C$5),2,2)"),774.5)</f>
        <v>774.5</v>
      </c>
      <c r="H135" s="10">
        <f>IFERROR(__xludf.DUMMYFUNCTION("INDEX(GOOGLEFINANCE(""NSE:""&amp;C135,dates!$I$1,dates!$C$6),2,2)"),729.45)</f>
        <v>729.45</v>
      </c>
      <c r="I135" s="16">
        <f t="shared" si="1"/>
        <v>0.00453023439</v>
      </c>
      <c r="J135" s="16">
        <f t="shared" si="2"/>
        <v>-0.01226597805</v>
      </c>
      <c r="K135" s="16">
        <f t="shared" si="3"/>
        <v>0.04873534855</v>
      </c>
      <c r="L135" s="16">
        <f t="shared" si="4"/>
        <v>0.01679621244</v>
      </c>
      <c r="M135" s="17" t="str">
        <f t="shared" si="5"/>
        <v>#N/A</v>
      </c>
      <c r="N135" s="17" t="str">
        <f t="shared" si="6"/>
        <v>#N/A</v>
      </c>
      <c r="O135" s="17">
        <f t="shared" si="7"/>
        <v>135</v>
      </c>
      <c r="P135" s="17" t="str">
        <f t="shared" si="8"/>
        <v>#N/A</v>
      </c>
    </row>
    <row r="136">
      <c r="A136" s="7">
        <v>135.0</v>
      </c>
      <c r="B136" s="18" t="s">
        <v>282</v>
      </c>
      <c r="C136" s="9" t="s">
        <v>283</v>
      </c>
      <c r="D136" s="9">
        <f>IFERROR(__xludf.DUMMYFUNCTION("GOOGLEFINANCE(""NSE:""&amp;C136)"),1010.0)</f>
        <v>1010</v>
      </c>
      <c r="E136" s="10" t="str">
        <f>IFERROR(__xludf.DUMMYFUNCTION("INDEX(GOOGLEFINANCE(""NSE:""&amp;B136,dates!$I$1,dates!$C$3),2,2)"),"#N/A")</f>
        <v>#N/A</v>
      </c>
      <c r="F136" s="10">
        <f>IFERROR(__xludf.DUMMYFUNCTION("INDEX(GOOGLEFINANCE(""NSE:""&amp;C136,dates!$I$1,dates!$C$4),2,2)"),982.45)</f>
        <v>982.45</v>
      </c>
      <c r="G136" s="10">
        <f>IFERROR(__xludf.DUMMYFUNCTION("INDEX(GOOGLEFINANCE(""NSE:""&amp;C136,dates!$I$1,dates!$C$5),2,2)"),1006.1)</f>
        <v>1006.1</v>
      </c>
      <c r="H136" s="10">
        <f>IFERROR(__xludf.DUMMYFUNCTION("INDEX(GOOGLEFINANCE(""NSE:""&amp;C136,dates!$I$1,dates!$C$6),2,2)"),948.5)</f>
        <v>948.5</v>
      </c>
      <c r="I136" s="16">
        <f t="shared" si="1"/>
        <v>0.02804213955</v>
      </c>
      <c r="J136" s="16">
        <f t="shared" si="2"/>
        <v>0.003876354239</v>
      </c>
      <c r="K136" s="16">
        <f t="shared" si="3"/>
        <v>0.06483921982</v>
      </c>
      <c r="L136" s="16">
        <f t="shared" si="4"/>
        <v>0.02416578531</v>
      </c>
      <c r="M136" s="17" t="str">
        <f t="shared" si="5"/>
        <v>#N/A</v>
      </c>
      <c r="N136" s="17" t="str">
        <f t="shared" si="6"/>
        <v>#N/A</v>
      </c>
      <c r="O136" s="17">
        <f t="shared" si="7"/>
        <v>112</v>
      </c>
      <c r="P136" s="17" t="str">
        <f t="shared" si="8"/>
        <v>#N/A</v>
      </c>
    </row>
    <row r="137">
      <c r="A137" s="7">
        <v>136.0</v>
      </c>
      <c r="B137" s="18" t="s">
        <v>284</v>
      </c>
      <c r="C137" s="9" t="s">
        <v>285</v>
      </c>
      <c r="D137" s="9">
        <f>IFERROR(__xludf.DUMMYFUNCTION("GOOGLEFINANCE(""NSE:""&amp;C137)"),33118.65)</f>
        <v>33118.65</v>
      </c>
      <c r="E137" s="10" t="str">
        <f>IFERROR(__xludf.DUMMYFUNCTION("INDEX(GOOGLEFINANCE(""NSE:""&amp;B137,dates!$I$1,dates!$C$3),2,2)"),"#N/A")</f>
        <v>#N/A</v>
      </c>
      <c r="F137" s="10">
        <f>IFERROR(__xludf.DUMMYFUNCTION("INDEX(GOOGLEFINANCE(""NSE:""&amp;C137,dates!$I$1,dates!$C$4),2,2)"),33121.25)</f>
        <v>33121.25</v>
      </c>
      <c r="G137" s="10">
        <f>IFERROR(__xludf.DUMMYFUNCTION("INDEX(GOOGLEFINANCE(""NSE:""&amp;C137,dates!$I$1,dates!$C$5),2,2)"),32077.75)</f>
        <v>32077.75</v>
      </c>
      <c r="H137" s="10">
        <f>IFERROR(__xludf.DUMMYFUNCTION("INDEX(GOOGLEFINANCE(""NSE:""&amp;C137,dates!$I$1,dates!$C$6),2,2)"),30859.05)</f>
        <v>30859.05</v>
      </c>
      <c r="I137" s="16">
        <f t="shared" si="1"/>
        <v>-0.00007849945277</v>
      </c>
      <c r="J137" s="16">
        <f t="shared" si="2"/>
        <v>0.03244928338</v>
      </c>
      <c r="K137" s="16">
        <f t="shared" si="3"/>
        <v>0.07322325217</v>
      </c>
      <c r="L137" s="16">
        <f t="shared" si="4"/>
        <v>-0.03252778283</v>
      </c>
      <c r="M137" s="17" t="str">
        <f t="shared" si="5"/>
        <v>#N/A</v>
      </c>
      <c r="N137" s="17" t="str">
        <f t="shared" si="6"/>
        <v>#N/A</v>
      </c>
      <c r="O137" s="17">
        <f t="shared" si="7"/>
        <v>101</v>
      </c>
      <c r="P137" s="17" t="str">
        <f t="shared" si="8"/>
        <v>#N/A</v>
      </c>
    </row>
    <row r="138">
      <c r="A138" s="7">
        <v>137.0</v>
      </c>
      <c r="B138" s="18" t="s">
        <v>286</v>
      </c>
      <c r="C138" s="9" t="s">
        <v>287</v>
      </c>
      <c r="D138" s="9">
        <f>IFERROR(__xludf.DUMMYFUNCTION("GOOGLEFINANCE(""NSE:""&amp;C138)"),44001.0)</f>
        <v>44001</v>
      </c>
      <c r="E138" s="10" t="str">
        <f>IFERROR(__xludf.DUMMYFUNCTION("INDEX(GOOGLEFINANCE(""NSE:""&amp;B138,dates!$I$1,dates!$C$3),2,2)"),"#N/A")</f>
        <v>#N/A</v>
      </c>
      <c r="F138" s="10">
        <f>IFERROR(__xludf.DUMMYFUNCTION("INDEX(GOOGLEFINANCE(""NSE:""&amp;C138,dates!$I$1,dates!$C$4),2,2)"),42571.15)</f>
        <v>42571.15</v>
      </c>
      <c r="G138" s="10">
        <f>IFERROR(__xludf.DUMMYFUNCTION("INDEX(GOOGLEFINANCE(""NSE:""&amp;C138,dates!$I$1,dates!$C$5),2,2)"),42511.05)</f>
        <v>42511.05</v>
      </c>
      <c r="H138" s="10">
        <f>IFERROR(__xludf.DUMMYFUNCTION("INDEX(GOOGLEFINANCE(""NSE:""&amp;C138,dates!$I$1,dates!$C$6),2,2)"),39706.4)</f>
        <v>39706.4</v>
      </c>
      <c r="I138" s="16">
        <f t="shared" si="1"/>
        <v>0.03358730032</v>
      </c>
      <c r="J138" s="16">
        <f t="shared" si="2"/>
        <v>0.03504853444</v>
      </c>
      <c r="K138" s="16">
        <f t="shared" si="3"/>
        <v>0.1081588862</v>
      </c>
      <c r="L138" s="16">
        <f t="shared" si="4"/>
        <v>-0.00146123412</v>
      </c>
      <c r="M138" s="17" t="str">
        <f t="shared" si="5"/>
        <v>#N/A</v>
      </c>
      <c r="N138" s="17" t="str">
        <f t="shared" si="6"/>
        <v>#N/A</v>
      </c>
      <c r="O138" s="17">
        <f t="shared" si="7"/>
        <v>70</v>
      </c>
      <c r="P138" s="17" t="str">
        <f t="shared" si="8"/>
        <v>#N/A</v>
      </c>
    </row>
    <row r="139">
      <c r="A139" s="7">
        <v>138.0</v>
      </c>
      <c r="B139" s="18" t="s">
        <v>288</v>
      </c>
      <c r="C139" s="9" t="s">
        <v>289</v>
      </c>
      <c r="D139" s="9">
        <f>IFERROR(__xludf.DUMMYFUNCTION("GOOGLEFINANCE(""NSE:""&amp;C139)"),370.95)</f>
        <v>370.95</v>
      </c>
      <c r="E139" s="10" t="str">
        <f>IFERROR(__xludf.DUMMYFUNCTION("INDEX(GOOGLEFINANCE(""NSE:""&amp;B139,dates!$I$1,dates!$C$3),2,2)"),"#N/A")</f>
        <v>#N/A</v>
      </c>
      <c r="F139" s="10">
        <f>IFERROR(__xludf.DUMMYFUNCTION("INDEX(GOOGLEFINANCE(""NSE:""&amp;C139,dates!$I$1,dates!$C$4),2,2)"),379.25)</f>
        <v>379.25</v>
      </c>
      <c r="G139" s="10">
        <f>IFERROR(__xludf.DUMMYFUNCTION("INDEX(GOOGLEFINANCE(""NSE:""&amp;C139,dates!$I$1,dates!$C$5),2,2)"),386.55)</f>
        <v>386.55</v>
      </c>
      <c r="H139" s="10">
        <f>IFERROR(__xludf.DUMMYFUNCTION("INDEX(GOOGLEFINANCE(""NSE:""&amp;C139,dates!$I$1,dates!$C$6),2,2)"),335.1)</f>
        <v>335.1</v>
      </c>
      <c r="I139" s="16">
        <f t="shared" si="1"/>
        <v>-0.02188529993</v>
      </c>
      <c r="J139" s="16">
        <f t="shared" si="2"/>
        <v>-0.04035700427</v>
      </c>
      <c r="K139" s="16">
        <f t="shared" si="3"/>
        <v>0.1069829902</v>
      </c>
      <c r="L139" s="16">
        <f t="shared" si="4"/>
        <v>0.01847170433</v>
      </c>
      <c r="M139" s="17" t="str">
        <f t="shared" si="5"/>
        <v>#N/A</v>
      </c>
      <c r="N139" s="17" t="str">
        <f t="shared" si="6"/>
        <v>#N/A</v>
      </c>
      <c r="O139" s="17">
        <f t="shared" si="7"/>
        <v>71</v>
      </c>
      <c r="P139" s="17" t="str">
        <f t="shared" si="8"/>
        <v>#N/A</v>
      </c>
    </row>
    <row r="140">
      <c r="A140" s="7">
        <v>139.0</v>
      </c>
      <c r="B140" s="18" t="s">
        <v>290</v>
      </c>
      <c r="C140" s="9" t="s">
        <v>291</v>
      </c>
      <c r="D140" s="9">
        <f>IFERROR(__xludf.DUMMYFUNCTION("GOOGLEFINANCE(""NSE:""&amp;C140)"),622.7)</f>
        <v>622.7</v>
      </c>
      <c r="E140" s="10" t="str">
        <f>IFERROR(__xludf.DUMMYFUNCTION("INDEX(GOOGLEFINANCE(""NSE:""&amp;B140,dates!$I$1,dates!$C$3),2,2)"),"#N/A")</f>
        <v>#N/A</v>
      </c>
      <c r="F140" s="10">
        <f>IFERROR(__xludf.DUMMYFUNCTION("INDEX(GOOGLEFINANCE(""NSE:""&amp;C140,dates!$I$1,dates!$C$4),2,2)"),651.15)</f>
        <v>651.15</v>
      </c>
      <c r="G140" s="10">
        <f>IFERROR(__xludf.DUMMYFUNCTION("INDEX(GOOGLEFINANCE(""NSE:""&amp;C140,dates!$I$1,dates!$C$5),2,2)"),645.7)</f>
        <v>645.7</v>
      </c>
      <c r="H140" s="10">
        <f>IFERROR(__xludf.DUMMYFUNCTION("INDEX(GOOGLEFINANCE(""NSE:""&amp;C140,dates!$I$1,dates!$C$6),2,2)"),658.6)</f>
        <v>658.6</v>
      </c>
      <c r="I140" s="16">
        <f t="shared" si="1"/>
        <v>-0.04369192966</v>
      </c>
      <c r="J140" s="16">
        <f t="shared" si="2"/>
        <v>-0.03562025709</v>
      </c>
      <c r="K140" s="16">
        <f t="shared" si="3"/>
        <v>-0.05450956575</v>
      </c>
      <c r="L140" s="16">
        <f t="shared" si="4"/>
        <v>-0.008071672578</v>
      </c>
      <c r="M140" s="17" t="str">
        <f t="shared" si="5"/>
        <v>#N/A</v>
      </c>
      <c r="N140" s="17" t="str">
        <f t="shared" si="6"/>
        <v>#N/A</v>
      </c>
      <c r="O140" s="17">
        <f t="shared" si="7"/>
        <v>234</v>
      </c>
      <c r="P140" s="17" t="str">
        <f t="shared" si="8"/>
        <v>#N/A</v>
      </c>
    </row>
    <row r="141">
      <c r="A141" s="7">
        <v>140.0</v>
      </c>
      <c r="B141" s="18" t="s">
        <v>292</v>
      </c>
      <c r="C141" s="9" t="s">
        <v>293</v>
      </c>
      <c r="D141" s="9">
        <f>IFERROR(__xludf.DUMMYFUNCTION("GOOGLEFINANCE(""NSE:""&amp;C141)"),233.5)</f>
        <v>233.5</v>
      </c>
      <c r="E141" s="10" t="str">
        <f>IFERROR(__xludf.DUMMYFUNCTION("INDEX(GOOGLEFINANCE(""NSE:""&amp;B141,dates!$I$1,dates!$C$3),2,2)"),"#N/A")</f>
        <v>#N/A</v>
      </c>
      <c r="F141" s="10">
        <f>IFERROR(__xludf.DUMMYFUNCTION("INDEX(GOOGLEFINANCE(""NSE:""&amp;C141,dates!$I$1,dates!$C$4),2,2)"),232.2)</f>
        <v>232.2</v>
      </c>
      <c r="G141" s="10">
        <f>IFERROR(__xludf.DUMMYFUNCTION("INDEX(GOOGLEFINANCE(""NSE:""&amp;C141,dates!$I$1,dates!$C$5),2,2)"),230.05)</f>
        <v>230.05</v>
      </c>
      <c r="H141" s="10">
        <f>IFERROR(__xludf.DUMMYFUNCTION("INDEX(GOOGLEFINANCE(""NSE:""&amp;C141,dates!$I$1,dates!$C$6),2,2)"),227.85)</f>
        <v>227.85</v>
      </c>
      <c r="I141" s="16">
        <f t="shared" si="1"/>
        <v>0.005598621878</v>
      </c>
      <c r="J141" s="16">
        <f t="shared" si="2"/>
        <v>0.01499673984</v>
      </c>
      <c r="K141" s="16">
        <f t="shared" si="3"/>
        <v>0.02479701558</v>
      </c>
      <c r="L141" s="16">
        <f t="shared" si="4"/>
        <v>-0.009398117961</v>
      </c>
      <c r="M141" s="17" t="str">
        <f t="shared" si="5"/>
        <v>#N/A</v>
      </c>
      <c r="N141" s="17" t="str">
        <f t="shared" si="6"/>
        <v>#N/A</v>
      </c>
      <c r="O141" s="17">
        <f t="shared" si="7"/>
        <v>170</v>
      </c>
      <c r="P141" s="17" t="str">
        <f t="shared" si="8"/>
        <v>#N/A</v>
      </c>
    </row>
    <row r="142">
      <c r="A142" s="7">
        <v>141.0</v>
      </c>
      <c r="B142" s="18" t="s">
        <v>294</v>
      </c>
      <c r="C142" s="9" t="s">
        <v>295</v>
      </c>
      <c r="D142" s="9">
        <f>IFERROR(__xludf.DUMMYFUNCTION("GOOGLEFINANCE(""NSE:""&amp;C142)"),138.2)</f>
        <v>138.2</v>
      </c>
      <c r="E142" s="10" t="str">
        <f>IFERROR(__xludf.DUMMYFUNCTION("INDEX(GOOGLEFINANCE(""NSE:""&amp;B142,dates!$I$1,dates!$C$3),2,2)"),"#N/A")</f>
        <v>#N/A</v>
      </c>
      <c r="F142" s="10">
        <f>IFERROR(__xludf.DUMMYFUNCTION("INDEX(GOOGLEFINANCE(""NSE:""&amp;C142,dates!$I$1,dates!$C$4),2,2)"),138.3)</f>
        <v>138.3</v>
      </c>
      <c r="G142" s="10">
        <f>IFERROR(__xludf.DUMMYFUNCTION("INDEX(GOOGLEFINANCE(""NSE:""&amp;C142,dates!$I$1,dates!$C$5),2,2)"),138.7)</f>
        <v>138.7</v>
      </c>
      <c r="H142" s="10">
        <f>IFERROR(__xludf.DUMMYFUNCTION("INDEX(GOOGLEFINANCE(""NSE:""&amp;C142,dates!$I$1,dates!$C$6),2,2)"),126.3)</f>
        <v>126.3</v>
      </c>
      <c r="I142" s="16">
        <f t="shared" si="1"/>
        <v>-0.000723065799</v>
      </c>
      <c r="J142" s="16">
        <f t="shared" si="2"/>
        <v>-0.003604902668</v>
      </c>
      <c r="K142" s="16">
        <f t="shared" si="3"/>
        <v>0.09422011085</v>
      </c>
      <c r="L142" s="16">
        <f t="shared" si="4"/>
        <v>0.002881836869</v>
      </c>
      <c r="M142" s="17" t="str">
        <f t="shared" si="5"/>
        <v>#N/A</v>
      </c>
      <c r="N142" s="17" t="str">
        <f t="shared" si="6"/>
        <v>#N/A</v>
      </c>
      <c r="O142" s="17">
        <f t="shared" si="7"/>
        <v>79</v>
      </c>
      <c r="P142" s="17" t="str">
        <f t="shared" si="8"/>
        <v>#N/A</v>
      </c>
    </row>
    <row r="143">
      <c r="A143" s="7">
        <v>142.0</v>
      </c>
      <c r="B143" s="18" t="s">
        <v>296</v>
      </c>
      <c r="C143" s="9" t="s">
        <v>297</v>
      </c>
      <c r="D143" s="9">
        <f>IFERROR(__xludf.DUMMYFUNCTION("GOOGLEFINANCE(""NSE:""&amp;C143)"),918.85)</f>
        <v>918.85</v>
      </c>
      <c r="E143" s="10" t="str">
        <f>IFERROR(__xludf.DUMMYFUNCTION("INDEX(GOOGLEFINANCE(""NSE:""&amp;B143,dates!$I$1,dates!$C$3),2,2)"),"#N/A")</f>
        <v>#N/A</v>
      </c>
      <c r="F143" s="10">
        <f>IFERROR(__xludf.DUMMYFUNCTION("INDEX(GOOGLEFINANCE(""NSE:""&amp;C143,dates!$I$1,dates!$C$4),2,2)"),926.05)</f>
        <v>926.05</v>
      </c>
      <c r="G143" s="10">
        <f>IFERROR(__xludf.DUMMYFUNCTION("INDEX(GOOGLEFINANCE(""NSE:""&amp;C143,dates!$I$1,dates!$C$5),2,2)"),928.95)</f>
        <v>928.95</v>
      </c>
      <c r="H143" s="10">
        <f>IFERROR(__xludf.DUMMYFUNCTION("INDEX(GOOGLEFINANCE(""NSE:""&amp;C143,dates!$I$1,dates!$C$6),2,2)"),926.5)</f>
        <v>926.5</v>
      </c>
      <c r="I143" s="16">
        <f t="shared" si="1"/>
        <v>-0.007774958156</v>
      </c>
      <c r="J143" s="16">
        <f t="shared" si="2"/>
        <v>-0.01087249045</v>
      </c>
      <c r="K143" s="16">
        <f t="shared" si="3"/>
        <v>-0.008256880734</v>
      </c>
      <c r="L143" s="16">
        <f t="shared" si="4"/>
        <v>0.003097532291</v>
      </c>
      <c r="M143" s="17" t="str">
        <f t="shared" si="5"/>
        <v>#N/A</v>
      </c>
      <c r="N143" s="17" t="str">
        <f t="shared" si="6"/>
        <v>#N/A</v>
      </c>
      <c r="O143" s="17">
        <f t="shared" si="7"/>
        <v>215</v>
      </c>
      <c r="P143" s="17" t="str">
        <f t="shared" si="8"/>
        <v>#N/A</v>
      </c>
    </row>
    <row r="144">
      <c r="A144" s="7">
        <v>143.0</v>
      </c>
      <c r="B144" s="18" t="s">
        <v>298</v>
      </c>
      <c r="C144" s="9">
        <v>542602.0</v>
      </c>
      <c r="D144" s="9">
        <f>IFERROR(__xludf.DUMMYFUNCTION("GOOGLEFINANCE(""BOM:""&amp;C144)"),337.19)</f>
        <v>337.19</v>
      </c>
      <c r="E144" s="10" t="str">
        <f>IFERROR(__xludf.DUMMYFUNCTION("INDEX(GOOGLEFINANCE(""NSE:""&amp;B144,dates!$I$1,dates!$C$3),2,2)"),"#N/A")</f>
        <v>#N/A</v>
      </c>
      <c r="F144" s="10">
        <f>IFERROR(__xludf.DUMMYFUNCTION("INDEX(GOOGLEFINANCE(""BOM:""&amp;C144,dates!$I$1,dates!$C$4),2,2)"),352.43)</f>
        <v>352.43</v>
      </c>
      <c r="G144" s="10">
        <f>IFERROR(__xludf.DUMMYFUNCTION("INDEX(GOOGLEFINANCE(""BOM:""&amp;C144,dates!$I$1,dates!$C$5),2,2)"),373.58)</f>
        <v>373.58</v>
      </c>
      <c r="H144" s="10">
        <f>IFERROR(__xludf.DUMMYFUNCTION("INDEX(GOOGLEFINANCE(""BOM:""&amp;C144,dates!$I$1,dates!$C$6),2,2)"),350.07)</f>
        <v>350.07</v>
      </c>
      <c r="I144" s="16">
        <f t="shared" si="1"/>
        <v>-0.04324262974</v>
      </c>
      <c r="J144" s="16">
        <f t="shared" si="2"/>
        <v>-0.09740885486</v>
      </c>
      <c r="K144" s="16">
        <f t="shared" si="3"/>
        <v>-0.03679264147</v>
      </c>
      <c r="L144" s="16">
        <f t="shared" si="4"/>
        <v>0.05416622512</v>
      </c>
      <c r="M144" s="17" t="str">
        <f t="shared" si="5"/>
        <v>#N/A</v>
      </c>
      <c r="N144" s="17" t="str">
        <f t="shared" si="6"/>
        <v>#N/A</v>
      </c>
      <c r="O144" s="17">
        <f t="shared" si="7"/>
        <v>230</v>
      </c>
      <c r="P144" s="17" t="str">
        <f t="shared" si="8"/>
        <v>#N/A</v>
      </c>
    </row>
    <row r="145">
      <c r="A145" s="7">
        <v>144.0</v>
      </c>
      <c r="B145" s="18" t="s">
        <v>299</v>
      </c>
      <c r="C145" s="9" t="s">
        <v>300</v>
      </c>
      <c r="D145" s="9">
        <f>IFERROR(__xludf.DUMMYFUNCTION("GOOGLEFINANCE(""NSE:""&amp;C145)"),625.0)</f>
        <v>625</v>
      </c>
      <c r="E145" s="10" t="str">
        <f>IFERROR(__xludf.DUMMYFUNCTION("INDEX(GOOGLEFINANCE(""NSE:""&amp;B145,dates!$I$1,dates!$C$3),2,2)"),"#N/A")</f>
        <v>#N/A</v>
      </c>
      <c r="F145" s="10">
        <f>IFERROR(__xludf.DUMMYFUNCTION("INDEX(GOOGLEFINANCE(""NSE:""&amp;C145,dates!$I$1,dates!$C$4),2,2)"),613.95)</f>
        <v>613.95</v>
      </c>
      <c r="G145" s="10">
        <f>IFERROR(__xludf.DUMMYFUNCTION("INDEX(GOOGLEFINANCE(""NSE:""&amp;C145,dates!$I$1,dates!$C$5),2,2)"),603.95)</f>
        <v>603.95</v>
      </c>
      <c r="H145" s="10">
        <f>IFERROR(__xludf.DUMMYFUNCTION("INDEX(GOOGLEFINANCE(""NSE:""&amp;C145,dates!$I$1,dates!$C$6),2,2)"),622.15)</f>
        <v>622.15</v>
      </c>
      <c r="I145" s="16">
        <f t="shared" si="1"/>
        <v>0.01799820832</v>
      </c>
      <c r="J145" s="16">
        <f t="shared" si="2"/>
        <v>0.03485387863</v>
      </c>
      <c r="K145" s="16">
        <f t="shared" si="3"/>
        <v>0.004580888853</v>
      </c>
      <c r="L145" s="16">
        <f t="shared" si="4"/>
        <v>-0.01685567031</v>
      </c>
      <c r="M145" s="17" t="str">
        <f t="shared" si="5"/>
        <v>#N/A</v>
      </c>
      <c r="N145" s="17" t="str">
        <f t="shared" si="6"/>
        <v>#N/A</v>
      </c>
      <c r="O145" s="17">
        <f t="shared" si="7"/>
        <v>199</v>
      </c>
      <c r="P145" s="17" t="str">
        <f t="shared" si="8"/>
        <v>#N/A</v>
      </c>
    </row>
    <row r="146">
      <c r="A146" s="7">
        <v>145.0</v>
      </c>
      <c r="B146" s="18" t="s">
        <v>301</v>
      </c>
      <c r="C146" s="9" t="s">
        <v>301</v>
      </c>
      <c r="D146" s="9">
        <f>IFERROR(__xludf.DUMMYFUNCTION("GOOGLEFINANCE(""NSE:""&amp;C146)"),80097.45)</f>
        <v>80097.45</v>
      </c>
      <c r="E146" s="10" t="str">
        <f>IFERROR(__xludf.DUMMYFUNCTION("INDEX(GOOGLEFINANCE(""NSE:""&amp;B146,dates!$I$1,dates!$C$3),2,2)"),"#N/A")</f>
        <v>#N/A</v>
      </c>
      <c r="F146" s="10">
        <f>IFERROR(__xludf.DUMMYFUNCTION("INDEX(GOOGLEFINANCE(""NSE:""&amp;C146,dates!$I$1,dates!$C$4),2,2)"),79397.25)</f>
        <v>79397.25</v>
      </c>
      <c r="G146" s="10">
        <f>IFERROR(__xludf.DUMMYFUNCTION("INDEX(GOOGLEFINANCE(""NSE:""&amp;C146,dates!$I$1,dates!$C$5),2,2)"),80243.6)</f>
        <v>80243.6</v>
      </c>
      <c r="H146" s="10">
        <f>IFERROR(__xludf.DUMMYFUNCTION("INDEX(GOOGLEFINANCE(""NSE:""&amp;C146,dates!$I$1,dates!$C$6),2,2)"),76953.45)</f>
        <v>76953.45</v>
      </c>
      <c r="I146" s="16">
        <f t="shared" si="1"/>
        <v>0.008818945241</v>
      </c>
      <c r="J146" s="16">
        <f t="shared" si="2"/>
        <v>-0.001821329053</v>
      </c>
      <c r="K146" s="16">
        <f t="shared" si="3"/>
        <v>0.04085586806</v>
      </c>
      <c r="L146" s="16">
        <f t="shared" si="4"/>
        <v>0.01064027429</v>
      </c>
      <c r="M146" s="17" t="str">
        <f t="shared" si="5"/>
        <v>#N/A</v>
      </c>
      <c r="N146" s="17" t="str">
        <f t="shared" si="6"/>
        <v>#N/A</v>
      </c>
      <c r="O146" s="17">
        <f t="shared" si="7"/>
        <v>149</v>
      </c>
      <c r="P146" s="17" t="str">
        <f t="shared" si="8"/>
        <v>#N/A</v>
      </c>
    </row>
    <row r="147">
      <c r="A147" s="7">
        <v>146.0</v>
      </c>
      <c r="B147" s="8" t="s">
        <v>302</v>
      </c>
      <c r="C147" s="9" t="s">
        <v>303</v>
      </c>
      <c r="D147" s="9">
        <f>IFERROR(__xludf.DUMMYFUNCTION("GOOGLEFINANCE(""NSE:""&amp;C147)"),4036.15)</f>
        <v>4036.15</v>
      </c>
      <c r="E147" s="10" t="str">
        <f>IFERROR(__xludf.DUMMYFUNCTION("INDEX(GOOGLEFINANCE(""NSE:""&amp;B147,dates!$I$1,dates!$C$3),2,2)"),"#N/A")</f>
        <v>#N/A</v>
      </c>
      <c r="F147" s="10">
        <f>IFERROR(__xludf.DUMMYFUNCTION("INDEX(GOOGLEFINANCE(""NSE:""&amp;C147,dates!$I$1,dates!$C$4),2,2)"),3981.15)</f>
        <v>3981.15</v>
      </c>
      <c r="G147" s="10">
        <f>IFERROR(__xludf.DUMMYFUNCTION("INDEX(GOOGLEFINANCE(""NSE:""&amp;C147,dates!$I$1,dates!$C$5),2,2)"),4170.45)</f>
        <v>4170.45</v>
      </c>
      <c r="H147" s="10">
        <f>IFERROR(__xludf.DUMMYFUNCTION("INDEX(GOOGLEFINANCE(""NSE:""&amp;C147,dates!$I$1,dates!$C$6),2,2)"),3825.2)</f>
        <v>3825.2</v>
      </c>
      <c r="I147" s="16">
        <f t="shared" si="1"/>
        <v>0.01381510368</v>
      </c>
      <c r="J147" s="16">
        <f t="shared" si="2"/>
        <v>-0.03220275989</v>
      </c>
      <c r="K147" s="16">
        <f t="shared" si="3"/>
        <v>0.05514744327</v>
      </c>
      <c r="L147" s="16">
        <f t="shared" si="4"/>
        <v>0.04601786357</v>
      </c>
      <c r="M147" s="17" t="str">
        <f t="shared" si="5"/>
        <v>#N/A</v>
      </c>
      <c r="N147" s="17" t="str">
        <f t="shared" si="6"/>
        <v>#N/A</v>
      </c>
      <c r="O147" s="17">
        <f t="shared" si="7"/>
        <v>126</v>
      </c>
      <c r="P147" s="17" t="str">
        <f t="shared" si="8"/>
        <v>#N/A</v>
      </c>
    </row>
    <row r="148">
      <c r="A148" s="7">
        <v>147.0</v>
      </c>
      <c r="B148" s="18" t="s">
        <v>304</v>
      </c>
      <c r="C148" s="9" t="s">
        <v>305</v>
      </c>
      <c r="D148" s="9">
        <f>IFERROR(__xludf.DUMMYFUNCTION("GOOGLEFINANCE(""NSE:""&amp;C148)"),1247.35)</f>
        <v>1247.35</v>
      </c>
      <c r="E148" s="10" t="str">
        <f>IFERROR(__xludf.DUMMYFUNCTION("INDEX(GOOGLEFINANCE(""NSE:""&amp;B148,dates!$I$1,dates!$C$3),2,2)"),"#N/A")</f>
        <v>#N/A</v>
      </c>
      <c r="F148" s="10">
        <f>IFERROR(__xludf.DUMMYFUNCTION("INDEX(GOOGLEFINANCE(""NSE:""&amp;C148,dates!$I$1,dates!$C$4),2,2)"),1254.15)</f>
        <v>1254.15</v>
      </c>
      <c r="G148" s="10">
        <f>IFERROR(__xludf.DUMMYFUNCTION("INDEX(GOOGLEFINANCE(""NSE:""&amp;C148,dates!$I$1,dates!$C$5),2,2)"),1213.05)</f>
        <v>1213.05</v>
      </c>
      <c r="H148" s="10">
        <f>IFERROR(__xludf.DUMMYFUNCTION("INDEX(GOOGLEFINANCE(""NSE:""&amp;C148,dates!$I$1,dates!$C$6),2,2)"),985.35)</f>
        <v>985.35</v>
      </c>
      <c r="I148" s="16">
        <f t="shared" si="1"/>
        <v>-0.005421998963</v>
      </c>
      <c r="J148" s="16">
        <f t="shared" si="2"/>
        <v>0.02827583364</v>
      </c>
      <c r="K148" s="16">
        <f t="shared" si="3"/>
        <v>0.2658953671</v>
      </c>
      <c r="L148" s="16">
        <f t="shared" si="4"/>
        <v>-0.03369783261</v>
      </c>
      <c r="M148" s="17" t="str">
        <f t="shared" si="5"/>
        <v>#N/A</v>
      </c>
      <c r="N148" s="17" t="str">
        <f t="shared" si="6"/>
        <v>#N/A</v>
      </c>
      <c r="O148" s="17">
        <f t="shared" si="7"/>
        <v>12</v>
      </c>
      <c r="P148" s="17" t="str">
        <f t="shared" si="8"/>
        <v>#N/A</v>
      </c>
    </row>
    <row r="149">
      <c r="A149" s="7">
        <v>148.0</v>
      </c>
      <c r="B149" s="18" t="s">
        <v>306</v>
      </c>
      <c r="C149" s="9" t="s">
        <v>307</v>
      </c>
      <c r="D149" s="9">
        <f>IFERROR(__xludf.DUMMYFUNCTION("GOOGLEFINANCE(""NSE:""&amp;C149)"),2476.15)</f>
        <v>2476.15</v>
      </c>
      <c r="E149" s="10" t="str">
        <f>IFERROR(__xludf.DUMMYFUNCTION("INDEX(GOOGLEFINANCE(""NSE:""&amp;B149,dates!$I$1,dates!$C$3),2,2)"),"#N/A")</f>
        <v>#N/A</v>
      </c>
      <c r="F149" s="10">
        <f>IFERROR(__xludf.DUMMYFUNCTION("INDEX(GOOGLEFINANCE(""NSE:""&amp;C149,dates!$I$1,dates!$C$4),2,2)"),2493.4)</f>
        <v>2493.4</v>
      </c>
      <c r="G149" s="10">
        <f>IFERROR(__xludf.DUMMYFUNCTION("INDEX(GOOGLEFINANCE(""NSE:""&amp;C149,dates!$I$1,dates!$C$5),2,2)"),2596.15)</f>
        <v>2596.15</v>
      </c>
      <c r="H149" s="10">
        <f>IFERROR(__xludf.DUMMYFUNCTION("INDEX(GOOGLEFINANCE(""NSE:""&amp;C149,dates!$I$1,dates!$C$6),2,2)"),2459.9)</f>
        <v>2459.9</v>
      </c>
      <c r="I149" s="16">
        <f t="shared" si="1"/>
        <v>-0.006918264218</v>
      </c>
      <c r="J149" s="16">
        <f t="shared" si="2"/>
        <v>-0.0462222907</v>
      </c>
      <c r="K149" s="16">
        <f t="shared" si="3"/>
        <v>0.006605959592</v>
      </c>
      <c r="L149" s="16">
        <f t="shared" si="4"/>
        <v>0.03930402648</v>
      </c>
      <c r="M149" s="17" t="str">
        <f t="shared" si="5"/>
        <v>#N/A</v>
      </c>
      <c r="N149" s="17" t="str">
        <f t="shared" si="6"/>
        <v>#N/A</v>
      </c>
      <c r="O149" s="17">
        <f t="shared" si="7"/>
        <v>198</v>
      </c>
      <c r="P149" s="17" t="str">
        <f t="shared" si="8"/>
        <v>#N/A</v>
      </c>
    </row>
    <row r="150">
      <c r="A150" s="7">
        <v>149.0</v>
      </c>
      <c r="B150" s="18" t="s">
        <v>308</v>
      </c>
      <c r="C150" s="9" t="s">
        <v>309</v>
      </c>
      <c r="D150" s="9">
        <f>IFERROR(__xludf.DUMMYFUNCTION("GOOGLEFINANCE(""NSE:""&amp;C150)"),1041.65)</f>
        <v>1041.65</v>
      </c>
      <c r="E150" s="10" t="str">
        <f>IFERROR(__xludf.DUMMYFUNCTION("INDEX(GOOGLEFINANCE(""NSE:""&amp;B150,dates!$I$1,dates!$C$3),2,2)"),"#N/A")</f>
        <v>#N/A</v>
      </c>
      <c r="F150" s="10">
        <f>IFERROR(__xludf.DUMMYFUNCTION("INDEX(GOOGLEFINANCE(""NSE:""&amp;C150,dates!$I$1,dates!$C$4),2,2)"),1051.15)</f>
        <v>1051.15</v>
      </c>
      <c r="G150" s="10">
        <f>IFERROR(__xludf.DUMMYFUNCTION("INDEX(GOOGLEFINANCE(""NSE:""&amp;C150,dates!$I$1,dates!$C$5),2,2)"),1067.1)</f>
        <v>1067.1</v>
      </c>
      <c r="H150" s="10">
        <f>IFERROR(__xludf.DUMMYFUNCTION("INDEX(GOOGLEFINANCE(""NSE:""&amp;C150,dates!$I$1,dates!$C$6),2,2)"),1086.9)</f>
        <v>1086.9</v>
      </c>
      <c r="I150" s="16">
        <f t="shared" si="1"/>
        <v>-0.009037720592</v>
      </c>
      <c r="J150" s="16">
        <f t="shared" si="2"/>
        <v>-0.02384968607</v>
      </c>
      <c r="K150" s="16">
        <f t="shared" si="3"/>
        <v>-0.04163216487</v>
      </c>
      <c r="L150" s="16">
        <f t="shared" si="4"/>
        <v>0.01481196547</v>
      </c>
      <c r="M150" s="17" t="str">
        <f t="shared" si="5"/>
        <v>#N/A</v>
      </c>
      <c r="N150" s="17" t="str">
        <f t="shared" si="6"/>
        <v>#N/A</v>
      </c>
      <c r="O150" s="17">
        <f t="shared" si="7"/>
        <v>231</v>
      </c>
      <c r="P150" s="17" t="str">
        <f t="shared" si="8"/>
        <v>#N/A</v>
      </c>
    </row>
    <row r="151">
      <c r="A151" s="7">
        <v>150.0</v>
      </c>
      <c r="B151" s="18" t="s">
        <v>310</v>
      </c>
      <c r="C151" s="9" t="s">
        <v>311</v>
      </c>
      <c r="D151" s="9">
        <f>IFERROR(__xludf.DUMMYFUNCTION("GOOGLEFINANCE(""NSE:""&amp;C151)"),5650.0)</f>
        <v>5650</v>
      </c>
      <c r="E151" s="10" t="str">
        <f>IFERROR(__xludf.DUMMYFUNCTION("INDEX(GOOGLEFINANCE(""NSE:""&amp;B151,dates!$I$1,dates!$C$3),2,2)"),"#N/A")</f>
        <v>#N/A</v>
      </c>
      <c r="F151" s="10">
        <f>IFERROR(__xludf.DUMMYFUNCTION("INDEX(GOOGLEFINANCE(""NSE:""&amp;C151,dates!$I$1,dates!$C$4),2,2)"),5444.7)</f>
        <v>5444.7</v>
      </c>
      <c r="G151" s="10">
        <f>IFERROR(__xludf.DUMMYFUNCTION("INDEX(GOOGLEFINANCE(""NSE:""&amp;C151,dates!$I$1,dates!$C$5),2,2)"),5177.85)</f>
        <v>5177.85</v>
      </c>
      <c r="H151" s="10">
        <f>IFERROR(__xludf.DUMMYFUNCTION("INDEX(GOOGLEFINANCE(""NSE:""&amp;C151,dates!$I$1,dates!$C$6),2,2)"),5077.0)</f>
        <v>5077</v>
      </c>
      <c r="I151" s="16">
        <f t="shared" si="1"/>
        <v>0.03770639337</v>
      </c>
      <c r="J151" s="16">
        <f t="shared" si="2"/>
        <v>0.09118649633</v>
      </c>
      <c r="K151" s="16">
        <f t="shared" si="3"/>
        <v>0.1128619263</v>
      </c>
      <c r="L151" s="16">
        <f t="shared" si="4"/>
        <v>-0.05348010295</v>
      </c>
      <c r="M151" s="17" t="str">
        <f t="shared" si="5"/>
        <v>#N/A</v>
      </c>
      <c r="N151" s="17" t="str">
        <f t="shared" si="6"/>
        <v>#N/A</v>
      </c>
      <c r="O151" s="17">
        <f t="shared" si="7"/>
        <v>65</v>
      </c>
      <c r="P151" s="17" t="str">
        <f t="shared" si="8"/>
        <v>#N/A</v>
      </c>
    </row>
    <row r="152">
      <c r="A152" s="7">
        <v>151.0</v>
      </c>
      <c r="B152" s="18" t="s">
        <v>312</v>
      </c>
      <c r="C152" s="9" t="s">
        <v>313</v>
      </c>
      <c r="D152" s="9">
        <f>IFERROR(__xludf.DUMMYFUNCTION("GOOGLEFINANCE(""NSE:""&amp;C152)"),2470.6)</f>
        <v>2470.6</v>
      </c>
      <c r="E152" s="10" t="str">
        <f>IFERROR(__xludf.DUMMYFUNCTION("INDEX(GOOGLEFINANCE(""NSE:""&amp;B152,dates!$I$1,dates!$C$3),2,2)"),"#N/A")</f>
        <v>#N/A</v>
      </c>
      <c r="F152" s="10">
        <f>IFERROR(__xludf.DUMMYFUNCTION("INDEX(GOOGLEFINANCE(""NSE:""&amp;C152,dates!$I$1,dates!$C$4),2,2)"),2416.25)</f>
        <v>2416.25</v>
      </c>
      <c r="G152" s="10">
        <f>IFERROR(__xludf.DUMMYFUNCTION("INDEX(GOOGLEFINANCE(""NSE:""&amp;C152,dates!$I$1,dates!$C$5),2,2)"),2427.6)</f>
        <v>2427.6</v>
      </c>
      <c r="H152" s="10">
        <f>IFERROR(__xludf.DUMMYFUNCTION("INDEX(GOOGLEFINANCE(""NSE:""&amp;C152,dates!$I$1,dates!$C$6),2,2)"),2130.95)</f>
        <v>2130.95</v>
      </c>
      <c r="I152" s="16">
        <f t="shared" si="1"/>
        <v>0.02249353337</v>
      </c>
      <c r="J152" s="16">
        <f t="shared" si="2"/>
        <v>0.01771296754</v>
      </c>
      <c r="K152" s="16">
        <f t="shared" si="3"/>
        <v>0.1593890049</v>
      </c>
      <c r="L152" s="16">
        <f t="shared" si="4"/>
        <v>0.004780565828</v>
      </c>
      <c r="M152" s="17" t="str">
        <f t="shared" si="5"/>
        <v>#N/A</v>
      </c>
      <c r="N152" s="17" t="str">
        <f t="shared" si="6"/>
        <v>#N/A</v>
      </c>
      <c r="O152" s="17">
        <f t="shared" si="7"/>
        <v>40</v>
      </c>
      <c r="P152" s="17" t="str">
        <f t="shared" si="8"/>
        <v>#N/A</v>
      </c>
    </row>
    <row r="153">
      <c r="A153" s="7">
        <v>152.0</v>
      </c>
      <c r="B153" s="18" t="s">
        <v>314</v>
      </c>
      <c r="C153" s="9" t="s">
        <v>315</v>
      </c>
      <c r="D153" s="9">
        <f>IFERROR(__xludf.DUMMYFUNCTION("GOOGLEFINANCE(""NSE:""&amp;C153)"),2425.2)</f>
        <v>2425.2</v>
      </c>
      <c r="E153" s="10" t="str">
        <f>IFERROR(__xludf.DUMMYFUNCTION("INDEX(GOOGLEFINANCE(""NSE:""&amp;B153,dates!$I$1,dates!$C$3),2,2)"),"#N/A")</f>
        <v>#N/A</v>
      </c>
      <c r="F153" s="10">
        <f>IFERROR(__xludf.DUMMYFUNCTION("INDEX(GOOGLEFINANCE(""NSE:""&amp;C153,dates!$I$1,dates!$C$4),2,2)"),2505.75)</f>
        <v>2505.75</v>
      </c>
      <c r="G153" s="10">
        <f>IFERROR(__xludf.DUMMYFUNCTION("INDEX(GOOGLEFINANCE(""NSE:""&amp;C153,dates!$I$1,dates!$C$5),2,2)"),2442.35)</f>
        <v>2442.35</v>
      </c>
      <c r="H153" s="10">
        <f>IFERROR(__xludf.DUMMYFUNCTION("INDEX(GOOGLEFINANCE(""NSE:""&amp;C153,dates!$I$1,dates!$C$6),2,2)"),1894.55)</f>
        <v>1894.55</v>
      </c>
      <c r="I153" s="16">
        <f t="shared" si="1"/>
        <v>-0.03214606405</v>
      </c>
      <c r="J153" s="16">
        <f t="shared" si="2"/>
        <v>-0.007021925604</v>
      </c>
      <c r="K153" s="16">
        <f t="shared" si="3"/>
        <v>0.280092898</v>
      </c>
      <c r="L153" s="16">
        <f t="shared" si="4"/>
        <v>-0.02512413845</v>
      </c>
      <c r="M153" s="17" t="str">
        <f t="shared" si="5"/>
        <v>#N/A</v>
      </c>
      <c r="N153" s="17" t="str">
        <f t="shared" si="6"/>
        <v>#N/A</v>
      </c>
      <c r="O153" s="17">
        <f t="shared" si="7"/>
        <v>11</v>
      </c>
      <c r="P153" s="17" t="str">
        <f t="shared" si="8"/>
        <v>#N/A</v>
      </c>
    </row>
    <row r="154">
      <c r="A154" s="7">
        <v>153.0</v>
      </c>
      <c r="B154" s="18" t="s">
        <v>316</v>
      </c>
      <c r="C154" s="9" t="s">
        <v>317</v>
      </c>
      <c r="D154" s="9">
        <f>IFERROR(__xludf.DUMMYFUNCTION("GOOGLEFINANCE(""NSE:""&amp;C154)"),22.4)</f>
        <v>22.4</v>
      </c>
      <c r="E154" s="10" t="str">
        <f>IFERROR(__xludf.DUMMYFUNCTION("INDEX(GOOGLEFINANCE(""NSE:""&amp;B154,dates!$I$1,dates!$C$3),2,2)"),"#N/A")</f>
        <v>#N/A</v>
      </c>
      <c r="F154" s="10">
        <f>IFERROR(__xludf.DUMMYFUNCTION("INDEX(GOOGLEFINANCE(""NSE:""&amp;C154,dates!$I$1,dates!$C$4),2,2)"),22.8)</f>
        <v>22.8</v>
      </c>
      <c r="G154" s="10">
        <f>IFERROR(__xludf.DUMMYFUNCTION("INDEX(GOOGLEFINANCE(""NSE:""&amp;C154,dates!$I$1,dates!$C$5),2,2)"),22.95)</f>
        <v>22.95</v>
      </c>
      <c r="H154" s="10">
        <f>IFERROR(__xludf.DUMMYFUNCTION("INDEX(GOOGLEFINANCE(""NSE:""&amp;C154,dates!$I$1,dates!$C$6),2,2)"),22.85)</f>
        <v>22.85</v>
      </c>
      <c r="I154" s="16">
        <f t="shared" si="1"/>
        <v>-0.01754385965</v>
      </c>
      <c r="J154" s="16">
        <f t="shared" si="2"/>
        <v>-0.02396514161</v>
      </c>
      <c r="K154" s="16">
        <f t="shared" si="3"/>
        <v>-0.01969365427</v>
      </c>
      <c r="L154" s="16">
        <f t="shared" si="4"/>
        <v>0.006421281963</v>
      </c>
      <c r="M154" s="17" t="str">
        <f t="shared" si="5"/>
        <v>#N/A</v>
      </c>
      <c r="N154" s="17" t="str">
        <f t="shared" si="6"/>
        <v>#N/A</v>
      </c>
      <c r="O154" s="17">
        <f t="shared" si="7"/>
        <v>224</v>
      </c>
      <c r="P154" s="17" t="str">
        <f t="shared" si="8"/>
        <v>#N/A</v>
      </c>
    </row>
    <row r="155">
      <c r="A155" s="7">
        <v>154.0</v>
      </c>
      <c r="B155" s="18" t="s">
        <v>318</v>
      </c>
      <c r="C155" s="9" t="s">
        <v>319</v>
      </c>
      <c r="D155" s="9">
        <f>IFERROR(__xludf.DUMMYFUNCTION("GOOGLEFINANCE(""NSE:""&amp;C155)"),5725.0)</f>
        <v>5725</v>
      </c>
      <c r="E155" s="10" t="str">
        <f>IFERROR(__xludf.DUMMYFUNCTION("INDEX(GOOGLEFINANCE(""NSE:""&amp;B155,dates!$I$1,dates!$C$3),2,2)"),"#N/A")</f>
        <v>#N/A</v>
      </c>
      <c r="F155" s="10">
        <f>IFERROR(__xludf.DUMMYFUNCTION("INDEX(GOOGLEFINANCE(""NSE:""&amp;C155,dates!$I$1,dates!$C$4),2,2)"),5490.65)</f>
        <v>5490.65</v>
      </c>
      <c r="G155" s="10">
        <f>IFERROR(__xludf.DUMMYFUNCTION("INDEX(GOOGLEFINANCE(""NSE:""&amp;C155,dates!$I$1,dates!$C$5),2,2)"),5009.3)</f>
        <v>5009.3</v>
      </c>
      <c r="H155" s="10">
        <f>IFERROR(__xludf.DUMMYFUNCTION("INDEX(GOOGLEFINANCE(""NSE:""&amp;C155,dates!$I$1,dates!$C$6),2,2)"),4868.65)</f>
        <v>4868.65</v>
      </c>
      <c r="I155" s="16">
        <f t="shared" si="1"/>
        <v>0.04268164971</v>
      </c>
      <c r="J155" s="16">
        <f t="shared" si="2"/>
        <v>0.1428742539</v>
      </c>
      <c r="K155" s="16">
        <f t="shared" si="3"/>
        <v>0.1758906473</v>
      </c>
      <c r="L155" s="16">
        <f t="shared" si="4"/>
        <v>-0.1001926042</v>
      </c>
      <c r="M155" s="17" t="str">
        <f t="shared" si="5"/>
        <v>#N/A</v>
      </c>
      <c r="N155" s="17" t="str">
        <f t="shared" si="6"/>
        <v>#N/A</v>
      </c>
      <c r="O155" s="17">
        <f t="shared" si="7"/>
        <v>35</v>
      </c>
      <c r="P155" s="17" t="str">
        <f t="shared" si="8"/>
        <v>#N/A</v>
      </c>
    </row>
    <row r="156">
      <c r="A156" s="7">
        <v>155.0</v>
      </c>
      <c r="B156" s="18" t="s">
        <v>320</v>
      </c>
      <c r="C156" s="9" t="s">
        <v>321</v>
      </c>
      <c r="D156" s="9">
        <f>IFERROR(__xludf.DUMMYFUNCTION("GOOGLEFINANCE(""NSE:""&amp;C156)"),572.95)</f>
        <v>572.95</v>
      </c>
      <c r="E156" s="10" t="str">
        <f>IFERROR(__xludf.DUMMYFUNCTION("INDEX(GOOGLEFINANCE(""NSE:""&amp;B156,dates!$I$1,dates!$C$3),2,2)"),"#N/A")</f>
        <v>#N/A</v>
      </c>
      <c r="F156" s="10">
        <f>IFERROR(__xludf.DUMMYFUNCTION("INDEX(GOOGLEFINANCE(""NSE:""&amp;C156,dates!$I$1,dates!$C$4),2,2)"),570.4)</f>
        <v>570.4</v>
      </c>
      <c r="G156" s="10">
        <f>IFERROR(__xludf.DUMMYFUNCTION("INDEX(GOOGLEFINANCE(""NSE:""&amp;C156,dates!$I$1,dates!$C$5),2,2)"),583.45)</f>
        <v>583.45</v>
      </c>
      <c r="H156" s="10">
        <f>IFERROR(__xludf.DUMMYFUNCTION("INDEX(GOOGLEFINANCE(""NSE:""&amp;C156,dates!$I$1,dates!$C$6),2,2)"),474.2)</f>
        <v>474.2</v>
      </c>
      <c r="I156" s="16">
        <f t="shared" si="1"/>
        <v>0.004470546985</v>
      </c>
      <c r="J156" s="16">
        <f t="shared" si="2"/>
        <v>-0.01799640072</v>
      </c>
      <c r="K156" s="16">
        <f t="shared" si="3"/>
        <v>0.208245466</v>
      </c>
      <c r="L156" s="16">
        <f t="shared" si="4"/>
        <v>0.0224669477</v>
      </c>
      <c r="M156" s="17" t="str">
        <f t="shared" si="5"/>
        <v>#N/A</v>
      </c>
      <c r="N156" s="17" t="str">
        <f t="shared" si="6"/>
        <v>#N/A</v>
      </c>
      <c r="O156" s="17">
        <f t="shared" si="7"/>
        <v>22</v>
      </c>
      <c r="P156" s="17" t="str">
        <f t="shared" si="8"/>
        <v>#N/A</v>
      </c>
    </row>
    <row r="157">
      <c r="A157" s="7">
        <v>156.0</v>
      </c>
      <c r="B157" s="18" t="s">
        <v>322</v>
      </c>
      <c r="C157" s="9" t="s">
        <v>323</v>
      </c>
      <c r="D157" s="9">
        <f>IFERROR(__xludf.DUMMYFUNCTION("GOOGLEFINANCE(""NSE:""&amp;C157)"),155.5)</f>
        <v>155.5</v>
      </c>
      <c r="E157" s="10" t="str">
        <f>IFERROR(__xludf.DUMMYFUNCTION("INDEX(GOOGLEFINANCE(""NSE:""&amp;B157,dates!$I$1,dates!$C$3),2,2)"),"#N/A")</f>
        <v>#N/A</v>
      </c>
      <c r="F157" s="10">
        <f>IFERROR(__xludf.DUMMYFUNCTION("INDEX(GOOGLEFINANCE(""NSE:""&amp;C157,dates!$I$1,dates!$C$4),2,2)"),157.05)</f>
        <v>157.05</v>
      </c>
      <c r="G157" s="10">
        <f>IFERROR(__xludf.DUMMYFUNCTION("INDEX(GOOGLEFINANCE(""NSE:""&amp;C157,dates!$I$1,dates!$C$5),2,2)"),158.05)</f>
        <v>158.05</v>
      </c>
      <c r="H157" s="10">
        <f>IFERROR(__xludf.DUMMYFUNCTION("INDEX(GOOGLEFINANCE(""NSE:""&amp;C157,dates!$I$1,dates!$C$6),2,2)"),146.3)</f>
        <v>146.3</v>
      </c>
      <c r="I157" s="16">
        <f t="shared" si="1"/>
        <v>-0.009869468322</v>
      </c>
      <c r="J157" s="16">
        <f t="shared" si="2"/>
        <v>-0.01613413477</v>
      </c>
      <c r="K157" s="16">
        <f t="shared" si="3"/>
        <v>0.06288448394</v>
      </c>
      <c r="L157" s="16">
        <f t="shared" si="4"/>
        <v>0.006264666445</v>
      </c>
      <c r="M157" s="17" t="str">
        <f t="shared" si="5"/>
        <v>#N/A</v>
      </c>
      <c r="N157" s="17" t="str">
        <f t="shared" si="6"/>
        <v>#N/A</v>
      </c>
      <c r="O157" s="17">
        <f t="shared" si="7"/>
        <v>116</v>
      </c>
      <c r="P157" s="17" t="str">
        <f t="shared" si="8"/>
        <v>#N/A</v>
      </c>
    </row>
    <row r="158">
      <c r="A158" s="7">
        <v>157.0</v>
      </c>
      <c r="B158" s="18" t="s">
        <v>324</v>
      </c>
      <c r="C158" s="9" t="s">
        <v>325</v>
      </c>
      <c r="D158" s="9">
        <f>IFERROR(__xludf.DUMMYFUNCTION("GOOGLEFINANCE(""NSE:""&amp;C158)"),485.35)</f>
        <v>485.35</v>
      </c>
      <c r="E158" s="10" t="str">
        <f>IFERROR(__xludf.DUMMYFUNCTION("INDEX(GOOGLEFINANCE(""NSE:""&amp;B158,dates!$I$1,dates!$C$3),2,2)"),"#N/A")</f>
        <v>#N/A</v>
      </c>
      <c r="F158" s="10">
        <f>IFERROR(__xludf.DUMMYFUNCTION("INDEX(GOOGLEFINANCE(""NSE:""&amp;C158,dates!$I$1,dates!$C$4),2,2)"),486.1)</f>
        <v>486.1</v>
      </c>
      <c r="G158" s="10">
        <f>IFERROR(__xludf.DUMMYFUNCTION("INDEX(GOOGLEFINANCE(""NSE:""&amp;C158,dates!$I$1,dates!$C$5),2,2)"),486.3)</f>
        <v>486.3</v>
      </c>
      <c r="H158" s="10">
        <f>IFERROR(__xludf.DUMMYFUNCTION("INDEX(GOOGLEFINANCE(""NSE:""&amp;C158,dates!$I$1,dates!$C$6),2,2)"),459.9)</f>
        <v>459.9</v>
      </c>
      <c r="I158" s="16">
        <f t="shared" si="1"/>
        <v>-0.001542892409</v>
      </c>
      <c r="J158" s="16">
        <f t="shared" si="2"/>
        <v>-0.00195352663</v>
      </c>
      <c r="K158" s="16">
        <f t="shared" si="3"/>
        <v>0.05533811698</v>
      </c>
      <c r="L158" s="16">
        <f t="shared" si="4"/>
        <v>0.0004106342207</v>
      </c>
      <c r="M158" s="17" t="str">
        <f t="shared" si="5"/>
        <v>#N/A</v>
      </c>
      <c r="N158" s="17" t="str">
        <f t="shared" si="6"/>
        <v>#N/A</v>
      </c>
      <c r="O158" s="17">
        <f t="shared" si="7"/>
        <v>125</v>
      </c>
      <c r="P158" s="17" t="str">
        <f t="shared" si="8"/>
        <v>#N/A</v>
      </c>
    </row>
    <row r="159">
      <c r="A159" s="7">
        <v>158.0</v>
      </c>
      <c r="B159" s="18" t="s">
        <v>326</v>
      </c>
      <c r="C159" s="9" t="s">
        <v>327</v>
      </c>
      <c r="D159" s="9">
        <f>IFERROR(__xludf.DUMMYFUNCTION("GOOGLEFINANCE(""NSE:""&amp;C159)"),1172.5)</f>
        <v>1172.5</v>
      </c>
      <c r="E159" s="10" t="str">
        <f>IFERROR(__xludf.DUMMYFUNCTION("INDEX(GOOGLEFINANCE(""NSE:""&amp;B159,dates!$I$1,dates!$C$3),2,2)"),"#N/A")</f>
        <v>#N/A</v>
      </c>
      <c r="F159" s="10">
        <f>IFERROR(__xludf.DUMMYFUNCTION("INDEX(GOOGLEFINANCE(""NSE:""&amp;C159,dates!$I$1,dates!$C$4),2,2)"),1171.75)</f>
        <v>1171.75</v>
      </c>
      <c r="G159" s="10">
        <f>IFERROR(__xludf.DUMMYFUNCTION("INDEX(GOOGLEFINANCE(""NSE:""&amp;C159,dates!$I$1,dates!$C$5),2,2)"),1196.85)</f>
        <v>1196.85</v>
      </c>
      <c r="H159" s="10">
        <f>IFERROR(__xludf.DUMMYFUNCTION("INDEX(GOOGLEFINANCE(""NSE:""&amp;C159,dates!$I$1,dates!$C$6),2,2)"),1159.85)</f>
        <v>1159.85</v>
      </c>
      <c r="I159" s="16">
        <f t="shared" si="1"/>
        <v>0.0006400682739</v>
      </c>
      <c r="J159" s="16">
        <f t="shared" si="2"/>
        <v>-0.02034507248</v>
      </c>
      <c r="K159" s="16">
        <f t="shared" si="3"/>
        <v>0.01090658275</v>
      </c>
      <c r="L159" s="16">
        <f t="shared" si="4"/>
        <v>0.02098514076</v>
      </c>
      <c r="M159" s="17" t="str">
        <f t="shared" si="5"/>
        <v>#N/A</v>
      </c>
      <c r="N159" s="17" t="str">
        <f t="shared" si="6"/>
        <v>#N/A</v>
      </c>
      <c r="O159" s="17">
        <f t="shared" si="7"/>
        <v>193</v>
      </c>
      <c r="P159" s="17" t="str">
        <f t="shared" si="8"/>
        <v>#N/A</v>
      </c>
    </row>
    <row r="160">
      <c r="A160" s="7">
        <v>159.0</v>
      </c>
      <c r="B160" s="18" t="s">
        <v>328</v>
      </c>
      <c r="C160" s="9" t="s">
        <v>329</v>
      </c>
      <c r="D160" s="9">
        <f>IFERROR(__xludf.DUMMYFUNCTION("GOOGLEFINANCE(""NSE:""&amp;C160)"),2430.0)</f>
        <v>2430</v>
      </c>
      <c r="E160" s="10" t="str">
        <f>IFERROR(__xludf.DUMMYFUNCTION("INDEX(GOOGLEFINANCE(""NSE:""&amp;B160,dates!$I$1,dates!$C$3),2,2)"),"#N/A")</f>
        <v>#N/A</v>
      </c>
      <c r="F160" s="10">
        <f>IFERROR(__xludf.DUMMYFUNCTION("INDEX(GOOGLEFINANCE(""NSE:""&amp;C160,dates!$I$1,dates!$C$4),2,2)"),2499.3)</f>
        <v>2499.3</v>
      </c>
      <c r="G160" s="10">
        <f>IFERROR(__xludf.DUMMYFUNCTION("INDEX(GOOGLEFINANCE(""NSE:""&amp;C160,dates!$I$1,dates!$C$5),2,2)"),2530.95)</f>
        <v>2530.95</v>
      </c>
      <c r="H160" s="10">
        <f>IFERROR(__xludf.DUMMYFUNCTION("INDEX(GOOGLEFINANCE(""NSE:""&amp;C160,dates!$I$1,dates!$C$6),2,2)"),2590.9)</f>
        <v>2590.9</v>
      </c>
      <c r="I160" s="16">
        <f t="shared" si="1"/>
        <v>-0.02772776377</v>
      </c>
      <c r="J160" s="16">
        <f t="shared" si="2"/>
        <v>-0.03988620874</v>
      </c>
      <c r="K160" s="16">
        <f t="shared" si="3"/>
        <v>-0.06210197229</v>
      </c>
      <c r="L160" s="16">
        <f t="shared" si="4"/>
        <v>0.01215844496</v>
      </c>
      <c r="M160" s="17" t="str">
        <f t="shared" si="5"/>
        <v>#N/A</v>
      </c>
      <c r="N160" s="17" t="str">
        <f t="shared" si="6"/>
        <v>#N/A</v>
      </c>
      <c r="O160" s="17">
        <f t="shared" si="7"/>
        <v>237</v>
      </c>
      <c r="P160" s="17" t="str">
        <f t="shared" si="8"/>
        <v>#N/A</v>
      </c>
    </row>
    <row r="161">
      <c r="A161" s="7">
        <v>160.0</v>
      </c>
      <c r="B161" s="18" t="s">
        <v>330</v>
      </c>
      <c r="C161" s="9" t="s">
        <v>331</v>
      </c>
      <c r="D161" s="9">
        <f>IFERROR(__xludf.DUMMYFUNCTION("GOOGLEFINANCE(""NSE:""&amp;C161)"),160.6)</f>
        <v>160.6</v>
      </c>
      <c r="E161" s="10" t="str">
        <f>IFERROR(__xludf.DUMMYFUNCTION("INDEX(GOOGLEFINANCE(""NSE:""&amp;B161,dates!$I$1,dates!$C$3),2,2)"),"#N/A")</f>
        <v>#N/A</v>
      </c>
      <c r="F161" s="10">
        <f>IFERROR(__xludf.DUMMYFUNCTION("INDEX(GOOGLEFINANCE(""NSE:""&amp;C161,dates!$I$1,dates!$C$4),2,2)"),162.75)</f>
        <v>162.75</v>
      </c>
      <c r="G161" s="10">
        <f>IFERROR(__xludf.DUMMYFUNCTION("INDEX(GOOGLEFINANCE(""NSE:""&amp;C161,dates!$I$1,dates!$C$5),2,2)"),156.8)</f>
        <v>156.8</v>
      </c>
      <c r="H161" s="10">
        <f>IFERROR(__xludf.DUMMYFUNCTION("INDEX(GOOGLEFINANCE(""NSE:""&amp;C161,dates!$I$1,dates!$C$6),2,2)"),151.6)</f>
        <v>151.6</v>
      </c>
      <c r="I161" s="16">
        <f t="shared" si="1"/>
        <v>-0.01321044547</v>
      </c>
      <c r="J161" s="16">
        <f t="shared" si="2"/>
        <v>0.02423469388</v>
      </c>
      <c r="K161" s="16">
        <f t="shared" si="3"/>
        <v>0.05936675462</v>
      </c>
      <c r="L161" s="16">
        <f t="shared" si="4"/>
        <v>-0.03744513935</v>
      </c>
      <c r="M161" s="17" t="str">
        <f t="shared" si="5"/>
        <v>#N/A</v>
      </c>
      <c r="N161" s="17" t="str">
        <f t="shared" si="6"/>
        <v>#N/A</v>
      </c>
      <c r="O161" s="17">
        <f t="shared" si="7"/>
        <v>122</v>
      </c>
      <c r="P161" s="17" t="str">
        <f t="shared" si="8"/>
        <v>#N/A</v>
      </c>
    </row>
    <row r="162">
      <c r="A162" s="7">
        <v>161.0</v>
      </c>
      <c r="B162" s="18" t="s">
        <v>332</v>
      </c>
      <c r="C162" s="9" t="s">
        <v>333</v>
      </c>
      <c r="D162" s="9">
        <f>IFERROR(__xludf.DUMMYFUNCTION("GOOGLEFINANCE(""NSE:""&amp;C162)"),1029.95)</f>
        <v>1029.95</v>
      </c>
      <c r="E162" s="10" t="str">
        <f>IFERROR(__xludf.DUMMYFUNCTION("INDEX(GOOGLEFINANCE(""NSE:""&amp;B162,dates!$I$1,dates!$C$3),2,2)"),"#N/A")</f>
        <v>#N/A</v>
      </c>
      <c r="F162" s="10">
        <f>IFERROR(__xludf.DUMMYFUNCTION("INDEX(GOOGLEFINANCE(""NSE:""&amp;C162,dates!$I$1,dates!$C$4),2,2)"),1007.7)</f>
        <v>1007.7</v>
      </c>
      <c r="G162" s="10">
        <f>IFERROR(__xludf.DUMMYFUNCTION("INDEX(GOOGLEFINANCE(""NSE:""&amp;C162,dates!$I$1,dates!$C$5),2,2)"),1044.15)</f>
        <v>1044.15</v>
      </c>
      <c r="H162" s="10">
        <f>IFERROR(__xludf.DUMMYFUNCTION("INDEX(GOOGLEFINANCE(""NSE:""&amp;C162,dates!$I$1,dates!$C$6),2,2)"),980.0)</f>
        <v>980</v>
      </c>
      <c r="I162" s="16">
        <f t="shared" si="1"/>
        <v>0.02207998412</v>
      </c>
      <c r="J162" s="16">
        <f t="shared" si="2"/>
        <v>-0.0135995786</v>
      </c>
      <c r="K162" s="16">
        <f t="shared" si="3"/>
        <v>0.05096938776</v>
      </c>
      <c r="L162" s="16">
        <f t="shared" si="4"/>
        <v>0.03567956273</v>
      </c>
      <c r="M162" s="17" t="str">
        <f t="shared" si="5"/>
        <v>#N/A</v>
      </c>
      <c r="N162" s="17" t="str">
        <f t="shared" si="6"/>
        <v>#N/A</v>
      </c>
      <c r="O162" s="17">
        <f t="shared" si="7"/>
        <v>133</v>
      </c>
      <c r="P162" s="17" t="str">
        <f t="shared" si="8"/>
        <v>#N/A</v>
      </c>
    </row>
    <row r="163">
      <c r="A163" s="7">
        <v>162.0</v>
      </c>
      <c r="B163" s="18" t="s">
        <v>334</v>
      </c>
      <c r="C163" s="9" t="s">
        <v>335</v>
      </c>
      <c r="D163" s="9">
        <f>IFERROR(__xludf.DUMMYFUNCTION("GOOGLEFINANCE(""NSE:""&amp;C163)"),163.9)</f>
        <v>163.9</v>
      </c>
      <c r="E163" s="10" t="str">
        <f>IFERROR(__xludf.DUMMYFUNCTION("INDEX(GOOGLEFINANCE(""NSE:""&amp;B163,dates!$I$1,dates!$C$3),2,2)"),"#N/A")</f>
        <v>#N/A</v>
      </c>
      <c r="F163" s="10">
        <f>IFERROR(__xludf.DUMMYFUNCTION("INDEX(GOOGLEFINANCE(""NSE:""&amp;C163,dates!$I$1,dates!$C$4),2,2)"),175.95)</f>
        <v>175.95</v>
      </c>
      <c r="G163" s="10">
        <f>IFERROR(__xludf.DUMMYFUNCTION("INDEX(GOOGLEFINANCE(""NSE:""&amp;C163,dates!$I$1,dates!$C$5),2,2)"),168.0)</f>
        <v>168</v>
      </c>
      <c r="H163" s="10">
        <f>IFERROR(__xludf.DUMMYFUNCTION("INDEX(GOOGLEFINANCE(""NSE:""&amp;C163,dates!$I$1,dates!$C$6),2,2)"),169.2)</f>
        <v>169.2</v>
      </c>
      <c r="I163" s="16">
        <f t="shared" si="1"/>
        <v>-0.06848536516</v>
      </c>
      <c r="J163" s="16">
        <f t="shared" si="2"/>
        <v>-0.0244047619</v>
      </c>
      <c r="K163" s="16">
        <f t="shared" si="3"/>
        <v>-0.03132387707</v>
      </c>
      <c r="L163" s="16">
        <f t="shared" si="4"/>
        <v>-0.04408060326</v>
      </c>
      <c r="M163" s="17" t="str">
        <f t="shared" si="5"/>
        <v>#N/A</v>
      </c>
      <c r="N163" s="17" t="str">
        <f t="shared" si="6"/>
        <v>#N/A</v>
      </c>
      <c r="O163" s="17">
        <f t="shared" si="7"/>
        <v>229</v>
      </c>
      <c r="P163" s="17" t="str">
        <f t="shared" si="8"/>
        <v>#N/A</v>
      </c>
    </row>
    <row r="164">
      <c r="A164" s="7">
        <v>163.0</v>
      </c>
      <c r="B164" s="18" t="s">
        <v>336</v>
      </c>
      <c r="C164" s="9" t="s">
        <v>337</v>
      </c>
      <c r="D164" s="9">
        <f>IFERROR(__xludf.DUMMYFUNCTION("GOOGLEFINANCE(""NSE:""&amp;C164)"),13.0)</f>
        <v>13</v>
      </c>
      <c r="E164" s="10" t="str">
        <f>IFERROR(__xludf.DUMMYFUNCTION("INDEX(GOOGLEFINANCE(""NSE:""&amp;B164,dates!$I$1,dates!$C$3),2,2)"),"#N/A")</f>
        <v>#N/A</v>
      </c>
      <c r="F164" s="10">
        <f>IFERROR(__xludf.DUMMYFUNCTION("INDEX(GOOGLEFINANCE(""NSE:""&amp;C164,dates!$I$1,dates!$C$4),2,2)"),13.25)</f>
        <v>13.25</v>
      </c>
      <c r="G164" s="10">
        <f>IFERROR(__xludf.DUMMYFUNCTION("INDEX(GOOGLEFINANCE(""NSE:""&amp;C164,dates!$I$1,dates!$C$5),2,2)"),11.1)</f>
        <v>11.1</v>
      </c>
      <c r="H164" s="10">
        <f>IFERROR(__xludf.DUMMYFUNCTION("INDEX(GOOGLEFINANCE(""NSE:""&amp;C164,dates!$I$1,dates!$C$6),2,2)"),11.05)</f>
        <v>11.05</v>
      </c>
      <c r="I164" s="16">
        <f t="shared" si="1"/>
        <v>-0.01886792453</v>
      </c>
      <c r="J164" s="16">
        <f t="shared" si="2"/>
        <v>0.1711711712</v>
      </c>
      <c r="K164" s="16">
        <f t="shared" si="3"/>
        <v>0.1764705882</v>
      </c>
      <c r="L164" s="16">
        <f t="shared" si="4"/>
        <v>-0.1900390957</v>
      </c>
      <c r="M164" s="17" t="str">
        <f t="shared" si="5"/>
        <v>#N/A</v>
      </c>
      <c r="N164" s="17" t="str">
        <f t="shared" si="6"/>
        <v>#N/A</v>
      </c>
      <c r="O164" s="17">
        <f t="shared" si="7"/>
        <v>33</v>
      </c>
      <c r="P164" s="17" t="str">
        <f t="shared" si="8"/>
        <v>#N/A</v>
      </c>
    </row>
    <row r="165">
      <c r="A165" s="7">
        <v>164.0</v>
      </c>
      <c r="B165" s="18" t="s">
        <v>338</v>
      </c>
      <c r="C165" s="9" t="s">
        <v>339</v>
      </c>
      <c r="D165" s="9">
        <f>IFERROR(__xludf.DUMMYFUNCTION("GOOGLEFINANCE(""NSE:""&amp;C165)"),2250.0)</f>
        <v>2250</v>
      </c>
      <c r="E165" s="10" t="str">
        <f>IFERROR(__xludf.DUMMYFUNCTION("INDEX(GOOGLEFINANCE(""NSE:""&amp;B165,dates!$I$1,dates!$C$3),2,2)"),"#N/A")</f>
        <v>#N/A</v>
      </c>
      <c r="F165" s="10">
        <f>IFERROR(__xludf.DUMMYFUNCTION("INDEX(GOOGLEFINANCE(""NSE:""&amp;C165,dates!$I$1,dates!$C$4),2,2)"),2248.65)</f>
        <v>2248.65</v>
      </c>
      <c r="G165" s="10">
        <f>IFERROR(__xludf.DUMMYFUNCTION("INDEX(GOOGLEFINANCE(""NSE:""&amp;C165,dates!$I$1,dates!$C$5),2,2)"),2140.25)</f>
        <v>2140.25</v>
      </c>
      <c r="H165" s="10">
        <f>IFERROR(__xludf.DUMMYFUNCTION("INDEX(GOOGLEFINANCE(""NSE:""&amp;C165,dates!$I$1,dates!$C$6),2,2)"),2090.0)</f>
        <v>2090</v>
      </c>
      <c r="I165" s="16">
        <f t="shared" si="1"/>
        <v>0.0006003602161</v>
      </c>
      <c r="J165" s="16">
        <f t="shared" si="2"/>
        <v>0.05127905619</v>
      </c>
      <c r="K165" s="16">
        <f t="shared" si="3"/>
        <v>0.07655502392</v>
      </c>
      <c r="L165" s="16">
        <f t="shared" si="4"/>
        <v>-0.05067869597</v>
      </c>
      <c r="M165" s="17" t="str">
        <f t="shared" si="5"/>
        <v>#N/A</v>
      </c>
      <c r="N165" s="17" t="str">
        <f t="shared" si="6"/>
        <v>#N/A</v>
      </c>
      <c r="O165" s="17">
        <f t="shared" si="7"/>
        <v>97</v>
      </c>
      <c r="P165" s="17" t="str">
        <f t="shared" si="8"/>
        <v>#N/A</v>
      </c>
    </row>
    <row r="166">
      <c r="A166" s="7">
        <v>165.0</v>
      </c>
      <c r="B166" s="18" t="s">
        <v>340</v>
      </c>
      <c r="C166" s="9" t="s">
        <v>341</v>
      </c>
      <c r="D166" s="9">
        <f>IFERROR(__xludf.DUMMYFUNCTION("GOOGLEFINANCE(""NSE:""&amp;C166)"),9565.0)</f>
        <v>9565</v>
      </c>
      <c r="E166" s="10" t="str">
        <f>IFERROR(__xludf.DUMMYFUNCTION("INDEX(GOOGLEFINANCE(""NSE:""&amp;B166,dates!$I$1,dates!$C$3),2,2)"),"#N/A")</f>
        <v>#N/A</v>
      </c>
      <c r="F166" s="10">
        <f>IFERROR(__xludf.DUMMYFUNCTION("INDEX(GOOGLEFINANCE(""NSE:""&amp;C166,dates!$I$1,dates!$C$4),2,2)"),9643.55)</f>
        <v>9643.55</v>
      </c>
      <c r="G166" s="10">
        <f>IFERROR(__xludf.DUMMYFUNCTION("INDEX(GOOGLEFINANCE(""NSE:""&amp;C166,dates!$I$1,dates!$C$5),2,2)"),9558.95)</f>
        <v>9558.95</v>
      </c>
      <c r="H166" s="10">
        <f>IFERROR(__xludf.DUMMYFUNCTION("INDEX(GOOGLEFINANCE(""NSE:""&amp;C166,dates!$I$1,dates!$C$6),2,2)"),9007.65)</f>
        <v>9007.65</v>
      </c>
      <c r="I166" s="16">
        <f t="shared" si="1"/>
        <v>-0.008145340668</v>
      </c>
      <c r="J166" s="16">
        <f t="shared" si="2"/>
        <v>0.000632914703</v>
      </c>
      <c r="K166" s="16">
        <f t="shared" si="3"/>
        <v>0.06187518387</v>
      </c>
      <c r="L166" s="16">
        <f t="shared" si="4"/>
        <v>-0.008778255371</v>
      </c>
      <c r="M166" s="17" t="str">
        <f t="shared" si="5"/>
        <v>#N/A</v>
      </c>
      <c r="N166" s="17" t="str">
        <f t="shared" si="6"/>
        <v>#N/A</v>
      </c>
      <c r="O166" s="17">
        <f t="shared" si="7"/>
        <v>119</v>
      </c>
      <c r="P166" s="17" t="str">
        <f t="shared" si="8"/>
        <v>#N/A</v>
      </c>
    </row>
    <row r="167">
      <c r="A167" s="7">
        <v>166.0</v>
      </c>
      <c r="B167" s="18" t="s">
        <v>342</v>
      </c>
      <c r="C167" s="9" t="s">
        <v>343</v>
      </c>
      <c r="D167" s="9">
        <f>IFERROR(__xludf.DUMMYFUNCTION("GOOGLEFINANCE(""NSE:""&amp;C167)"),585.0)</f>
        <v>585</v>
      </c>
      <c r="E167" s="10" t="str">
        <f>IFERROR(__xludf.DUMMYFUNCTION("INDEX(GOOGLEFINANCE(""NSE:""&amp;B167,dates!$I$1,dates!$C$3),2,2)"),"#N/A")</f>
        <v>#N/A</v>
      </c>
      <c r="F167" s="10">
        <f>IFERROR(__xludf.DUMMYFUNCTION("INDEX(GOOGLEFINANCE(""NSE:""&amp;C167,dates!$I$1,dates!$C$4),2,2)"),580.4)</f>
        <v>580.4</v>
      </c>
      <c r="G167" s="10">
        <f>IFERROR(__xludf.DUMMYFUNCTION("INDEX(GOOGLEFINANCE(""NSE:""&amp;C167,dates!$I$1,dates!$C$5),2,2)"),591.05)</f>
        <v>591.05</v>
      </c>
      <c r="H167" s="10">
        <f>IFERROR(__xludf.DUMMYFUNCTION("INDEX(GOOGLEFINANCE(""NSE:""&amp;C167,dates!$I$1,dates!$C$6),2,2)"),596.55)</f>
        <v>596.55</v>
      </c>
      <c r="I167" s="16">
        <f t="shared" si="1"/>
        <v>0.007925568573</v>
      </c>
      <c r="J167" s="16">
        <f t="shared" si="2"/>
        <v>-0.01023602064</v>
      </c>
      <c r="K167" s="16">
        <f t="shared" si="3"/>
        <v>-0.01936132763</v>
      </c>
      <c r="L167" s="16">
        <f t="shared" si="4"/>
        <v>0.01816158921</v>
      </c>
      <c r="M167" s="17" t="str">
        <f t="shared" si="5"/>
        <v>#N/A</v>
      </c>
      <c r="N167" s="17" t="str">
        <f t="shared" si="6"/>
        <v>#N/A</v>
      </c>
      <c r="O167" s="17">
        <f t="shared" si="7"/>
        <v>223</v>
      </c>
      <c r="P167" s="17" t="str">
        <f t="shared" si="8"/>
        <v>#N/A</v>
      </c>
    </row>
    <row r="168">
      <c r="A168" s="7">
        <v>167.0</v>
      </c>
      <c r="B168" s="18" t="s">
        <v>344</v>
      </c>
      <c r="C168" s="9" t="s">
        <v>345</v>
      </c>
      <c r="D168" s="9">
        <f>IFERROR(__xludf.DUMMYFUNCTION("GOOGLEFINANCE(""NSE:""&amp;C168)"),48.5)</f>
        <v>48.5</v>
      </c>
      <c r="E168" s="10" t="str">
        <f>IFERROR(__xludf.DUMMYFUNCTION("INDEX(GOOGLEFINANCE(""NSE:""&amp;B168,dates!$I$1,dates!$C$3),2,2)"),"#N/A")</f>
        <v>#N/A</v>
      </c>
      <c r="F168" s="10">
        <f>IFERROR(__xludf.DUMMYFUNCTION("INDEX(GOOGLEFINANCE(""NSE:""&amp;C168,dates!$I$1,dates!$C$4),2,2)"),49.15)</f>
        <v>49.15</v>
      </c>
      <c r="G168" s="10">
        <f>IFERROR(__xludf.DUMMYFUNCTION("INDEX(GOOGLEFINANCE(""NSE:""&amp;C168,dates!$I$1,dates!$C$5),2,2)"),46.85)</f>
        <v>46.85</v>
      </c>
      <c r="H168" s="10">
        <f>IFERROR(__xludf.DUMMYFUNCTION("INDEX(GOOGLEFINANCE(""NSE:""&amp;C168,dates!$I$1,dates!$C$6),2,2)"),42.5)</f>
        <v>42.5</v>
      </c>
      <c r="I168" s="16">
        <f t="shared" si="1"/>
        <v>-0.01322482197</v>
      </c>
      <c r="J168" s="16">
        <f t="shared" si="2"/>
        <v>0.03521878335</v>
      </c>
      <c r="K168" s="16">
        <f t="shared" si="3"/>
        <v>0.1411764706</v>
      </c>
      <c r="L168" s="16">
        <f t="shared" si="4"/>
        <v>-0.04844360532</v>
      </c>
      <c r="M168" s="17" t="str">
        <f t="shared" si="5"/>
        <v>#N/A</v>
      </c>
      <c r="N168" s="17" t="str">
        <f t="shared" si="6"/>
        <v>#N/A</v>
      </c>
      <c r="O168" s="17">
        <f t="shared" si="7"/>
        <v>49</v>
      </c>
      <c r="P168" s="17" t="str">
        <f t="shared" si="8"/>
        <v>#N/A</v>
      </c>
    </row>
    <row r="169">
      <c r="A169" s="7">
        <v>168.0</v>
      </c>
      <c r="B169" s="18" t="s">
        <v>346</v>
      </c>
      <c r="C169" s="9" t="s">
        <v>347</v>
      </c>
      <c r="D169" s="9">
        <f>IFERROR(__xludf.DUMMYFUNCTION("GOOGLEFINANCE(""NSE:""&amp;C169)"),27.75)</f>
        <v>27.75</v>
      </c>
      <c r="E169" s="10" t="str">
        <f>IFERROR(__xludf.DUMMYFUNCTION("INDEX(GOOGLEFINANCE(""NSE:""&amp;B169,dates!$I$1,dates!$C$3),2,2)"),"#N/A")</f>
        <v>#N/A</v>
      </c>
      <c r="F169" s="10">
        <f>IFERROR(__xludf.DUMMYFUNCTION("INDEX(GOOGLEFINANCE(""NSE:""&amp;C169,dates!$I$1,dates!$C$4),2,2)"),27.7)</f>
        <v>27.7</v>
      </c>
      <c r="G169" s="10">
        <f>IFERROR(__xludf.DUMMYFUNCTION("INDEX(GOOGLEFINANCE(""NSE:""&amp;C169,dates!$I$1,dates!$C$5),2,2)"),27.6)</f>
        <v>27.6</v>
      </c>
      <c r="H169" s="10">
        <f>IFERROR(__xludf.DUMMYFUNCTION("INDEX(GOOGLEFINANCE(""NSE:""&amp;C169,dates!$I$1,dates!$C$6),2,2)"),26.5)</f>
        <v>26.5</v>
      </c>
      <c r="I169" s="16">
        <f t="shared" si="1"/>
        <v>0.001805054152</v>
      </c>
      <c r="J169" s="16">
        <f t="shared" si="2"/>
        <v>0.005434782609</v>
      </c>
      <c r="K169" s="16">
        <f t="shared" si="3"/>
        <v>0.04716981132</v>
      </c>
      <c r="L169" s="16">
        <f t="shared" si="4"/>
        <v>-0.003629728457</v>
      </c>
      <c r="M169" s="17" t="str">
        <f t="shared" si="5"/>
        <v>#N/A</v>
      </c>
      <c r="N169" s="17" t="str">
        <f t="shared" si="6"/>
        <v>#N/A</v>
      </c>
      <c r="O169" s="17">
        <f t="shared" si="7"/>
        <v>139</v>
      </c>
      <c r="P169" s="17" t="str">
        <f t="shared" si="8"/>
        <v>#N/A</v>
      </c>
    </row>
    <row r="170">
      <c r="A170" s="7">
        <v>169.0</v>
      </c>
      <c r="B170" s="18" t="s">
        <v>348</v>
      </c>
      <c r="C170" s="9" t="s">
        <v>349</v>
      </c>
      <c r="D170" s="9">
        <f>IFERROR(__xludf.DUMMYFUNCTION("GOOGLEFINANCE(""NSE:""&amp;C170)"),113.0)</f>
        <v>113</v>
      </c>
      <c r="E170" s="10" t="str">
        <f>IFERROR(__xludf.DUMMYFUNCTION("INDEX(GOOGLEFINANCE(""NSE:""&amp;B170,dates!$I$1,dates!$C$3),2,2)"),"#N/A")</f>
        <v>#N/A</v>
      </c>
      <c r="F170" s="10">
        <f>IFERROR(__xludf.DUMMYFUNCTION("INDEX(GOOGLEFINANCE(""NSE:""&amp;C170,dates!$I$1,dates!$C$4),2,2)"),109.4)</f>
        <v>109.4</v>
      </c>
      <c r="G170" s="10">
        <f>IFERROR(__xludf.DUMMYFUNCTION("INDEX(GOOGLEFINANCE(""NSE:""&amp;C170,dates!$I$1,dates!$C$5),2,2)"),113.15)</f>
        <v>113.15</v>
      </c>
      <c r="H170" s="10">
        <f>IFERROR(__xludf.DUMMYFUNCTION("INDEX(GOOGLEFINANCE(""NSE:""&amp;C170,dates!$I$1,dates!$C$6),2,2)"),107.95)</f>
        <v>107.95</v>
      </c>
      <c r="I170" s="16">
        <f t="shared" si="1"/>
        <v>0.03290676417</v>
      </c>
      <c r="J170" s="16">
        <f t="shared" si="2"/>
        <v>-0.001325673884</v>
      </c>
      <c r="K170" s="16">
        <f t="shared" si="3"/>
        <v>0.04678091709</v>
      </c>
      <c r="L170" s="16">
        <f t="shared" si="4"/>
        <v>0.03423243805</v>
      </c>
      <c r="M170" s="17" t="str">
        <f t="shared" si="5"/>
        <v>#N/A</v>
      </c>
      <c r="N170" s="17" t="str">
        <f t="shared" si="6"/>
        <v>#N/A</v>
      </c>
      <c r="O170" s="17">
        <f t="shared" si="7"/>
        <v>140</v>
      </c>
      <c r="P170" s="17" t="str">
        <f t="shared" si="8"/>
        <v>#N/A</v>
      </c>
    </row>
    <row r="171">
      <c r="A171" s="7">
        <v>170.0</v>
      </c>
      <c r="B171" s="18" t="s">
        <v>350</v>
      </c>
      <c r="C171" s="9" t="s">
        <v>351</v>
      </c>
      <c r="D171" s="9">
        <f>IFERROR(__xludf.DUMMYFUNCTION("GOOGLEFINANCE(""NSE:""&amp;C171)"),143.2)</f>
        <v>143.2</v>
      </c>
      <c r="E171" s="10" t="str">
        <f>IFERROR(__xludf.DUMMYFUNCTION("INDEX(GOOGLEFINANCE(""NSE:""&amp;B171,dates!$I$1,dates!$C$3),2,2)"),"#N/A")</f>
        <v>#N/A</v>
      </c>
      <c r="F171" s="10">
        <f>IFERROR(__xludf.DUMMYFUNCTION("INDEX(GOOGLEFINANCE(""NSE:""&amp;C171,dates!$I$1,dates!$C$4),2,2)"),147.8)</f>
        <v>147.8</v>
      </c>
      <c r="G171" s="10">
        <f>IFERROR(__xludf.DUMMYFUNCTION("INDEX(GOOGLEFINANCE(""NSE:""&amp;C171,dates!$I$1,dates!$C$5),2,2)"),144.15)</f>
        <v>144.15</v>
      </c>
      <c r="H171" s="10">
        <f>IFERROR(__xludf.DUMMYFUNCTION("INDEX(GOOGLEFINANCE(""NSE:""&amp;C171,dates!$I$1,dates!$C$6),2,2)"),154.85)</f>
        <v>154.85</v>
      </c>
      <c r="I171" s="16">
        <f t="shared" si="1"/>
        <v>-0.03112313938</v>
      </c>
      <c r="J171" s="16">
        <f t="shared" si="2"/>
        <v>-0.006590357267</v>
      </c>
      <c r="K171" s="16">
        <f t="shared" si="3"/>
        <v>-0.07523409751</v>
      </c>
      <c r="L171" s="16">
        <f t="shared" si="4"/>
        <v>-0.02453278211</v>
      </c>
      <c r="M171" s="17" t="str">
        <f t="shared" si="5"/>
        <v>#N/A</v>
      </c>
      <c r="N171" s="17" t="str">
        <f t="shared" si="6"/>
        <v>#N/A</v>
      </c>
      <c r="O171" s="17">
        <f t="shared" si="7"/>
        <v>242</v>
      </c>
      <c r="P171" s="17" t="str">
        <f t="shared" si="8"/>
        <v>#N/A</v>
      </c>
    </row>
    <row r="172">
      <c r="A172" s="7">
        <v>171.0</v>
      </c>
      <c r="B172" s="18" t="s">
        <v>352</v>
      </c>
      <c r="C172" s="9" t="s">
        <v>353</v>
      </c>
      <c r="D172" s="9">
        <f>IFERROR(__xludf.DUMMYFUNCTION("GOOGLEFINANCE(""NSE:""&amp;C172)"),5825.0)</f>
        <v>5825</v>
      </c>
      <c r="E172" s="10" t="str">
        <f>IFERROR(__xludf.DUMMYFUNCTION("INDEX(GOOGLEFINANCE(""NSE:""&amp;B172,dates!$I$1,dates!$C$3),2,2)"),"#N/A")</f>
        <v>#N/A</v>
      </c>
      <c r="F172" s="10">
        <f>IFERROR(__xludf.DUMMYFUNCTION("INDEX(GOOGLEFINANCE(""NSE:""&amp;C172,dates!$I$1,dates!$C$4),2,2)"),5872.25)</f>
        <v>5872.25</v>
      </c>
      <c r="G172" s="10">
        <f>IFERROR(__xludf.DUMMYFUNCTION("INDEX(GOOGLEFINANCE(""NSE:""&amp;C172,dates!$I$1,dates!$C$5),2,2)"),6091.6)</f>
        <v>6091.6</v>
      </c>
      <c r="H172" s="10">
        <f>IFERROR(__xludf.DUMMYFUNCTION("INDEX(GOOGLEFINANCE(""NSE:""&amp;C172,dates!$I$1,dates!$C$6),2,2)"),5692.65)</f>
        <v>5692.65</v>
      </c>
      <c r="I172" s="16">
        <f t="shared" si="1"/>
        <v>-0.008046319554</v>
      </c>
      <c r="J172" s="16">
        <f t="shared" si="2"/>
        <v>-0.04376518484</v>
      </c>
      <c r="K172" s="16">
        <f t="shared" si="3"/>
        <v>0.02324927758</v>
      </c>
      <c r="L172" s="16">
        <f t="shared" si="4"/>
        <v>0.03571886529</v>
      </c>
      <c r="M172" s="17" t="str">
        <f t="shared" si="5"/>
        <v>#N/A</v>
      </c>
      <c r="N172" s="17" t="str">
        <f t="shared" si="6"/>
        <v>#N/A</v>
      </c>
      <c r="O172" s="17">
        <f t="shared" si="7"/>
        <v>176</v>
      </c>
      <c r="P172" s="17" t="str">
        <f t="shared" si="8"/>
        <v>#N/A</v>
      </c>
    </row>
    <row r="173">
      <c r="A173" s="7">
        <v>172.0</v>
      </c>
      <c r="B173" s="18" t="s">
        <v>354</v>
      </c>
      <c r="C173" s="9" t="s">
        <v>355</v>
      </c>
      <c r="D173" s="9">
        <f>IFERROR(__xludf.DUMMYFUNCTION("GOOGLEFINANCE(""NSE:""&amp;C173)"),442.7)</f>
        <v>442.7</v>
      </c>
      <c r="E173" s="10" t="str">
        <f>IFERROR(__xludf.DUMMYFUNCTION("INDEX(GOOGLEFINANCE(""NSE:""&amp;B173,dates!$I$1,dates!$C$3),2,2)"),"#N/A")</f>
        <v>#N/A</v>
      </c>
      <c r="F173" s="10">
        <f>IFERROR(__xludf.DUMMYFUNCTION("INDEX(GOOGLEFINANCE(""NSE:""&amp;C173,dates!$I$1,dates!$C$4),2,2)"),439.6)</f>
        <v>439.6</v>
      </c>
      <c r="G173" s="10">
        <f>IFERROR(__xludf.DUMMYFUNCTION("INDEX(GOOGLEFINANCE(""NSE:""&amp;C173,dates!$I$1,dates!$C$5),2,2)"),436.8)</f>
        <v>436.8</v>
      </c>
      <c r="H173" s="10">
        <f>IFERROR(__xludf.DUMMYFUNCTION("INDEX(GOOGLEFINANCE(""NSE:""&amp;C173,dates!$I$1,dates!$C$6),2,2)"),410.1)</f>
        <v>410.1</v>
      </c>
      <c r="I173" s="16">
        <f t="shared" si="1"/>
        <v>0.007051865332</v>
      </c>
      <c r="J173" s="16">
        <f t="shared" si="2"/>
        <v>0.01350732601</v>
      </c>
      <c r="K173" s="16">
        <f t="shared" si="3"/>
        <v>0.07949280663</v>
      </c>
      <c r="L173" s="16">
        <f t="shared" si="4"/>
        <v>-0.006455460675</v>
      </c>
      <c r="M173" s="17" t="str">
        <f t="shared" si="5"/>
        <v>#N/A</v>
      </c>
      <c r="N173" s="17" t="str">
        <f t="shared" si="6"/>
        <v>#N/A</v>
      </c>
      <c r="O173" s="17">
        <f t="shared" si="7"/>
        <v>94</v>
      </c>
      <c r="P173" s="17" t="str">
        <f t="shared" si="8"/>
        <v>#N/A</v>
      </c>
    </row>
    <row r="174">
      <c r="A174" s="7">
        <v>173.0</v>
      </c>
      <c r="B174" s="18" t="s">
        <v>356</v>
      </c>
      <c r="C174" s="9" t="s">
        <v>357</v>
      </c>
      <c r="D174" s="9">
        <f>IFERROR(__xludf.DUMMYFUNCTION("GOOGLEFINANCE(""NSE:""&amp;C174)"),25000.0)</f>
        <v>25000</v>
      </c>
      <c r="E174" s="10" t="str">
        <f>IFERROR(__xludf.DUMMYFUNCTION("INDEX(GOOGLEFINANCE(""NSE:""&amp;B174,dates!$I$1,dates!$C$3),2,2)"),"#N/A")</f>
        <v>#N/A</v>
      </c>
      <c r="F174" s="10">
        <f>IFERROR(__xludf.DUMMYFUNCTION("INDEX(GOOGLEFINANCE(""NSE:""&amp;C174,dates!$I$1,dates!$C$4),2,2)"),25235.9)</f>
        <v>25235.9</v>
      </c>
      <c r="G174" s="10">
        <f>IFERROR(__xludf.DUMMYFUNCTION("INDEX(GOOGLEFINANCE(""NSE:""&amp;C174,dates!$I$1,dates!$C$5),2,2)"),25150.9)</f>
        <v>25150.9</v>
      </c>
      <c r="H174" s="10">
        <f>IFERROR(__xludf.DUMMYFUNCTION("INDEX(GOOGLEFINANCE(""NSE:""&amp;C174,dates!$I$1,dates!$C$6),2,2)"),22643.35)</f>
        <v>22643.35</v>
      </c>
      <c r="I174" s="16">
        <f t="shared" si="1"/>
        <v>-0.009347794214</v>
      </c>
      <c r="J174" s="16">
        <f t="shared" si="2"/>
        <v>-0.005999785296</v>
      </c>
      <c r="K174" s="16">
        <f t="shared" si="3"/>
        <v>0.1040769144</v>
      </c>
      <c r="L174" s="16">
        <f t="shared" si="4"/>
        <v>-0.003348008918</v>
      </c>
      <c r="M174" s="17" t="str">
        <f t="shared" si="5"/>
        <v>#N/A</v>
      </c>
      <c r="N174" s="17" t="str">
        <f t="shared" si="6"/>
        <v>#N/A</v>
      </c>
      <c r="O174" s="17">
        <f t="shared" si="7"/>
        <v>74</v>
      </c>
      <c r="P174" s="17" t="str">
        <f t="shared" si="8"/>
        <v>#N/A</v>
      </c>
    </row>
    <row r="175">
      <c r="A175" s="7">
        <v>174.0</v>
      </c>
      <c r="B175" s="18" t="s">
        <v>358</v>
      </c>
      <c r="C175" s="9" t="s">
        <v>359</v>
      </c>
      <c r="D175" s="9">
        <f>IFERROR(__xludf.DUMMYFUNCTION("GOOGLEFINANCE(""NSE:""&amp;C175)"),1510.0)</f>
        <v>1510</v>
      </c>
      <c r="E175" s="10" t="str">
        <f>IFERROR(__xludf.DUMMYFUNCTION("INDEX(GOOGLEFINANCE(""NSE:""&amp;B175,dates!$I$1,dates!$C$3),2,2)"),"#N/A")</f>
        <v>#N/A</v>
      </c>
      <c r="F175" s="10">
        <f>IFERROR(__xludf.DUMMYFUNCTION("INDEX(GOOGLEFINANCE(""NSE:""&amp;C175,dates!$I$1,dates!$C$4),2,2)"),1538.95)</f>
        <v>1538.95</v>
      </c>
      <c r="G175" s="10">
        <f>IFERROR(__xludf.DUMMYFUNCTION("INDEX(GOOGLEFINANCE(""NSE:""&amp;C175,dates!$I$1,dates!$C$5),2,2)"),1538.6)</f>
        <v>1538.6</v>
      </c>
      <c r="H175" s="10">
        <f>IFERROR(__xludf.DUMMYFUNCTION("INDEX(GOOGLEFINANCE(""NSE:""&amp;C175,dates!$I$1,dates!$C$6),2,2)"),1515.65)</f>
        <v>1515.65</v>
      </c>
      <c r="I175" s="16">
        <f t="shared" si="1"/>
        <v>-0.01881152734</v>
      </c>
      <c r="J175" s="16">
        <f t="shared" si="2"/>
        <v>-0.01858832705</v>
      </c>
      <c r="K175" s="16">
        <f t="shared" si="3"/>
        <v>-0.003727773562</v>
      </c>
      <c r="L175" s="16">
        <f t="shared" si="4"/>
        <v>-0.0002232002895</v>
      </c>
      <c r="M175" s="17" t="str">
        <f t="shared" si="5"/>
        <v>#N/A</v>
      </c>
      <c r="N175" s="17" t="str">
        <f t="shared" si="6"/>
        <v>#N/A</v>
      </c>
      <c r="O175" s="17">
        <f t="shared" si="7"/>
        <v>210</v>
      </c>
      <c r="P175" s="17" t="str">
        <f t="shared" si="8"/>
        <v>#N/A</v>
      </c>
    </row>
    <row r="176">
      <c r="A176" s="7">
        <v>175.0</v>
      </c>
      <c r="B176" s="18" t="s">
        <v>360</v>
      </c>
      <c r="C176" s="9" t="s">
        <v>361</v>
      </c>
      <c r="D176" s="9">
        <f>IFERROR(__xludf.DUMMYFUNCTION("GOOGLEFINANCE(""NSE:""&amp;C176)"),2256.9)</f>
        <v>2256.9</v>
      </c>
      <c r="E176" s="10" t="str">
        <f>IFERROR(__xludf.DUMMYFUNCTION("INDEX(GOOGLEFINANCE(""NSE:""&amp;B176,dates!$I$1,dates!$C$3),2,2)"),"#N/A")</f>
        <v>#N/A</v>
      </c>
      <c r="F176" s="10">
        <f>IFERROR(__xludf.DUMMYFUNCTION("INDEX(GOOGLEFINANCE(""NSE:""&amp;C176,dates!$I$1,dates!$C$4),2,2)"),2246.9)</f>
        <v>2246.9</v>
      </c>
      <c r="G176" s="10">
        <f>IFERROR(__xludf.DUMMYFUNCTION("INDEX(GOOGLEFINANCE(""NSE:""&amp;C176,dates!$I$1,dates!$C$5),2,2)"),2293.95)</f>
        <v>2293.95</v>
      </c>
      <c r="H176" s="10">
        <f>IFERROR(__xludf.DUMMYFUNCTION("INDEX(GOOGLEFINANCE(""NSE:""&amp;C176,dates!$I$1,dates!$C$6),2,2)"),2009.3)</f>
        <v>2009.3</v>
      </c>
      <c r="I176" s="16">
        <f t="shared" si="1"/>
        <v>0.00445057635</v>
      </c>
      <c r="J176" s="16">
        <f t="shared" si="2"/>
        <v>-0.01615118028</v>
      </c>
      <c r="K176" s="16">
        <f t="shared" si="3"/>
        <v>0.1232269945</v>
      </c>
      <c r="L176" s="16">
        <f t="shared" si="4"/>
        <v>0.02060175663</v>
      </c>
      <c r="M176" s="17" t="str">
        <f t="shared" si="5"/>
        <v>#N/A</v>
      </c>
      <c r="N176" s="17" t="str">
        <f t="shared" si="6"/>
        <v>#N/A</v>
      </c>
      <c r="O176" s="17">
        <f t="shared" si="7"/>
        <v>58</v>
      </c>
      <c r="P176" s="17" t="str">
        <f t="shared" si="8"/>
        <v>#N/A</v>
      </c>
    </row>
    <row r="177">
      <c r="A177" s="7">
        <v>176.0</v>
      </c>
      <c r="B177" s="18" t="s">
        <v>362</v>
      </c>
      <c r="C177" s="9" t="s">
        <v>363</v>
      </c>
      <c r="D177" s="9">
        <f>IFERROR(__xludf.DUMMYFUNCTION("GOOGLEFINANCE(""NSE:""&amp;C177)"),3768.7)</f>
        <v>3768.7</v>
      </c>
      <c r="E177" s="10" t="str">
        <f>IFERROR(__xludf.DUMMYFUNCTION("INDEX(GOOGLEFINANCE(""NSE:""&amp;B177,dates!$I$1,dates!$C$3),2,2)"),"#N/A")</f>
        <v>#N/A</v>
      </c>
      <c r="F177" s="10">
        <f>IFERROR(__xludf.DUMMYFUNCTION("INDEX(GOOGLEFINANCE(""NSE:""&amp;C177,dates!$I$1,dates!$C$4),2,2)"),3538.0)</f>
        <v>3538</v>
      </c>
      <c r="G177" s="10">
        <f>IFERROR(__xludf.DUMMYFUNCTION("INDEX(GOOGLEFINANCE(""NSE:""&amp;C177,dates!$I$1,dates!$C$5),2,2)"),3587.7)</f>
        <v>3587.7</v>
      </c>
      <c r="H177" s="10">
        <f>IFERROR(__xludf.DUMMYFUNCTION("INDEX(GOOGLEFINANCE(""NSE:""&amp;C177,dates!$I$1,dates!$C$6),2,2)"),3253.5)</f>
        <v>3253.5</v>
      </c>
      <c r="I177" s="16">
        <f t="shared" si="1"/>
        <v>0.06520633126</v>
      </c>
      <c r="J177" s="16">
        <f t="shared" si="2"/>
        <v>0.05045014912</v>
      </c>
      <c r="K177" s="16">
        <f t="shared" si="3"/>
        <v>0.1583525434</v>
      </c>
      <c r="L177" s="16">
        <f t="shared" si="4"/>
        <v>0.01475618214</v>
      </c>
      <c r="M177" s="17" t="str">
        <f t="shared" si="5"/>
        <v>#N/A</v>
      </c>
      <c r="N177" s="17" t="str">
        <f t="shared" si="6"/>
        <v>#N/A</v>
      </c>
      <c r="O177" s="17">
        <f t="shared" si="7"/>
        <v>42</v>
      </c>
      <c r="P177" s="17" t="str">
        <f t="shared" si="8"/>
        <v>#N/A</v>
      </c>
    </row>
    <row r="178">
      <c r="A178" s="7">
        <v>177.0</v>
      </c>
      <c r="B178" s="18" t="s">
        <v>364</v>
      </c>
      <c r="C178" s="9" t="s">
        <v>365</v>
      </c>
      <c r="D178" s="9">
        <f>IFERROR(__xludf.DUMMYFUNCTION("GOOGLEFINANCE(""NSE:""&amp;C178)"),1496.0)</f>
        <v>1496</v>
      </c>
      <c r="E178" s="10" t="str">
        <f>IFERROR(__xludf.DUMMYFUNCTION("INDEX(GOOGLEFINANCE(""NSE:""&amp;B178,dates!$I$1,dates!$C$3),2,2)"),"#N/A")</f>
        <v>#N/A</v>
      </c>
      <c r="F178" s="10">
        <f>IFERROR(__xludf.DUMMYFUNCTION("INDEX(GOOGLEFINANCE(""NSE:""&amp;C178,dates!$I$1,dates!$C$4),2,2)"),1463.1)</f>
        <v>1463.1</v>
      </c>
      <c r="G178" s="10">
        <f>IFERROR(__xludf.DUMMYFUNCTION("INDEX(GOOGLEFINANCE(""NSE:""&amp;C178,dates!$I$1,dates!$C$5),2,2)"),1338.9)</f>
        <v>1338.9</v>
      </c>
      <c r="H178" s="10">
        <f>IFERROR(__xludf.DUMMYFUNCTION("INDEX(GOOGLEFINANCE(""NSE:""&amp;C178,dates!$I$1,dates!$C$6),2,2)"),1291.35)</f>
        <v>1291.35</v>
      </c>
      <c r="I178" s="16">
        <f t="shared" si="1"/>
        <v>0.02248650126</v>
      </c>
      <c r="J178" s="16">
        <f t="shared" si="2"/>
        <v>0.1173351258</v>
      </c>
      <c r="K178" s="16">
        <f t="shared" si="3"/>
        <v>0.1584775622</v>
      </c>
      <c r="L178" s="16">
        <f t="shared" si="4"/>
        <v>-0.09484862459</v>
      </c>
      <c r="M178" s="17" t="str">
        <f t="shared" si="5"/>
        <v>#N/A</v>
      </c>
      <c r="N178" s="17" t="str">
        <f t="shared" si="6"/>
        <v>#N/A</v>
      </c>
      <c r="O178" s="17">
        <f t="shared" si="7"/>
        <v>41</v>
      </c>
      <c r="P178" s="17" t="str">
        <f t="shared" si="8"/>
        <v>#N/A</v>
      </c>
    </row>
    <row r="179">
      <c r="A179" s="7">
        <v>178.0</v>
      </c>
      <c r="B179" s="18" t="s">
        <v>366</v>
      </c>
      <c r="C179" s="9" t="s">
        <v>367</v>
      </c>
      <c r="D179" s="9">
        <f>IFERROR(__xludf.DUMMYFUNCTION("GOOGLEFINANCE(""NSE:""&amp;C179)"),849.0)</f>
        <v>849</v>
      </c>
      <c r="E179" s="10" t="str">
        <f>IFERROR(__xludf.DUMMYFUNCTION("INDEX(GOOGLEFINANCE(""NSE:""&amp;B179,dates!$I$1,dates!$C$3),2,2)"),"#N/A")</f>
        <v>#N/A</v>
      </c>
      <c r="F179" s="10" t="str">
        <f>IFERROR(__xludf.DUMMYFUNCTION("INDEX(GOOGLEFINANCE(""NSE:""&amp;C179,dates!$I$1,dates!$C$4),2,2)"),"#N/A")</f>
        <v>#N/A</v>
      </c>
      <c r="G179" s="10">
        <f>IFERROR(__xludf.DUMMYFUNCTION("INDEX(GOOGLEFINANCE(""NSE:""&amp;C179,dates!$I$1,dates!$C$5),2,2)"),758.8)</f>
        <v>758.8</v>
      </c>
      <c r="H179" s="10">
        <f>IFERROR(__xludf.DUMMYFUNCTION("INDEX(GOOGLEFINANCE(""NSE:""&amp;C179,dates!$I$1,dates!$C$6),2,2)"),678.3)</f>
        <v>678.3</v>
      </c>
      <c r="I179" s="16" t="str">
        <f t="shared" si="1"/>
        <v>#N/A</v>
      </c>
      <c r="J179" s="16">
        <f t="shared" si="2"/>
        <v>0.118871903</v>
      </c>
      <c r="K179" s="16">
        <f t="shared" si="3"/>
        <v>0.2516585582</v>
      </c>
      <c r="L179" s="16" t="str">
        <f t="shared" si="4"/>
        <v>#N/A</v>
      </c>
      <c r="M179" s="17" t="str">
        <f t="shared" si="5"/>
        <v>#N/A</v>
      </c>
      <c r="N179" s="17" t="str">
        <f t="shared" si="6"/>
        <v>#N/A</v>
      </c>
      <c r="O179" s="17">
        <f t="shared" si="7"/>
        <v>14</v>
      </c>
      <c r="P179" s="17" t="str">
        <f t="shared" si="8"/>
        <v>#N/A</v>
      </c>
    </row>
    <row r="180">
      <c r="A180" s="7">
        <v>179.0</v>
      </c>
      <c r="B180" s="18" t="s">
        <v>368</v>
      </c>
      <c r="C180" s="9" t="s">
        <v>369</v>
      </c>
      <c r="D180" s="9">
        <f>IFERROR(__xludf.DUMMYFUNCTION("GOOGLEFINANCE(""NSE:""&amp;C180)"),659.05)</f>
        <v>659.05</v>
      </c>
      <c r="E180" s="10" t="str">
        <f>IFERROR(__xludf.DUMMYFUNCTION("INDEX(GOOGLEFINANCE(""NSE:""&amp;B180,dates!$I$1,dates!$C$3),2,2)"),"#N/A")</f>
        <v>#N/A</v>
      </c>
      <c r="F180" s="10">
        <f>IFERROR(__xludf.DUMMYFUNCTION("INDEX(GOOGLEFINANCE(""NSE:""&amp;C180,dates!$I$1,dates!$C$4),2,2)"),646.9)</f>
        <v>646.9</v>
      </c>
      <c r="G180" s="10">
        <f>IFERROR(__xludf.DUMMYFUNCTION("INDEX(GOOGLEFINANCE(""NSE:""&amp;C180,dates!$I$1,dates!$C$5),2,2)"),668.8)</f>
        <v>668.8</v>
      </c>
      <c r="H180" s="10">
        <f>IFERROR(__xludf.DUMMYFUNCTION("INDEX(GOOGLEFINANCE(""NSE:""&amp;C180,dates!$I$1,dates!$C$6),2,2)"),617.75)</f>
        <v>617.75</v>
      </c>
      <c r="I180" s="16">
        <f t="shared" si="1"/>
        <v>0.01878188283</v>
      </c>
      <c r="J180" s="16">
        <f t="shared" si="2"/>
        <v>-0.01457834928</v>
      </c>
      <c r="K180" s="16">
        <f t="shared" si="3"/>
        <v>0.06685552408</v>
      </c>
      <c r="L180" s="16">
        <f t="shared" si="4"/>
        <v>0.03336023211</v>
      </c>
      <c r="M180" s="17" t="str">
        <f t="shared" si="5"/>
        <v>#N/A</v>
      </c>
      <c r="N180" s="17" t="str">
        <f t="shared" si="6"/>
        <v>#N/A</v>
      </c>
      <c r="O180" s="17">
        <f t="shared" si="7"/>
        <v>108</v>
      </c>
      <c r="P180" s="17" t="str">
        <f t="shared" si="8"/>
        <v>#N/A</v>
      </c>
    </row>
    <row r="181">
      <c r="A181" s="7">
        <v>180.0</v>
      </c>
      <c r="B181" s="18" t="s">
        <v>370</v>
      </c>
      <c r="C181" s="9" t="s">
        <v>371</v>
      </c>
      <c r="D181" s="9">
        <f>IFERROR(__xludf.DUMMYFUNCTION("GOOGLEFINANCE(""NSE:""&amp;C181)"),54.65)</f>
        <v>54.65</v>
      </c>
      <c r="E181" s="10" t="str">
        <f>IFERROR(__xludf.DUMMYFUNCTION("INDEX(GOOGLEFINANCE(""NSE:""&amp;B181,dates!$I$1,dates!$C$3),2,2)"),"#N/A")</f>
        <v>#N/A</v>
      </c>
      <c r="F181" s="10">
        <f>IFERROR(__xludf.DUMMYFUNCTION("INDEX(GOOGLEFINANCE(""NSE:""&amp;C181,dates!$I$1,dates!$C$4),2,2)"),58.25)</f>
        <v>58.25</v>
      </c>
      <c r="G181" s="10">
        <f>IFERROR(__xludf.DUMMYFUNCTION("INDEX(GOOGLEFINANCE(""NSE:""&amp;C181,dates!$I$1,dates!$C$5),2,2)"),56.2)</f>
        <v>56.2</v>
      </c>
      <c r="H181" s="10">
        <f>IFERROR(__xludf.DUMMYFUNCTION("INDEX(GOOGLEFINANCE(""NSE:""&amp;C181,dates!$I$1,dates!$C$6),2,2)"),67.4)</f>
        <v>67.4</v>
      </c>
      <c r="I181" s="16">
        <f t="shared" si="1"/>
        <v>-0.06180257511</v>
      </c>
      <c r="J181" s="16">
        <f t="shared" si="2"/>
        <v>-0.02758007117</v>
      </c>
      <c r="K181" s="16">
        <f t="shared" si="3"/>
        <v>-0.1891691395</v>
      </c>
      <c r="L181" s="16">
        <f t="shared" si="4"/>
        <v>-0.03422250393</v>
      </c>
      <c r="M181" s="17" t="str">
        <f t="shared" si="5"/>
        <v>#N/A</v>
      </c>
      <c r="N181" s="17" t="str">
        <f t="shared" si="6"/>
        <v>#N/A</v>
      </c>
      <c r="O181" s="17">
        <f t="shared" si="7"/>
        <v>248</v>
      </c>
      <c r="P181" s="17" t="str">
        <f t="shared" si="8"/>
        <v>#N/A</v>
      </c>
    </row>
    <row r="182">
      <c r="A182" s="7">
        <v>181.0</v>
      </c>
      <c r="B182" s="18" t="s">
        <v>372</v>
      </c>
      <c r="C182" s="9" t="s">
        <v>373</v>
      </c>
      <c r="D182" s="9">
        <f>IFERROR(__xludf.DUMMYFUNCTION("GOOGLEFINANCE(""NSE:""&amp;C182)"),537.6)</f>
        <v>537.6</v>
      </c>
      <c r="E182" s="10" t="str">
        <f>IFERROR(__xludf.DUMMYFUNCTION("INDEX(GOOGLEFINANCE(""NSE:""&amp;B182,dates!$I$1,dates!$C$3),2,2)"),"#N/A")</f>
        <v>#N/A</v>
      </c>
      <c r="F182" s="10">
        <f>IFERROR(__xludf.DUMMYFUNCTION("INDEX(GOOGLEFINANCE(""NSE:""&amp;C182,dates!$I$1,dates!$C$4),2,2)"),547.1)</f>
        <v>547.1</v>
      </c>
      <c r="G182" s="10">
        <f>IFERROR(__xludf.DUMMYFUNCTION("INDEX(GOOGLEFINANCE(""NSE:""&amp;C182,dates!$I$1,dates!$C$5),2,2)"),545.65)</f>
        <v>545.65</v>
      </c>
      <c r="H182" s="10">
        <f>IFERROR(__xludf.DUMMYFUNCTION("INDEX(GOOGLEFINANCE(""NSE:""&amp;C182,dates!$I$1,dates!$C$6),2,2)"),511.1)</f>
        <v>511.1</v>
      </c>
      <c r="I182" s="16">
        <f t="shared" si="1"/>
        <v>-0.01736428441</v>
      </c>
      <c r="J182" s="16">
        <f t="shared" si="2"/>
        <v>-0.01475304682</v>
      </c>
      <c r="K182" s="16">
        <f t="shared" si="3"/>
        <v>0.05184895324</v>
      </c>
      <c r="L182" s="16">
        <f t="shared" si="4"/>
        <v>-0.002611237584</v>
      </c>
      <c r="M182" s="17" t="str">
        <f t="shared" si="5"/>
        <v>#N/A</v>
      </c>
      <c r="N182" s="17" t="str">
        <f t="shared" si="6"/>
        <v>#N/A</v>
      </c>
      <c r="O182" s="17">
        <f t="shared" si="7"/>
        <v>131</v>
      </c>
      <c r="P182" s="17" t="str">
        <f t="shared" si="8"/>
        <v>#N/A</v>
      </c>
    </row>
    <row r="183">
      <c r="A183" s="7">
        <v>182.0</v>
      </c>
      <c r="B183" s="18" t="s">
        <v>374</v>
      </c>
      <c r="C183" s="9" t="s">
        <v>375</v>
      </c>
      <c r="D183" s="9">
        <f>IFERROR(__xludf.DUMMYFUNCTION("GOOGLEFINANCE(""NSE:""&amp;C183)"),3204.0)</f>
        <v>3204</v>
      </c>
      <c r="E183" s="10" t="str">
        <f>IFERROR(__xludf.DUMMYFUNCTION("INDEX(GOOGLEFINANCE(""NSE:""&amp;B183,dates!$I$1,dates!$C$3),2,2)"),"#N/A")</f>
        <v>#N/A</v>
      </c>
      <c r="F183" s="10">
        <f>IFERROR(__xludf.DUMMYFUNCTION("INDEX(GOOGLEFINANCE(""NSE:""&amp;C183,dates!$I$1,dates!$C$4),2,2)"),3379.45)</f>
        <v>3379.45</v>
      </c>
      <c r="G183" s="10">
        <f>IFERROR(__xludf.DUMMYFUNCTION("INDEX(GOOGLEFINANCE(""NSE:""&amp;C183,dates!$I$1,dates!$C$5),2,2)"),3472.95)</f>
        <v>3472.95</v>
      </c>
      <c r="H183" s="10">
        <f>IFERROR(__xludf.DUMMYFUNCTION("INDEX(GOOGLEFINANCE(""NSE:""&amp;C183,dates!$I$1,dates!$C$6),2,2)"),3125.3)</f>
        <v>3125.3</v>
      </c>
      <c r="I183" s="16">
        <f t="shared" si="1"/>
        <v>-0.05191673201</v>
      </c>
      <c r="J183" s="16">
        <f t="shared" si="2"/>
        <v>-0.07744136829</v>
      </c>
      <c r="K183" s="16">
        <f t="shared" si="3"/>
        <v>0.02518158257</v>
      </c>
      <c r="L183" s="16">
        <f t="shared" si="4"/>
        <v>0.02552463628</v>
      </c>
      <c r="M183" s="17" t="str">
        <f t="shared" si="5"/>
        <v>#N/A</v>
      </c>
      <c r="N183" s="17" t="str">
        <f t="shared" si="6"/>
        <v>#N/A</v>
      </c>
      <c r="O183" s="17">
        <f t="shared" si="7"/>
        <v>169</v>
      </c>
      <c r="P183" s="17" t="str">
        <f t="shared" si="8"/>
        <v>#N/A</v>
      </c>
    </row>
    <row r="184">
      <c r="A184" s="7">
        <v>183.0</v>
      </c>
      <c r="B184" s="18" t="s">
        <v>376</v>
      </c>
      <c r="C184" s="9" t="s">
        <v>377</v>
      </c>
      <c r="D184" s="9">
        <f>IFERROR(__xludf.DUMMYFUNCTION("GOOGLEFINANCE(""NSE:""&amp;C184)"),5395.0)</f>
        <v>5395</v>
      </c>
      <c r="E184" s="10" t="str">
        <f>IFERROR(__xludf.DUMMYFUNCTION("INDEX(GOOGLEFINANCE(""NSE:""&amp;B184,dates!$I$1,dates!$C$3),2,2)"),"#N/A")</f>
        <v>#N/A</v>
      </c>
      <c r="F184" s="10">
        <f>IFERROR(__xludf.DUMMYFUNCTION("INDEX(GOOGLEFINANCE(""NSE:""&amp;C184,dates!$I$1,dates!$C$4),2,2)"),5355.85)</f>
        <v>5355.85</v>
      </c>
      <c r="G184" s="10">
        <f>IFERROR(__xludf.DUMMYFUNCTION("INDEX(GOOGLEFINANCE(""NSE:""&amp;C184,dates!$I$1,dates!$C$5),2,2)"),5471.4)</f>
        <v>5471.4</v>
      </c>
      <c r="H184" s="10">
        <f>IFERROR(__xludf.DUMMYFUNCTION("INDEX(GOOGLEFINANCE(""NSE:""&amp;C184,dates!$I$1,dates!$C$6),2,2)"),5293.55)</f>
        <v>5293.55</v>
      </c>
      <c r="I184" s="16">
        <f t="shared" si="1"/>
        <v>0.00730976409</v>
      </c>
      <c r="J184" s="16">
        <f t="shared" si="2"/>
        <v>-0.01396351939</v>
      </c>
      <c r="K184" s="16">
        <f t="shared" si="3"/>
        <v>0.01916483267</v>
      </c>
      <c r="L184" s="16">
        <f t="shared" si="4"/>
        <v>0.02127328348</v>
      </c>
      <c r="M184" s="17" t="str">
        <f t="shared" si="5"/>
        <v>#N/A</v>
      </c>
      <c r="N184" s="17" t="str">
        <f t="shared" si="6"/>
        <v>#N/A</v>
      </c>
      <c r="O184" s="17">
        <f t="shared" si="7"/>
        <v>186</v>
      </c>
      <c r="P184" s="17" t="str">
        <f t="shared" si="8"/>
        <v>#N/A</v>
      </c>
    </row>
    <row r="185">
      <c r="A185" s="7">
        <v>184.0</v>
      </c>
      <c r="B185" s="18" t="s">
        <v>378</v>
      </c>
      <c r="C185" s="9" t="s">
        <v>379</v>
      </c>
      <c r="D185" s="9">
        <f>IFERROR(__xludf.DUMMYFUNCTION("GOOGLEFINANCE(""NSE:""&amp;C185)"),4390.0)</f>
        <v>4390</v>
      </c>
      <c r="E185" s="10" t="str">
        <f>IFERROR(__xludf.DUMMYFUNCTION("INDEX(GOOGLEFINANCE(""NSE:""&amp;B185,dates!$I$1,dates!$C$3),2,2)"),"#N/A")</f>
        <v>#N/A</v>
      </c>
      <c r="F185" s="10">
        <f>IFERROR(__xludf.DUMMYFUNCTION("INDEX(GOOGLEFINANCE(""NSE:""&amp;C185,dates!$I$1,dates!$C$4),2,2)"),4245.1)</f>
        <v>4245.1</v>
      </c>
      <c r="G185" s="10">
        <f>IFERROR(__xludf.DUMMYFUNCTION("INDEX(GOOGLEFINANCE(""NSE:""&amp;C185,dates!$I$1,dates!$C$5),2,2)"),4306.75)</f>
        <v>4306.75</v>
      </c>
      <c r="H185" s="10">
        <f>IFERROR(__xludf.DUMMYFUNCTION("INDEX(GOOGLEFINANCE(""NSE:""&amp;C185,dates!$I$1,dates!$C$6),2,2)"),4046.25)</f>
        <v>4046.25</v>
      </c>
      <c r="I185" s="16">
        <f t="shared" si="1"/>
        <v>0.03413347153</v>
      </c>
      <c r="J185" s="16">
        <f t="shared" si="2"/>
        <v>0.01933012132</v>
      </c>
      <c r="K185" s="16">
        <f t="shared" si="3"/>
        <v>0.08495520544</v>
      </c>
      <c r="L185" s="16">
        <f t="shared" si="4"/>
        <v>0.01480335021</v>
      </c>
      <c r="M185" s="17" t="str">
        <f t="shared" si="5"/>
        <v>#N/A</v>
      </c>
      <c r="N185" s="17" t="str">
        <f t="shared" si="6"/>
        <v>#N/A</v>
      </c>
      <c r="O185" s="17">
        <f t="shared" si="7"/>
        <v>87</v>
      </c>
      <c r="P185" s="17" t="str">
        <f t="shared" si="8"/>
        <v>#N/A</v>
      </c>
    </row>
    <row r="186">
      <c r="A186" s="7">
        <v>185.0</v>
      </c>
      <c r="B186" s="18" t="s">
        <v>380</v>
      </c>
      <c r="C186" s="9" t="s">
        <v>381</v>
      </c>
      <c r="D186" s="9">
        <f>IFERROR(__xludf.DUMMYFUNCTION("GOOGLEFINANCE(""NSE:""&amp;C186)"),1380.0)</f>
        <v>1380</v>
      </c>
      <c r="E186" s="10" t="str">
        <f>IFERROR(__xludf.DUMMYFUNCTION("INDEX(GOOGLEFINANCE(""NSE:""&amp;B186,dates!$I$1,dates!$C$3),2,2)"),"#N/A")</f>
        <v>#N/A</v>
      </c>
      <c r="F186" s="10">
        <f>IFERROR(__xludf.DUMMYFUNCTION("INDEX(GOOGLEFINANCE(""NSE:""&amp;C186,dates!$I$1,dates!$C$4),2,2)"),1403.4)</f>
        <v>1403.4</v>
      </c>
      <c r="G186" s="10">
        <f>IFERROR(__xludf.DUMMYFUNCTION("INDEX(GOOGLEFINANCE(""NSE:""&amp;C186,dates!$I$1,dates!$C$5),2,2)"),1264.95)</f>
        <v>1264.95</v>
      </c>
      <c r="H186" s="10">
        <f>IFERROR(__xludf.DUMMYFUNCTION("INDEX(GOOGLEFINANCE(""NSE:""&amp;C186,dates!$I$1,dates!$C$6),2,2)"),1045.4)</f>
        <v>1045.4</v>
      </c>
      <c r="I186" s="16">
        <f t="shared" si="1"/>
        <v>-0.01667379222</v>
      </c>
      <c r="J186" s="16">
        <f t="shared" si="2"/>
        <v>0.09095221155</v>
      </c>
      <c r="K186" s="16">
        <f t="shared" si="3"/>
        <v>0.3200688732</v>
      </c>
      <c r="L186" s="16">
        <f t="shared" si="4"/>
        <v>-0.1076260038</v>
      </c>
      <c r="M186" s="17" t="str">
        <f t="shared" si="5"/>
        <v>#N/A</v>
      </c>
      <c r="N186" s="17" t="str">
        <f t="shared" si="6"/>
        <v>#N/A</v>
      </c>
      <c r="O186" s="17">
        <f t="shared" si="7"/>
        <v>7</v>
      </c>
      <c r="P186" s="17" t="str">
        <f t="shared" si="8"/>
        <v>#N/A</v>
      </c>
    </row>
    <row r="187">
      <c r="A187" s="7">
        <v>186.0</v>
      </c>
      <c r="B187" s="18" t="s">
        <v>382</v>
      </c>
      <c r="C187" s="9" t="s">
        <v>383</v>
      </c>
      <c r="D187" s="9">
        <f>IFERROR(__xludf.DUMMYFUNCTION("GOOGLEFINANCE(""NSE:""&amp;C187)"),34.9)</f>
        <v>34.9</v>
      </c>
      <c r="E187" s="10" t="str">
        <f>IFERROR(__xludf.DUMMYFUNCTION("INDEX(GOOGLEFINANCE(""NSE:""&amp;B187,dates!$I$1,dates!$C$3),2,2)"),"#N/A")</f>
        <v>#N/A</v>
      </c>
      <c r="F187" s="10">
        <f>IFERROR(__xludf.DUMMYFUNCTION("INDEX(GOOGLEFINANCE(""NSE:""&amp;C187,dates!$I$1,dates!$C$4),2,2)"),35.9)</f>
        <v>35.9</v>
      </c>
      <c r="G187" s="10">
        <f>IFERROR(__xludf.DUMMYFUNCTION("INDEX(GOOGLEFINANCE(""NSE:""&amp;C187,dates!$I$1,dates!$C$5),2,2)"),34.65)</f>
        <v>34.65</v>
      </c>
      <c r="H187" s="10">
        <f>IFERROR(__xludf.DUMMYFUNCTION("INDEX(GOOGLEFINANCE(""NSE:""&amp;C187,dates!$I$1,dates!$C$6),2,2)"),34.15)</f>
        <v>34.15</v>
      </c>
      <c r="I187" s="16">
        <f t="shared" si="1"/>
        <v>-0.0278551532</v>
      </c>
      <c r="J187" s="16">
        <f t="shared" si="2"/>
        <v>0.007215007215</v>
      </c>
      <c r="K187" s="16">
        <f t="shared" si="3"/>
        <v>0.02196193265</v>
      </c>
      <c r="L187" s="16">
        <f t="shared" si="4"/>
        <v>-0.03507016042</v>
      </c>
      <c r="M187" s="17" t="str">
        <f t="shared" si="5"/>
        <v>#N/A</v>
      </c>
      <c r="N187" s="17" t="str">
        <f t="shared" si="6"/>
        <v>#N/A</v>
      </c>
      <c r="O187" s="17">
        <f t="shared" si="7"/>
        <v>178</v>
      </c>
      <c r="P187" s="17" t="str">
        <f t="shared" si="8"/>
        <v>#N/A</v>
      </c>
    </row>
    <row r="188">
      <c r="A188" s="7">
        <v>187.0</v>
      </c>
      <c r="B188" s="18" t="s">
        <v>384</v>
      </c>
      <c r="C188" s="9" t="s">
        <v>385</v>
      </c>
      <c r="D188" s="9">
        <f>IFERROR(__xludf.DUMMYFUNCTION("GOOGLEFINANCE(""NSE:""&amp;C188)"),8586.25)</f>
        <v>8586.25</v>
      </c>
      <c r="E188" s="10" t="str">
        <f>IFERROR(__xludf.DUMMYFUNCTION("INDEX(GOOGLEFINANCE(""NSE:""&amp;B188,dates!$I$1,dates!$C$3),2,2)"),"#N/A")</f>
        <v>#N/A</v>
      </c>
      <c r="F188" s="10">
        <f>IFERROR(__xludf.DUMMYFUNCTION("INDEX(GOOGLEFINANCE(""NSE:""&amp;C188,dates!$I$1,dates!$C$4),2,2)"),8608.75)</f>
        <v>8608.75</v>
      </c>
      <c r="G188" s="10">
        <f>IFERROR(__xludf.DUMMYFUNCTION("INDEX(GOOGLEFINANCE(""NSE:""&amp;C188,dates!$I$1,dates!$C$5),2,2)"),8705.9)</f>
        <v>8705.9</v>
      </c>
      <c r="H188" s="10">
        <f>IFERROR(__xludf.DUMMYFUNCTION("INDEX(GOOGLEFINANCE(""NSE:""&amp;C188,dates!$I$1,dates!$C$6),2,2)"),7143.45)</f>
        <v>7143.45</v>
      </c>
      <c r="I188" s="16">
        <f t="shared" si="1"/>
        <v>-0.002613619864</v>
      </c>
      <c r="J188" s="16">
        <f t="shared" si="2"/>
        <v>-0.01374355322</v>
      </c>
      <c r="K188" s="16">
        <f t="shared" si="3"/>
        <v>0.2019752361</v>
      </c>
      <c r="L188" s="16">
        <f t="shared" si="4"/>
        <v>0.01112993336</v>
      </c>
      <c r="M188" s="17" t="str">
        <f t="shared" si="5"/>
        <v>#N/A</v>
      </c>
      <c r="N188" s="17" t="str">
        <f t="shared" si="6"/>
        <v>#N/A</v>
      </c>
      <c r="O188" s="17">
        <f t="shared" si="7"/>
        <v>24</v>
      </c>
      <c r="P188" s="17" t="str">
        <f t="shared" si="8"/>
        <v>#N/A</v>
      </c>
    </row>
    <row r="189">
      <c r="A189" s="7">
        <v>188.0</v>
      </c>
      <c r="B189" s="18" t="s">
        <v>386</v>
      </c>
      <c r="C189" s="9" t="s">
        <v>387</v>
      </c>
      <c r="D189" s="9">
        <f>IFERROR(__xludf.DUMMYFUNCTION("GOOGLEFINANCE(""NSE:""&amp;C189)"),1566.0)</f>
        <v>1566</v>
      </c>
      <c r="E189" s="10" t="str">
        <f>IFERROR(__xludf.DUMMYFUNCTION("INDEX(GOOGLEFINANCE(""NSE:""&amp;B189,dates!$I$1,dates!$C$3),2,2)"),"#N/A")</f>
        <v>#N/A</v>
      </c>
      <c r="F189" s="10">
        <f>IFERROR(__xludf.DUMMYFUNCTION("INDEX(GOOGLEFINANCE(""NSE:""&amp;C189,dates!$I$1,dates!$C$4),2,2)"),1588.9)</f>
        <v>1588.9</v>
      </c>
      <c r="G189" s="10">
        <f>IFERROR(__xludf.DUMMYFUNCTION("INDEX(GOOGLEFINANCE(""NSE:""&amp;C189,dates!$I$1,dates!$C$5),2,2)"),1604.5)</f>
        <v>1604.5</v>
      </c>
      <c r="H189" s="10">
        <f>IFERROR(__xludf.DUMMYFUNCTION("INDEX(GOOGLEFINANCE(""NSE:""&amp;C189,dates!$I$1,dates!$C$6),2,2)"),1698.7)</f>
        <v>1698.7</v>
      </c>
      <c r="I189" s="16">
        <f t="shared" si="1"/>
        <v>-0.01441248663</v>
      </c>
      <c r="J189" s="16">
        <f t="shared" si="2"/>
        <v>-0.02399501402</v>
      </c>
      <c r="K189" s="16">
        <f t="shared" si="3"/>
        <v>-0.07811856125</v>
      </c>
      <c r="L189" s="16">
        <f t="shared" si="4"/>
        <v>0.009582527397</v>
      </c>
      <c r="M189" s="17" t="str">
        <f t="shared" si="5"/>
        <v>#N/A</v>
      </c>
      <c r="N189" s="17" t="str">
        <f t="shared" si="6"/>
        <v>#N/A</v>
      </c>
      <c r="O189" s="17">
        <f t="shared" si="7"/>
        <v>243</v>
      </c>
      <c r="P189" s="17" t="str">
        <f t="shared" si="8"/>
        <v>#N/A</v>
      </c>
    </row>
    <row r="190">
      <c r="A190" s="7">
        <v>189.0</v>
      </c>
      <c r="B190" s="18" t="s">
        <v>388</v>
      </c>
      <c r="C190" s="9" t="s">
        <v>389</v>
      </c>
      <c r="D190" s="9">
        <f>IFERROR(__xludf.DUMMYFUNCTION("GOOGLEFINANCE(""NSE:""&amp;C190)"),495.15)</f>
        <v>495.15</v>
      </c>
      <c r="E190" s="10" t="str">
        <f>IFERROR(__xludf.DUMMYFUNCTION("INDEX(GOOGLEFINANCE(""NSE:""&amp;B190,dates!$I$1,dates!$C$3),2,2)"),"#N/A")</f>
        <v>#N/A</v>
      </c>
      <c r="F190" s="10">
        <f>IFERROR(__xludf.DUMMYFUNCTION("INDEX(GOOGLEFINANCE(""NSE:""&amp;C190,dates!$I$1,dates!$C$4),2,2)"),481.9)</f>
        <v>481.9</v>
      </c>
      <c r="G190" s="10">
        <f>IFERROR(__xludf.DUMMYFUNCTION("INDEX(GOOGLEFINANCE(""NSE:""&amp;C190,dates!$I$1,dates!$C$5),2,2)"),480.75)</f>
        <v>480.75</v>
      </c>
      <c r="H190" s="10">
        <f>IFERROR(__xludf.DUMMYFUNCTION("INDEX(GOOGLEFINANCE(""NSE:""&amp;C190,dates!$I$1,dates!$C$6),2,2)"),488.15)</f>
        <v>488.15</v>
      </c>
      <c r="I190" s="16">
        <f t="shared" si="1"/>
        <v>0.02749533098</v>
      </c>
      <c r="J190" s="16">
        <f t="shared" si="2"/>
        <v>0.02995319813</v>
      </c>
      <c r="K190" s="16">
        <f t="shared" si="3"/>
        <v>0.01433985455</v>
      </c>
      <c r="L190" s="16">
        <f t="shared" si="4"/>
        <v>-0.002457867146</v>
      </c>
      <c r="M190" s="17" t="str">
        <f t="shared" si="5"/>
        <v>#N/A</v>
      </c>
      <c r="N190" s="17" t="str">
        <f t="shared" si="6"/>
        <v>#N/A</v>
      </c>
      <c r="O190" s="17">
        <f t="shared" si="7"/>
        <v>192</v>
      </c>
      <c r="P190" s="17" t="str">
        <f t="shared" si="8"/>
        <v>#N/A</v>
      </c>
    </row>
    <row r="191">
      <c r="A191" s="7">
        <v>190.0</v>
      </c>
      <c r="B191" s="18" t="s">
        <v>390</v>
      </c>
      <c r="C191" s="9" t="s">
        <v>391</v>
      </c>
      <c r="D191" s="9">
        <f>IFERROR(__xludf.DUMMYFUNCTION("GOOGLEFINANCE(""NSE:""&amp;C191)"),750.0)</f>
        <v>750</v>
      </c>
      <c r="E191" s="10" t="str">
        <f>IFERROR(__xludf.DUMMYFUNCTION("INDEX(GOOGLEFINANCE(""NSE:""&amp;B191,dates!$I$1,dates!$C$3),2,2)"),"#N/A")</f>
        <v>#N/A</v>
      </c>
      <c r="F191" s="10">
        <f>IFERROR(__xludf.DUMMYFUNCTION("INDEX(GOOGLEFINANCE(""NSE:""&amp;C191,dates!$I$1,dates!$C$4),2,2)"),735.6)</f>
        <v>735.6</v>
      </c>
      <c r="G191" s="10">
        <f>IFERROR(__xludf.DUMMYFUNCTION("INDEX(GOOGLEFINANCE(""NSE:""&amp;C191,dates!$I$1,dates!$C$5),2,2)"),716.45)</f>
        <v>716.45</v>
      </c>
      <c r="H191" s="10">
        <f>IFERROR(__xludf.DUMMYFUNCTION("INDEX(GOOGLEFINANCE(""NSE:""&amp;C191,dates!$I$1,dates!$C$6),2,2)"),705.65)</f>
        <v>705.65</v>
      </c>
      <c r="I191" s="16">
        <f t="shared" si="1"/>
        <v>0.01957585644</v>
      </c>
      <c r="J191" s="16">
        <f t="shared" si="2"/>
        <v>0.04682811082</v>
      </c>
      <c r="K191" s="16">
        <f t="shared" si="3"/>
        <v>0.06284985474</v>
      </c>
      <c r="L191" s="16">
        <f t="shared" si="4"/>
        <v>-0.02725225438</v>
      </c>
      <c r="M191" s="17" t="str">
        <f t="shared" si="5"/>
        <v>#N/A</v>
      </c>
      <c r="N191" s="17" t="str">
        <f t="shared" si="6"/>
        <v>#N/A</v>
      </c>
      <c r="O191" s="17">
        <f t="shared" si="7"/>
        <v>118</v>
      </c>
      <c r="P191" s="17" t="str">
        <f t="shared" si="8"/>
        <v>#N/A</v>
      </c>
    </row>
    <row r="192">
      <c r="A192" s="7">
        <v>191.0</v>
      </c>
      <c r="B192" s="18" t="s">
        <v>392</v>
      </c>
      <c r="C192" s="9" t="s">
        <v>393</v>
      </c>
      <c r="D192" s="9">
        <f>IFERROR(__xludf.DUMMYFUNCTION("GOOGLEFINANCE(""NSE:""&amp;C192)"),972.2)</f>
        <v>972.2</v>
      </c>
      <c r="E192" s="10" t="str">
        <f>IFERROR(__xludf.DUMMYFUNCTION("INDEX(GOOGLEFINANCE(""NSE:""&amp;B192,dates!$I$1,dates!$C$3),2,2)"),"#N/A")</f>
        <v>#N/A</v>
      </c>
      <c r="F192" s="10">
        <f>IFERROR(__xludf.DUMMYFUNCTION("INDEX(GOOGLEFINANCE(""NSE:""&amp;C192,dates!$I$1,dates!$C$4),2,2)"),1011.5)</f>
        <v>1011.5</v>
      </c>
      <c r="G192" s="10">
        <f>IFERROR(__xludf.DUMMYFUNCTION("INDEX(GOOGLEFINANCE(""NSE:""&amp;C192,dates!$I$1,dates!$C$5),2,2)"),1056.1)</f>
        <v>1056.1</v>
      </c>
      <c r="H192" s="10">
        <f>IFERROR(__xludf.DUMMYFUNCTION("INDEX(GOOGLEFINANCE(""NSE:""&amp;C192,dates!$I$1,dates!$C$6),2,2)"),986.65)</f>
        <v>986.65</v>
      </c>
      <c r="I192" s="16">
        <f t="shared" si="1"/>
        <v>-0.03885318833</v>
      </c>
      <c r="J192" s="16">
        <f t="shared" si="2"/>
        <v>-0.07944323454</v>
      </c>
      <c r="K192" s="16">
        <f t="shared" si="3"/>
        <v>-0.01464551766</v>
      </c>
      <c r="L192" s="16">
        <f t="shared" si="4"/>
        <v>0.04059004621</v>
      </c>
      <c r="M192" s="17" t="str">
        <f t="shared" si="5"/>
        <v>#N/A</v>
      </c>
      <c r="N192" s="17" t="str">
        <f t="shared" si="6"/>
        <v>#N/A</v>
      </c>
      <c r="O192" s="17">
        <f t="shared" si="7"/>
        <v>219</v>
      </c>
      <c r="P192" s="17" t="str">
        <f t="shared" si="8"/>
        <v>#N/A</v>
      </c>
    </row>
    <row r="193">
      <c r="A193" s="7">
        <v>192.0</v>
      </c>
      <c r="B193" s="18" t="s">
        <v>394</v>
      </c>
      <c r="C193" s="9" t="s">
        <v>395</v>
      </c>
      <c r="D193" s="9">
        <f>IFERROR(__xludf.DUMMYFUNCTION("GOOGLEFINANCE(""NSE:""&amp;C193)"),807.5)</f>
        <v>807.5</v>
      </c>
      <c r="E193" s="10" t="str">
        <f>IFERROR(__xludf.DUMMYFUNCTION("INDEX(GOOGLEFINANCE(""NSE:""&amp;B193,dates!$I$1,dates!$C$3),2,2)"),"#N/A")</f>
        <v>#N/A</v>
      </c>
      <c r="F193" s="10">
        <f>IFERROR(__xludf.DUMMYFUNCTION("INDEX(GOOGLEFINANCE(""NSE:""&amp;C193,dates!$I$1,dates!$C$4),2,2)"),807.6)</f>
        <v>807.6</v>
      </c>
      <c r="G193" s="10">
        <f>IFERROR(__xludf.DUMMYFUNCTION("INDEX(GOOGLEFINANCE(""NSE:""&amp;C193,dates!$I$1,dates!$C$5),2,2)"),835.05)</f>
        <v>835.05</v>
      </c>
      <c r="H193" s="10">
        <f>IFERROR(__xludf.DUMMYFUNCTION("INDEX(GOOGLEFINANCE(""NSE:""&amp;C193,dates!$I$1,dates!$C$6),2,2)"),766.8)</f>
        <v>766.8</v>
      </c>
      <c r="I193" s="16">
        <f t="shared" si="1"/>
        <v>-0.0001238236751</v>
      </c>
      <c r="J193" s="16">
        <f t="shared" si="2"/>
        <v>-0.03299203641</v>
      </c>
      <c r="K193" s="16">
        <f t="shared" si="3"/>
        <v>0.05307772561</v>
      </c>
      <c r="L193" s="16">
        <f t="shared" si="4"/>
        <v>0.03286821273</v>
      </c>
      <c r="M193" s="17" t="str">
        <f t="shared" si="5"/>
        <v>#N/A</v>
      </c>
      <c r="N193" s="17" t="str">
        <f t="shared" si="6"/>
        <v>#N/A</v>
      </c>
      <c r="O193" s="17">
        <f t="shared" si="7"/>
        <v>129</v>
      </c>
      <c r="P193" s="17" t="str">
        <f t="shared" si="8"/>
        <v>#N/A</v>
      </c>
    </row>
    <row r="194">
      <c r="A194" s="7">
        <v>193.0</v>
      </c>
      <c r="B194" s="18" t="s">
        <v>396</v>
      </c>
      <c r="C194" s="9" t="s">
        <v>397</v>
      </c>
      <c r="D194" s="9">
        <f>IFERROR(__xludf.DUMMYFUNCTION("GOOGLEFINANCE(""NSE:""&amp;C194)"),1796.05)</f>
        <v>1796.05</v>
      </c>
      <c r="E194" s="10" t="str">
        <f>IFERROR(__xludf.DUMMYFUNCTION("INDEX(GOOGLEFINANCE(""NSE:""&amp;B194,dates!$I$1,dates!$C$3),2,2)"),"#N/A")</f>
        <v>#N/A</v>
      </c>
      <c r="F194" s="10">
        <f>IFERROR(__xludf.DUMMYFUNCTION("INDEX(GOOGLEFINANCE(""NSE:""&amp;C194,dates!$I$1,dates!$C$4),2,2)"),1784.55)</f>
        <v>1784.55</v>
      </c>
      <c r="G194" s="10">
        <f>IFERROR(__xludf.DUMMYFUNCTION("INDEX(GOOGLEFINANCE(""NSE:""&amp;C194,dates!$I$1,dates!$C$5),2,2)"),1768.9)</f>
        <v>1768.9</v>
      </c>
      <c r="H194" s="10">
        <f>IFERROR(__xludf.DUMMYFUNCTION("INDEX(GOOGLEFINANCE(""NSE:""&amp;C194,dates!$I$1,dates!$C$6),2,2)"),1722.95)</f>
        <v>1722.95</v>
      </c>
      <c r="I194" s="16">
        <f t="shared" si="1"/>
        <v>0.006444201619</v>
      </c>
      <c r="J194" s="16">
        <f t="shared" si="2"/>
        <v>0.01534852168</v>
      </c>
      <c r="K194" s="16">
        <f t="shared" si="3"/>
        <v>0.04242723236</v>
      </c>
      <c r="L194" s="16">
        <f t="shared" si="4"/>
        <v>-0.008904320061</v>
      </c>
      <c r="M194" s="17" t="str">
        <f t="shared" si="5"/>
        <v>#N/A</v>
      </c>
      <c r="N194" s="17" t="str">
        <f t="shared" si="6"/>
        <v>#N/A</v>
      </c>
      <c r="O194" s="17">
        <f t="shared" si="7"/>
        <v>148</v>
      </c>
      <c r="P194" s="17" t="str">
        <f t="shared" si="8"/>
        <v>#N/A</v>
      </c>
    </row>
    <row r="195">
      <c r="A195" s="7">
        <v>194.0</v>
      </c>
      <c r="B195" s="18" t="s">
        <v>398</v>
      </c>
      <c r="C195" s="9" t="s">
        <v>399</v>
      </c>
      <c r="D195" s="9">
        <f>IFERROR(__xludf.DUMMYFUNCTION("GOOGLEFINANCE(""NSE:""&amp;C195)"),7405.2)</f>
        <v>7405.2</v>
      </c>
      <c r="E195" s="10" t="str">
        <f>IFERROR(__xludf.DUMMYFUNCTION("INDEX(GOOGLEFINANCE(""NSE:""&amp;B195,dates!$I$1,dates!$C$3),2,2)"),"#N/A")</f>
        <v>#N/A</v>
      </c>
      <c r="F195" s="10">
        <f>IFERROR(__xludf.DUMMYFUNCTION("INDEX(GOOGLEFINANCE(""NSE:""&amp;C195,dates!$I$1,dates!$C$4),2,2)"),7299.85)</f>
        <v>7299.85</v>
      </c>
      <c r="G195" s="10">
        <f>IFERROR(__xludf.DUMMYFUNCTION("INDEX(GOOGLEFINANCE(""NSE:""&amp;C195,dates!$I$1,dates!$C$5),2,2)"),7307.05)</f>
        <v>7307.05</v>
      </c>
      <c r="H195" s="10">
        <f>IFERROR(__xludf.DUMMYFUNCTION("INDEX(GOOGLEFINANCE(""NSE:""&amp;C195,dates!$I$1,dates!$C$6),2,2)"),7194.7)</f>
        <v>7194.7</v>
      </c>
      <c r="I195" s="16">
        <f t="shared" si="1"/>
        <v>0.01443180339</v>
      </c>
      <c r="J195" s="16">
        <f t="shared" si="2"/>
        <v>0.01343223325</v>
      </c>
      <c r="K195" s="16">
        <f t="shared" si="3"/>
        <v>0.02925764799</v>
      </c>
      <c r="L195" s="16">
        <f t="shared" si="4"/>
        <v>0.000999570139</v>
      </c>
      <c r="M195" s="17" t="str">
        <f t="shared" si="5"/>
        <v>#N/A</v>
      </c>
      <c r="N195" s="17" t="str">
        <f t="shared" si="6"/>
        <v>#N/A</v>
      </c>
      <c r="O195" s="17">
        <f t="shared" si="7"/>
        <v>162</v>
      </c>
      <c r="P195" s="17" t="str">
        <f t="shared" si="8"/>
        <v>#N/A</v>
      </c>
    </row>
    <row r="196">
      <c r="A196" s="7">
        <v>195.0</v>
      </c>
      <c r="B196" s="18" t="s">
        <v>400</v>
      </c>
      <c r="C196" s="9" t="s">
        <v>401</v>
      </c>
      <c r="D196" s="9">
        <f>IFERROR(__xludf.DUMMYFUNCTION("GOOGLEFINANCE(""NSE:""&amp;C196)"),3928.0)</f>
        <v>3928</v>
      </c>
      <c r="E196" s="10" t="str">
        <f>IFERROR(__xludf.DUMMYFUNCTION("INDEX(GOOGLEFINANCE(""NSE:""&amp;B196,dates!$I$1,dates!$C$3),2,2)"),"#N/A")</f>
        <v>#N/A</v>
      </c>
      <c r="F196" s="10">
        <f>IFERROR(__xludf.DUMMYFUNCTION("INDEX(GOOGLEFINANCE(""NSE:""&amp;C196,dates!$I$1,dates!$C$4),2,2)"),3953.6)</f>
        <v>3953.6</v>
      </c>
      <c r="G196" s="10">
        <f>IFERROR(__xludf.DUMMYFUNCTION("INDEX(GOOGLEFINANCE(""NSE:""&amp;C196,dates!$I$1,dates!$C$5),2,2)"),4123.85)</f>
        <v>4123.85</v>
      </c>
      <c r="H196" s="10">
        <f>IFERROR(__xludf.DUMMYFUNCTION("INDEX(GOOGLEFINANCE(""NSE:""&amp;C196,dates!$I$1,dates!$C$6),2,2)"),4236.1)</f>
        <v>4236.1</v>
      </c>
      <c r="I196" s="16">
        <f t="shared" si="1"/>
        <v>-0.006475111291</v>
      </c>
      <c r="J196" s="16">
        <f t="shared" si="2"/>
        <v>-0.04749202808</v>
      </c>
      <c r="K196" s="16">
        <f t="shared" si="3"/>
        <v>-0.07273199405</v>
      </c>
      <c r="L196" s="16">
        <f t="shared" si="4"/>
        <v>0.04101691679</v>
      </c>
      <c r="M196" s="17" t="str">
        <f t="shared" si="5"/>
        <v>#N/A</v>
      </c>
      <c r="N196" s="17" t="str">
        <f t="shared" si="6"/>
        <v>#N/A</v>
      </c>
      <c r="O196" s="17">
        <f t="shared" si="7"/>
        <v>240</v>
      </c>
      <c r="P196" s="17" t="str">
        <f t="shared" si="8"/>
        <v>#N/A</v>
      </c>
    </row>
    <row r="197">
      <c r="A197" s="7">
        <v>196.0</v>
      </c>
      <c r="B197" s="18" t="s">
        <v>402</v>
      </c>
      <c r="C197" s="9" t="s">
        <v>403</v>
      </c>
      <c r="D197" s="9">
        <f>IFERROR(__xludf.DUMMYFUNCTION("GOOGLEFINANCE(""NSE:""&amp;C197)"),271.0)</f>
        <v>271</v>
      </c>
      <c r="E197" s="10" t="str">
        <f>IFERROR(__xludf.DUMMYFUNCTION("INDEX(GOOGLEFINANCE(""NSE:""&amp;B197,dates!$I$1,dates!$C$3),2,2)"),"#N/A")</f>
        <v>#N/A</v>
      </c>
      <c r="F197" s="10">
        <f>IFERROR(__xludf.DUMMYFUNCTION("INDEX(GOOGLEFINANCE(""NSE:""&amp;C197,dates!$I$1,dates!$C$4),2,2)"),267.95)</f>
        <v>267.95</v>
      </c>
      <c r="G197" s="10">
        <f>IFERROR(__xludf.DUMMYFUNCTION("INDEX(GOOGLEFINANCE(""NSE:""&amp;C197,dates!$I$1,dates!$C$5),2,2)"),272.3)</f>
        <v>272.3</v>
      </c>
      <c r="H197" s="10">
        <f>IFERROR(__xludf.DUMMYFUNCTION("INDEX(GOOGLEFINANCE(""NSE:""&amp;C197,dates!$I$1,dates!$C$6),2,2)"),294.5)</f>
        <v>294.5</v>
      </c>
      <c r="I197" s="16">
        <f t="shared" si="1"/>
        <v>0.01138272066</v>
      </c>
      <c r="J197" s="16">
        <f t="shared" si="2"/>
        <v>-0.004774146162</v>
      </c>
      <c r="K197" s="16">
        <f t="shared" si="3"/>
        <v>-0.07979626486</v>
      </c>
      <c r="L197" s="16">
        <f t="shared" si="4"/>
        <v>0.01615686682</v>
      </c>
      <c r="M197" s="17" t="str">
        <f t="shared" si="5"/>
        <v>#N/A</v>
      </c>
      <c r="N197" s="17" t="str">
        <f t="shared" si="6"/>
        <v>#N/A</v>
      </c>
      <c r="O197" s="17">
        <f t="shared" si="7"/>
        <v>244</v>
      </c>
      <c r="P197" s="17" t="str">
        <f t="shared" si="8"/>
        <v>#N/A</v>
      </c>
    </row>
    <row r="198">
      <c r="A198" s="7">
        <v>197.0</v>
      </c>
      <c r="B198" s="18" t="s">
        <v>404</v>
      </c>
      <c r="C198" s="9" t="s">
        <v>405</v>
      </c>
      <c r="D198" s="9">
        <f>IFERROR(__xludf.DUMMYFUNCTION("GOOGLEFINANCE(""NSE:""&amp;C198)"),847.0)</f>
        <v>847</v>
      </c>
      <c r="E198" s="10" t="str">
        <f>IFERROR(__xludf.DUMMYFUNCTION("INDEX(GOOGLEFINANCE(""NSE:""&amp;B198,dates!$I$1,dates!$C$3),2,2)"),"#N/A")</f>
        <v>#N/A</v>
      </c>
      <c r="F198" s="10">
        <f>IFERROR(__xludf.DUMMYFUNCTION("INDEX(GOOGLEFINANCE(""NSE:""&amp;C198,dates!$I$1,dates!$C$4),2,2)"),844.5)</f>
        <v>844.5</v>
      </c>
      <c r="G198" s="10">
        <f>IFERROR(__xludf.DUMMYFUNCTION("INDEX(GOOGLEFINANCE(""NSE:""&amp;C198,dates!$I$1,dates!$C$5),2,2)"),837.3)</f>
        <v>837.3</v>
      </c>
      <c r="H198" s="10">
        <f>IFERROR(__xludf.DUMMYFUNCTION("INDEX(GOOGLEFINANCE(""NSE:""&amp;C198,dates!$I$1,dates!$C$6),2,2)"),829.0)</f>
        <v>829</v>
      </c>
      <c r="I198" s="16">
        <f t="shared" si="1"/>
        <v>0.002960331557</v>
      </c>
      <c r="J198" s="16">
        <f t="shared" si="2"/>
        <v>0.01158485609</v>
      </c>
      <c r="K198" s="16">
        <f t="shared" si="3"/>
        <v>0.02171290712</v>
      </c>
      <c r="L198" s="16">
        <f t="shared" si="4"/>
        <v>-0.008624524528</v>
      </c>
      <c r="M198" s="17" t="str">
        <f t="shared" si="5"/>
        <v>#N/A</v>
      </c>
      <c r="N198" s="17" t="str">
        <f t="shared" si="6"/>
        <v>#N/A</v>
      </c>
      <c r="O198" s="17">
        <f t="shared" si="7"/>
        <v>180</v>
      </c>
      <c r="P198" s="17" t="str">
        <f t="shared" si="8"/>
        <v>#N/A</v>
      </c>
    </row>
    <row r="199">
      <c r="A199" s="7">
        <v>198.0</v>
      </c>
      <c r="B199" s="18" t="s">
        <v>406</v>
      </c>
      <c r="C199" s="9" t="s">
        <v>407</v>
      </c>
      <c r="D199" s="9">
        <f>IFERROR(__xludf.DUMMYFUNCTION("GOOGLEFINANCE(""NSE:""&amp;C199)"),399.3)</f>
        <v>399.3</v>
      </c>
      <c r="E199" s="10" t="str">
        <f>IFERROR(__xludf.DUMMYFUNCTION("INDEX(GOOGLEFINANCE(""NSE:""&amp;B199,dates!$I$1,dates!$C$3),2,2)"),"#N/A")</f>
        <v>#N/A</v>
      </c>
      <c r="F199" s="10">
        <f>IFERROR(__xludf.DUMMYFUNCTION("INDEX(GOOGLEFINANCE(""NSE:""&amp;C199,dates!$I$1,dates!$C$4),2,2)"),404.6)</f>
        <v>404.6</v>
      </c>
      <c r="G199" s="10">
        <f>IFERROR(__xludf.DUMMYFUNCTION("INDEX(GOOGLEFINANCE(""NSE:""&amp;C199,dates!$I$1,dates!$C$5),2,2)"),413.7)</f>
        <v>413.7</v>
      </c>
      <c r="H199" s="10">
        <f>IFERROR(__xludf.DUMMYFUNCTION("INDEX(GOOGLEFINANCE(""NSE:""&amp;C199,dates!$I$1,dates!$C$6),2,2)"),400.6)</f>
        <v>400.6</v>
      </c>
      <c r="I199" s="16">
        <f t="shared" si="1"/>
        <v>-0.01309935739</v>
      </c>
      <c r="J199" s="16">
        <f t="shared" si="2"/>
        <v>-0.03480783176</v>
      </c>
      <c r="K199" s="16">
        <f t="shared" si="3"/>
        <v>-0.003245132302</v>
      </c>
      <c r="L199" s="16">
        <f t="shared" si="4"/>
        <v>0.02170847437</v>
      </c>
      <c r="M199" s="17" t="str">
        <f t="shared" si="5"/>
        <v>#N/A</v>
      </c>
      <c r="N199" s="17" t="str">
        <f t="shared" si="6"/>
        <v>#N/A</v>
      </c>
      <c r="O199" s="17">
        <f t="shared" si="7"/>
        <v>208</v>
      </c>
      <c r="P199" s="17" t="str">
        <f t="shared" si="8"/>
        <v>#N/A</v>
      </c>
    </row>
    <row r="200">
      <c r="A200" s="7">
        <v>199.0</v>
      </c>
      <c r="B200" s="18" t="s">
        <v>408</v>
      </c>
      <c r="C200" s="9" t="s">
        <v>409</v>
      </c>
      <c r="D200" s="9">
        <f>IFERROR(__xludf.DUMMYFUNCTION("GOOGLEFINANCE(""NSE:""&amp;C200)"),1435.15)</f>
        <v>1435.15</v>
      </c>
      <c r="E200" s="10" t="str">
        <f>IFERROR(__xludf.DUMMYFUNCTION("INDEX(GOOGLEFINANCE(""NSE:""&amp;B200,dates!$I$1,dates!$C$3),2,2)"),"#N/A")</f>
        <v>#N/A</v>
      </c>
      <c r="F200" s="10">
        <f>IFERROR(__xludf.DUMMYFUNCTION("INDEX(GOOGLEFINANCE(""NSE:""&amp;C200,dates!$I$1,dates!$C$4),2,2)"),1489.9)</f>
        <v>1489.9</v>
      </c>
      <c r="G200" s="10">
        <f>IFERROR(__xludf.DUMMYFUNCTION("INDEX(GOOGLEFINANCE(""NSE:""&amp;C200,dates!$I$1,dates!$C$5),2,2)"),1480.55)</f>
        <v>1480.55</v>
      </c>
      <c r="H200" s="10">
        <f>IFERROR(__xludf.DUMMYFUNCTION("INDEX(GOOGLEFINANCE(""NSE:""&amp;C200,dates!$I$1,dates!$C$6),2,2)"),1413.9)</f>
        <v>1413.9</v>
      </c>
      <c r="I200" s="16">
        <f t="shared" si="1"/>
        <v>-0.03674743271</v>
      </c>
      <c r="J200" s="16">
        <f t="shared" si="2"/>
        <v>-0.03066428017</v>
      </c>
      <c r="K200" s="16">
        <f t="shared" si="3"/>
        <v>0.01502935144</v>
      </c>
      <c r="L200" s="16">
        <f t="shared" si="4"/>
        <v>-0.006083152547</v>
      </c>
      <c r="M200" s="17" t="str">
        <f t="shared" si="5"/>
        <v>#N/A</v>
      </c>
      <c r="N200" s="17" t="str">
        <f t="shared" si="6"/>
        <v>#N/A</v>
      </c>
      <c r="O200" s="17">
        <f t="shared" si="7"/>
        <v>190</v>
      </c>
      <c r="P200" s="17" t="str">
        <f t="shared" si="8"/>
        <v>#N/A</v>
      </c>
    </row>
    <row r="201">
      <c r="A201" s="7">
        <v>200.0</v>
      </c>
      <c r="B201" s="18" t="s">
        <v>410</v>
      </c>
      <c r="C201" s="19" t="s">
        <v>411</v>
      </c>
      <c r="D201" s="9">
        <f>IFERROR(__xludf.DUMMYFUNCTION("GOOGLEFINANCE(""NSE:""&amp;C201)"),87.9)</f>
        <v>87.9</v>
      </c>
      <c r="E201" s="10" t="str">
        <f>IFERROR(__xludf.DUMMYFUNCTION("INDEX(GOOGLEFINANCE(""NSE:""&amp;B201,dates!$I$1,dates!$C$3),2,2)"),"#N/A")</f>
        <v>#N/A</v>
      </c>
      <c r="F201" s="10">
        <f>IFERROR(__xludf.DUMMYFUNCTION("INDEX(GOOGLEFINANCE(""NSE:""&amp;C201,dates!$I$1,dates!$C$4),2,2)"),85.5)</f>
        <v>85.5</v>
      </c>
      <c r="G201" s="10">
        <f>IFERROR(__xludf.DUMMYFUNCTION("INDEX(GOOGLEFINANCE(""NSE:""&amp;C201,dates!$I$1,dates!$C$5),2,2)"),85.2)</f>
        <v>85.2</v>
      </c>
      <c r="H201" s="10">
        <f>IFERROR(__xludf.DUMMYFUNCTION("INDEX(GOOGLEFINANCE(""NSE:""&amp;C201,dates!$I$1,dates!$C$6),2,2)"),81.45)</f>
        <v>81.45</v>
      </c>
      <c r="I201" s="16">
        <f t="shared" si="1"/>
        <v>0.02807017544</v>
      </c>
      <c r="J201" s="16">
        <f t="shared" si="2"/>
        <v>0.03169014085</v>
      </c>
      <c r="K201" s="16">
        <f t="shared" si="3"/>
        <v>0.07918968692</v>
      </c>
      <c r="L201" s="16">
        <f t="shared" si="4"/>
        <v>-0.003619965406</v>
      </c>
      <c r="M201" s="17" t="str">
        <f t="shared" si="5"/>
        <v>#N/A</v>
      </c>
      <c r="N201" s="17" t="str">
        <f t="shared" si="6"/>
        <v>#N/A</v>
      </c>
      <c r="O201" s="17">
        <f t="shared" si="7"/>
        <v>96</v>
      </c>
      <c r="P201" s="17" t="str">
        <f t="shared" si="8"/>
        <v>#N/A</v>
      </c>
    </row>
    <row r="202">
      <c r="A202" s="7">
        <v>201.0</v>
      </c>
      <c r="B202" s="18" t="s">
        <v>412</v>
      </c>
      <c r="C202" s="9" t="s">
        <v>413</v>
      </c>
      <c r="D202" s="9">
        <f>IFERROR(__xludf.DUMMYFUNCTION("GOOGLEFINANCE(""NSE:""&amp;C202)"),918.0)</f>
        <v>918</v>
      </c>
      <c r="E202" s="10" t="str">
        <f>IFERROR(__xludf.DUMMYFUNCTION("INDEX(GOOGLEFINANCE(""NSE:""&amp;B202,dates!$I$1,dates!$C$3),2,2)"),"#N/A")</f>
        <v>#N/A</v>
      </c>
      <c r="F202" s="10">
        <f>IFERROR(__xludf.DUMMYFUNCTION("INDEX(GOOGLEFINANCE(""NSE:""&amp;C202,dates!$I$1,dates!$C$4),2,2)"),945.95)</f>
        <v>945.95</v>
      </c>
      <c r="G202" s="10">
        <f>IFERROR(__xludf.DUMMYFUNCTION("INDEX(GOOGLEFINANCE(""NSE:""&amp;C202,dates!$I$1,dates!$C$5),2,2)"),927.38)</f>
        <v>927.38</v>
      </c>
      <c r="H202" s="10">
        <f>IFERROR(__xludf.DUMMYFUNCTION("INDEX(GOOGLEFINANCE(""NSE:""&amp;C202,dates!$I$1,dates!$C$6),2,2)"),822.98)</f>
        <v>822.98</v>
      </c>
      <c r="I202" s="16">
        <f t="shared" si="1"/>
        <v>-0.02954701623</v>
      </c>
      <c r="J202" s="16">
        <f t="shared" si="2"/>
        <v>-0.01011451616</v>
      </c>
      <c r="K202" s="16">
        <f t="shared" si="3"/>
        <v>0.1154584559</v>
      </c>
      <c r="L202" s="16">
        <f t="shared" si="4"/>
        <v>-0.01943250006</v>
      </c>
      <c r="M202" s="17" t="str">
        <f t="shared" si="5"/>
        <v>#N/A</v>
      </c>
      <c r="N202" s="17" t="str">
        <f t="shared" si="6"/>
        <v>#N/A</v>
      </c>
      <c r="O202" s="17">
        <f t="shared" si="7"/>
        <v>63</v>
      </c>
      <c r="P202" s="17" t="str">
        <f t="shared" si="8"/>
        <v>#N/A</v>
      </c>
    </row>
    <row r="203">
      <c r="A203" s="7">
        <v>202.0</v>
      </c>
      <c r="B203" s="18" t="s">
        <v>414</v>
      </c>
      <c r="C203" s="9" t="s">
        <v>415</v>
      </c>
      <c r="D203" s="9">
        <f>IFERROR(__xludf.DUMMYFUNCTION("GOOGLEFINANCE(""NSE:""&amp;C203)"),732.95)</f>
        <v>732.95</v>
      </c>
      <c r="E203" s="10" t="str">
        <f>IFERROR(__xludf.DUMMYFUNCTION("INDEX(GOOGLEFINANCE(""NSE:""&amp;B203,dates!$I$1,dates!$C$3),2,2)"),"#N/A")</f>
        <v>#N/A</v>
      </c>
      <c r="F203" s="10">
        <f>IFERROR(__xludf.DUMMYFUNCTION("INDEX(GOOGLEFINANCE(""NSE:""&amp;C203,dates!$I$1,dates!$C$4),2,2)"),713.95)</f>
        <v>713.95</v>
      </c>
      <c r="G203" s="10">
        <f>IFERROR(__xludf.DUMMYFUNCTION("INDEX(GOOGLEFINANCE(""NSE:""&amp;C203,dates!$I$1,dates!$C$5),2,2)"),698.9)</f>
        <v>698.9</v>
      </c>
      <c r="H203" s="10">
        <f>IFERROR(__xludf.DUMMYFUNCTION("INDEX(GOOGLEFINANCE(""NSE:""&amp;C203,dates!$I$1,dates!$C$6),2,2)"),712.1)</f>
        <v>712.1</v>
      </c>
      <c r="I203" s="16">
        <f t="shared" si="1"/>
        <v>0.02661250788</v>
      </c>
      <c r="J203" s="16">
        <f t="shared" si="2"/>
        <v>0.04871941623</v>
      </c>
      <c r="K203" s="16">
        <f t="shared" si="3"/>
        <v>0.02927959556</v>
      </c>
      <c r="L203" s="16">
        <f t="shared" si="4"/>
        <v>-0.02210690835</v>
      </c>
      <c r="M203" s="17" t="str">
        <f t="shared" si="5"/>
        <v>#N/A</v>
      </c>
      <c r="N203" s="17" t="str">
        <f t="shared" si="6"/>
        <v>#N/A</v>
      </c>
      <c r="O203" s="17">
        <f t="shared" si="7"/>
        <v>161</v>
      </c>
      <c r="P203" s="17" t="str">
        <f t="shared" si="8"/>
        <v>#N/A</v>
      </c>
    </row>
    <row r="204">
      <c r="A204" s="7">
        <v>203.0</v>
      </c>
      <c r="B204" s="18" t="s">
        <v>416</v>
      </c>
      <c r="C204" s="9" t="s">
        <v>417</v>
      </c>
      <c r="D204" s="9">
        <f>IFERROR(__xludf.DUMMYFUNCTION("GOOGLEFINANCE(""NSE:""&amp;C204)"),8205.0)</f>
        <v>8205</v>
      </c>
      <c r="E204" s="10" t="str">
        <f>IFERROR(__xludf.DUMMYFUNCTION("INDEX(GOOGLEFINANCE(""NSE:""&amp;B204,dates!$I$1,dates!$C$3),2,2)"),"#N/A")</f>
        <v>#N/A</v>
      </c>
      <c r="F204" s="10">
        <f>IFERROR(__xludf.DUMMYFUNCTION("INDEX(GOOGLEFINANCE(""NSE:""&amp;C204,dates!$I$1,dates!$C$4),2,2)"),7916.3)</f>
        <v>7916.3</v>
      </c>
      <c r="G204" s="10">
        <f>IFERROR(__xludf.DUMMYFUNCTION("INDEX(GOOGLEFINANCE(""NSE:""&amp;C204,dates!$I$1,dates!$C$5),2,2)"),8213.45)</f>
        <v>8213.45</v>
      </c>
      <c r="H204" s="10">
        <f>IFERROR(__xludf.DUMMYFUNCTION("INDEX(GOOGLEFINANCE(""NSE:""&amp;C204,dates!$I$1,dates!$C$6),2,2)"),8794.0)</f>
        <v>8794</v>
      </c>
      <c r="I204" s="16">
        <f t="shared" si="1"/>
        <v>0.03646905751</v>
      </c>
      <c r="J204" s="16">
        <f t="shared" si="2"/>
        <v>-0.001028800321</v>
      </c>
      <c r="K204" s="16">
        <f t="shared" si="3"/>
        <v>-0.06697748465</v>
      </c>
      <c r="L204" s="16">
        <f t="shared" si="4"/>
        <v>0.03749785784</v>
      </c>
      <c r="M204" s="17" t="str">
        <f t="shared" si="5"/>
        <v>#N/A</v>
      </c>
      <c r="N204" s="17" t="str">
        <f t="shared" si="6"/>
        <v>#N/A</v>
      </c>
      <c r="O204" s="17">
        <f t="shared" si="7"/>
        <v>238</v>
      </c>
      <c r="P204" s="17" t="str">
        <f t="shared" si="8"/>
        <v>#N/A</v>
      </c>
    </row>
    <row r="205">
      <c r="A205" s="7">
        <v>204.0</v>
      </c>
      <c r="B205" s="18" t="s">
        <v>418</v>
      </c>
      <c r="C205" s="9" t="s">
        <v>418</v>
      </c>
      <c r="D205" s="9">
        <f>IFERROR(__xludf.DUMMYFUNCTION("GOOGLEFINANCE(""NSE:""&amp;C205)"),2884.85)</f>
        <v>2884.85</v>
      </c>
      <c r="E205" s="10" t="str">
        <f>IFERROR(__xludf.DUMMYFUNCTION("INDEX(GOOGLEFINANCE(""NSE:""&amp;B205,dates!$I$1,dates!$C$3),2,2)"),"#N/A")</f>
        <v>#N/A</v>
      </c>
      <c r="F205" s="10">
        <f>IFERROR(__xludf.DUMMYFUNCTION("INDEX(GOOGLEFINANCE(""NSE:""&amp;C205,dates!$I$1,dates!$C$4),2,2)"),2912.2)</f>
        <v>2912.2</v>
      </c>
      <c r="G205" s="10">
        <f>IFERROR(__xludf.DUMMYFUNCTION("INDEX(GOOGLEFINANCE(""NSE:""&amp;C205,dates!$I$1,dates!$C$5),2,2)"),2816.75)</f>
        <v>2816.75</v>
      </c>
      <c r="H205" s="10">
        <f>IFERROR(__xludf.DUMMYFUNCTION("INDEX(GOOGLEFINANCE(""NSE:""&amp;C205,dates!$I$1,dates!$C$6),2,2)"),2795.4)</f>
        <v>2795.4</v>
      </c>
      <c r="I205" s="16">
        <f t="shared" si="1"/>
        <v>-0.009391525307</v>
      </c>
      <c r="J205" s="16">
        <f t="shared" si="2"/>
        <v>0.0241767995</v>
      </c>
      <c r="K205" s="16">
        <f t="shared" si="3"/>
        <v>0.03199899835</v>
      </c>
      <c r="L205" s="16">
        <f t="shared" si="4"/>
        <v>-0.03356832481</v>
      </c>
      <c r="M205" s="17" t="str">
        <f t="shared" si="5"/>
        <v>#N/A</v>
      </c>
      <c r="N205" s="17" t="str">
        <f t="shared" si="6"/>
        <v>#N/A</v>
      </c>
      <c r="O205" s="17">
        <f t="shared" si="7"/>
        <v>156</v>
      </c>
      <c r="P205" s="17" t="str">
        <f t="shared" si="8"/>
        <v>#N/A</v>
      </c>
    </row>
    <row r="206">
      <c r="A206" s="7">
        <v>205.0</v>
      </c>
      <c r="B206" s="18" t="s">
        <v>419</v>
      </c>
      <c r="C206" s="9" t="s">
        <v>420</v>
      </c>
      <c r="D206" s="9">
        <f>IFERROR(__xludf.DUMMYFUNCTION("GOOGLEFINANCE(""NSE:""&amp;C206)"),440.3)</f>
        <v>440.3</v>
      </c>
      <c r="E206" s="10" t="str">
        <f>IFERROR(__xludf.DUMMYFUNCTION("INDEX(GOOGLEFINANCE(""NSE:""&amp;B206,dates!$I$1,dates!$C$3),2,2)"),"#N/A")</f>
        <v>#N/A</v>
      </c>
      <c r="F206" s="10">
        <f>IFERROR(__xludf.DUMMYFUNCTION("INDEX(GOOGLEFINANCE(""NSE:""&amp;C206,dates!$I$1,dates!$C$4),2,2)"),417.75)</f>
        <v>417.75</v>
      </c>
      <c r="G206" s="10">
        <f>IFERROR(__xludf.DUMMYFUNCTION("INDEX(GOOGLEFINANCE(""NSE:""&amp;C206,dates!$I$1,dates!$C$5),2,2)"),419.55)</f>
        <v>419.55</v>
      </c>
      <c r="H206" s="10">
        <f>IFERROR(__xludf.DUMMYFUNCTION("INDEX(GOOGLEFINANCE(""NSE:""&amp;C206,dates!$I$1,dates!$C$6),2,2)"),387.75)</f>
        <v>387.75</v>
      </c>
      <c r="I206" s="16">
        <f t="shared" si="1"/>
        <v>0.0539796529</v>
      </c>
      <c r="J206" s="16">
        <f t="shared" si="2"/>
        <v>0.04945775235</v>
      </c>
      <c r="K206" s="16">
        <f t="shared" si="3"/>
        <v>0.1355254674</v>
      </c>
      <c r="L206" s="16">
        <f t="shared" si="4"/>
        <v>0.004521900549</v>
      </c>
      <c r="M206" s="17" t="str">
        <f t="shared" si="5"/>
        <v>#N/A</v>
      </c>
      <c r="N206" s="17" t="str">
        <f t="shared" si="6"/>
        <v>#N/A</v>
      </c>
      <c r="O206" s="17">
        <f t="shared" si="7"/>
        <v>53</v>
      </c>
      <c r="P206" s="17" t="str">
        <f t="shared" si="8"/>
        <v>#N/A</v>
      </c>
    </row>
    <row r="207">
      <c r="A207" s="7">
        <v>206.0</v>
      </c>
      <c r="B207" s="18" t="s">
        <v>421</v>
      </c>
      <c r="C207" s="9" t="s">
        <v>422</v>
      </c>
      <c r="D207" s="9">
        <f>IFERROR(__xludf.DUMMYFUNCTION("GOOGLEFINANCE(""NSE:""&amp;C207)"),2805.8)</f>
        <v>2805.8</v>
      </c>
      <c r="E207" s="10" t="str">
        <f>IFERROR(__xludf.DUMMYFUNCTION("INDEX(GOOGLEFINANCE(""NSE:""&amp;B207,dates!$I$1,dates!$C$3),2,2)"),"#N/A")</f>
        <v>#N/A</v>
      </c>
      <c r="F207" s="10">
        <f>IFERROR(__xludf.DUMMYFUNCTION("INDEX(GOOGLEFINANCE(""NSE:""&amp;C207,dates!$I$1,dates!$C$4),2,2)"),2659.1)</f>
        <v>2659.1</v>
      </c>
      <c r="G207" s="10">
        <f>IFERROR(__xludf.DUMMYFUNCTION("INDEX(GOOGLEFINANCE(""NSE:""&amp;C207,dates!$I$1,dates!$C$5),2,2)"),2649.0)</f>
        <v>2649</v>
      </c>
      <c r="H207" s="10">
        <f>IFERROR(__xludf.DUMMYFUNCTION("INDEX(GOOGLEFINANCE(""NSE:""&amp;C207,dates!$I$1,dates!$C$6),2,2)"),2385.95)</f>
        <v>2385.95</v>
      </c>
      <c r="I207" s="16">
        <f t="shared" si="1"/>
        <v>0.05516904216</v>
      </c>
      <c r="J207" s="16">
        <f t="shared" si="2"/>
        <v>0.05919214798</v>
      </c>
      <c r="K207" s="16">
        <f t="shared" si="3"/>
        <v>0.1759676439</v>
      </c>
      <c r="L207" s="16">
        <f t="shared" si="4"/>
        <v>-0.004023105823</v>
      </c>
      <c r="M207" s="17" t="str">
        <f t="shared" si="5"/>
        <v>#N/A</v>
      </c>
      <c r="N207" s="17" t="str">
        <f t="shared" si="6"/>
        <v>#N/A</v>
      </c>
      <c r="O207" s="17">
        <f t="shared" si="7"/>
        <v>34</v>
      </c>
      <c r="P207" s="17" t="str">
        <f t="shared" si="8"/>
        <v>#N/A</v>
      </c>
    </row>
    <row r="208">
      <c r="A208" s="7">
        <v>207.0</v>
      </c>
      <c r="B208" s="18" t="s">
        <v>423</v>
      </c>
      <c r="C208" s="19" t="s">
        <v>424</v>
      </c>
      <c r="D208" s="9">
        <f>IFERROR(__xludf.DUMMYFUNCTION("GOOGLEFINANCE(""NSE:""&amp;C208)"),184.95)</f>
        <v>184.95</v>
      </c>
      <c r="E208" s="10" t="str">
        <f>IFERROR(__xludf.DUMMYFUNCTION("INDEX(GOOGLEFINANCE(""NSE:""&amp;B208,dates!$I$1,dates!$C$3),2,2)"),"#N/A")</f>
        <v>#N/A</v>
      </c>
      <c r="F208" s="10">
        <f>IFERROR(__xludf.DUMMYFUNCTION("INDEX(GOOGLEFINANCE(""NSE:""&amp;C208,dates!$I$1,dates!$C$4),2,2)"),179.35)</f>
        <v>179.35</v>
      </c>
      <c r="G208" s="10">
        <f>IFERROR(__xludf.DUMMYFUNCTION("INDEX(GOOGLEFINANCE(""NSE:""&amp;C208,dates!$I$1,dates!$C$5),2,2)"),168.55)</f>
        <v>168.55</v>
      </c>
      <c r="H208" s="10">
        <f>IFERROR(__xludf.DUMMYFUNCTION("INDEX(GOOGLEFINANCE(""NSE:""&amp;C208,dates!$I$1,dates!$C$6),2,2)"),155.55)</f>
        <v>155.55</v>
      </c>
      <c r="I208" s="16">
        <f t="shared" si="1"/>
        <v>0.03122386395</v>
      </c>
      <c r="J208" s="16">
        <f t="shared" si="2"/>
        <v>0.0973005043</v>
      </c>
      <c r="K208" s="16">
        <f t="shared" si="3"/>
        <v>0.1890067502</v>
      </c>
      <c r="L208" s="16">
        <f t="shared" si="4"/>
        <v>-0.06607664035</v>
      </c>
      <c r="M208" s="17" t="str">
        <f t="shared" si="5"/>
        <v>#N/A</v>
      </c>
      <c r="N208" s="17" t="str">
        <f t="shared" si="6"/>
        <v>#N/A</v>
      </c>
      <c r="O208" s="17">
        <f t="shared" si="7"/>
        <v>25</v>
      </c>
      <c r="P208" s="17" t="str">
        <f t="shared" si="8"/>
        <v>#N/A</v>
      </c>
    </row>
    <row r="209">
      <c r="A209" s="7">
        <v>208.0</v>
      </c>
      <c r="B209" s="18" t="s">
        <v>425</v>
      </c>
      <c r="C209" s="9" t="s">
        <v>426</v>
      </c>
      <c r="D209" s="9">
        <f>IFERROR(__xludf.DUMMYFUNCTION("GOOGLEFINANCE(""NSE:""&amp;C209)"),321.6)</f>
        <v>321.6</v>
      </c>
      <c r="E209" s="10" t="str">
        <f>IFERROR(__xludf.DUMMYFUNCTION("INDEX(GOOGLEFINANCE(""NSE:""&amp;B209,dates!$I$1,dates!$C$3),2,2)"),"#N/A")</f>
        <v>#N/A</v>
      </c>
      <c r="F209" s="10">
        <f>IFERROR(__xludf.DUMMYFUNCTION("INDEX(GOOGLEFINANCE(""NSE:""&amp;C209,dates!$I$1,dates!$C$4),2,2)"),321.25)</f>
        <v>321.25</v>
      </c>
      <c r="G209" s="10">
        <f>IFERROR(__xludf.DUMMYFUNCTION("INDEX(GOOGLEFINANCE(""NSE:""&amp;C209,dates!$I$1,dates!$C$5),2,2)"),351.0)</f>
        <v>351</v>
      </c>
      <c r="H209" s="10">
        <f>IFERROR(__xludf.DUMMYFUNCTION("INDEX(GOOGLEFINANCE(""NSE:""&amp;C209,dates!$I$1,dates!$C$6),2,2)"),347.05)</f>
        <v>347.05</v>
      </c>
      <c r="I209" s="16">
        <f t="shared" si="1"/>
        <v>0.001089494163</v>
      </c>
      <c r="J209" s="16">
        <f t="shared" si="2"/>
        <v>-0.08376068376</v>
      </c>
      <c r="K209" s="16">
        <f t="shared" si="3"/>
        <v>-0.07333237286</v>
      </c>
      <c r="L209" s="16">
        <f t="shared" si="4"/>
        <v>0.08485017792</v>
      </c>
      <c r="M209" s="17" t="str">
        <f t="shared" si="5"/>
        <v>#N/A</v>
      </c>
      <c r="N209" s="17" t="str">
        <f t="shared" si="6"/>
        <v>#N/A</v>
      </c>
      <c r="O209" s="17">
        <f t="shared" si="7"/>
        <v>241</v>
      </c>
      <c r="P209" s="17" t="str">
        <f t="shared" si="8"/>
        <v>#N/A</v>
      </c>
    </row>
    <row r="210">
      <c r="A210" s="7">
        <v>209.0</v>
      </c>
      <c r="B210" s="18" t="s">
        <v>427</v>
      </c>
      <c r="C210" s="9" t="s">
        <v>428</v>
      </c>
      <c r="D210" s="9">
        <f>IFERROR(__xludf.DUMMYFUNCTION("GOOGLEFINANCE(""NSE:""&amp;C210)"),219.1)</f>
        <v>219.1</v>
      </c>
      <c r="E210" s="10" t="str">
        <f>IFERROR(__xludf.DUMMYFUNCTION("INDEX(GOOGLEFINANCE(""NSE:""&amp;B210,dates!$I$1,dates!$C$3),2,2)"),"#N/A")</f>
        <v>#N/A</v>
      </c>
      <c r="F210" s="10">
        <f>IFERROR(__xludf.DUMMYFUNCTION("INDEX(GOOGLEFINANCE(""NSE:""&amp;C210,dates!$I$1,dates!$C$4),2,2)"),212.1)</f>
        <v>212.1</v>
      </c>
      <c r="G210" s="10">
        <f>IFERROR(__xludf.DUMMYFUNCTION("INDEX(GOOGLEFINANCE(""NSE:""&amp;C210,dates!$I$1,dates!$C$5),2,2)"),215.9)</f>
        <v>215.9</v>
      </c>
      <c r="H210" s="10">
        <f>IFERROR(__xludf.DUMMYFUNCTION("INDEX(GOOGLEFINANCE(""NSE:""&amp;C210,dates!$I$1,dates!$C$6),2,2)"),202.35)</f>
        <v>202.35</v>
      </c>
      <c r="I210" s="16">
        <f t="shared" si="1"/>
        <v>0.03300330033</v>
      </c>
      <c r="J210" s="16">
        <f t="shared" si="2"/>
        <v>0.0148216767</v>
      </c>
      <c r="K210" s="16">
        <f t="shared" si="3"/>
        <v>0.08277736595</v>
      </c>
      <c r="L210" s="16">
        <f t="shared" si="4"/>
        <v>0.01818162363</v>
      </c>
      <c r="M210" s="17" t="str">
        <f t="shared" si="5"/>
        <v>#N/A</v>
      </c>
      <c r="N210" s="17" t="str">
        <f t="shared" si="6"/>
        <v>#N/A</v>
      </c>
      <c r="O210" s="17">
        <f t="shared" si="7"/>
        <v>91</v>
      </c>
      <c r="P210" s="17" t="str">
        <f t="shared" si="8"/>
        <v>#N/A</v>
      </c>
    </row>
    <row r="211">
      <c r="A211" s="7">
        <v>211.0</v>
      </c>
      <c r="B211" s="18" t="s">
        <v>429</v>
      </c>
      <c r="C211" s="9" t="s">
        <v>430</v>
      </c>
      <c r="D211" s="9">
        <f>IFERROR(__xludf.DUMMYFUNCTION("GOOGLEFINANCE(""NSE:""&amp;C211)"),2557.0)</f>
        <v>2557</v>
      </c>
      <c r="E211" s="10" t="str">
        <f>IFERROR(__xludf.DUMMYFUNCTION("INDEX(GOOGLEFINANCE(""NSE:""&amp;B211,dates!$I$1,dates!$C$3),2,2)"),"#N/A")</f>
        <v>#N/A</v>
      </c>
      <c r="F211" s="10">
        <f>IFERROR(__xludf.DUMMYFUNCTION("INDEX(GOOGLEFINANCE(""NSE:""&amp;C211,dates!$I$1,dates!$C$4),2,2)"),2493.25)</f>
        <v>2493.25</v>
      </c>
      <c r="G211" s="10">
        <f>IFERROR(__xludf.DUMMYFUNCTION("INDEX(GOOGLEFINANCE(""NSE:""&amp;C211,dates!$I$1,dates!$C$5),2,2)"),2505.5)</f>
        <v>2505.5</v>
      </c>
      <c r="H211" s="10">
        <f>IFERROR(__xludf.DUMMYFUNCTION("INDEX(GOOGLEFINANCE(""NSE:""&amp;C211,dates!$I$1,dates!$C$6),2,2)"),2440.6)</f>
        <v>2440.6</v>
      </c>
      <c r="I211" s="16">
        <f t="shared" si="1"/>
        <v>0.0255690364</v>
      </c>
      <c r="J211" s="16">
        <f t="shared" si="2"/>
        <v>0.02055477949</v>
      </c>
      <c r="K211" s="16">
        <f t="shared" si="3"/>
        <v>0.0476931902</v>
      </c>
      <c r="L211" s="16">
        <f t="shared" si="4"/>
        <v>0.005014256913</v>
      </c>
      <c r="M211" s="17" t="str">
        <f t="shared" si="5"/>
        <v>#N/A</v>
      </c>
      <c r="N211" s="17" t="str">
        <f t="shared" si="6"/>
        <v>#N/A</v>
      </c>
      <c r="O211" s="17">
        <f t="shared" si="7"/>
        <v>136</v>
      </c>
      <c r="P211" s="17" t="str">
        <f t="shared" si="8"/>
        <v>#N/A</v>
      </c>
    </row>
    <row r="212">
      <c r="A212" s="7">
        <v>212.0</v>
      </c>
      <c r="B212" s="18" t="s">
        <v>431</v>
      </c>
      <c r="C212" s="9" t="s">
        <v>432</v>
      </c>
      <c r="D212" s="9">
        <f>IFERROR(__xludf.DUMMYFUNCTION("GOOGLEFINANCE(""NSE:""&amp;C212)"),3930.0)</f>
        <v>3930</v>
      </c>
      <c r="E212" s="10" t="str">
        <f>IFERROR(__xludf.DUMMYFUNCTION("INDEX(GOOGLEFINANCE(""NSE:""&amp;B212,dates!$I$1,dates!$C$3),2,2)"),"#N/A")</f>
        <v>#N/A</v>
      </c>
      <c r="F212" s="10">
        <f>IFERROR(__xludf.DUMMYFUNCTION("INDEX(GOOGLEFINANCE(""NSE:""&amp;C212,dates!$I$1,dates!$C$4),2,2)"),3860.15)</f>
        <v>3860.15</v>
      </c>
      <c r="G212" s="10">
        <f>IFERROR(__xludf.DUMMYFUNCTION("INDEX(GOOGLEFINANCE(""NSE:""&amp;C212,dates!$I$1,dates!$C$5),2,2)"),4019.85)</f>
        <v>4019.85</v>
      </c>
      <c r="H212" s="10">
        <f>IFERROR(__xludf.DUMMYFUNCTION("INDEX(GOOGLEFINANCE(""NSE:""&amp;C212,dates!$I$1,dates!$C$6),2,2)"),3830.05)</f>
        <v>3830.05</v>
      </c>
      <c r="I212" s="16">
        <f t="shared" si="1"/>
        <v>0.01809515174</v>
      </c>
      <c r="J212" s="16">
        <f t="shared" si="2"/>
        <v>-0.02235158028</v>
      </c>
      <c r="K212" s="16">
        <f t="shared" si="3"/>
        <v>0.02609626506</v>
      </c>
      <c r="L212" s="16">
        <f t="shared" si="4"/>
        <v>0.04044673203</v>
      </c>
      <c r="M212" s="17" t="str">
        <f t="shared" si="5"/>
        <v>#N/A</v>
      </c>
      <c r="N212" s="17" t="str">
        <f t="shared" si="6"/>
        <v>#N/A</v>
      </c>
      <c r="O212" s="17">
        <f t="shared" si="7"/>
        <v>167</v>
      </c>
      <c r="P212" s="17" t="str">
        <f t="shared" si="8"/>
        <v>#N/A</v>
      </c>
    </row>
    <row r="213">
      <c r="A213" s="7">
        <v>213.0</v>
      </c>
      <c r="B213" s="18" t="s">
        <v>433</v>
      </c>
      <c r="C213" s="9" t="s">
        <v>434</v>
      </c>
      <c r="D213" s="9">
        <f>IFERROR(__xludf.DUMMYFUNCTION("GOOGLEFINANCE(""NSE:""&amp;C213)"),2185.0)</f>
        <v>2185</v>
      </c>
      <c r="E213" s="10" t="str">
        <f>IFERROR(__xludf.DUMMYFUNCTION("INDEX(GOOGLEFINANCE(""NSE:""&amp;B213,dates!$I$1,dates!$C$3),2,2)"),"#N/A")</f>
        <v>#N/A</v>
      </c>
      <c r="F213" s="10">
        <f>IFERROR(__xludf.DUMMYFUNCTION("INDEX(GOOGLEFINANCE(""NSE:""&amp;C213,dates!$I$1,dates!$C$4),2,2)"),2185.15)</f>
        <v>2185.15</v>
      </c>
      <c r="G213" s="10">
        <f>IFERROR(__xludf.DUMMYFUNCTION("INDEX(GOOGLEFINANCE(""NSE:""&amp;C213,dates!$I$1,dates!$C$5),2,2)"),2137.05)</f>
        <v>2137.05</v>
      </c>
      <c r="H213" s="10">
        <f>IFERROR(__xludf.DUMMYFUNCTION("INDEX(GOOGLEFINANCE(""NSE:""&amp;C213,dates!$I$1,dates!$C$6),2,2)"),2218.3)</f>
        <v>2218.3</v>
      </c>
      <c r="I213" s="16">
        <f t="shared" si="1"/>
        <v>-0.0000686451731</v>
      </c>
      <c r="J213" s="16">
        <f t="shared" si="2"/>
        <v>0.02243747222</v>
      </c>
      <c r="K213" s="16">
        <f t="shared" si="3"/>
        <v>-0.01501149529</v>
      </c>
      <c r="L213" s="16">
        <f t="shared" si="4"/>
        <v>-0.02250611739</v>
      </c>
      <c r="M213" s="17" t="str">
        <f t="shared" si="5"/>
        <v>#N/A</v>
      </c>
      <c r="N213" s="17" t="str">
        <f t="shared" si="6"/>
        <v>#N/A</v>
      </c>
      <c r="O213" s="17">
        <f t="shared" si="7"/>
        <v>221</v>
      </c>
      <c r="P213" s="17" t="str">
        <f t="shared" si="8"/>
        <v>#N/A</v>
      </c>
    </row>
    <row r="214">
      <c r="A214" s="7">
        <v>214.0</v>
      </c>
      <c r="B214" s="18" t="s">
        <v>435</v>
      </c>
      <c r="C214" s="9" t="s">
        <v>436</v>
      </c>
      <c r="D214" s="9">
        <f>IFERROR(__xludf.DUMMYFUNCTION("GOOGLEFINANCE(""NSE:""&amp;C214)"),529.25)</f>
        <v>529.25</v>
      </c>
      <c r="E214" s="10" t="str">
        <f>IFERROR(__xludf.DUMMYFUNCTION("INDEX(GOOGLEFINANCE(""NSE:""&amp;B214,dates!$I$1,dates!$C$3),2,2)"),"#N/A")</f>
        <v>#N/A</v>
      </c>
      <c r="F214" s="10">
        <f>IFERROR(__xludf.DUMMYFUNCTION("INDEX(GOOGLEFINANCE(""NSE:""&amp;C214,dates!$I$1,dates!$C$4),2,2)"),493.15)</f>
        <v>493.15</v>
      </c>
      <c r="G214" s="10">
        <f>IFERROR(__xludf.DUMMYFUNCTION("INDEX(GOOGLEFINANCE(""NSE:""&amp;C214,dates!$I$1,dates!$C$5),2,2)"),488.65)</f>
        <v>488.65</v>
      </c>
      <c r="H214" s="10">
        <f>IFERROR(__xludf.DUMMYFUNCTION("INDEX(GOOGLEFINANCE(""NSE:""&amp;C214,dates!$I$1,dates!$C$6),2,2)"),482.65)</f>
        <v>482.65</v>
      </c>
      <c r="I214" s="16">
        <f t="shared" si="1"/>
        <v>0.07320287945</v>
      </c>
      <c r="J214" s="16">
        <f t="shared" si="2"/>
        <v>0.08308605341</v>
      </c>
      <c r="K214" s="16">
        <f t="shared" si="3"/>
        <v>0.09655029525</v>
      </c>
      <c r="L214" s="16">
        <f t="shared" si="4"/>
        <v>-0.009883173964</v>
      </c>
      <c r="M214" s="17" t="str">
        <f t="shared" si="5"/>
        <v>#N/A</v>
      </c>
      <c r="N214" s="17" t="str">
        <f t="shared" si="6"/>
        <v>#N/A</v>
      </c>
      <c r="O214" s="17">
        <f t="shared" si="7"/>
        <v>77</v>
      </c>
      <c r="P214" s="17" t="str">
        <f t="shared" si="8"/>
        <v>#N/A</v>
      </c>
    </row>
    <row r="215">
      <c r="A215" s="7">
        <v>215.0</v>
      </c>
      <c r="B215" s="18" t="s">
        <v>437</v>
      </c>
      <c r="C215" s="9" t="s">
        <v>438</v>
      </c>
      <c r="D215" s="9">
        <f>IFERROR(__xludf.DUMMYFUNCTION("GOOGLEFINANCE(""NSE:""&amp;C215)"),5978.55)</f>
        <v>5978.55</v>
      </c>
      <c r="E215" s="10" t="str">
        <f>IFERROR(__xludf.DUMMYFUNCTION("INDEX(GOOGLEFINANCE(""NSE:""&amp;B215,dates!$I$1,dates!$C$3),2,2)"),"#N/A")</f>
        <v>#N/A</v>
      </c>
      <c r="F215" s="10">
        <f>IFERROR(__xludf.DUMMYFUNCTION("INDEX(GOOGLEFINANCE(""NSE:""&amp;C215,dates!$I$1,dates!$C$4),2,2)"),5945.5)</f>
        <v>5945.5</v>
      </c>
      <c r="G215" s="10">
        <f>IFERROR(__xludf.DUMMYFUNCTION("INDEX(GOOGLEFINANCE(""NSE:""&amp;C215,dates!$I$1,dates!$C$5),2,2)"),6145.5)</f>
        <v>6145.5</v>
      </c>
      <c r="H215" s="10">
        <f>IFERROR(__xludf.DUMMYFUNCTION("INDEX(GOOGLEFINANCE(""NSE:""&amp;C215,dates!$I$1,dates!$C$6),2,2)"),5825.25)</f>
        <v>5825.25</v>
      </c>
      <c r="I215" s="16">
        <f t="shared" si="1"/>
        <v>0.005558826003</v>
      </c>
      <c r="J215" s="16">
        <f t="shared" si="2"/>
        <v>-0.02716621918</v>
      </c>
      <c r="K215" s="16">
        <f t="shared" si="3"/>
        <v>0.0263164671</v>
      </c>
      <c r="L215" s="16">
        <f t="shared" si="4"/>
        <v>0.03272504519</v>
      </c>
      <c r="M215" s="17" t="str">
        <f t="shared" si="5"/>
        <v>#N/A</v>
      </c>
      <c r="N215" s="17" t="str">
        <f t="shared" si="6"/>
        <v>#N/A</v>
      </c>
      <c r="O215" s="17">
        <f t="shared" si="7"/>
        <v>166</v>
      </c>
      <c r="P215" s="17" t="str">
        <f t="shared" si="8"/>
        <v>#N/A</v>
      </c>
    </row>
    <row r="216">
      <c r="A216" s="7">
        <v>216.0</v>
      </c>
      <c r="B216" s="18" t="s">
        <v>439</v>
      </c>
      <c r="C216" s="9" t="s">
        <v>440</v>
      </c>
      <c r="D216" s="9">
        <f>IFERROR(__xludf.DUMMYFUNCTION("GOOGLEFINANCE(""NSE:""&amp;C216)"),215.2)</f>
        <v>215.2</v>
      </c>
      <c r="E216" s="10" t="str">
        <f>IFERROR(__xludf.DUMMYFUNCTION("INDEX(GOOGLEFINANCE(""NSE:""&amp;B216,dates!$I$1,dates!$C$3),2,2)"),"#N/A")</f>
        <v>#N/A</v>
      </c>
      <c r="F216" s="10">
        <f>IFERROR(__xludf.DUMMYFUNCTION("INDEX(GOOGLEFINANCE(""NSE:""&amp;C216,dates!$I$1,dates!$C$4),2,2)"),199.8)</f>
        <v>199.8</v>
      </c>
      <c r="G216" s="10">
        <f>IFERROR(__xludf.DUMMYFUNCTION("INDEX(GOOGLEFINANCE(""NSE:""&amp;C216,dates!$I$1,dates!$C$5),2,2)"),193.35)</f>
        <v>193.35</v>
      </c>
      <c r="H216" s="10">
        <f>IFERROR(__xludf.DUMMYFUNCTION("INDEX(GOOGLEFINANCE(""NSE:""&amp;C216,dates!$I$1,dates!$C$6),2,2)"),176.55)</f>
        <v>176.55</v>
      </c>
      <c r="I216" s="16">
        <f t="shared" si="1"/>
        <v>0.07707707708</v>
      </c>
      <c r="J216" s="16">
        <f t="shared" si="2"/>
        <v>0.1130074994</v>
      </c>
      <c r="K216" s="16">
        <f t="shared" si="3"/>
        <v>0.2189181535</v>
      </c>
      <c r="L216" s="16">
        <f t="shared" si="4"/>
        <v>-0.03593042228</v>
      </c>
      <c r="M216" s="17" t="str">
        <f t="shared" si="5"/>
        <v>#N/A</v>
      </c>
      <c r="N216" s="17" t="str">
        <f t="shared" si="6"/>
        <v>#N/A</v>
      </c>
      <c r="O216" s="17">
        <f t="shared" si="7"/>
        <v>20</v>
      </c>
      <c r="P216" s="17" t="str">
        <f t="shared" si="8"/>
        <v>#N/A</v>
      </c>
    </row>
    <row r="217">
      <c r="A217" s="7">
        <v>217.0</v>
      </c>
      <c r="B217" s="18" t="s">
        <v>441</v>
      </c>
      <c r="C217" s="9" t="s">
        <v>442</v>
      </c>
      <c r="D217" s="9">
        <f>IFERROR(__xludf.DUMMYFUNCTION("GOOGLEFINANCE(""NSE:""&amp;C217)"),591.1)</f>
        <v>591.1</v>
      </c>
      <c r="E217" s="10" t="str">
        <f>IFERROR(__xludf.DUMMYFUNCTION("INDEX(GOOGLEFINANCE(""NSE:""&amp;B217,dates!$I$1,dates!$C$3),2,2)"),"#N/A")</f>
        <v>#N/A</v>
      </c>
      <c r="F217" s="10">
        <f>IFERROR(__xludf.DUMMYFUNCTION("INDEX(GOOGLEFINANCE(""NSE:""&amp;C217,dates!$I$1,dates!$C$4),2,2)"),546.8)</f>
        <v>546.8</v>
      </c>
      <c r="G217" s="10">
        <f>IFERROR(__xludf.DUMMYFUNCTION("INDEX(GOOGLEFINANCE(""NSE:""&amp;C217,dates!$I$1,dates!$C$5),2,2)"),553.7)</f>
        <v>553.7</v>
      </c>
      <c r="H217" s="10">
        <f>IFERROR(__xludf.DUMMYFUNCTION("INDEX(GOOGLEFINANCE(""NSE:""&amp;C217,dates!$I$1,dates!$C$6),2,2)"),551.15)</f>
        <v>551.15</v>
      </c>
      <c r="I217" s="16">
        <f t="shared" si="1"/>
        <v>0.08101682516</v>
      </c>
      <c r="J217" s="16">
        <f t="shared" si="2"/>
        <v>0.06754560231</v>
      </c>
      <c r="K217" s="16">
        <f t="shared" si="3"/>
        <v>0.0724848045</v>
      </c>
      <c r="L217" s="16">
        <f t="shared" si="4"/>
        <v>0.01347122285</v>
      </c>
      <c r="M217" s="17" t="str">
        <f t="shared" si="5"/>
        <v>#N/A</v>
      </c>
      <c r="N217" s="17" t="str">
        <f t="shared" si="6"/>
        <v>#N/A</v>
      </c>
      <c r="O217" s="17">
        <f t="shared" si="7"/>
        <v>102</v>
      </c>
      <c r="P217" s="17" t="str">
        <f t="shared" si="8"/>
        <v>#N/A</v>
      </c>
    </row>
    <row r="218">
      <c r="A218" s="7">
        <v>218.0</v>
      </c>
      <c r="B218" s="18" t="s">
        <v>443</v>
      </c>
      <c r="C218" s="9" t="s">
        <v>444</v>
      </c>
      <c r="D218" s="9">
        <f>IFERROR(__xludf.DUMMYFUNCTION("GOOGLEFINANCE(""NSE:""&amp;C218)"),57.05)</f>
        <v>57.05</v>
      </c>
      <c r="E218" s="10" t="str">
        <f>IFERROR(__xludf.DUMMYFUNCTION("INDEX(GOOGLEFINANCE(""NSE:""&amp;B218,dates!$I$1,dates!$C$3),2,2)"),"#N/A")</f>
        <v>#N/A</v>
      </c>
      <c r="F218" s="10">
        <f>IFERROR(__xludf.DUMMYFUNCTION("INDEX(GOOGLEFINANCE(""NSE:""&amp;C218,dates!$I$1,dates!$C$4),2,2)"),56.55)</f>
        <v>56.55</v>
      </c>
      <c r="G218" s="10">
        <f>IFERROR(__xludf.DUMMYFUNCTION("INDEX(GOOGLEFINANCE(""NSE:""&amp;C218,dates!$I$1,dates!$C$5),2,2)"),55.15)</f>
        <v>55.15</v>
      </c>
      <c r="H218" s="10">
        <f>IFERROR(__xludf.DUMMYFUNCTION("INDEX(GOOGLEFINANCE(""NSE:""&amp;C218,dates!$I$1,dates!$C$6),2,2)"),54.2)</f>
        <v>54.2</v>
      </c>
      <c r="I218" s="16">
        <f t="shared" si="1"/>
        <v>0.00884173298</v>
      </c>
      <c r="J218" s="16">
        <f t="shared" si="2"/>
        <v>0.03445149592</v>
      </c>
      <c r="K218" s="16">
        <f t="shared" si="3"/>
        <v>0.05258302583</v>
      </c>
      <c r="L218" s="16">
        <f t="shared" si="4"/>
        <v>-0.02560976294</v>
      </c>
      <c r="M218" s="17" t="str">
        <f t="shared" si="5"/>
        <v>#N/A</v>
      </c>
      <c r="N218" s="17" t="str">
        <f t="shared" si="6"/>
        <v>#N/A</v>
      </c>
      <c r="O218" s="17">
        <f t="shared" si="7"/>
        <v>130</v>
      </c>
      <c r="P218" s="17" t="str">
        <f t="shared" si="8"/>
        <v>#N/A</v>
      </c>
    </row>
    <row r="219">
      <c r="A219" s="7">
        <v>219.0</v>
      </c>
      <c r="B219" s="18" t="s">
        <v>445</v>
      </c>
      <c r="C219" s="9" t="s">
        <v>446</v>
      </c>
      <c r="D219" s="9">
        <f>IFERROR(__xludf.DUMMYFUNCTION("GOOGLEFINANCE(""NSE:""&amp;C219)"),1759.0)</f>
        <v>1759</v>
      </c>
      <c r="E219" s="10" t="str">
        <f>IFERROR(__xludf.DUMMYFUNCTION("INDEX(GOOGLEFINANCE(""NSE:""&amp;B219,dates!$I$1,dates!$C$3),2,2)"),"#N/A")</f>
        <v>#N/A</v>
      </c>
      <c r="F219" s="10">
        <f>IFERROR(__xludf.DUMMYFUNCTION("INDEX(GOOGLEFINANCE(""NSE:""&amp;C219,dates!$I$1,dates!$C$4),2,2)"),1704.2)</f>
        <v>1704.2</v>
      </c>
      <c r="G219" s="10">
        <f>IFERROR(__xludf.DUMMYFUNCTION("INDEX(GOOGLEFINANCE(""NSE:""&amp;C219,dates!$I$1,dates!$C$5),2,2)"),1697.35)</f>
        <v>1697.35</v>
      </c>
      <c r="H219" s="10">
        <f>IFERROR(__xludf.DUMMYFUNCTION("INDEX(GOOGLEFINANCE(""NSE:""&amp;C219,dates!$I$1,dates!$C$6),2,2)"),1699.0)</f>
        <v>1699</v>
      </c>
      <c r="I219" s="16">
        <f t="shared" si="1"/>
        <v>0.03215585025</v>
      </c>
      <c r="J219" s="16">
        <f t="shared" si="2"/>
        <v>0.03632132442</v>
      </c>
      <c r="K219" s="16">
        <f t="shared" si="3"/>
        <v>0.03531489111</v>
      </c>
      <c r="L219" s="16">
        <f t="shared" si="4"/>
        <v>-0.004165474165</v>
      </c>
      <c r="M219" s="17" t="str">
        <f t="shared" si="5"/>
        <v>#N/A</v>
      </c>
      <c r="N219" s="17" t="str">
        <f t="shared" si="6"/>
        <v>#N/A</v>
      </c>
      <c r="O219" s="17">
        <f t="shared" si="7"/>
        <v>154</v>
      </c>
      <c r="P219" s="17" t="str">
        <f t="shared" si="8"/>
        <v>#N/A</v>
      </c>
    </row>
    <row r="220">
      <c r="A220" s="7">
        <v>220.0</v>
      </c>
      <c r="B220" s="18" t="s">
        <v>447</v>
      </c>
      <c r="C220" s="9" t="s">
        <v>448</v>
      </c>
      <c r="D220" s="9">
        <f>IFERROR(__xludf.DUMMYFUNCTION("GOOGLEFINANCE(""NSE:""&amp;C220)"),1168.0)</f>
        <v>1168</v>
      </c>
      <c r="E220" s="10" t="str">
        <f>IFERROR(__xludf.DUMMYFUNCTION("INDEX(GOOGLEFINANCE(""NSE:""&amp;B220,dates!$I$1,dates!$C$3),2,2)"),"#N/A")</f>
        <v>#N/A</v>
      </c>
      <c r="F220" s="10">
        <f>IFERROR(__xludf.DUMMYFUNCTION("INDEX(GOOGLEFINANCE(""NSE:""&amp;C220,dates!$I$1,dates!$C$4),2,2)"),1155.0)</f>
        <v>1155</v>
      </c>
      <c r="G220" s="10">
        <f>IFERROR(__xludf.DUMMYFUNCTION("INDEX(GOOGLEFINANCE(""NSE:""&amp;C220,dates!$I$1,dates!$C$5),2,2)"),1172.7)</f>
        <v>1172.7</v>
      </c>
      <c r="H220" s="10">
        <f>IFERROR(__xludf.DUMMYFUNCTION("INDEX(GOOGLEFINANCE(""NSE:""&amp;C220,dates!$I$1,dates!$C$6),2,2)"),1185.05)</f>
        <v>1185.05</v>
      </c>
      <c r="I220" s="16">
        <f t="shared" si="1"/>
        <v>0.01125541126</v>
      </c>
      <c r="J220" s="16">
        <f t="shared" si="2"/>
        <v>-0.004007845144</v>
      </c>
      <c r="K220" s="16">
        <f t="shared" si="3"/>
        <v>-0.01438757858</v>
      </c>
      <c r="L220" s="16">
        <f t="shared" si="4"/>
        <v>0.0152632564</v>
      </c>
      <c r="M220" s="17" t="str">
        <f t="shared" si="5"/>
        <v>#N/A</v>
      </c>
      <c r="N220" s="17" t="str">
        <f t="shared" si="6"/>
        <v>#N/A</v>
      </c>
      <c r="O220" s="17">
        <f t="shared" si="7"/>
        <v>218</v>
      </c>
      <c r="P220" s="17" t="str">
        <f t="shared" si="8"/>
        <v>#N/A</v>
      </c>
    </row>
    <row r="221">
      <c r="A221" s="7">
        <v>221.0</v>
      </c>
      <c r="B221" s="18" t="s">
        <v>449</v>
      </c>
      <c r="C221" s="9" t="s">
        <v>450</v>
      </c>
      <c r="D221" s="9">
        <f>IFERROR(__xludf.DUMMYFUNCTION("GOOGLEFINANCE(""NSE:""&amp;C221)"),2020.0)</f>
        <v>2020</v>
      </c>
      <c r="E221" s="10" t="str">
        <f>IFERROR(__xludf.DUMMYFUNCTION("INDEX(GOOGLEFINANCE(""NSE:""&amp;B221,dates!$I$1,dates!$C$3),2,2)"),"#N/A")</f>
        <v>#N/A</v>
      </c>
      <c r="F221" s="10">
        <f>IFERROR(__xludf.DUMMYFUNCTION("INDEX(GOOGLEFINANCE(""NSE:""&amp;C221,dates!$I$1,dates!$C$4),2,2)"),2097.75)</f>
        <v>2097.75</v>
      </c>
      <c r="G221" s="10">
        <f>IFERROR(__xludf.DUMMYFUNCTION("INDEX(GOOGLEFINANCE(""NSE:""&amp;C221,dates!$I$1,dates!$C$5),2,2)"),2095.85)</f>
        <v>2095.85</v>
      </c>
      <c r="H221" s="10">
        <f>IFERROR(__xludf.DUMMYFUNCTION("INDEX(GOOGLEFINANCE(""NSE:""&amp;C221,dates!$I$1,dates!$C$6),2,2)"),1932.9)</f>
        <v>1932.9</v>
      </c>
      <c r="I221" s="16">
        <f t="shared" si="1"/>
        <v>-0.03706352044</v>
      </c>
      <c r="J221" s="16">
        <f t="shared" si="2"/>
        <v>-0.03619056707</v>
      </c>
      <c r="K221" s="16">
        <f t="shared" si="3"/>
        <v>0.0450618242</v>
      </c>
      <c r="L221" s="16">
        <f t="shared" si="4"/>
        <v>-0.0008729533655</v>
      </c>
      <c r="M221" s="17" t="str">
        <f t="shared" si="5"/>
        <v>#N/A</v>
      </c>
      <c r="N221" s="17" t="str">
        <f t="shared" si="6"/>
        <v>#N/A</v>
      </c>
      <c r="O221" s="17">
        <f t="shared" si="7"/>
        <v>143</v>
      </c>
      <c r="P221" s="17" t="str">
        <f t="shared" si="8"/>
        <v>#N/A</v>
      </c>
    </row>
    <row r="222">
      <c r="A222" s="7">
        <v>222.0</v>
      </c>
      <c r="B222" s="18" t="s">
        <v>451</v>
      </c>
      <c r="C222" s="9" t="s">
        <v>452</v>
      </c>
      <c r="D222" s="9">
        <f>IFERROR(__xludf.DUMMYFUNCTION("GOOGLEFINANCE(""NSE:""&amp;C222)"),1507.0)</f>
        <v>1507</v>
      </c>
      <c r="E222" s="10" t="str">
        <f>IFERROR(__xludf.DUMMYFUNCTION("INDEX(GOOGLEFINANCE(""NSE:""&amp;B222,dates!$I$1,dates!$C$3),2,2)"),"#N/A")</f>
        <v>#N/A</v>
      </c>
      <c r="F222" s="10">
        <f>IFERROR(__xludf.DUMMYFUNCTION("INDEX(GOOGLEFINANCE(""NSE:""&amp;C222,dates!$I$1,dates!$C$4),2,2)"),1452.55)</f>
        <v>1452.55</v>
      </c>
      <c r="G222" s="10">
        <f>IFERROR(__xludf.DUMMYFUNCTION("INDEX(GOOGLEFINANCE(""NSE:""&amp;C222,dates!$I$1,dates!$C$5),2,2)"),1378.85)</f>
        <v>1378.85</v>
      </c>
      <c r="H222" s="10">
        <f>IFERROR(__xludf.DUMMYFUNCTION("INDEX(GOOGLEFINANCE(""NSE:""&amp;C222,dates!$I$1,dates!$C$6),2,2)"),1347.5)</f>
        <v>1347.5</v>
      </c>
      <c r="I222" s="16">
        <f t="shared" si="1"/>
        <v>0.03748580083</v>
      </c>
      <c r="J222" s="16">
        <f t="shared" si="2"/>
        <v>0.09293976865</v>
      </c>
      <c r="K222" s="16">
        <f t="shared" si="3"/>
        <v>0.1183673469</v>
      </c>
      <c r="L222" s="16">
        <f t="shared" si="4"/>
        <v>-0.05545396781</v>
      </c>
      <c r="M222" s="17" t="str">
        <f t="shared" si="5"/>
        <v>#N/A</v>
      </c>
      <c r="N222" s="17" t="str">
        <f t="shared" si="6"/>
        <v>#N/A</v>
      </c>
      <c r="O222" s="17">
        <f t="shared" si="7"/>
        <v>60</v>
      </c>
      <c r="P222" s="17" t="str">
        <f t="shared" si="8"/>
        <v>#N/A</v>
      </c>
    </row>
    <row r="223">
      <c r="A223" s="7">
        <v>223.0</v>
      </c>
      <c r="B223" s="18" t="s">
        <v>453</v>
      </c>
      <c r="C223" s="9" t="s">
        <v>454</v>
      </c>
      <c r="D223" s="9">
        <f>IFERROR(__xludf.DUMMYFUNCTION("GOOGLEFINANCE(""NSE:""&amp;C223)"),1874.0)</f>
        <v>1874</v>
      </c>
      <c r="E223" s="10" t="str">
        <f>IFERROR(__xludf.DUMMYFUNCTION("INDEX(GOOGLEFINANCE(""NSE:""&amp;B223,dates!$I$1,dates!$C$3),2,2)"),"#N/A")</f>
        <v>#N/A</v>
      </c>
      <c r="F223" s="10">
        <f>IFERROR(__xludf.DUMMYFUNCTION("INDEX(GOOGLEFINANCE(""NSE:""&amp;C223,dates!$I$1,dates!$C$4),2,2)"),1857.15)</f>
        <v>1857.15</v>
      </c>
      <c r="G223" s="10">
        <f>IFERROR(__xludf.DUMMYFUNCTION("INDEX(GOOGLEFINANCE(""NSE:""&amp;C223,dates!$I$1,dates!$C$5),2,2)"),1930.75)</f>
        <v>1930.75</v>
      </c>
      <c r="H223" s="10">
        <f>IFERROR(__xludf.DUMMYFUNCTION("INDEX(GOOGLEFINANCE(""NSE:""&amp;C223,dates!$I$1,dates!$C$6),2,2)"),1789.5)</f>
        <v>1789.5</v>
      </c>
      <c r="I223" s="16">
        <f t="shared" si="1"/>
        <v>0.009073042027</v>
      </c>
      <c r="J223" s="16">
        <f t="shared" si="2"/>
        <v>-0.02939272304</v>
      </c>
      <c r="K223" s="16">
        <f t="shared" si="3"/>
        <v>0.04721989383</v>
      </c>
      <c r="L223" s="16">
        <f t="shared" si="4"/>
        <v>0.03846576506</v>
      </c>
      <c r="M223" s="17" t="str">
        <f t="shared" si="5"/>
        <v>#N/A</v>
      </c>
      <c r="N223" s="17" t="str">
        <f t="shared" si="6"/>
        <v>#N/A</v>
      </c>
      <c r="O223" s="17">
        <f t="shared" si="7"/>
        <v>138</v>
      </c>
      <c r="P223" s="17" t="str">
        <f t="shared" si="8"/>
        <v>#N/A</v>
      </c>
    </row>
    <row r="224">
      <c r="A224" s="7">
        <v>224.0</v>
      </c>
      <c r="B224" s="18" t="s">
        <v>455</v>
      </c>
      <c r="C224" s="9" t="s">
        <v>456</v>
      </c>
      <c r="D224" s="9">
        <f>IFERROR(__xludf.DUMMYFUNCTION("GOOGLEFINANCE(""NSE:""&amp;C224)"),21.2)</f>
        <v>21.2</v>
      </c>
      <c r="E224" s="10" t="str">
        <f>IFERROR(__xludf.DUMMYFUNCTION("INDEX(GOOGLEFINANCE(""NSE:""&amp;B224,dates!$I$1,dates!$C$3),2,2)"),"#N/A")</f>
        <v>#N/A</v>
      </c>
      <c r="F224" s="10">
        <f>IFERROR(__xludf.DUMMYFUNCTION("INDEX(GOOGLEFINANCE(""NSE:""&amp;C224,dates!$I$1,dates!$C$4),2,2)"),23.2)</f>
        <v>23.2</v>
      </c>
      <c r="G224" s="10">
        <f>IFERROR(__xludf.DUMMYFUNCTION("INDEX(GOOGLEFINANCE(""NSE:""&amp;C224,dates!$I$1,dates!$C$5),2,2)"),20.5)</f>
        <v>20.5</v>
      </c>
      <c r="H224" s="10">
        <f>IFERROR(__xludf.DUMMYFUNCTION("INDEX(GOOGLEFINANCE(""NSE:""&amp;C224,dates!$I$1,dates!$C$6),2,2)"),20.7)</f>
        <v>20.7</v>
      </c>
      <c r="I224" s="16">
        <f t="shared" si="1"/>
        <v>-0.08620689655</v>
      </c>
      <c r="J224" s="16">
        <f t="shared" si="2"/>
        <v>0.03414634146</v>
      </c>
      <c r="K224" s="16">
        <f t="shared" si="3"/>
        <v>0.02415458937</v>
      </c>
      <c r="L224" s="16">
        <f t="shared" si="4"/>
        <v>-0.120353238</v>
      </c>
      <c r="M224" s="17" t="str">
        <f t="shared" si="5"/>
        <v>#N/A</v>
      </c>
      <c r="N224" s="17" t="str">
        <f t="shared" si="6"/>
        <v>#N/A</v>
      </c>
      <c r="O224" s="17">
        <f t="shared" si="7"/>
        <v>173</v>
      </c>
      <c r="P224" s="17" t="str">
        <f t="shared" si="8"/>
        <v>#N/A</v>
      </c>
    </row>
    <row r="225">
      <c r="A225" s="7">
        <v>225.0</v>
      </c>
      <c r="B225" s="18" t="s">
        <v>457</v>
      </c>
      <c r="C225" s="9" t="s">
        <v>458</v>
      </c>
      <c r="D225" s="9">
        <f>IFERROR(__xludf.DUMMYFUNCTION("GOOGLEFINANCE(""NSE:""&amp;C225)"),36.0)</f>
        <v>36</v>
      </c>
      <c r="E225" s="10" t="str">
        <f>IFERROR(__xludf.DUMMYFUNCTION("INDEX(GOOGLEFINANCE(""NSE:""&amp;B225,dates!$I$1,dates!$C$3),2,2)"),"#N/A")</f>
        <v>#N/A</v>
      </c>
      <c r="F225" s="10">
        <f>IFERROR(__xludf.DUMMYFUNCTION("INDEX(GOOGLEFINANCE(""NSE:""&amp;C225,dates!$I$1,dates!$C$4),2,2)"),31.55)</f>
        <v>31.55</v>
      </c>
      <c r="G225" s="10">
        <f>IFERROR(__xludf.DUMMYFUNCTION("INDEX(GOOGLEFINANCE(""NSE:""&amp;C225,dates!$I$1,dates!$C$5),2,2)"),30.0)</f>
        <v>30</v>
      </c>
      <c r="H225" s="10">
        <f>IFERROR(__xludf.DUMMYFUNCTION("INDEX(GOOGLEFINANCE(""NSE:""&amp;C225,dates!$I$1,dates!$C$6),2,2)"),29.15)</f>
        <v>29.15</v>
      </c>
      <c r="I225" s="16">
        <f t="shared" si="1"/>
        <v>0.1410459588</v>
      </c>
      <c r="J225" s="16">
        <f t="shared" si="2"/>
        <v>0.2</v>
      </c>
      <c r="K225" s="16">
        <f t="shared" si="3"/>
        <v>0.2349914237</v>
      </c>
      <c r="L225" s="16">
        <f t="shared" si="4"/>
        <v>-0.0589540412</v>
      </c>
      <c r="M225" s="17" t="str">
        <f t="shared" si="5"/>
        <v>#N/A</v>
      </c>
      <c r="N225" s="17" t="str">
        <f t="shared" si="6"/>
        <v>#N/A</v>
      </c>
      <c r="O225" s="17">
        <f t="shared" si="7"/>
        <v>18</v>
      </c>
      <c r="P225" s="17" t="str">
        <f t="shared" si="8"/>
        <v>#N/A</v>
      </c>
    </row>
    <row r="226">
      <c r="A226" s="7">
        <v>227.0</v>
      </c>
      <c r="B226" s="18" t="s">
        <v>459</v>
      </c>
      <c r="C226" s="9" t="s">
        <v>460</v>
      </c>
      <c r="D226" s="9">
        <f>IFERROR(__xludf.DUMMYFUNCTION("GOOGLEFINANCE(""NSE:""&amp;C226)"),3418.95)</f>
        <v>3418.95</v>
      </c>
      <c r="E226" s="10" t="str">
        <f>IFERROR(__xludf.DUMMYFUNCTION("INDEX(GOOGLEFINANCE(""NSE:""&amp;B226,dates!$I$1,dates!$C$3),2,2)"),"#N/A")</f>
        <v>#N/A</v>
      </c>
      <c r="F226" s="10">
        <f>IFERROR(__xludf.DUMMYFUNCTION("INDEX(GOOGLEFINANCE(""NSE:""&amp;C226,dates!$I$1,dates!$C$4),2,2)"),3609.95)</f>
        <v>3609.95</v>
      </c>
      <c r="G226" s="10">
        <f>IFERROR(__xludf.DUMMYFUNCTION("INDEX(GOOGLEFINANCE(""NSE:""&amp;C226,dates!$I$1,dates!$C$5),2,2)"),3603.65)</f>
        <v>3603.65</v>
      </c>
      <c r="H226" s="10">
        <f>IFERROR(__xludf.DUMMYFUNCTION("INDEX(GOOGLEFINANCE(""NSE:""&amp;C226,dates!$I$1,dates!$C$6),2,2)"),3435.05)</f>
        <v>3435.05</v>
      </c>
      <c r="I226" s="16">
        <f t="shared" si="1"/>
        <v>-0.05290932007</v>
      </c>
      <c r="J226" s="16">
        <f t="shared" si="2"/>
        <v>-0.05125359011</v>
      </c>
      <c r="K226" s="16">
        <f t="shared" si="3"/>
        <v>-0.0046869769</v>
      </c>
      <c r="L226" s="16">
        <f t="shared" si="4"/>
        <v>-0.001655729964</v>
      </c>
      <c r="M226" s="17" t="str">
        <f t="shared" si="5"/>
        <v>#N/A</v>
      </c>
      <c r="N226" s="17" t="str">
        <f t="shared" si="6"/>
        <v>#N/A</v>
      </c>
      <c r="O226" s="17">
        <f t="shared" si="7"/>
        <v>211</v>
      </c>
      <c r="P226" s="17" t="str">
        <f t="shared" si="8"/>
        <v>#N/A</v>
      </c>
    </row>
    <row r="227">
      <c r="A227" s="7">
        <v>228.0</v>
      </c>
      <c r="B227" s="18" t="s">
        <v>461</v>
      </c>
      <c r="C227" s="9" t="s">
        <v>462</v>
      </c>
      <c r="D227" s="9">
        <f>IFERROR(__xludf.DUMMYFUNCTION("GOOGLEFINANCE(""NSE:""&amp;C227)"),883.95)</f>
        <v>883.95</v>
      </c>
      <c r="E227" s="10" t="str">
        <f>IFERROR(__xludf.DUMMYFUNCTION("INDEX(GOOGLEFINANCE(""NSE:""&amp;B227,dates!$I$1,dates!$C$3),2,2)"),"#N/A")</f>
        <v>#N/A</v>
      </c>
      <c r="F227" s="10">
        <f>IFERROR(__xludf.DUMMYFUNCTION("INDEX(GOOGLEFINANCE(""NSE:""&amp;C227,dates!$I$1,dates!$C$4),2,2)"),937.4)</f>
        <v>937.4</v>
      </c>
      <c r="G227" s="10">
        <f>IFERROR(__xludf.DUMMYFUNCTION("INDEX(GOOGLEFINANCE(""NSE:""&amp;C227,dates!$I$1,dates!$C$5),2,2)"),970.6)</f>
        <v>970.6</v>
      </c>
      <c r="H227" s="10">
        <f>IFERROR(__xludf.DUMMYFUNCTION("INDEX(GOOGLEFINANCE(""NSE:""&amp;C227,dates!$I$1,dates!$C$6),2,2)"),938.1)</f>
        <v>938.1</v>
      </c>
      <c r="I227" s="16">
        <f t="shared" si="1"/>
        <v>-0.0570194154</v>
      </c>
      <c r="J227" s="16">
        <f t="shared" si="2"/>
        <v>-0.08927467546</v>
      </c>
      <c r="K227" s="16">
        <f t="shared" si="3"/>
        <v>-0.05772305724</v>
      </c>
      <c r="L227" s="16">
        <f t="shared" si="4"/>
        <v>0.03225526005</v>
      </c>
      <c r="M227" s="17" t="str">
        <f t="shared" si="5"/>
        <v>#N/A</v>
      </c>
      <c r="N227" s="17" t="str">
        <f t="shared" si="6"/>
        <v>#N/A</v>
      </c>
      <c r="O227" s="17">
        <f t="shared" si="7"/>
        <v>235</v>
      </c>
      <c r="P227" s="17" t="str">
        <f t="shared" si="8"/>
        <v>#N/A</v>
      </c>
    </row>
    <row r="228">
      <c r="A228" s="7">
        <v>229.0</v>
      </c>
      <c r="B228" s="18" t="s">
        <v>463</v>
      </c>
      <c r="C228" s="20">
        <v>543217.0</v>
      </c>
      <c r="D228" s="9">
        <f>IFERROR(__xludf.DUMMYFUNCTION("GOOGLEFINANCE(""BOM:""&amp;C228)"),298.2)</f>
        <v>298.2</v>
      </c>
      <c r="E228" s="10" t="str">
        <f>IFERROR(__xludf.DUMMYFUNCTION("INDEX(GOOGLEFINANCE(""NSE:""&amp;B228,dates!$I$1,dates!$C$3),2,2)"),"#N/A")</f>
        <v>#N/A</v>
      </c>
      <c r="F228" s="10">
        <f>IFERROR(__xludf.DUMMYFUNCTION("INDEX(GOOGLEFINANCE(""BOM:""&amp;C228,dates!$I$1,dates!$C$4),2,2)"),296.96)</f>
        <v>296.96</v>
      </c>
      <c r="G228" s="10">
        <f>IFERROR(__xludf.DUMMYFUNCTION("INDEX(GOOGLEFINANCE(""BOM:""&amp;C228,dates!$I$1,dates!$C$5),2,2)"),298.83)</f>
        <v>298.83</v>
      </c>
      <c r="H228" s="10">
        <f>IFERROR(__xludf.DUMMYFUNCTION("INDEX(GOOGLEFINANCE(""BOM:""&amp;C228,dates!$I$1,dates!$C$6),2,2)"),290.46)</f>
        <v>290.46</v>
      </c>
      <c r="I228" s="16">
        <f t="shared" si="1"/>
        <v>0.004175646552</v>
      </c>
      <c r="J228" s="16">
        <f t="shared" si="2"/>
        <v>-0.002108222066</v>
      </c>
      <c r="K228" s="16">
        <f t="shared" si="3"/>
        <v>0.0266473869</v>
      </c>
      <c r="L228" s="16">
        <f t="shared" si="4"/>
        <v>0.006283868618</v>
      </c>
      <c r="M228" s="17" t="str">
        <f t="shared" si="5"/>
        <v>#N/A</v>
      </c>
      <c r="N228" s="17" t="str">
        <f t="shared" si="6"/>
        <v>#N/A</v>
      </c>
      <c r="O228" s="17">
        <f t="shared" si="7"/>
        <v>165</v>
      </c>
      <c r="P228" s="17" t="str">
        <f t="shared" si="8"/>
        <v>#N/A</v>
      </c>
    </row>
    <row r="229">
      <c r="A229" s="7">
        <v>230.0</v>
      </c>
      <c r="B229" s="18" t="s">
        <v>464</v>
      </c>
      <c r="C229" s="9" t="s">
        <v>465</v>
      </c>
      <c r="D229" s="9">
        <f>IFERROR(__xludf.DUMMYFUNCTION("GOOGLEFINANCE(""NSE:""&amp;C229)"),580.8)</f>
        <v>580.8</v>
      </c>
      <c r="E229" s="10" t="str">
        <f>IFERROR(__xludf.DUMMYFUNCTION("INDEX(GOOGLEFINANCE(""NSE:""&amp;B229,dates!$I$1,dates!$C$3),2,2)"),"#N/A")</f>
        <v>#N/A</v>
      </c>
      <c r="F229" s="10">
        <f>IFERROR(__xludf.DUMMYFUNCTION("INDEX(GOOGLEFINANCE(""NSE:""&amp;C229,dates!$I$1,dates!$C$4),2,2)"),581.65)</f>
        <v>581.65</v>
      </c>
      <c r="G229" s="10">
        <f>IFERROR(__xludf.DUMMYFUNCTION("INDEX(GOOGLEFINANCE(""NSE:""&amp;C229,dates!$I$1,dates!$C$5),2,2)"),606.7)</f>
        <v>606.7</v>
      </c>
      <c r="H229" s="10">
        <f>IFERROR(__xludf.DUMMYFUNCTION("INDEX(GOOGLEFINANCE(""NSE:""&amp;C229,dates!$I$1,dates!$C$6),2,2)"),589.45)</f>
        <v>589.45</v>
      </c>
      <c r="I229" s="16">
        <f t="shared" si="1"/>
        <v>-0.001461359924</v>
      </c>
      <c r="J229" s="16">
        <f t="shared" si="2"/>
        <v>-0.04268996209</v>
      </c>
      <c r="K229" s="16">
        <f t="shared" si="3"/>
        <v>-0.01467469675</v>
      </c>
      <c r="L229" s="16">
        <f t="shared" si="4"/>
        <v>0.04122860217</v>
      </c>
      <c r="M229" s="17" t="str">
        <f t="shared" si="5"/>
        <v>#N/A</v>
      </c>
      <c r="N229" s="17" t="str">
        <f t="shared" si="6"/>
        <v>#N/A</v>
      </c>
      <c r="O229" s="17">
        <f t="shared" si="7"/>
        <v>220</v>
      </c>
      <c r="P229" s="17" t="str">
        <f t="shared" si="8"/>
        <v>#N/A</v>
      </c>
    </row>
    <row r="230">
      <c r="A230" s="7">
        <v>231.0</v>
      </c>
      <c r="B230" s="18" t="s">
        <v>466</v>
      </c>
      <c r="C230" s="9" t="s">
        <v>467</v>
      </c>
      <c r="D230" s="9">
        <f>IFERROR(__xludf.DUMMYFUNCTION("GOOGLEFINANCE(""NSE:""&amp;C230)"),81.95)</f>
        <v>81.95</v>
      </c>
      <c r="E230" s="10" t="str">
        <f>IFERROR(__xludf.DUMMYFUNCTION("INDEX(GOOGLEFINANCE(""NSE:""&amp;B230,dates!$I$1,dates!$C$3),2,2)"),"#N/A")</f>
        <v>#N/A</v>
      </c>
      <c r="F230" s="10">
        <f>IFERROR(__xludf.DUMMYFUNCTION("INDEX(GOOGLEFINANCE(""NSE:""&amp;C230,dates!$I$1,dates!$C$4),2,2)"),83.3)</f>
        <v>83.3</v>
      </c>
      <c r="G230" s="10">
        <f>IFERROR(__xludf.DUMMYFUNCTION("INDEX(GOOGLEFINANCE(""NSE:""&amp;C230,dates!$I$1,dates!$C$5),2,2)"),82.1)</f>
        <v>82.1</v>
      </c>
      <c r="H230" s="10">
        <f>IFERROR(__xludf.DUMMYFUNCTION("INDEX(GOOGLEFINANCE(""NSE:""&amp;C230,dates!$I$1,dates!$C$6),2,2)"),77.95)</f>
        <v>77.95</v>
      </c>
      <c r="I230" s="16">
        <f t="shared" si="1"/>
        <v>-0.01620648259</v>
      </c>
      <c r="J230" s="16">
        <f t="shared" si="2"/>
        <v>-0.001827040195</v>
      </c>
      <c r="K230" s="16">
        <f t="shared" si="3"/>
        <v>0.05131494548</v>
      </c>
      <c r="L230" s="16">
        <f t="shared" si="4"/>
        <v>-0.0143794424</v>
      </c>
      <c r="M230" s="17" t="str">
        <f t="shared" si="5"/>
        <v>#N/A</v>
      </c>
      <c r="N230" s="17" t="str">
        <f t="shared" si="6"/>
        <v>#N/A</v>
      </c>
      <c r="O230" s="17">
        <f t="shared" si="7"/>
        <v>132</v>
      </c>
      <c r="P230" s="17" t="str">
        <f t="shared" si="8"/>
        <v>#N/A</v>
      </c>
    </row>
    <row r="231">
      <c r="A231" s="7">
        <v>232.0</v>
      </c>
      <c r="B231" s="18" t="s">
        <v>468</v>
      </c>
      <c r="C231" s="9" t="s">
        <v>469</v>
      </c>
      <c r="D231" s="9">
        <f>IFERROR(__xludf.DUMMYFUNCTION("GOOGLEFINANCE(""NSE:""&amp;C231)"),10.55)</f>
        <v>10.55</v>
      </c>
      <c r="E231" s="10" t="str">
        <f>IFERROR(__xludf.DUMMYFUNCTION("INDEX(GOOGLEFINANCE(""NSE:""&amp;B231,dates!$I$1,dates!$C$3),2,2)"),"#N/A")</f>
        <v>#N/A</v>
      </c>
      <c r="F231" s="10">
        <f>IFERROR(__xludf.DUMMYFUNCTION("INDEX(GOOGLEFINANCE(""NSE:""&amp;C231,dates!$I$1,dates!$C$4),2,2)"),11.15)</f>
        <v>11.15</v>
      </c>
      <c r="G231" s="10">
        <f>IFERROR(__xludf.DUMMYFUNCTION("INDEX(GOOGLEFINANCE(""NSE:""&amp;C231,dates!$I$1,dates!$C$5),2,2)"),7.95)</f>
        <v>7.95</v>
      </c>
      <c r="H231" s="10">
        <f>IFERROR(__xludf.DUMMYFUNCTION("INDEX(GOOGLEFINANCE(""NSE:""&amp;C231,dates!$I$1,dates!$C$6),2,2)"),6.0)</f>
        <v>6</v>
      </c>
      <c r="I231" s="16">
        <f t="shared" si="1"/>
        <v>-0.05381165919</v>
      </c>
      <c r="J231" s="16">
        <f t="shared" si="2"/>
        <v>0.3270440252</v>
      </c>
      <c r="K231" s="16">
        <f t="shared" si="3"/>
        <v>0.7583333333</v>
      </c>
      <c r="L231" s="16">
        <f t="shared" si="4"/>
        <v>-0.3808556844</v>
      </c>
      <c r="M231" s="17" t="str">
        <f t="shared" si="5"/>
        <v>#N/A</v>
      </c>
      <c r="N231" s="17" t="str">
        <f t="shared" si="6"/>
        <v>#N/A</v>
      </c>
      <c r="O231" s="17">
        <f t="shared" si="7"/>
        <v>2</v>
      </c>
      <c r="P231" s="17" t="str">
        <f t="shared" si="8"/>
        <v>#N/A</v>
      </c>
    </row>
    <row r="232">
      <c r="A232" s="7">
        <v>233.0</v>
      </c>
      <c r="B232" s="18" t="s">
        <v>470</v>
      </c>
      <c r="C232" s="9" t="s">
        <v>471</v>
      </c>
      <c r="D232" s="9">
        <f>IFERROR(__xludf.DUMMYFUNCTION("GOOGLEFINANCE(""NSE:""&amp;C232)"),920.0)</f>
        <v>920</v>
      </c>
      <c r="E232" s="10" t="str">
        <f>IFERROR(__xludf.DUMMYFUNCTION("INDEX(GOOGLEFINANCE(""NSE:""&amp;B232,dates!$I$1,dates!$C$3),2,2)"),"#N/A")</f>
        <v>#N/A</v>
      </c>
      <c r="F232" s="10">
        <f>IFERROR(__xludf.DUMMYFUNCTION("INDEX(GOOGLEFINANCE(""NSE:""&amp;C232,dates!$I$1,dates!$C$4),2,2)"),903.35)</f>
        <v>903.35</v>
      </c>
      <c r="G232" s="10">
        <f>IFERROR(__xludf.DUMMYFUNCTION("INDEX(GOOGLEFINANCE(""NSE:""&amp;C232,dates!$I$1,dates!$C$5),2,2)"),884.1)</f>
        <v>884.1</v>
      </c>
      <c r="H232" s="10">
        <f>IFERROR(__xludf.DUMMYFUNCTION("INDEX(GOOGLEFINANCE(""NSE:""&amp;C232,dates!$I$1,dates!$C$6),2,2)"),775.05)</f>
        <v>775.05</v>
      </c>
      <c r="I232" s="16">
        <f t="shared" si="1"/>
        <v>0.01843139425</v>
      </c>
      <c r="J232" s="16">
        <f t="shared" si="2"/>
        <v>0.04060626626</v>
      </c>
      <c r="K232" s="16">
        <f t="shared" si="3"/>
        <v>0.1870201922</v>
      </c>
      <c r="L232" s="16">
        <f t="shared" si="4"/>
        <v>-0.022174872</v>
      </c>
      <c r="M232" s="17" t="str">
        <f t="shared" si="5"/>
        <v>#N/A</v>
      </c>
      <c r="N232" s="17" t="str">
        <f t="shared" si="6"/>
        <v>#N/A</v>
      </c>
      <c r="O232" s="17">
        <f t="shared" si="7"/>
        <v>26</v>
      </c>
      <c r="P232" s="17" t="str">
        <f t="shared" si="8"/>
        <v>#N/A</v>
      </c>
    </row>
    <row r="233">
      <c r="A233" s="7">
        <v>234.0</v>
      </c>
      <c r="B233" s="18" t="s">
        <v>472</v>
      </c>
      <c r="C233" s="9" t="s">
        <v>473</v>
      </c>
      <c r="D233" s="9">
        <f>IFERROR(__xludf.DUMMYFUNCTION("GOOGLEFINANCE(""NSE:""&amp;C233)"),185.0)</f>
        <v>185</v>
      </c>
      <c r="E233" s="10" t="str">
        <f>IFERROR(__xludf.DUMMYFUNCTION("INDEX(GOOGLEFINANCE(""NSE:""&amp;B233,dates!$I$1,dates!$C$3),2,2)"),"#N/A")</f>
        <v>#N/A</v>
      </c>
      <c r="F233" s="10">
        <f>IFERROR(__xludf.DUMMYFUNCTION("INDEX(GOOGLEFINANCE(""NSE:""&amp;C233,dates!$I$1,dates!$C$4),2,2)"),149.05)</f>
        <v>149.05</v>
      </c>
      <c r="G233" s="10">
        <f>IFERROR(__xludf.DUMMYFUNCTION("INDEX(GOOGLEFINANCE(""NSE:""&amp;C233,dates!$I$1,dates!$C$5),2,2)"),154.1)</f>
        <v>154.1</v>
      </c>
      <c r="H233" s="10">
        <f>IFERROR(__xludf.DUMMYFUNCTION("INDEX(GOOGLEFINANCE(""NSE:""&amp;C233,dates!$I$1,dates!$C$6),2,2)"),140.15)</f>
        <v>140.15</v>
      </c>
      <c r="I233" s="16">
        <f t="shared" si="1"/>
        <v>0.2411942301</v>
      </c>
      <c r="J233" s="16">
        <f t="shared" si="2"/>
        <v>0.2005191434</v>
      </c>
      <c r="K233" s="16">
        <f t="shared" si="3"/>
        <v>0.3200142704</v>
      </c>
      <c r="L233" s="16">
        <f t="shared" si="4"/>
        <v>0.04067508671</v>
      </c>
      <c r="M233" s="17" t="str">
        <f t="shared" si="5"/>
        <v>#N/A</v>
      </c>
      <c r="N233" s="17" t="str">
        <f t="shared" si="6"/>
        <v>#N/A</v>
      </c>
      <c r="O233" s="17">
        <f t="shared" si="7"/>
        <v>8</v>
      </c>
      <c r="P233" s="17" t="str">
        <f t="shared" si="8"/>
        <v>#N/A</v>
      </c>
    </row>
    <row r="234">
      <c r="A234" s="7">
        <v>235.0</v>
      </c>
      <c r="B234" s="18" t="s">
        <v>474</v>
      </c>
      <c r="C234" s="9" t="s">
        <v>475</v>
      </c>
      <c r="D234" s="9">
        <f>IFERROR(__xludf.DUMMYFUNCTION("GOOGLEFINANCE(""NSE:""&amp;C234)"),1400.0)</f>
        <v>1400</v>
      </c>
      <c r="E234" s="10" t="str">
        <f>IFERROR(__xludf.DUMMYFUNCTION("INDEX(GOOGLEFINANCE(""NSE:""&amp;B234,dates!$I$1,dates!$C$3),2,2)"),"#N/A")</f>
        <v>#N/A</v>
      </c>
      <c r="F234" s="10">
        <f>IFERROR(__xludf.DUMMYFUNCTION("INDEX(GOOGLEFINANCE(""NSE:""&amp;C234,dates!$I$1,dates!$C$4),2,2)"),1476.45)</f>
        <v>1476.45</v>
      </c>
      <c r="G234" s="10">
        <f>IFERROR(__xludf.DUMMYFUNCTION("INDEX(GOOGLEFINANCE(""NSE:""&amp;C234,dates!$I$1,dates!$C$5),2,2)"),1430.95)</f>
        <v>1430.95</v>
      </c>
      <c r="H234" s="10">
        <f>IFERROR(__xludf.DUMMYFUNCTION("INDEX(GOOGLEFINANCE(""NSE:""&amp;C234,dates!$I$1,dates!$C$6),2,2)"),1373.5)</f>
        <v>1373.5</v>
      </c>
      <c r="I234" s="16">
        <f t="shared" si="1"/>
        <v>-0.05177960649</v>
      </c>
      <c r="J234" s="16">
        <f t="shared" si="2"/>
        <v>-0.02162898774</v>
      </c>
      <c r="K234" s="16">
        <f t="shared" si="3"/>
        <v>0.01929377503</v>
      </c>
      <c r="L234" s="16">
        <f t="shared" si="4"/>
        <v>-0.03015061875</v>
      </c>
      <c r="M234" s="17" t="str">
        <f t="shared" si="5"/>
        <v>#N/A</v>
      </c>
      <c r="N234" s="17" t="str">
        <f t="shared" si="6"/>
        <v>#N/A</v>
      </c>
      <c r="O234" s="17">
        <f t="shared" si="7"/>
        <v>185</v>
      </c>
      <c r="P234" s="17" t="str">
        <f t="shared" si="8"/>
        <v>#N/A</v>
      </c>
    </row>
    <row r="235">
      <c r="A235" s="7">
        <v>236.0</v>
      </c>
      <c r="B235" s="18" t="s">
        <v>476</v>
      </c>
      <c r="C235" s="9" t="s">
        <v>477</v>
      </c>
      <c r="D235" s="9">
        <f>IFERROR(__xludf.DUMMYFUNCTION("GOOGLEFINANCE(""NSE:""&amp;C235)"),318.95)</f>
        <v>318.95</v>
      </c>
      <c r="E235" s="10" t="str">
        <f>IFERROR(__xludf.DUMMYFUNCTION("INDEX(GOOGLEFINANCE(""NSE:""&amp;B235,dates!$I$1,dates!$C$3),2,2)"),"#N/A")</f>
        <v>#N/A</v>
      </c>
      <c r="F235" s="10">
        <f>IFERROR(__xludf.DUMMYFUNCTION("INDEX(GOOGLEFINANCE(""NSE:""&amp;C235,dates!$I$1,dates!$C$4),2,2)"),255.45)</f>
        <v>255.45</v>
      </c>
      <c r="G235" s="10">
        <f>IFERROR(__xludf.DUMMYFUNCTION("INDEX(GOOGLEFINANCE(""NSE:""&amp;C235,dates!$I$1,dates!$C$5),2,2)"),186.85)</f>
        <v>186.85</v>
      </c>
      <c r="H235" s="10">
        <f>IFERROR(__xludf.DUMMYFUNCTION("INDEX(GOOGLEFINANCE(""NSE:""&amp;C235,dates!$I$1,dates!$C$6),2,2)"),170.75)</f>
        <v>170.75</v>
      </c>
      <c r="I235" s="16">
        <f t="shared" si="1"/>
        <v>0.2485809356</v>
      </c>
      <c r="J235" s="16">
        <f t="shared" si="2"/>
        <v>0.7069842119</v>
      </c>
      <c r="K235" s="16">
        <f t="shared" si="3"/>
        <v>0.8679355783</v>
      </c>
      <c r="L235" s="16">
        <f t="shared" si="4"/>
        <v>-0.4584032763</v>
      </c>
      <c r="M235" s="17" t="str">
        <f t="shared" si="5"/>
        <v>#N/A</v>
      </c>
      <c r="N235" s="17" t="str">
        <f t="shared" si="6"/>
        <v>#N/A</v>
      </c>
      <c r="O235" s="17">
        <f t="shared" si="7"/>
        <v>1</v>
      </c>
      <c r="P235" s="17" t="str">
        <f t="shared" si="8"/>
        <v>#N/A</v>
      </c>
    </row>
    <row r="236">
      <c r="A236" s="7">
        <v>237.0</v>
      </c>
      <c r="B236" s="18" t="s">
        <v>478</v>
      </c>
      <c r="C236" s="9" t="s">
        <v>479</v>
      </c>
      <c r="D236" s="9">
        <f>IFERROR(__xludf.DUMMYFUNCTION("GOOGLEFINANCE(""NSE:""&amp;C236)"),90.9)</f>
        <v>90.9</v>
      </c>
      <c r="E236" s="10" t="str">
        <f>IFERROR(__xludf.DUMMYFUNCTION("INDEX(GOOGLEFINANCE(""NSE:""&amp;B236,dates!$I$1,dates!$C$3),2,2)"),"#N/A")</f>
        <v>#N/A</v>
      </c>
      <c r="F236" s="10">
        <f>IFERROR(__xludf.DUMMYFUNCTION("INDEX(GOOGLEFINANCE(""NSE:""&amp;C236,dates!$I$1,dates!$C$4),2,2)"),94.15)</f>
        <v>94.15</v>
      </c>
      <c r="G236" s="10">
        <f>IFERROR(__xludf.DUMMYFUNCTION("INDEX(GOOGLEFINANCE(""NSE:""&amp;C236,dates!$I$1,dates!$C$5),2,2)"),100.75)</f>
        <v>100.75</v>
      </c>
      <c r="H236" s="10">
        <f>IFERROR(__xludf.DUMMYFUNCTION("INDEX(GOOGLEFINANCE(""NSE:""&amp;C236,dates!$I$1,dates!$C$6),2,2)"),85.0)</f>
        <v>85</v>
      </c>
      <c r="I236" s="16">
        <f t="shared" si="1"/>
        <v>-0.03451938396</v>
      </c>
      <c r="J236" s="16">
        <f t="shared" si="2"/>
        <v>-0.09776674938</v>
      </c>
      <c r="K236" s="16">
        <f t="shared" si="3"/>
        <v>0.06941176471</v>
      </c>
      <c r="L236" s="16">
        <f t="shared" si="4"/>
        <v>0.06324736542</v>
      </c>
      <c r="M236" s="17" t="str">
        <f t="shared" si="5"/>
        <v>#N/A</v>
      </c>
      <c r="N236" s="17" t="str">
        <f t="shared" si="6"/>
        <v>#N/A</v>
      </c>
      <c r="O236" s="17">
        <f t="shared" si="7"/>
        <v>105</v>
      </c>
      <c r="P236" s="17" t="str">
        <f t="shared" si="8"/>
        <v>#N/A</v>
      </c>
    </row>
    <row r="237">
      <c r="A237" s="7">
        <v>238.0</v>
      </c>
      <c r="B237" s="18" t="s">
        <v>480</v>
      </c>
      <c r="C237" s="9" t="s">
        <v>481</v>
      </c>
      <c r="D237" s="9">
        <f>IFERROR(__xludf.DUMMYFUNCTION("GOOGLEFINANCE(""NSE:""&amp;C237)"),2000.0)</f>
        <v>2000</v>
      </c>
      <c r="E237" s="10" t="str">
        <f>IFERROR(__xludf.DUMMYFUNCTION("INDEX(GOOGLEFINANCE(""NSE:""&amp;B237,dates!$I$1,dates!$C$3),2,2)"),"#N/A")</f>
        <v>#N/A</v>
      </c>
      <c r="F237" s="10">
        <f>IFERROR(__xludf.DUMMYFUNCTION("INDEX(GOOGLEFINANCE(""NSE:""&amp;C237,dates!$I$1,dates!$C$4),2,2)"),1979.1)</f>
        <v>1979.1</v>
      </c>
      <c r="G237" s="10">
        <f>IFERROR(__xludf.DUMMYFUNCTION("INDEX(GOOGLEFINANCE(""NSE:""&amp;C237,dates!$I$1,dates!$C$5),2,2)"),1805.75)</f>
        <v>1805.75</v>
      </c>
      <c r="H237" s="10">
        <f>IFERROR(__xludf.DUMMYFUNCTION("INDEX(GOOGLEFINANCE(""NSE:""&amp;C237,dates!$I$1,dates!$C$6),2,2)"),1724.25)</f>
        <v>1724.25</v>
      </c>
      <c r="I237" s="16">
        <f t="shared" si="1"/>
        <v>0.01056035572</v>
      </c>
      <c r="J237" s="16">
        <f t="shared" si="2"/>
        <v>0.1075730306</v>
      </c>
      <c r="K237" s="16">
        <f t="shared" si="3"/>
        <v>0.1599246049</v>
      </c>
      <c r="L237" s="16">
        <f t="shared" si="4"/>
        <v>-0.09701267488</v>
      </c>
      <c r="M237" s="17" t="str">
        <f t="shared" si="5"/>
        <v>#N/A</v>
      </c>
      <c r="N237" s="17" t="str">
        <f t="shared" si="6"/>
        <v>#N/A</v>
      </c>
      <c r="O237" s="17">
        <f t="shared" si="7"/>
        <v>39</v>
      </c>
      <c r="P237" s="17" t="str">
        <f t="shared" si="8"/>
        <v>#N/A</v>
      </c>
    </row>
    <row r="238">
      <c r="A238" s="7">
        <v>239.0</v>
      </c>
      <c r="B238" s="18" t="s">
        <v>482</v>
      </c>
      <c r="C238" s="9" t="s">
        <v>483</v>
      </c>
      <c r="D238" s="9">
        <f>IFERROR(__xludf.DUMMYFUNCTION("GOOGLEFINANCE(""NSE:""&amp;C238)"),3435.0)</f>
        <v>3435</v>
      </c>
      <c r="E238" s="10" t="str">
        <f>IFERROR(__xludf.DUMMYFUNCTION("INDEX(GOOGLEFINANCE(""NSE:""&amp;B238,dates!$I$1,dates!$C$3),2,2)"),"#N/A")</f>
        <v>#N/A</v>
      </c>
      <c r="F238" s="10">
        <f>IFERROR(__xludf.DUMMYFUNCTION("INDEX(GOOGLEFINANCE(""NSE:""&amp;C238,dates!$I$1,dates!$C$4),2,2)"),3425.35)</f>
        <v>3425.35</v>
      </c>
      <c r="G238" s="10">
        <f>IFERROR(__xludf.DUMMYFUNCTION("INDEX(GOOGLEFINANCE(""NSE:""&amp;C238,dates!$I$1,dates!$C$5),2,2)"),3420.45)</f>
        <v>3420.45</v>
      </c>
      <c r="H238" s="10">
        <f>IFERROR(__xludf.DUMMYFUNCTION("INDEX(GOOGLEFINANCE(""NSE:""&amp;C238,dates!$I$1,dates!$C$6),2,2)"),3432.9)</f>
        <v>3432.9</v>
      </c>
      <c r="I238" s="16">
        <f t="shared" si="1"/>
        <v>0.002817230356</v>
      </c>
      <c r="J238" s="16">
        <f t="shared" si="2"/>
        <v>0.004253826251</v>
      </c>
      <c r="K238" s="16">
        <f t="shared" si="3"/>
        <v>0.0006117276938</v>
      </c>
      <c r="L238" s="16">
        <f t="shared" si="4"/>
        <v>-0.001436595895</v>
      </c>
      <c r="M238" s="17" t="str">
        <f t="shared" si="5"/>
        <v>#N/A</v>
      </c>
      <c r="N238" s="17" t="str">
        <f t="shared" si="6"/>
        <v>#N/A</v>
      </c>
      <c r="O238" s="17">
        <f t="shared" si="7"/>
        <v>203</v>
      </c>
      <c r="P238" s="17" t="str">
        <f t="shared" si="8"/>
        <v>#N/A</v>
      </c>
    </row>
    <row r="239">
      <c r="A239" s="7">
        <v>240.0</v>
      </c>
      <c r="B239" s="18" t="s">
        <v>484</v>
      </c>
      <c r="C239" s="9" t="s">
        <v>485</v>
      </c>
      <c r="D239" s="9">
        <f>IFERROR(__xludf.DUMMYFUNCTION("GOOGLEFINANCE(""NSE:""&amp;C239)"),2118.0)</f>
        <v>2118</v>
      </c>
      <c r="E239" s="10" t="str">
        <f>IFERROR(__xludf.DUMMYFUNCTION("INDEX(GOOGLEFINANCE(""NSE:""&amp;B239,dates!$I$1,dates!$C$3),2,2)"),"#N/A")</f>
        <v>#N/A</v>
      </c>
      <c r="F239" s="10">
        <f>IFERROR(__xludf.DUMMYFUNCTION("INDEX(GOOGLEFINANCE(""NSE:""&amp;C239,dates!$I$1,dates!$C$4),2,2)"),1881.8)</f>
        <v>1881.8</v>
      </c>
      <c r="G239" s="10">
        <f>IFERROR(__xludf.DUMMYFUNCTION("INDEX(GOOGLEFINANCE(""NSE:""&amp;C239,dates!$I$1,dates!$C$5),2,2)"),1671.85)</f>
        <v>1671.85</v>
      </c>
      <c r="H239" s="10">
        <f>IFERROR(__xludf.DUMMYFUNCTION("INDEX(GOOGLEFINANCE(""NSE:""&amp;C239,dates!$I$1,dates!$C$6),2,2)"),1436.85)</f>
        <v>1436.85</v>
      </c>
      <c r="I239" s="16">
        <f t="shared" si="1"/>
        <v>0.1255181209</v>
      </c>
      <c r="J239" s="16">
        <f t="shared" si="2"/>
        <v>0.2668600652</v>
      </c>
      <c r="K239" s="16">
        <f t="shared" si="3"/>
        <v>0.4740578348</v>
      </c>
      <c r="L239" s="16">
        <f t="shared" si="4"/>
        <v>-0.1413419442</v>
      </c>
      <c r="M239" s="17" t="str">
        <f t="shared" si="5"/>
        <v>#N/A</v>
      </c>
      <c r="N239" s="17" t="str">
        <f t="shared" si="6"/>
        <v>#N/A</v>
      </c>
      <c r="O239" s="17">
        <f t="shared" si="7"/>
        <v>4</v>
      </c>
      <c r="P239" s="17" t="str">
        <f t="shared" si="8"/>
        <v>#N/A</v>
      </c>
    </row>
    <row r="240">
      <c r="A240" s="7">
        <v>241.0</v>
      </c>
      <c r="B240" s="18" t="s">
        <v>486</v>
      </c>
      <c r="C240" s="9" t="s">
        <v>487</v>
      </c>
      <c r="D240" s="9">
        <f>IFERROR(__xludf.DUMMYFUNCTION("GOOGLEFINANCE(""NSE:""&amp;C240)"),13.5)</f>
        <v>13.5</v>
      </c>
      <c r="E240" s="10" t="str">
        <f>IFERROR(__xludf.DUMMYFUNCTION("INDEX(GOOGLEFINANCE(""NSE:""&amp;B240,dates!$I$1,dates!$C$3),2,2)"),"#N/A")</f>
        <v>#N/A</v>
      </c>
      <c r="F240" s="10">
        <f>IFERROR(__xludf.DUMMYFUNCTION("INDEX(GOOGLEFINANCE(""NSE:""&amp;C240,dates!$I$1,dates!$C$4),2,2)"),13.9)</f>
        <v>13.9</v>
      </c>
      <c r="G240" s="10">
        <f>IFERROR(__xludf.DUMMYFUNCTION("INDEX(GOOGLEFINANCE(""NSE:""&amp;C240,dates!$I$1,dates!$C$5),2,2)"),13.8)</f>
        <v>13.8</v>
      </c>
      <c r="H240" s="10">
        <f>IFERROR(__xludf.DUMMYFUNCTION("INDEX(GOOGLEFINANCE(""NSE:""&amp;C240,dates!$I$1,dates!$C$6),2,2)"),12.7)</f>
        <v>12.7</v>
      </c>
      <c r="I240" s="16">
        <f t="shared" si="1"/>
        <v>-0.02877697842</v>
      </c>
      <c r="J240" s="16">
        <f t="shared" si="2"/>
        <v>-0.02173913043</v>
      </c>
      <c r="K240" s="16">
        <f t="shared" si="3"/>
        <v>0.06299212598</v>
      </c>
      <c r="L240" s="16">
        <f t="shared" si="4"/>
        <v>-0.007037847982</v>
      </c>
      <c r="M240" s="17" t="str">
        <f t="shared" si="5"/>
        <v>#N/A</v>
      </c>
      <c r="N240" s="17" t="str">
        <f t="shared" si="6"/>
        <v>#N/A</v>
      </c>
      <c r="O240" s="17">
        <f t="shared" si="7"/>
        <v>115</v>
      </c>
      <c r="P240" s="17" t="str">
        <f t="shared" si="8"/>
        <v>#N/A</v>
      </c>
    </row>
    <row r="241">
      <c r="A241" s="7">
        <v>242.0</v>
      </c>
      <c r="B241" s="18" t="s">
        <v>488</v>
      </c>
      <c r="C241" s="9" t="s">
        <v>489</v>
      </c>
      <c r="D241" s="9">
        <f>IFERROR(__xludf.DUMMYFUNCTION("GOOGLEFINANCE(""NSE:""&amp;C241)"),1942.0)</f>
        <v>1942</v>
      </c>
      <c r="E241" s="10" t="str">
        <f>IFERROR(__xludf.DUMMYFUNCTION("INDEX(GOOGLEFINANCE(""NSE:""&amp;B241,dates!$I$1,dates!$C$3),2,2)"),"#N/A")</f>
        <v>#N/A</v>
      </c>
      <c r="F241" s="10">
        <f>IFERROR(__xludf.DUMMYFUNCTION("INDEX(GOOGLEFINANCE(""NSE:""&amp;C241,dates!$I$1,dates!$C$4),2,2)"),1575.8)</f>
        <v>1575.8</v>
      </c>
      <c r="G241" s="10">
        <f>IFERROR(__xludf.DUMMYFUNCTION("INDEX(GOOGLEFINANCE(""NSE:""&amp;C241,dates!$I$1,dates!$C$5),2,2)"),1580.1)</f>
        <v>1580.1</v>
      </c>
      <c r="H241" s="10">
        <f>IFERROR(__xludf.DUMMYFUNCTION("INDEX(GOOGLEFINANCE(""NSE:""&amp;C241,dates!$I$1,dates!$C$6),2,2)"),1570.85)</f>
        <v>1570.85</v>
      </c>
      <c r="I241" s="16">
        <f t="shared" si="1"/>
        <v>0.2323898972</v>
      </c>
      <c r="J241" s="16">
        <f t="shared" si="2"/>
        <v>0.229036137</v>
      </c>
      <c r="K241" s="16">
        <f t="shared" si="3"/>
        <v>0.2362733552</v>
      </c>
      <c r="L241" s="16">
        <f t="shared" si="4"/>
        <v>0.003353760242</v>
      </c>
      <c r="M241" s="17" t="str">
        <f t="shared" si="5"/>
        <v>#N/A</v>
      </c>
      <c r="N241" s="17" t="str">
        <f t="shared" si="6"/>
        <v>#N/A</v>
      </c>
      <c r="O241" s="17">
        <f t="shared" si="7"/>
        <v>17</v>
      </c>
      <c r="P241" s="17" t="str">
        <f t="shared" si="8"/>
        <v>#N/A</v>
      </c>
    </row>
    <row r="242">
      <c r="A242" s="7">
        <v>243.0</v>
      </c>
      <c r="B242" s="18" t="s">
        <v>490</v>
      </c>
      <c r="C242" s="9" t="s">
        <v>490</v>
      </c>
      <c r="D242" s="9">
        <f>IFERROR(__xludf.DUMMYFUNCTION("GOOGLEFINANCE(""NSE:""&amp;C242)"),252.0)</f>
        <v>252</v>
      </c>
      <c r="E242" s="10" t="str">
        <f>IFERROR(__xludf.DUMMYFUNCTION("INDEX(GOOGLEFINANCE(""NSE:""&amp;B242,dates!$I$1,dates!$C$3),2,2)"),"#N/A")</f>
        <v>#N/A</v>
      </c>
      <c r="F242" s="10">
        <f>IFERROR(__xludf.DUMMYFUNCTION("INDEX(GOOGLEFINANCE(""NSE:""&amp;C242,dates!$I$1,dates!$C$4),2,2)"),255.55)</f>
        <v>255.55</v>
      </c>
      <c r="G242" s="10">
        <f>IFERROR(__xludf.DUMMYFUNCTION("INDEX(GOOGLEFINANCE(""NSE:""&amp;C242,dates!$I$1,dates!$C$5),2,2)"),263.1)</f>
        <v>263.1</v>
      </c>
      <c r="H242" s="10">
        <f>IFERROR(__xludf.DUMMYFUNCTION("INDEX(GOOGLEFINANCE(""NSE:""&amp;C242,dates!$I$1,dates!$C$6),2,2)"),252.7)</f>
        <v>252.7</v>
      </c>
      <c r="I242" s="16">
        <f t="shared" si="1"/>
        <v>-0.01389160634</v>
      </c>
      <c r="J242" s="16">
        <f t="shared" si="2"/>
        <v>-0.04218928164</v>
      </c>
      <c r="K242" s="16">
        <f t="shared" si="3"/>
        <v>-0.002770083102</v>
      </c>
      <c r="L242" s="16">
        <f t="shared" si="4"/>
        <v>0.0282976753</v>
      </c>
      <c r="M242" s="17" t="str">
        <f t="shared" si="5"/>
        <v>#N/A</v>
      </c>
      <c r="N242" s="17" t="str">
        <f t="shared" si="6"/>
        <v>#N/A</v>
      </c>
      <c r="O242" s="17">
        <f t="shared" si="7"/>
        <v>206</v>
      </c>
      <c r="P242" s="17" t="str">
        <f t="shared" si="8"/>
        <v>#N/A</v>
      </c>
    </row>
    <row r="243">
      <c r="A243" s="7">
        <v>244.0</v>
      </c>
      <c r="B243" s="18" t="s">
        <v>491</v>
      </c>
      <c r="C243" s="9" t="s">
        <v>492</v>
      </c>
      <c r="D243" s="9">
        <f>IFERROR(__xludf.DUMMYFUNCTION("GOOGLEFINANCE(""NSE:""&amp;C243)"),874.75)</f>
        <v>874.75</v>
      </c>
      <c r="E243" s="10" t="str">
        <f>IFERROR(__xludf.DUMMYFUNCTION("INDEX(GOOGLEFINANCE(""NSE:""&amp;B243,dates!$I$1,dates!$C$3),2,2)"),"#N/A")</f>
        <v>#N/A</v>
      </c>
      <c r="F243" s="10">
        <f>IFERROR(__xludf.DUMMYFUNCTION("INDEX(GOOGLEFINANCE(""NSE:""&amp;C243,dates!$I$1,dates!$C$4),2,2)"),859.15)</f>
        <v>859.15</v>
      </c>
      <c r="G243" s="10">
        <f>IFERROR(__xludf.DUMMYFUNCTION("INDEX(GOOGLEFINANCE(""NSE:""&amp;C243,dates!$I$1,dates!$C$5),2,2)"),913.75)</f>
        <v>913.75</v>
      </c>
      <c r="H243" s="10">
        <f>IFERROR(__xludf.DUMMYFUNCTION("INDEX(GOOGLEFINANCE(""NSE:""&amp;C243,dates!$I$1,dates!$C$6),2,2)"),783.35)</f>
        <v>783.35</v>
      </c>
      <c r="I243" s="16">
        <f t="shared" si="1"/>
        <v>0.01815748123</v>
      </c>
      <c r="J243" s="16">
        <f t="shared" si="2"/>
        <v>-0.04268125855</v>
      </c>
      <c r="K243" s="16">
        <f t="shared" si="3"/>
        <v>0.1166783685</v>
      </c>
      <c r="L243" s="16">
        <f t="shared" si="4"/>
        <v>0.06083873978</v>
      </c>
      <c r="M243" s="17" t="str">
        <f t="shared" si="5"/>
        <v>#N/A</v>
      </c>
      <c r="N243" s="17" t="str">
        <f t="shared" si="6"/>
        <v>#N/A</v>
      </c>
      <c r="O243" s="17">
        <f t="shared" si="7"/>
        <v>62</v>
      </c>
      <c r="P243" s="17" t="str">
        <f t="shared" si="8"/>
        <v>#N/A</v>
      </c>
    </row>
    <row r="244">
      <c r="A244" s="7">
        <v>245.0</v>
      </c>
      <c r="B244" s="18" t="s">
        <v>493</v>
      </c>
      <c r="C244" s="9" t="s">
        <v>494</v>
      </c>
      <c r="D244" s="9">
        <f>IFERROR(__xludf.DUMMYFUNCTION("GOOGLEFINANCE(""NSE:""&amp;C244)"),132.0)</f>
        <v>132</v>
      </c>
      <c r="E244" s="10" t="str">
        <f>IFERROR(__xludf.DUMMYFUNCTION("INDEX(GOOGLEFINANCE(""NSE:""&amp;B244,dates!$I$1,dates!$C$3),2,2)"),"#N/A")</f>
        <v>#N/A</v>
      </c>
      <c r="F244" s="10">
        <f>IFERROR(__xludf.DUMMYFUNCTION("INDEX(GOOGLEFINANCE(""NSE:""&amp;C244,dates!$I$1,dates!$C$4),2,2)"),137.05)</f>
        <v>137.05</v>
      </c>
      <c r="G244" s="10">
        <f>IFERROR(__xludf.DUMMYFUNCTION("INDEX(GOOGLEFINANCE(""NSE:""&amp;C244,dates!$I$1,dates!$C$5),2,2)"),125.0)</f>
        <v>125</v>
      </c>
      <c r="H244" s="10">
        <f>IFERROR(__xludf.DUMMYFUNCTION("INDEX(GOOGLEFINANCE(""NSE:""&amp;C244,dates!$I$1,dates!$C$6),2,2)"),123.4)</f>
        <v>123.4</v>
      </c>
      <c r="I244" s="16">
        <f t="shared" si="1"/>
        <v>-0.03684786574</v>
      </c>
      <c r="J244" s="16">
        <f t="shared" si="2"/>
        <v>0.056</v>
      </c>
      <c r="K244" s="16">
        <f t="shared" si="3"/>
        <v>0.06969205835</v>
      </c>
      <c r="L244" s="16">
        <f t="shared" si="4"/>
        <v>-0.09284786574</v>
      </c>
      <c r="M244" s="17" t="str">
        <f t="shared" si="5"/>
        <v>#N/A</v>
      </c>
      <c r="N244" s="17" t="str">
        <f t="shared" si="6"/>
        <v>#N/A</v>
      </c>
      <c r="O244" s="17">
        <f t="shared" si="7"/>
        <v>104</v>
      </c>
      <c r="P244" s="17" t="str">
        <f t="shared" si="8"/>
        <v>#N/A</v>
      </c>
    </row>
    <row r="245">
      <c r="A245" s="7">
        <v>246.0</v>
      </c>
      <c r="B245" s="18" t="s">
        <v>495</v>
      </c>
      <c r="C245" s="9" t="s">
        <v>496</v>
      </c>
      <c r="D245" s="9">
        <f>IFERROR(__xludf.DUMMYFUNCTION("GOOGLEFINANCE(""NSE:""&amp;C245)"),3000.0)</f>
        <v>3000</v>
      </c>
      <c r="E245" s="10" t="str">
        <f>IFERROR(__xludf.DUMMYFUNCTION("INDEX(GOOGLEFINANCE(""NSE:""&amp;B245,dates!$I$1,dates!$C$3),2,2)"),"#N/A")</f>
        <v>#N/A</v>
      </c>
      <c r="F245" s="10">
        <f>IFERROR(__xludf.DUMMYFUNCTION("INDEX(GOOGLEFINANCE(""NSE:""&amp;C245,dates!$I$1,dates!$C$4),2,2)"),3032.1)</f>
        <v>3032.1</v>
      </c>
      <c r="G245" s="10">
        <f>IFERROR(__xludf.DUMMYFUNCTION("INDEX(GOOGLEFINANCE(""NSE:""&amp;C245,dates!$I$1,dates!$C$5),2,2)"),3195.85)</f>
        <v>3195.85</v>
      </c>
      <c r="H245" s="10">
        <f>IFERROR(__xludf.DUMMYFUNCTION("INDEX(GOOGLEFINANCE(""NSE:""&amp;C245,dates!$I$1,dates!$C$6),2,2)"),2977.05)</f>
        <v>2977.05</v>
      </c>
      <c r="I245" s="16">
        <f t="shared" si="1"/>
        <v>-0.01058672207</v>
      </c>
      <c r="J245" s="16">
        <f t="shared" si="2"/>
        <v>-0.06128260087</v>
      </c>
      <c r="K245" s="16">
        <f t="shared" si="3"/>
        <v>0.007708973648</v>
      </c>
      <c r="L245" s="16">
        <f t="shared" si="4"/>
        <v>0.0506958788</v>
      </c>
      <c r="M245" s="17" t="str">
        <f t="shared" si="5"/>
        <v>#N/A</v>
      </c>
      <c r="N245" s="17" t="str">
        <f t="shared" si="6"/>
        <v>#N/A</v>
      </c>
      <c r="O245" s="17">
        <f t="shared" si="7"/>
        <v>197</v>
      </c>
      <c r="P245" s="17" t="str">
        <f t="shared" si="8"/>
        <v>#N/A</v>
      </c>
    </row>
    <row r="246">
      <c r="A246" s="7">
        <v>247.0</v>
      </c>
      <c r="B246" s="18" t="s">
        <v>497</v>
      </c>
      <c r="C246" s="9" t="s">
        <v>498</v>
      </c>
      <c r="D246" s="9">
        <f>IFERROR(__xludf.DUMMYFUNCTION("GOOGLEFINANCE(""NSE:""&amp;C246)"),920.0)</f>
        <v>920</v>
      </c>
      <c r="E246" s="10" t="str">
        <f>IFERROR(__xludf.DUMMYFUNCTION("INDEX(GOOGLEFINANCE(""NSE:""&amp;B246,dates!$I$1,dates!$C$3),2,2)"),"#N/A")</f>
        <v>#N/A</v>
      </c>
      <c r="F246" s="10">
        <f>IFERROR(__xludf.DUMMYFUNCTION("INDEX(GOOGLEFINANCE(""NSE:""&amp;C246,dates!$I$1,dates!$C$4),2,2)"),851.0)</f>
        <v>851</v>
      </c>
      <c r="G246" s="10">
        <f>IFERROR(__xludf.DUMMYFUNCTION("INDEX(GOOGLEFINANCE(""NSE:""&amp;C246,dates!$I$1,dates!$C$5),2,2)"),853.3)</f>
        <v>853.3</v>
      </c>
      <c r="H246" s="10">
        <f>IFERROR(__xludf.DUMMYFUNCTION("INDEX(GOOGLEFINANCE(""NSE:""&amp;C246,dates!$I$1,dates!$C$6),2,2)"),855.05)</f>
        <v>855.05</v>
      </c>
      <c r="I246" s="16">
        <f t="shared" si="1"/>
        <v>0.08108108108</v>
      </c>
      <c r="J246" s="16">
        <f t="shared" si="2"/>
        <v>0.0781671159</v>
      </c>
      <c r="K246" s="16">
        <f t="shared" si="3"/>
        <v>0.07596047015</v>
      </c>
      <c r="L246" s="16">
        <f t="shared" si="4"/>
        <v>0.002913965178</v>
      </c>
      <c r="M246" s="17" t="str">
        <f t="shared" si="5"/>
        <v>#N/A</v>
      </c>
      <c r="N246" s="17" t="str">
        <f t="shared" si="6"/>
        <v>#N/A</v>
      </c>
      <c r="O246" s="17">
        <f t="shared" si="7"/>
        <v>99</v>
      </c>
      <c r="P246" s="17" t="str">
        <f t="shared" si="8"/>
        <v>#N/A</v>
      </c>
    </row>
    <row r="247">
      <c r="A247" s="7">
        <v>248.0</v>
      </c>
      <c r="B247" s="18" t="s">
        <v>499</v>
      </c>
      <c r="C247" s="9" t="s">
        <v>500</v>
      </c>
      <c r="D247" s="9">
        <f>IFERROR(__xludf.DUMMYFUNCTION("GOOGLEFINANCE(""NSE:""&amp;C247)"),512.0)</f>
        <v>512</v>
      </c>
      <c r="E247" s="10" t="str">
        <f>IFERROR(__xludf.DUMMYFUNCTION("INDEX(GOOGLEFINANCE(""NSE:""&amp;B247,dates!$I$1,dates!$C$3),2,2)"),"#N/A")</f>
        <v>#N/A</v>
      </c>
      <c r="F247" s="10">
        <f>IFERROR(__xludf.DUMMYFUNCTION("INDEX(GOOGLEFINANCE(""NSE:""&amp;C247,dates!$I$1,dates!$C$4),2,2)"),518.85)</f>
        <v>518.85</v>
      </c>
      <c r="G247" s="10">
        <f>IFERROR(__xludf.DUMMYFUNCTION("INDEX(GOOGLEFINANCE(""NSE:""&amp;C247,dates!$I$1,dates!$C$5),2,2)"),518.7)</f>
        <v>518.7</v>
      </c>
      <c r="H247" s="10">
        <f>IFERROR(__xludf.DUMMYFUNCTION("INDEX(GOOGLEFINANCE(""NSE:""&amp;C247,dates!$I$1,dates!$C$6),2,2)"),516.6)</f>
        <v>516.6</v>
      </c>
      <c r="I247" s="16">
        <f t="shared" si="1"/>
        <v>-0.01320227426</v>
      </c>
      <c r="J247" s="16">
        <f t="shared" si="2"/>
        <v>-0.01291690765</v>
      </c>
      <c r="K247" s="16">
        <f t="shared" si="3"/>
        <v>-0.008904374758</v>
      </c>
      <c r="L247" s="16">
        <f t="shared" si="4"/>
        <v>-0.0002853666066</v>
      </c>
      <c r="M247" s="17" t="str">
        <f t="shared" si="5"/>
        <v>#N/A</v>
      </c>
      <c r="N247" s="17" t="str">
        <f t="shared" si="6"/>
        <v>#N/A</v>
      </c>
      <c r="O247" s="17">
        <f t="shared" si="7"/>
        <v>216</v>
      </c>
      <c r="P247" s="17" t="str">
        <f t="shared" si="8"/>
        <v>#N/A</v>
      </c>
    </row>
    <row r="248">
      <c r="A248" s="7">
        <v>249.0</v>
      </c>
      <c r="B248" s="18" t="s">
        <v>501</v>
      </c>
      <c r="C248" s="9" t="s">
        <v>502</v>
      </c>
      <c r="D248" s="9">
        <f>IFERROR(__xludf.DUMMYFUNCTION("GOOGLEFINANCE(""NSE:""&amp;C248)"),818.45)</f>
        <v>818.45</v>
      </c>
      <c r="E248" s="10" t="str">
        <f>IFERROR(__xludf.DUMMYFUNCTION("INDEX(GOOGLEFINANCE(""NSE:""&amp;B248,dates!$I$1,dates!$C$3),2,2)"),"#N/A")</f>
        <v>#N/A</v>
      </c>
      <c r="F248" s="10">
        <f>IFERROR(__xludf.DUMMYFUNCTION("INDEX(GOOGLEFINANCE(""NSE:""&amp;C248,dates!$I$1,dates!$C$4),2,2)"),778.25)</f>
        <v>778.25</v>
      </c>
      <c r="G248" s="10">
        <f>IFERROR(__xludf.DUMMYFUNCTION("INDEX(GOOGLEFINANCE(""NSE:""&amp;C248,dates!$I$1,dates!$C$5),2,2)"),773.4)</f>
        <v>773.4</v>
      </c>
      <c r="H248" s="10">
        <f>IFERROR(__xludf.DUMMYFUNCTION("INDEX(GOOGLEFINANCE(""NSE:""&amp;C248,dates!$I$1,dates!$C$6),2,2)"),746.15)</f>
        <v>746.15</v>
      </c>
      <c r="I248" s="16">
        <f t="shared" si="1"/>
        <v>0.05165435271</v>
      </c>
      <c r="J248" s="16">
        <f t="shared" si="2"/>
        <v>0.05824928885</v>
      </c>
      <c r="K248" s="16">
        <f t="shared" si="3"/>
        <v>0.09689740669</v>
      </c>
      <c r="L248" s="16">
        <f t="shared" si="4"/>
        <v>-0.00659493614</v>
      </c>
      <c r="M248" s="17" t="str">
        <f t="shared" si="5"/>
        <v>#N/A</v>
      </c>
      <c r="N248" s="17" t="str">
        <f t="shared" si="6"/>
        <v>#N/A</v>
      </c>
      <c r="O248" s="17">
        <f t="shared" si="7"/>
        <v>76</v>
      </c>
      <c r="P248" s="17" t="str">
        <f t="shared" si="8"/>
        <v>#N/A</v>
      </c>
    </row>
    <row r="249">
      <c r="A249" s="7">
        <v>250.0</v>
      </c>
      <c r="B249" s="18" t="s">
        <v>503</v>
      </c>
      <c r="C249" s="9" t="s">
        <v>504</v>
      </c>
      <c r="D249" s="9">
        <f>IFERROR(__xludf.DUMMYFUNCTION("GOOGLEFINANCE(""NSE:""&amp;C249)"),1112.0)</f>
        <v>1112</v>
      </c>
      <c r="E249" s="10" t="str">
        <f>IFERROR(__xludf.DUMMYFUNCTION("INDEX(GOOGLEFINANCE(""NSE:""&amp;B249,dates!$I$1,dates!$C$3),2,2)"),"#N/A")</f>
        <v>#N/A</v>
      </c>
      <c r="F249" s="10">
        <f>IFERROR(__xludf.DUMMYFUNCTION("INDEX(GOOGLEFINANCE(""NSE:""&amp;C249,dates!$I$1,dates!$C$4),2,2)"),1176.9)</f>
        <v>1176.9</v>
      </c>
      <c r="G249" s="10">
        <f>IFERROR(__xludf.DUMMYFUNCTION("INDEX(GOOGLEFINANCE(""NSE:""&amp;C249,dates!$I$1,dates!$C$5),2,2)"),1180.05)</f>
        <v>1180.05</v>
      </c>
      <c r="H249" s="10">
        <f>IFERROR(__xludf.DUMMYFUNCTION("INDEX(GOOGLEFINANCE(""NSE:""&amp;C249,dates!$I$1,dates!$C$6),2,2)"),1146.9)</f>
        <v>1146.9</v>
      </c>
      <c r="I249" s="16">
        <f t="shared" si="1"/>
        <v>-0.05514487212</v>
      </c>
      <c r="J249" s="16">
        <f t="shared" si="2"/>
        <v>-0.05766704801</v>
      </c>
      <c r="K249" s="16">
        <f t="shared" si="3"/>
        <v>-0.03042985439</v>
      </c>
      <c r="L249" s="16">
        <f t="shared" si="4"/>
        <v>0.002522175885</v>
      </c>
      <c r="M249" s="17" t="str">
        <f t="shared" si="5"/>
        <v>#N/A</v>
      </c>
      <c r="N249" s="17" t="str">
        <f t="shared" si="6"/>
        <v>#N/A</v>
      </c>
      <c r="O249" s="17">
        <f t="shared" si="7"/>
        <v>228</v>
      </c>
      <c r="P249" s="17" t="str">
        <f t="shared" si="8"/>
        <v>#N/A</v>
      </c>
    </row>
    <row r="250">
      <c r="I250" s="16"/>
      <c r="J250" s="16"/>
      <c r="K250" s="16"/>
      <c r="L250" s="16"/>
      <c r="M250" s="17"/>
      <c r="N250" s="17"/>
      <c r="O250" s="17"/>
      <c r="P250" s="17"/>
    </row>
    <row r="251">
      <c r="I251" s="16"/>
      <c r="J251" s="16"/>
      <c r="K251" s="16"/>
      <c r="L251" s="16"/>
      <c r="M251" s="17"/>
      <c r="N251" s="17"/>
      <c r="O251" s="17"/>
      <c r="P251" s="17"/>
    </row>
    <row r="252">
      <c r="I252" s="16"/>
      <c r="J252" s="16"/>
      <c r="K252" s="16"/>
      <c r="L252" s="16"/>
      <c r="M252" s="17"/>
      <c r="N252" s="17"/>
      <c r="O252" s="17"/>
      <c r="P252" s="17"/>
    </row>
    <row r="253">
      <c r="I253" s="16"/>
      <c r="J253" s="16"/>
      <c r="K253" s="16"/>
      <c r="L253" s="16"/>
      <c r="M253" s="17"/>
      <c r="N253" s="17"/>
      <c r="O253" s="17"/>
      <c r="P253" s="17"/>
    </row>
    <row r="254">
      <c r="I254" s="16"/>
      <c r="J254" s="16"/>
      <c r="K254" s="16"/>
      <c r="L254" s="16"/>
      <c r="M254" s="17"/>
      <c r="N254" s="17"/>
      <c r="O254" s="17"/>
      <c r="P254" s="17"/>
    </row>
    <row r="255">
      <c r="I255" s="16"/>
      <c r="J255" s="16"/>
      <c r="K255" s="16"/>
      <c r="L255" s="16"/>
      <c r="M255" s="17"/>
      <c r="N255" s="17"/>
      <c r="O255" s="17"/>
      <c r="P255" s="17"/>
    </row>
    <row r="256">
      <c r="I256" s="16"/>
      <c r="J256" s="16"/>
      <c r="K256" s="16"/>
      <c r="L256" s="16"/>
      <c r="M256" s="17"/>
      <c r="N256" s="17"/>
      <c r="O256" s="17"/>
      <c r="P256" s="17"/>
    </row>
    <row r="257">
      <c r="I257" s="16"/>
      <c r="J257" s="16"/>
      <c r="K257" s="16"/>
      <c r="L257" s="16"/>
      <c r="M257" s="17"/>
      <c r="N257" s="17"/>
      <c r="O257" s="17"/>
      <c r="P257" s="17"/>
    </row>
    <row r="258">
      <c r="I258" s="16"/>
      <c r="J258" s="16"/>
      <c r="K258" s="16"/>
      <c r="L258" s="16"/>
      <c r="M258" s="17"/>
      <c r="N258" s="17"/>
      <c r="O258" s="17"/>
      <c r="P258" s="17"/>
    </row>
    <row r="259">
      <c r="I259" s="16"/>
      <c r="J259" s="16"/>
      <c r="K259" s="16"/>
      <c r="L259" s="16"/>
      <c r="M259" s="17"/>
      <c r="N259" s="17"/>
      <c r="O259" s="17"/>
      <c r="P259" s="17"/>
    </row>
    <row r="260">
      <c r="I260" s="16"/>
      <c r="J260" s="16"/>
      <c r="K260" s="16"/>
      <c r="L260" s="16"/>
      <c r="M260" s="17"/>
      <c r="N260" s="17"/>
      <c r="O260" s="17"/>
      <c r="P260" s="17"/>
    </row>
    <row r="261">
      <c r="I261" s="16"/>
      <c r="J261" s="16"/>
      <c r="K261" s="16"/>
      <c r="L261" s="16"/>
      <c r="M261" s="17"/>
      <c r="N261" s="17"/>
      <c r="O261" s="17"/>
      <c r="P261" s="17"/>
    </row>
    <row r="262">
      <c r="I262" s="16"/>
      <c r="J262" s="16"/>
      <c r="K262" s="16"/>
      <c r="L262" s="16"/>
      <c r="M262" s="17"/>
      <c r="N262" s="17"/>
      <c r="O262" s="17"/>
      <c r="P262" s="17"/>
    </row>
    <row r="263">
      <c r="I263" s="16"/>
      <c r="J263" s="16"/>
      <c r="K263" s="16"/>
      <c r="L263" s="16"/>
      <c r="M263" s="17"/>
      <c r="N263" s="17"/>
      <c r="O263" s="17"/>
      <c r="P263" s="17"/>
    </row>
    <row r="264">
      <c r="I264" s="16"/>
      <c r="J264" s="16"/>
      <c r="K264" s="16"/>
      <c r="L264" s="16"/>
      <c r="M264" s="17"/>
      <c r="N264" s="17"/>
      <c r="O264" s="17"/>
      <c r="P264" s="17"/>
    </row>
    <row r="265">
      <c r="I265" s="16"/>
      <c r="J265" s="16"/>
      <c r="K265" s="16"/>
      <c r="L265" s="16"/>
      <c r="M265" s="17"/>
      <c r="N265" s="17"/>
      <c r="O265" s="17"/>
      <c r="P265" s="17"/>
    </row>
    <row r="266">
      <c r="I266" s="16"/>
      <c r="J266" s="16"/>
      <c r="K266" s="16"/>
      <c r="L266" s="16"/>
      <c r="M266" s="17"/>
      <c r="N266" s="17"/>
      <c r="O266" s="17"/>
      <c r="P266" s="17"/>
    </row>
    <row r="267">
      <c r="I267" s="16"/>
      <c r="J267" s="16"/>
      <c r="K267" s="16"/>
      <c r="L267" s="16"/>
      <c r="M267" s="17"/>
      <c r="N267" s="17"/>
      <c r="O267" s="17"/>
      <c r="P267" s="17"/>
    </row>
    <row r="268">
      <c r="I268" s="16"/>
      <c r="J268" s="16"/>
      <c r="K268" s="16"/>
      <c r="L268" s="16"/>
      <c r="M268" s="17"/>
      <c r="N268" s="17"/>
      <c r="O268" s="17"/>
      <c r="P268" s="17"/>
    </row>
    <row r="269">
      <c r="I269" s="16"/>
      <c r="J269" s="16"/>
      <c r="K269" s="16"/>
      <c r="L269" s="16"/>
      <c r="M269" s="17"/>
      <c r="N269" s="17"/>
      <c r="O269" s="17"/>
      <c r="P269" s="17"/>
    </row>
    <row r="270">
      <c r="I270" s="16"/>
      <c r="J270" s="16"/>
      <c r="K270" s="16"/>
      <c r="L270" s="16"/>
      <c r="M270" s="17"/>
      <c r="N270" s="17"/>
      <c r="O270" s="17"/>
      <c r="P270" s="17"/>
    </row>
    <row r="271">
      <c r="I271" s="16"/>
      <c r="J271" s="16"/>
      <c r="K271" s="16"/>
      <c r="L271" s="16"/>
      <c r="M271" s="17"/>
      <c r="N271" s="17"/>
      <c r="O271" s="17"/>
      <c r="P271" s="17"/>
    </row>
    <row r="272">
      <c r="I272" s="16"/>
      <c r="J272" s="16"/>
      <c r="K272" s="16"/>
      <c r="L272" s="16"/>
      <c r="M272" s="17"/>
      <c r="N272" s="17"/>
      <c r="O272" s="17"/>
      <c r="P272" s="17"/>
    </row>
    <row r="273">
      <c r="I273" s="16"/>
      <c r="J273" s="16"/>
      <c r="K273" s="16"/>
      <c r="L273" s="16"/>
      <c r="M273" s="17"/>
      <c r="N273" s="17"/>
      <c r="O273" s="17"/>
      <c r="P273" s="17"/>
    </row>
    <row r="274">
      <c r="I274" s="16"/>
      <c r="J274" s="16"/>
      <c r="K274" s="16"/>
      <c r="L274" s="16"/>
      <c r="M274" s="17"/>
      <c r="N274" s="17"/>
      <c r="O274" s="17"/>
      <c r="P274" s="17"/>
    </row>
    <row r="275">
      <c r="I275" s="16"/>
      <c r="J275" s="16"/>
      <c r="K275" s="16"/>
      <c r="L275" s="16"/>
      <c r="M275" s="17"/>
      <c r="N275" s="17"/>
      <c r="O275" s="17"/>
      <c r="P275" s="17"/>
    </row>
    <row r="276">
      <c r="I276" s="16"/>
      <c r="J276" s="16"/>
      <c r="K276" s="16"/>
      <c r="L276" s="16"/>
      <c r="M276" s="17"/>
      <c r="N276" s="17"/>
      <c r="O276" s="17"/>
      <c r="P276" s="17"/>
    </row>
    <row r="277">
      <c r="I277" s="16"/>
      <c r="J277" s="16"/>
      <c r="K277" s="16"/>
      <c r="L277" s="16"/>
      <c r="M277" s="17"/>
      <c r="N277" s="17"/>
      <c r="O277" s="17"/>
      <c r="P277" s="17"/>
    </row>
    <row r="278">
      <c r="I278" s="16"/>
      <c r="J278" s="16"/>
      <c r="K278" s="16"/>
      <c r="L278" s="16"/>
      <c r="M278" s="17"/>
      <c r="N278" s="17"/>
      <c r="O278" s="17"/>
      <c r="P278" s="17"/>
    </row>
    <row r="279">
      <c r="I279" s="16"/>
      <c r="J279" s="16"/>
      <c r="K279" s="16"/>
      <c r="L279" s="16"/>
      <c r="M279" s="17"/>
      <c r="N279" s="17"/>
      <c r="O279" s="17"/>
      <c r="P279" s="17"/>
    </row>
    <row r="280">
      <c r="I280" s="16"/>
      <c r="J280" s="16"/>
      <c r="K280" s="16"/>
      <c r="L280" s="16"/>
      <c r="M280" s="17"/>
      <c r="N280" s="17"/>
      <c r="O280" s="17"/>
      <c r="P280" s="17"/>
    </row>
    <row r="281">
      <c r="I281" s="16"/>
      <c r="J281" s="16"/>
      <c r="K281" s="16"/>
      <c r="L281" s="16"/>
      <c r="M281" s="17"/>
      <c r="N281" s="17"/>
      <c r="O281" s="17"/>
      <c r="P281" s="17"/>
    </row>
    <row r="282">
      <c r="I282" s="16"/>
      <c r="J282" s="16"/>
      <c r="K282" s="16"/>
      <c r="L282" s="16"/>
      <c r="M282" s="17"/>
      <c r="N282" s="17"/>
      <c r="O282" s="17"/>
      <c r="P282" s="17"/>
    </row>
    <row r="283">
      <c r="I283" s="16"/>
      <c r="J283" s="16"/>
      <c r="K283" s="16"/>
      <c r="L283" s="16"/>
      <c r="M283" s="17"/>
      <c r="N283" s="17"/>
      <c r="O283" s="17"/>
      <c r="P283" s="17"/>
    </row>
    <row r="284">
      <c r="I284" s="16"/>
      <c r="J284" s="16"/>
      <c r="K284" s="16"/>
      <c r="L284" s="16"/>
      <c r="M284" s="17"/>
      <c r="N284" s="17"/>
      <c r="O284" s="17"/>
      <c r="P284" s="17"/>
    </row>
    <row r="285">
      <c r="I285" s="16"/>
      <c r="J285" s="16"/>
      <c r="K285" s="16"/>
      <c r="L285" s="16"/>
      <c r="M285" s="17"/>
      <c r="N285" s="17"/>
      <c r="O285" s="17"/>
      <c r="P285" s="17"/>
    </row>
    <row r="286">
      <c r="I286" s="16"/>
      <c r="J286" s="16"/>
      <c r="K286" s="16"/>
      <c r="L286" s="16"/>
      <c r="M286" s="17"/>
      <c r="N286" s="17"/>
      <c r="O286" s="17"/>
      <c r="P286" s="17"/>
    </row>
    <row r="287">
      <c r="I287" s="16"/>
      <c r="J287" s="16"/>
      <c r="K287" s="16"/>
      <c r="L287" s="16"/>
      <c r="M287" s="17"/>
      <c r="N287" s="17"/>
      <c r="O287" s="17"/>
      <c r="P287" s="17"/>
    </row>
    <row r="288">
      <c r="I288" s="16"/>
      <c r="J288" s="16"/>
      <c r="K288" s="16"/>
      <c r="L288" s="16"/>
      <c r="M288" s="17"/>
      <c r="N288" s="17"/>
      <c r="O288" s="17"/>
      <c r="P288" s="17"/>
    </row>
    <row r="289">
      <c r="I289" s="16"/>
      <c r="J289" s="16"/>
      <c r="K289" s="16"/>
      <c r="L289" s="16"/>
      <c r="M289" s="17"/>
      <c r="N289" s="17"/>
      <c r="O289" s="17"/>
      <c r="P289" s="17"/>
    </row>
    <row r="290">
      <c r="I290" s="16"/>
      <c r="J290" s="16"/>
      <c r="K290" s="16"/>
      <c r="L290" s="16"/>
      <c r="M290" s="17"/>
      <c r="N290" s="17"/>
      <c r="O290" s="17"/>
      <c r="P290" s="17"/>
    </row>
    <row r="291">
      <c r="I291" s="16"/>
      <c r="J291" s="16"/>
      <c r="K291" s="16"/>
      <c r="L291" s="16"/>
      <c r="M291" s="17"/>
      <c r="N291" s="17"/>
      <c r="O291" s="17"/>
      <c r="P291" s="17"/>
    </row>
    <row r="292">
      <c r="I292" s="16"/>
      <c r="J292" s="16"/>
      <c r="K292" s="16"/>
      <c r="L292" s="16"/>
      <c r="M292" s="17"/>
      <c r="N292" s="17"/>
      <c r="O292" s="17"/>
      <c r="P292" s="17"/>
    </row>
    <row r="293">
      <c r="I293" s="16"/>
      <c r="J293" s="16"/>
      <c r="K293" s="16"/>
      <c r="L293" s="16"/>
      <c r="M293" s="17"/>
      <c r="N293" s="17"/>
      <c r="O293" s="17"/>
      <c r="P293" s="17"/>
    </row>
    <row r="294">
      <c r="I294" s="16"/>
      <c r="J294" s="16"/>
      <c r="K294" s="16"/>
      <c r="L294" s="16"/>
      <c r="M294" s="17"/>
      <c r="N294" s="17"/>
      <c r="O294" s="17"/>
      <c r="P294" s="17"/>
    </row>
    <row r="295">
      <c r="I295" s="16"/>
      <c r="J295" s="16"/>
      <c r="K295" s="16"/>
      <c r="L295" s="16"/>
      <c r="M295" s="17"/>
      <c r="N295" s="17"/>
      <c r="O295" s="17"/>
      <c r="P295" s="17"/>
    </row>
    <row r="296">
      <c r="I296" s="16"/>
      <c r="J296" s="16"/>
      <c r="K296" s="16"/>
      <c r="L296" s="16"/>
      <c r="M296" s="17"/>
      <c r="N296" s="17"/>
      <c r="O296" s="17"/>
      <c r="P296" s="17"/>
    </row>
    <row r="297">
      <c r="I297" s="16"/>
      <c r="J297" s="16"/>
      <c r="K297" s="16"/>
      <c r="L297" s="16"/>
      <c r="M297" s="17"/>
      <c r="N297" s="17"/>
      <c r="O297" s="17"/>
      <c r="P297" s="17"/>
    </row>
    <row r="298">
      <c r="I298" s="16"/>
      <c r="J298" s="16"/>
      <c r="K298" s="16"/>
      <c r="L298" s="16"/>
      <c r="M298" s="17"/>
      <c r="N298" s="17"/>
      <c r="O298" s="17"/>
      <c r="P298" s="17"/>
    </row>
    <row r="299">
      <c r="I299" s="16"/>
      <c r="J299" s="16"/>
      <c r="K299" s="16"/>
      <c r="L299" s="16"/>
      <c r="M299" s="17"/>
      <c r="N299" s="17"/>
      <c r="O299" s="17"/>
      <c r="P299" s="17"/>
    </row>
    <row r="300">
      <c r="I300" s="16"/>
      <c r="J300" s="16"/>
      <c r="K300" s="16"/>
      <c r="L300" s="16"/>
      <c r="M300" s="17"/>
      <c r="N300" s="17"/>
      <c r="O300" s="17"/>
      <c r="P300" s="17"/>
    </row>
    <row r="301">
      <c r="I301" s="16"/>
      <c r="J301" s="16"/>
      <c r="K301" s="16"/>
      <c r="L301" s="16"/>
      <c r="M301" s="17"/>
      <c r="N301" s="17"/>
      <c r="O301" s="17"/>
      <c r="P301" s="17"/>
    </row>
    <row r="302">
      <c r="I302" s="16"/>
      <c r="J302" s="16"/>
      <c r="K302" s="16"/>
      <c r="L302" s="16"/>
      <c r="M302" s="17"/>
      <c r="N302" s="17"/>
      <c r="O302" s="17"/>
      <c r="P302" s="17"/>
    </row>
    <row r="303">
      <c r="I303" s="16"/>
      <c r="J303" s="16"/>
      <c r="K303" s="16"/>
      <c r="L303" s="16"/>
      <c r="M303" s="17"/>
      <c r="N303" s="17"/>
      <c r="O303" s="17"/>
      <c r="P303" s="17"/>
    </row>
    <row r="304">
      <c r="I304" s="16"/>
      <c r="J304" s="16"/>
      <c r="K304" s="16"/>
      <c r="L304" s="16"/>
      <c r="M304" s="17"/>
      <c r="N304" s="17"/>
      <c r="O304" s="17"/>
      <c r="P304" s="17"/>
    </row>
    <row r="305">
      <c r="I305" s="16"/>
      <c r="J305" s="16"/>
      <c r="K305" s="16"/>
      <c r="L305" s="16"/>
      <c r="M305" s="17"/>
      <c r="N305" s="17"/>
      <c r="O305" s="17"/>
      <c r="P305" s="17"/>
    </row>
    <row r="306">
      <c r="I306" s="16"/>
      <c r="J306" s="16"/>
      <c r="K306" s="16"/>
      <c r="L306" s="16"/>
      <c r="M306" s="17"/>
      <c r="N306" s="17"/>
      <c r="O306" s="17"/>
      <c r="P306" s="17"/>
    </row>
    <row r="307">
      <c r="I307" s="16"/>
      <c r="J307" s="16"/>
      <c r="K307" s="16"/>
      <c r="L307" s="16"/>
      <c r="M307" s="17"/>
      <c r="N307" s="17"/>
      <c r="O307" s="17"/>
      <c r="P307" s="17"/>
    </row>
    <row r="308">
      <c r="I308" s="16"/>
      <c r="J308" s="16"/>
      <c r="K308" s="16"/>
      <c r="L308" s="16"/>
      <c r="M308" s="17"/>
      <c r="N308" s="17"/>
      <c r="O308" s="17"/>
      <c r="P308" s="17"/>
    </row>
    <row r="309">
      <c r="I309" s="16"/>
      <c r="J309" s="16"/>
      <c r="K309" s="16"/>
      <c r="L309" s="16"/>
      <c r="M309" s="17"/>
      <c r="N309" s="17"/>
      <c r="O309" s="17"/>
      <c r="P309" s="17"/>
    </row>
    <row r="310">
      <c r="I310" s="16"/>
      <c r="J310" s="16"/>
      <c r="K310" s="16"/>
      <c r="L310" s="16"/>
      <c r="M310" s="17"/>
      <c r="N310" s="17"/>
      <c r="O310" s="17"/>
      <c r="P310" s="17"/>
    </row>
    <row r="311">
      <c r="I311" s="16"/>
      <c r="J311" s="16"/>
      <c r="K311" s="16"/>
      <c r="L311" s="16"/>
      <c r="M311" s="17"/>
      <c r="N311" s="17"/>
      <c r="O311" s="17"/>
      <c r="P311" s="17"/>
    </row>
    <row r="312">
      <c r="I312" s="16"/>
      <c r="J312" s="16"/>
      <c r="K312" s="16"/>
      <c r="L312" s="16"/>
      <c r="M312" s="17"/>
      <c r="N312" s="17"/>
      <c r="O312" s="17"/>
      <c r="P312" s="17"/>
    </row>
    <row r="313">
      <c r="I313" s="16"/>
      <c r="J313" s="16"/>
      <c r="K313" s="16"/>
      <c r="L313" s="16"/>
      <c r="M313" s="17"/>
      <c r="N313" s="17"/>
      <c r="O313" s="17"/>
      <c r="P313" s="17"/>
    </row>
    <row r="314">
      <c r="I314" s="16"/>
      <c r="J314" s="16"/>
      <c r="K314" s="16"/>
      <c r="L314" s="16"/>
      <c r="M314" s="17"/>
      <c r="N314" s="17"/>
      <c r="O314" s="17"/>
      <c r="P314" s="17"/>
    </row>
    <row r="315">
      <c r="I315" s="16"/>
      <c r="J315" s="16"/>
      <c r="K315" s="16"/>
      <c r="L315" s="16"/>
      <c r="M315" s="17"/>
      <c r="N315" s="17"/>
      <c r="O315" s="17"/>
      <c r="P315" s="17"/>
    </row>
    <row r="316">
      <c r="I316" s="16"/>
      <c r="J316" s="16"/>
      <c r="K316" s="16"/>
      <c r="L316" s="16"/>
      <c r="M316" s="17"/>
      <c r="N316" s="17"/>
      <c r="O316" s="17"/>
      <c r="P316" s="17"/>
    </row>
    <row r="317">
      <c r="I317" s="16"/>
      <c r="J317" s="16"/>
      <c r="K317" s="16"/>
      <c r="L317" s="16"/>
      <c r="M317" s="17"/>
      <c r="N317" s="17"/>
      <c r="O317" s="17"/>
      <c r="P317" s="17"/>
    </row>
    <row r="318">
      <c r="I318" s="16"/>
      <c r="J318" s="16"/>
      <c r="K318" s="16"/>
      <c r="L318" s="16"/>
      <c r="M318" s="17"/>
      <c r="N318" s="17"/>
      <c r="O318" s="17"/>
      <c r="P318" s="17"/>
    </row>
    <row r="319">
      <c r="I319" s="16"/>
      <c r="J319" s="16"/>
      <c r="K319" s="16"/>
      <c r="L319" s="16"/>
      <c r="M319" s="17"/>
      <c r="N319" s="17"/>
      <c r="O319" s="17"/>
      <c r="P319" s="17"/>
    </row>
    <row r="320">
      <c r="I320" s="16"/>
      <c r="J320" s="16"/>
      <c r="K320" s="16"/>
      <c r="L320" s="16"/>
      <c r="M320" s="17"/>
      <c r="N320" s="17"/>
      <c r="O320" s="17"/>
      <c r="P320" s="17"/>
    </row>
    <row r="321">
      <c r="I321" s="16"/>
      <c r="J321" s="16"/>
      <c r="K321" s="16"/>
      <c r="L321" s="16"/>
      <c r="M321" s="17"/>
      <c r="N321" s="17"/>
      <c r="O321" s="17"/>
      <c r="P321" s="17"/>
    </row>
    <row r="322">
      <c r="I322" s="16"/>
      <c r="J322" s="16"/>
      <c r="K322" s="16"/>
      <c r="L322" s="16"/>
      <c r="M322" s="17"/>
      <c r="N322" s="17"/>
      <c r="O322" s="17"/>
      <c r="P322" s="17"/>
    </row>
    <row r="323">
      <c r="I323" s="16"/>
      <c r="J323" s="16"/>
      <c r="K323" s="16"/>
      <c r="L323" s="16"/>
      <c r="M323" s="17"/>
      <c r="N323" s="17"/>
      <c r="O323" s="17"/>
      <c r="P323" s="17"/>
    </row>
    <row r="324">
      <c r="I324" s="16"/>
      <c r="J324" s="16"/>
      <c r="K324" s="16"/>
      <c r="L324" s="16"/>
      <c r="M324" s="17"/>
      <c r="N324" s="17"/>
      <c r="O324" s="17"/>
      <c r="P324" s="17"/>
    </row>
    <row r="325">
      <c r="I325" s="16"/>
      <c r="J325" s="16"/>
      <c r="K325" s="16"/>
      <c r="L325" s="16"/>
      <c r="M325" s="17"/>
      <c r="N325" s="17"/>
      <c r="O325" s="17"/>
      <c r="P325" s="17"/>
    </row>
    <row r="326">
      <c r="I326" s="16"/>
      <c r="J326" s="16"/>
      <c r="K326" s="16"/>
      <c r="L326" s="16"/>
      <c r="M326" s="17"/>
      <c r="N326" s="17"/>
      <c r="O326" s="17"/>
      <c r="P326" s="17"/>
    </row>
    <row r="327">
      <c r="I327" s="16"/>
      <c r="J327" s="16"/>
      <c r="K327" s="16"/>
      <c r="L327" s="16"/>
      <c r="M327" s="17"/>
      <c r="N327" s="17"/>
      <c r="O327" s="17"/>
      <c r="P327" s="17"/>
    </row>
    <row r="328">
      <c r="I328" s="16"/>
      <c r="J328" s="16"/>
      <c r="K328" s="16"/>
      <c r="L328" s="16"/>
      <c r="M328" s="17"/>
      <c r="N328" s="17"/>
      <c r="O328" s="17"/>
      <c r="P328" s="17"/>
    </row>
    <row r="329">
      <c r="I329" s="16"/>
      <c r="J329" s="16"/>
      <c r="K329" s="16"/>
      <c r="L329" s="16"/>
      <c r="M329" s="17"/>
      <c r="N329" s="17"/>
      <c r="O329" s="17"/>
      <c r="P329" s="17"/>
    </row>
    <row r="330">
      <c r="I330" s="16"/>
      <c r="J330" s="16"/>
      <c r="K330" s="16"/>
      <c r="L330" s="16"/>
      <c r="M330" s="17"/>
      <c r="N330" s="17"/>
      <c r="O330" s="17"/>
      <c r="P330" s="17"/>
    </row>
    <row r="331">
      <c r="I331" s="16"/>
      <c r="J331" s="16"/>
      <c r="K331" s="16"/>
      <c r="L331" s="16"/>
      <c r="M331" s="17"/>
      <c r="N331" s="17"/>
      <c r="O331" s="17"/>
      <c r="P331" s="17"/>
    </row>
    <row r="332">
      <c r="I332" s="16"/>
      <c r="J332" s="16"/>
      <c r="K332" s="16"/>
      <c r="L332" s="16"/>
      <c r="M332" s="17"/>
      <c r="N332" s="17"/>
      <c r="O332" s="17"/>
      <c r="P332" s="17"/>
    </row>
    <row r="333">
      <c r="I333" s="16"/>
      <c r="J333" s="16"/>
      <c r="K333" s="16"/>
      <c r="L333" s="16"/>
      <c r="M333" s="17"/>
      <c r="N333" s="17"/>
      <c r="O333" s="17"/>
      <c r="P333" s="17"/>
    </row>
    <row r="334">
      <c r="I334" s="16"/>
      <c r="J334" s="16"/>
      <c r="K334" s="16"/>
      <c r="L334" s="16"/>
      <c r="M334" s="17"/>
      <c r="N334" s="17"/>
      <c r="O334" s="17"/>
      <c r="P334" s="17"/>
    </row>
    <row r="335">
      <c r="I335" s="16"/>
      <c r="J335" s="16"/>
      <c r="K335" s="16"/>
      <c r="L335" s="16"/>
      <c r="M335" s="17"/>
      <c r="N335" s="17"/>
      <c r="O335" s="17"/>
      <c r="P335" s="17"/>
    </row>
    <row r="336">
      <c r="I336" s="16"/>
      <c r="J336" s="16"/>
      <c r="K336" s="16"/>
      <c r="L336" s="16"/>
      <c r="M336" s="17"/>
      <c r="N336" s="17"/>
      <c r="O336" s="17"/>
      <c r="P336" s="17"/>
    </row>
    <row r="337">
      <c r="I337" s="16"/>
      <c r="J337" s="16"/>
      <c r="K337" s="16"/>
      <c r="L337" s="16"/>
      <c r="M337" s="17"/>
      <c r="N337" s="17"/>
      <c r="O337" s="17"/>
      <c r="P337" s="17"/>
    </row>
    <row r="338">
      <c r="I338" s="16"/>
      <c r="J338" s="16"/>
      <c r="K338" s="16"/>
      <c r="L338" s="16"/>
      <c r="M338" s="17"/>
      <c r="N338" s="17"/>
      <c r="O338" s="17"/>
      <c r="P338" s="17"/>
    </row>
    <row r="339">
      <c r="I339" s="16"/>
      <c r="J339" s="16"/>
      <c r="K339" s="16"/>
      <c r="L339" s="16"/>
      <c r="M339" s="17"/>
      <c r="N339" s="17"/>
      <c r="O339" s="17"/>
      <c r="P339" s="17"/>
    </row>
    <row r="340">
      <c r="I340" s="16"/>
      <c r="J340" s="16"/>
      <c r="K340" s="16"/>
      <c r="L340" s="16"/>
      <c r="M340" s="17"/>
      <c r="N340" s="17"/>
      <c r="O340" s="17"/>
      <c r="P340" s="17"/>
    </row>
    <row r="341">
      <c r="I341" s="16"/>
      <c r="J341" s="16"/>
      <c r="K341" s="16"/>
      <c r="L341" s="16"/>
      <c r="M341" s="17"/>
      <c r="N341" s="17"/>
      <c r="O341" s="17"/>
      <c r="P341" s="17"/>
    </row>
    <row r="342">
      <c r="I342" s="16"/>
      <c r="J342" s="16"/>
      <c r="K342" s="16"/>
      <c r="L342" s="16"/>
      <c r="M342" s="17"/>
      <c r="N342" s="17"/>
      <c r="O342" s="17"/>
      <c r="P342" s="17"/>
    </row>
    <row r="343">
      <c r="I343" s="16"/>
      <c r="J343" s="16"/>
      <c r="K343" s="16"/>
      <c r="L343" s="16"/>
      <c r="M343" s="17"/>
      <c r="N343" s="17"/>
      <c r="O343" s="17"/>
      <c r="P343" s="17"/>
    </row>
    <row r="344">
      <c r="I344" s="16"/>
      <c r="J344" s="16"/>
      <c r="K344" s="16"/>
      <c r="L344" s="16"/>
      <c r="M344" s="17"/>
      <c r="N344" s="17"/>
      <c r="O344" s="17"/>
      <c r="P344" s="17"/>
    </row>
    <row r="345">
      <c r="I345" s="16"/>
      <c r="J345" s="16"/>
      <c r="K345" s="16"/>
      <c r="L345" s="16"/>
      <c r="M345" s="17"/>
      <c r="N345" s="17"/>
      <c r="O345" s="17"/>
      <c r="P345" s="17"/>
    </row>
    <row r="346">
      <c r="I346" s="16"/>
      <c r="J346" s="16"/>
      <c r="K346" s="16"/>
      <c r="L346" s="16"/>
      <c r="M346" s="17"/>
      <c r="N346" s="17"/>
      <c r="O346" s="17"/>
      <c r="P346" s="17"/>
    </row>
    <row r="347">
      <c r="I347" s="16"/>
      <c r="J347" s="16"/>
      <c r="K347" s="16"/>
      <c r="L347" s="16"/>
      <c r="M347" s="17"/>
      <c r="N347" s="17"/>
      <c r="O347" s="17"/>
      <c r="P347" s="17"/>
    </row>
    <row r="348">
      <c r="I348" s="16"/>
      <c r="J348" s="16"/>
      <c r="K348" s="16"/>
      <c r="L348" s="16"/>
      <c r="M348" s="17"/>
      <c r="N348" s="17"/>
      <c r="O348" s="17"/>
      <c r="P348" s="17"/>
    </row>
    <row r="349">
      <c r="I349" s="16"/>
      <c r="J349" s="16"/>
      <c r="K349" s="16"/>
      <c r="L349" s="16"/>
      <c r="M349" s="17"/>
      <c r="N349" s="17"/>
      <c r="O349" s="17"/>
      <c r="P349" s="17"/>
    </row>
    <row r="350">
      <c r="I350" s="16"/>
      <c r="J350" s="16"/>
      <c r="K350" s="16"/>
      <c r="L350" s="16"/>
      <c r="M350" s="17"/>
      <c r="N350" s="17"/>
      <c r="O350" s="17"/>
      <c r="P350" s="17"/>
    </row>
    <row r="351">
      <c r="I351" s="16"/>
      <c r="J351" s="16"/>
      <c r="K351" s="16"/>
      <c r="L351" s="16"/>
      <c r="M351" s="17"/>
      <c r="N351" s="17"/>
      <c r="O351" s="17"/>
      <c r="P351" s="17"/>
    </row>
    <row r="352">
      <c r="I352" s="16"/>
      <c r="J352" s="16"/>
      <c r="K352" s="16"/>
      <c r="L352" s="16"/>
      <c r="M352" s="17"/>
      <c r="N352" s="17"/>
      <c r="O352" s="17"/>
      <c r="P352" s="17"/>
    </row>
    <row r="353">
      <c r="I353" s="16"/>
      <c r="J353" s="16"/>
      <c r="K353" s="16"/>
      <c r="L353" s="16"/>
      <c r="M353" s="17"/>
      <c r="N353" s="17"/>
      <c r="O353" s="17"/>
      <c r="P353" s="17"/>
    </row>
    <row r="354">
      <c r="I354" s="16"/>
      <c r="J354" s="16"/>
      <c r="K354" s="16"/>
      <c r="L354" s="16"/>
      <c r="M354" s="17"/>
      <c r="N354" s="17"/>
      <c r="O354" s="17"/>
      <c r="P354" s="17"/>
    </row>
    <row r="355">
      <c r="I355" s="16"/>
      <c r="J355" s="16"/>
      <c r="K355" s="16"/>
      <c r="L355" s="16"/>
      <c r="M355" s="17"/>
      <c r="N355" s="17"/>
      <c r="O355" s="17"/>
      <c r="P355" s="17"/>
    </row>
    <row r="356">
      <c r="I356" s="16"/>
      <c r="J356" s="16"/>
      <c r="K356" s="16"/>
      <c r="L356" s="16"/>
      <c r="M356" s="17"/>
      <c r="N356" s="17"/>
      <c r="O356" s="17"/>
      <c r="P356" s="17"/>
    </row>
    <row r="357">
      <c r="I357" s="16"/>
      <c r="J357" s="16"/>
      <c r="K357" s="16"/>
      <c r="L357" s="16"/>
      <c r="M357" s="17"/>
      <c r="N357" s="17"/>
      <c r="O357" s="17"/>
      <c r="P357" s="17"/>
    </row>
    <row r="358">
      <c r="I358" s="16"/>
      <c r="J358" s="16"/>
      <c r="K358" s="16"/>
      <c r="L358" s="16"/>
      <c r="M358" s="17"/>
      <c r="N358" s="17"/>
      <c r="O358" s="17"/>
      <c r="P358" s="17"/>
    </row>
    <row r="359">
      <c r="I359" s="16"/>
      <c r="J359" s="16"/>
      <c r="K359" s="16"/>
      <c r="L359" s="16"/>
      <c r="M359" s="17"/>
      <c r="N359" s="17"/>
      <c r="O359" s="17"/>
      <c r="P359" s="17"/>
    </row>
    <row r="360">
      <c r="I360" s="16"/>
      <c r="J360" s="16"/>
      <c r="K360" s="16"/>
      <c r="L360" s="16"/>
      <c r="M360" s="17"/>
      <c r="N360" s="17"/>
      <c r="O360" s="17"/>
      <c r="P360" s="17"/>
    </row>
    <row r="361">
      <c r="I361" s="16"/>
      <c r="J361" s="16"/>
      <c r="K361" s="16"/>
      <c r="L361" s="16"/>
      <c r="M361" s="17"/>
      <c r="N361" s="17"/>
      <c r="O361" s="17"/>
      <c r="P361" s="17"/>
    </row>
    <row r="362">
      <c r="I362" s="16"/>
      <c r="J362" s="16"/>
      <c r="K362" s="16"/>
      <c r="L362" s="16"/>
      <c r="M362" s="17"/>
      <c r="N362" s="17"/>
      <c r="O362" s="17"/>
      <c r="P362" s="17"/>
    </row>
    <row r="363">
      <c r="I363" s="16"/>
      <c r="J363" s="16"/>
      <c r="K363" s="16"/>
      <c r="L363" s="16"/>
      <c r="M363" s="17"/>
      <c r="N363" s="17"/>
      <c r="O363" s="17"/>
      <c r="P363" s="17"/>
    </row>
    <row r="364">
      <c r="I364" s="16"/>
      <c r="J364" s="16"/>
      <c r="K364" s="16"/>
      <c r="L364" s="16"/>
      <c r="M364" s="17"/>
      <c r="N364" s="17"/>
      <c r="O364" s="17"/>
      <c r="P364" s="17"/>
    </row>
    <row r="365">
      <c r="I365" s="16"/>
      <c r="J365" s="16"/>
      <c r="K365" s="16"/>
      <c r="L365" s="16"/>
      <c r="M365" s="17"/>
      <c r="N365" s="17"/>
      <c r="O365" s="17"/>
      <c r="P365" s="17"/>
    </row>
    <row r="366">
      <c r="I366" s="16"/>
      <c r="J366" s="16"/>
      <c r="K366" s="16"/>
      <c r="L366" s="16"/>
      <c r="M366" s="17"/>
      <c r="N366" s="17"/>
      <c r="O366" s="17"/>
      <c r="P366" s="17"/>
    </row>
    <row r="367">
      <c r="I367" s="16"/>
      <c r="J367" s="16"/>
      <c r="K367" s="16"/>
      <c r="L367" s="16"/>
      <c r="M367" s="17"/>
      <c r="N367" s="17"/>
      <c r="O367" s="17"/>
      <c r="P367" s="17"/>
    </row>
    <row r="368">
      <c r="I368" s="16"/>
      <c r="J368" s="16"/>
      <c r="K368" s="16"/>
      <c r="L368" s="16"/>
      <c r="M368" s="17"/>
      <c r="N368" s="17"/>
      <c r="O368" s="17"/>
      <c r="P368" s="17"/>
    </row>
    <row r="369">
      <c r="I369" s="16"/>
      <c r="J369" s="16"/>
      <c r="K369" s="16"/>
      <c r="L369" s="16"/>
      <c r="M369" s="17"/>
      <c r="N369" s="17"/>
      <c r="O369" s="17"/>
      <c r="P369" s="17"/>
    </row>
    <row r="370">
      <c r="I370" s="16"/>
      <c r="J370" s="16"/>
      <c r="K370" s="16"/>
      <c r="L370" s="16"/>
      <c r="M370" s="17"/>
      <c r="N370" s="17"/>
      <c r="O370" s="17"/>
      <c r="P370" s="17"/>
    </row>
    <row r="371">
      <c r="I371" s="16"/>
      <c r="J371" s="16"/>
      <c r="K371" s="16"/>
      <c r="L371" s="16"/>
      <c r="M371" s="17"/>
      <c r="N371" s="17"/>
      <c r="O371" s="17"/>
      <c r="P371" s="17"/>
    </row>
    <row r="372">
      <c r="I372" s="16"/>
      <c r="J372" s="16"/>
      <c r="K372" s="16"/>
      <c r="L372" s="16"/>
      <c r="M372" s="17"/>
      <c r="N372" s="17"/>
      <c r="O372" s="17"/>
      <c r="P372" s="17"/>
    </row>
    <row r="373">
      <c r="I373" s="16"/>
      <c r="J373" s="16"/>
      <c r="K373" s="16"/>
      <c r="L373" s="16"/>
      <c r="M373" s="17"/>
      <c r="N373" s="17"/>
      <c r="O373" s="17"/>
      <c r="P373" s="17"/>
    </row>
    <row r="374">
      <c r="I374" s="16"/>
      <c r="J374" s="16"/>
      <c r="K374" s="16"/>
      <c r="L374" s="16"/>
      <c r="M374" s="17"/>
      <c r="N374" s="17"/>
      <c r="O374" s="17"/>
      <c r="P374" s="17"/>
    </row>
    <row r="375">
      <c r="I375" s="16"/>
      <c r="J375" s="16"/>
      <c r="K375" s="16"/>
      <c r="L375" s="16"/>
      <c r="M375" s="17"/>
      <c r="N375" s="17"/>
      <c r="O375" s="17"/>
      <c r="P375" s="17"/>
    </row>
    <row r="376">
      <c r="I376" s="16"/>
      <c r="J376" s="16"/>
      <c r="K376" s="16"/>
      <c r="L376" s="16"/>
      <c r="M376" s="17"/>
      <c r="N376" s="17"/>
      <c r="O376" s="17"/>
      <c r="P376" s="17"/>
    </row>
    <row r="377">
      <c r="I377" s="16"/>
      <c r="J377" s="16"/>
      <c r="K377" s="16"/>
      <c r="L377" s="16"/>
      <c r="M377" s="17"/>
      <c r="N377" s="17"/>
      <c r="O377" s="17"/>
      <c r="P377" s="17"/>
    </row>
    <row r="378">
      <c r="I378" s="16"/>
      <c r="J378" s="16"/>
      <c r="K378" s="16"/>
      <c r="L378" s="16"/>
      <c r="M378" s="17"/>
      <c r="N378" s="17"/>
      <c r="O378" s="17"/>
      <c r="P378" s="17"/>
    </row>
    <row r="379">
      <c r="I379" s="16"/>
      <c r="J379" s="16"/>
      <c r="K379" s="16"/>
      <c r="L379" s="16"/>
      <c r="M379" s="17"/>
      <c r="N379" s="17"/>
      <c r="O379" s="17"/>
      <c r="P379" s="17"/>
    </row>
    <row r="380">
      <c r="I380" s="16"/>
      <c r="J380" s="16"/>
      <c r="K380" s="16"/>
      <c r="L380" s="16"/>
      <c r="M380" s="17"/>
      <c r="N380" s="17"/>
      <c r="O380" s="17"/>
      <c r="P380" s="17"/>
    </row>
    <row r="381">
      <c r="I381" s="16"/>
      <c r="J381" s="16"/>
      <c r="K381" s="16"/>
      <c r="L381" s="16"/>
      <c r="M381" s="17"/>
      <c r="N381" s="17"/>
      <c r="O381" s="17"/>
      <c r="P381" s="17"/>
    </row>
    <row r="382">
      <c r="I382" s="16"/>
      <c r="J382" s="16"/>
      <c r="K382" s="16"/>
      <c r="L382" s="16"/>
      <c r="M382" s="17"/>
      <c r="N382" s="17"/>
      <c r="O382" s="17"/>
      <c r="P382" s="17"/>
    </row>
    <row r="383">
      <c r="I383" s="16"/>
      <c r="J383" s="16"/>
      <c r="K383" s="16"/>
      <c r="L383" s="16"/>
      <c r="M383" s="17"/>
      <c r="N383" s="17"/>
      <c r="O383" s="17"/>
      <c r="P383" s="17"/>
    </row>
    <row r="384">
      <c r="I384" s="16"/>
      <c r="J384" s="16"/>
      <c r="K384" s="16"/>
      <c r="L384" s="16"/>
      <c r="M384" s="17"/>
      <c r="N384" s="17"/>
      <c r="O384" s="17"/>
      <c r="P384" s="17"/>
    </row>
    <row r="385">
      <c r="I385" s="16"/>
      <c r="J385" s="16"/>
      <c r="K385" s="16"/>
      <c r="L385" s="16"/>
      <c r="M385" s="17"/>
      <c r="N385" s="17"/>
      <c r="O385" s="17"/>
      <c r="P385" s="17"/>
    </row>
    <row r="386">
      <c r="I386" s="16"/>
      <c r="J386" s="16"/>
      <c r="K386" s="16"/>
      <c r="L386" s="16"/>
      <c r="M386" s="17"/>
      <c r="N386" s="17"/>
      <c r="O386" s="17"/>
      <c r="P386" s="17"/>
    </row>
    <row r="387">
      <c r="I387" s="16"/>
      <c r="J387" s="16"/>
      <c r="K387" s="16"/>
      <c r="L387" s="16"/>
      <c r="M387" s="17"/>
      <c r="N387" s="17"/>
      <c r="O387" s="17"/>
      <c r="P387" s="17"/>
    </row>
    <row r="388">
      <c r="I388" s="16"/>
      <c r="J388" s="16"/>
      <c r="K388" s="16"/>
      <c r="L388" s="16"/>
      <c r="M388" s="17"/>
      <c r="N388" s="17"/>
      <c r="O388" s="17"/>
      <c r="P388" s="17"/>
    </row>
    <row r="389">
      <c r="I389" s="16"/>
      <c r="J389" s="16"/>
      <c r="K389" s="16"/>
      <c r="L389" s="16"/>
      <c r="M389" s="17"/>
      <c r="N389" s="17"/>
      <c r="O389" s="17"/>
      <c r="P389" s="17"/>
    </row>
    <row r="390">
      <c r="I390" s="16"/>
      <c r="J390" s="16"/>
      <c r="K390" s="16"/>
      <c r="L390" s="16"/>
      <c r="M390" s="17"/>
      <c r="N390" s="17"/>
      <c r="O390" s="17"/>
      <c r="P390" s="17"/>
    </row>
    <row r="391">
      <c r="I391" s="16"/>
      <c r="J391" s="16"/>
      <c r="K391" s="16"/>
      <c r="L391" s="16"/>
      <c r="M391" s="17"/>
      <c r="N391" s="17"/>
      <c r="O391" s="17"/>
      <c r="P391" s="17"/>
    </row>
    <row r="392">
      <c r="I392" s="16"/>
      <c r="J392" s="16"/>
      <c r="K392" s="16"/>
      <c r="L392" s="16"/>
      <c r="M392" s="17"/>
      <c r="N392" s="17"/>
      <c r="O392" s="17"/>
      <c r="P392" s="17"/>
    </row>
    <row r="393">
      <c r="I393" s="16"/>
      <c r="J393" s="16"/>
      <c r="K393" s="16"/>
      <c r="L393" s="16"/>
      <c r="M393" s="17"/>
      <c r="N393" s="17"/>
      <c r="O393" s="17"/>
      <c r="P393" s="17"/>
    </row>
    <row r="394">
      <c r="I394" s="16"/>
      <c r="J394" s="16"/>
      <c r="K394" s="16"/>
      <c r="L394" s="16"/>
      <c r="M394" s="17"/>
      <c r="N394" s="17"/>
      <c r="O394" s="17"/>
      <c r="P394" s="17"/>
    </row>
    <row r="395">
      <c r="I395" s="16"/>
      <c r="J395" s="16"/>
      <c r="K395" s="16"/>
      <c r="L395" s="16"/>
      <c r="M395" s="17"/>
      <c r="N395" s="17"/>
      <c r="O395" s="17"/>
      <c r="P395" s="17"/>
    </row>
    <row r="396">
      <c r="I396" s="16"/>
      <c r="J396" s="16"/>
      <c r="K396" s="16"/>
      <c r="L396" s="16"/>
      <c r="M396" s="17"/>
      <c r="N396" s="17"/>
      <c r="O396" s="17"/>
      <c r="P396" s="17"/>
    </row>
    <row r="397">
      <c r="I397" s="16"/>
      <c r="J397" s="16"/>
      <c r="K397" s="16"/>
      <c r="L397" s="16"/>
      <c r="M397" s="17"/>
      <c r="N397" s="17"/>
      <c r="O397" s="17"/>
      <c r="P397" s="17"/>
    </row>
    <row r="398">
      <c r="I398" s="16"/>
      <c r="J398" s="16"/>
      <c r="K398" s="16"/>
      <c r="L398" s="16"/>
      <c r="M398" s="17"/>
      <c r="N398" s="17"/>
      <c r="O398" s="17"/>
      <c r="P398" s="17"/>
    </row>
    <row r="399">
      <c r="I399" s="16"/>
      <c r="J399" s="16"/>
      <c r="K399" s="16"/>
      <c r="L399" s="16"/>
      <c r="M399" s="17"/>
      <c r="N399" s="17"/>
      <c r="O399" s="17"/>
      <c r="P399" s="17"/>
    </row>
    <row r="400">
      <c r="I400" s="16"/>
      <c r="J400" s="16"/>
      <c r="K400" s="16"/>
      <c r="L400" s="16"/>
      <c r="M400" s="17"/>
      <c r="N400" s="17"/>
      <c r="O400" s="17"/>
      <c r="P400" s="17"/>
    </row>
    <row r="401">
      <c r="I401" s="16"/>
      <c r="J401" s="16"/>
      <c r="K401" s="16"/>
      <c r="L401" s="16"/>
      <c r="M401" s="17"/>
      <c r="N401" s="17"/>
      <c r="O401" s="17"/>
      <c r="P401" s="17"/>
    </row>
    <row r="402">
      <c r="I402" s="16"/>
      <c r="J402" s="16"/>
      <c r="K402" s="16"/>
      <c r="L402" s="16"/>
      <c r="M402" s="17"/>
      <c r="N402" s="17"/>
      <c r="O402" s="17"/>
      <c r="P402" s="17"/>
    </row>
    <row r="403">
      <c r="I403" s="16"/>
      <c r="J403" s="16"/>
      <c r="K403" s="16"/>
      <c r="L403" s="16"/>
      <c r="M403" s="17"/>
      <c r="N403" s="17"/>
      <c r="O403" s="17"/>
      <c r="P403" s="17"/>
    </row>
    <row r="404">
      <c r="I404" s="16"/>
      <c r="J404" s="16"/>
      <c r="K404" s="16"/>
      <c r="L404" s="16"/>
      <c r="M404" s="17"/>
      <c r="N404" s="17"/>
      <c r="O404" s="17"/>
      <c r="P404" s="17"/>
    </row>
    <row r="405">
      <c r="I405" s="16"/>
      <c r="J405" s="16"/>
      <c r="K405" s="16"/>
      <c r="L405" s="16"/>
      <c r="M405" s="17"/>
      <c r="N405" s="17"/>
      <c r="O405" s="17"/>
      <c r="P405" s="17"/>
    </row>
    <row r="406">
      <c r="I406" s="16"/>
      <c r="J406" s="16"/>
      <c r="K406" s="16"/>
      <c r="L406" s="16"/>
      <c r="M406" s="17"/>
      <c r="N406" s="17"/>
      <c r="O406" s="17"/>
      <c r="P406" s="17"/>
    </row>
    <row r="407">
      <c r="I407" s="16"/>
      <c r="J407" s="16"/>
      <c r="K407" s="16"/>
      <c r="L407" s="16"/>
      <c r="M407" s="17"/>
      <c r="N407" s="17"/>
      <c r="O407" s="17"/>
      <c r="P407" s="17"/>
    </row>
    <row r="408">
      <c r="I408" s="16"/>
      <c r="J408" s="16"/>
      <c r="K408" s="16"/>
      <c r="L408" s="16"/>
      <c r="M408" s="17"/>
      <c r="N408" s="17"/>
      <c r="O408" s="17"/>
      <c r="P408" s="17"/>
    </row>
    <row r="409">
      <c r="I409" s="16"/>
      <c r="J409" s="16"/>
      <c r="K409" s="16"/>
      <c r="L409" s="16"/>
      <c r="M409" s="17"/>
      <c r="N409" s="17"/>
      <c r="O409" s="17"/>
      <c r="P409" s="17"/>
    </row>
    <row r="410">
      <c r="I410" s="16"/>
      <c r="J410" s="16"/>
      <c r="K410" s="16"/>
      <c r="L410" s="16"/>
      <c r="M410" s="17"/>
      <c r="N410" s="17"/>
      <c r="O410" s="17"/>
      <c r="P410" s="17"/>
    </row>
    <row r="411">
      <c r="I411" s="16"/>
      <c r="J411" s="16"/>
      <c r="K411" s="16"/>
      <c r="L411" s="16"/>
      <c r="M411" s="17"/>
      <c r="N411" s="17"/>
      <c r="O411" s="17"/>
      <c r="P411" s="17"/>
    </row>
    <row r="412">
      <c r="I412" s="16"/>
      <c r="J412" s="16"/>
      <c r="K412" s="16"/>
      <c r="L412" s="16"/>
      <c r="M412" s="17"/>
      <c r="N412" s="17"/>
      <c r="O412" s="17"/>
      <c r="P412" s="17"/>
    </row>
    <row r="413">
      <c r="I413" s="16"/>
      <c r="J413" s="16"/>
      <c r="K413" s="16"/>
      <c r="L413" s="16"/>
      <c r="M413" s="17"/>
      <c r="N413" s="17"/>
      <c r="O413" s="17"/>
      <c r="P413" s="17"/>
    </row>
    <row r="414">
      <c r="I414" s="16"/>
      <c r="J414" s="16"/>
      <c r="K414" s="16"/>
      <c r="L414" s="16"/>
      <c r="M414" s="17"/>
      <c r="N414" s="17"/>
      <c r="O414" s="17"/>
      <c r="P414" s="17"/>
    </row>
    <row r="415">
      <c r="I415" s="16"/>
      <c r="J415" s="16"/>
      <c r="K415" s="16"/>
      <c r="L415" s="16"/>
      <c r="M415" s="17"/>
      <c r="N415" s="17"/>
      <c r="O415" s="17"/>
      <c r="P415" s="17"/>
    </row>
    <row r="416">
      <c r="I416" s="16"/>
      <c r="J416" s="16"/>
      <c r="K416" s="16"/>
      <c r="L416" s="16"/>
      <c r="M416" s="17"/>
      <c r="N416" s="17"/>
      <c r="O416" s="17"/>
      <c r="P416" s="17"/>
    </row>
    <row r="417">
      <c r="I417" s="16"/>
      <c r="J417" s="16"/>
      <c r="K417" s="16"/>
      <c r="L417" s="16"/>
      <c r="M417" s="17"/>
      <c r="N417" s="17"/>
      <c r="O417" s="17"/>
      <c r="P417" s="17"/>
    </row>
    <row r="418">
      <c r="I418" s="16"/>
      <c r="J418" s="16"/>
      <c r="K418" s="16"/>
      <c r="L418" s="16"/>
      <c r="M418" s="17"/>
      <c r="N418" s="17"/>
      <c r="O418" s="17"/>
      <c r="P418" s="17"/>
    </row>
    <row r="419">
      <c r="I419" s="16"/>
      <c r="J419" s="16"/>
      <c r="K419" s="16"/>
      <c r="L419" s="16"/>
      <c r="M419" s="17"/>
      <c r="N419" s="17"/>
      <c r="O419" s="17"/>
      <c r="P419" s="17"/>
    </row>
    <row r="420">
      <c r="I420" s="16"/>
      <c r="J420" s="16"/>
      <c r="K420" s="16"/>
      <c r="L420" s="16"/>
      <c r="M420" s="17"/>
      <c r="N420" s="17"/>
      <c r="O420" s="17"/>
      <c r="P420" s="17"/>
    </row>
    <row r="421">
      <c r="I421" s="16"/>
      <c r="J421" s="16"/>
      <c r="K421" s="16"/>
      <c r="L421" s="16"/>
      <c r="M421" s="17"/>
      <c r="N421" s="17"/>
      <c r="O421" s="17"/>
      <c r="P421" s="17"/>
    </row>
    <row r="422">
      <c r="I422" s="16"/>
      <c r="J422" s="16"/>
      <c r="K422" s="16"/>
      <c r="L422" s="16"/>
      <c r="M422" s="17"/>
      <c r="N422" s="17"/>
      <c r="O422" s="17"/>
      <c r="P422" s="17"/>
    </row>
    <row r="423">
      <c r="I423" s="16"/>
      <c r="J423" s="16"/>
      <c r="K423" s="16"/>
      <c r="L423" s="16"/>
      <c r="M423" s="17"/>
      <c r="N423" s="17"/>
      <c r="O423" s="17"/>
      <c r="P423" s="17"/>
    </row>
    <row r="424">
      <c r="I424" s="16"/>
      <c r="J424" s="16"/>
      <c r="K424" s="16"/>
      <c r="L424" s="16"/>
      <c r="M424" s="17"/>
      <c r="N424" s="17"/>
      <c r="O424" s="17"/>
      <c r="P424" s="17"/>
    </row>
    <row r="425">
      <c r="I425" s="16"/>
      <c r="J425" s="16"/>
      <c r="K425" s="16"/>
      <c r="L425" s="16"/>
      <c r="M425" s="17"/>
      <c r="N425" s="17"/>
      <c r="O425" s="17"/>
      <c r="P425" s="17"/>
    </row>
    <row r="426">
      <c r="I426" s="16"/>
      <c r="J426" s="16"/>
      <c r="K426" s="16"/>
      <c r="L426" s="16"/>
      <c r="M426" s="17"/>
      <c r="N426" s="17"/>
      <c r="O426" s="17"/>
      <c r="P426" s="17"/>
    </row>
    <row r="427">
      <c r="I427" s="16"/>
      <c r="J427" s="16"/>
      <c r="K427" s="16"/>
      <c r="L427" s="16"/>
      <c r="M427" s="17"/>
      <c r="N427" s="17"/>
      <c r="O427" s="17"/>
      <c r="P427" s="17"/>
    </row>
    <row r="428">
      <c r="I428" s="16"/>
      <c r="J428" s="16"/>
      <c r="K428" s="16"/>
      <c r="L428" s="16"/>
      <c r="M428" s="17"/>
      <c r="N428" s="17"/>
      <c r="O428" s="17"/>
      <c r="P428" s="17"/>
    </row>
    <row r="429">
      <c r="I429" s="16"/>
      <c r="J429" s="16"/>
      <c r="K429" s="16"/>
      <c r="L429" s="16"/>
      <c r="M429" s="17"/>
      <c r="N429" s="17"/>
      <c r="O429" s="17"/>
      <c r="P429" s="17"/>
    </row>
    <row r="430">
      <c r="I430" s="16"/>
      <c r="J430" s="16"/>
      <c r="K430" s="16"/>
      <c r="L430" s="16"/>
      <c r="M430" s="17"/>
      <c r="N430" s="17"/>
      <c r="O430" s="17"/>
      <c r="P430" s="17"/>
    </row>
    <row r="431">
      <c r="I431" s="16"/>
      <c r="J431" s="16"/>
      <c r="K431" s="16"/>
      <c r="L431" s="16"/>
      <c r="M431" s="17"/>
      <c r="N431" s="17"/>
      <c r="O431" s="17"/>
      <c r="P431" s="17"/>
    </row>
    <row r="432">
      <c r="I432" s="16"/>
      <c r="J432" s="16"/>
      <c r="K432" s="16"/>
      <c r="L432" s="16"/>
      <c r="M432" s="17"/>
      <c r="N432" s="17"/>
      <c r="O432" s="17"/>
      <c r="P432" s="17"/>
    </row>
    <row r="433">
      <c r="I433" s="16"/>
      <c r="J433" s="16"/>
      <c r="K433" s="16"/>
      <c r="L433" s="16"/>
      <c r="M433" s="17"/>
      <c r="N433" s="17"/>
      <c r="O433" s="17"/>
      <c r="P433" s="17"/>
    </row>
    <row r="434">
      <c r="I434" s="16"/>
      <c r="J434" s="16"/>
      <c r="K434" s="16"/>
      <c r="L434" s="16"/>
      <c r="M434" s="17"/>
      <c r="N434" s="17"/>
      <c r="O434" s="17"/>
      <c r="P434" s="17"/>
    </row>
    <row r="435">
      <c r="I435" s="16"/>
      <c r="J435" s="16"/>
      <c r="K435" s="16"/>
      <c r="L435" s="16"/>
      <c r="M435" s="17"/>
      <c r="N435" s="17"/>
      <c r="O435" s="17"/>
      <c r="P435" s="17"/>
    </row>
    <row r="436">
      <c r="I436" s="16"/>
      <c r="J436" s="16"/>
      <c r="K436" s="16"/>
      <c r="L436" s="16"/>
      <c r="M436" s="17"/>
      <c r="N436" s="17"/>
      <c r="O436" s="17"/>
      <c r="P436" s="17"/>
    </row>
    <row r="437">
      <c r="I437" s="16"/>
      <c r="J437" s="16"/>
      <c r="K437" s="16"/>
      <c r="L437" s="16"/>
      <c r="M437" s="17"/>
      <c r="N437" s="17"/>
      <c r="O437" s="17"/>
      <c r="P437" s="17"/>
    </row>
    <row r="438">
      <c r="I438" s="16"/>
      <c r="J438" s="16"/>
      <c r="K438" s="16"/>
      <c r="L438" s="16"/>
      <c r="M438" s="17"/>
      <c r="N438" s="17"/>
      <c r="O438" s="17"/>
      <c r="P438" s="17"/>
    </row>
    <row r="439">
      <c r="I439" s="16"/>
      <c r="J439" s="16"/>
      <c r="K439" s="16"/>
      <c r="L439" s="16"/>
      <c r="M439" s="17"/>
      <c r="N439" s="17"/>
      <c r="O439" s="17"/>
      <c r="P439" s="17"/>
    </row>
    <row r="440">
      <c r="I440" s="16"/>
      <c r="J440" s="16"/>
      <c r="K440" s="16"/>
      <c r="L440" s="16"/>
      <c r="M440" s="17"/>
      <c r="N440" s="17"/>
      <c r="O440" s="17"/>
      <c r="P440" s="17"/>
    </row>
    <row r="441">
      <c r="I441" s="16"/>
      <c r="J441" s="16"/>
      <c r="K441" s="16"/>
      <c r="L441" s="16"/>
      <c r="M441" s="17"/>
      <c r="N441" s="17"/>
      <c r="O441" s="17"/>
      <c r="P441" s="17"/>
    </row>
    <row r="442">
      <c r="I442" s="16"/>
      <c r="J442" s="16"/>
      <c r="K442" s="16"/>
      <c r="L442" s="16"/>
      <c r="M442" s="17"/>
      <c r="N442" s="17"/>
      <c r="O442" s="17"/>
      <c r="P442" s="17"/>
    </row>
    <row r="443">
      <c r="I443" s="16"/>
      <c r="J443" s="16"/>
      <c r="K443" s="16"/>
      <c r="L443" s="16"/>
      <c r="M443" s="17"/>
      <c r="N443" s="17"/>
      <c r="O443" s="17"/>
      <c r="P443" s="17"/>
    </row>
    <row r="444">
      <c r="I444" s="16"/>
      <c r="J444" s="16"/>
      <c r="K444" s="16"/>
      <c r="L444" s="16"/>
      <c r="M444" s="17"/>
      <c r="N444" s="17"/>
      <c r="O444" s="17"/>
      <c r="P444" s="17"/>
    </row>
    <row r="445">
      <c r="I445" s="16"/>
      <c r="J445" s="16"/>
      <c r="K445" s="16"/>
      <c r="L445" s="16"/>
      <c r="M445" s="17"/>
      <c r="N445" s="17"/>
      <c r="O445" s="17"/>
      <c r="P445" s="17"/>
    </row>
    <row r="446">
      <c r="I446" s="16"/>
      <c r="J446" s="16"/>
      <c r="K446" s="16"/>
      <c r="L446" s="16"/>
      <c r="M446" s="17"/>
      <c r="N446" s="17"/>
      <c r="O446" s="17"/>
      <c r="P446" s="17"/>
    </row>
    <row r="447">
      <c r="I447" s="16"/>
      <c r="J447" s="16"/>
      <c r="K447" s="16"/>
      <c r="L447" s="16"/>
      <c r="M447" s="17"/>
      <c r="N447" s="17"/>
      <c r="O447" s="17"/>
      <c r="P447" s="17"/>
    </row>
    <row r="448">
      <c r="I448" s="16"/>
      <c r="J448" s="16"/>
      <c r="K448" s="16"/>
      <c r="L448" s="16"/>
      <c r="M448" s="17"/>
      <c r="N448" s="17"/>
      <c r="O448" s="17"/>
      <c r="P448" s="17"/>
    </row>
    <row r="449">
      <c r="I449" s="16"/>
      <c r="J449" s="16"/>
      <c r="K449" s="16"/>
      <c r="L449" s="16"/>
      <c r="M449" s="17"/>
      <c r="N449" s="17"/>
      <c r="O449" s="17"/>
      <c r="P449" s="17"/>
    </row>
    <row r="450">
      <c r="I450" s="16"/>
      <c r="J450" s="16"/>
      <c r="K450" s="16"/>
      <c r="L450" s="16"/>
      <c r="M450" s="17"/>
      <c r="N450" s="17"/>
      <c r="O450" s="17"/>
      <c r="P450" s="17"/>
    </row>
    <row r="451">
      <c r="I451" s="16"/>
      <c r="J451" s="16"/>
      <c r="K451" s="16"/>
      <c r="L451" s="16"/>
      <c r="M451" s="17"/>
      <c r="N451" s="17"/>
      <c r="O451" s="17"/>
      <c r="P451" s="17"/>
    </row>
    <row r="452">
      <c r="I452" s="16"/>
      <c r="J452" s="16"/>
      <c r="K452" s="16"/>
      <c r="L452" s="16"/>
      <c r="M452" s="17"/>
      <c r="N452" s="17"/>
      <c r="O452" s="17"/>
      <c r="P452" s="17"/>
    </row>
    <row r="453">
      <c r="I453" s="16"/>
      <c r="J453" s="16"/>
      <c r="K453" s="16"/>
      <c r="L453" s="16"/>
      <c r="M453" s="17"/>
      <c r="N453" s="17"/>
      <c r="O453" s="17"/>
      <c r="P453" s="17"/>
    </row>
    <row r="454">
      <c r="I454" s="16"/>
      <c r="J454" s="16"/>
      <c r="K454" s="16"/>
      <c r="L454" s="16"/>
      <c r="M454" s="17"/>
      <c r="N454" s="17"/>
      <c r="O454" s="17"/>
      <c r="P454" s="17"/>
    </row>
    <row r="455">
      <c r="I455" s="16"/>
      <c r="J455" s="16"/>
      <c r="K455" s="16"/>
      <c r="L455" s="16"/>
      <c r="M455" s="17"/>
      <c r="N455" s="17"/>
      <c r="O455" s="17"/>
      <c r="P455" s="17"/>
    </row>
    <row r="456">
      <c r="I456" s="16"/>
      <c r="J456" s="16"/>
      <c r="K456" s="16"/>
      <c r="L456" s="16"/>
      <c r="M456" s="17"/>
      <c r="N456" s="17"/>
      <c r="O456" s="17"/>
      <c r="P456" s="17"/>
    </row>
    <row r="457">
      <c r="I457" s="16"/>
      <c r="J457" s="16"/>
      <c r="K457" s="16"/>
      <c r="L457" s="16"/>
      <c r="M457" s="17"/>
      <c r="N457" s="17"/>
      <c r="O457" s="17"/>
      <c r="P457" s="17"/>
    </row>
    <row r="458">
      <c r="I458" s="16"/>
      <c r="J458" s="16"/>
      <c r="K458" s="16"/>
      <c r="L458" s="16"/>
      <c r="M458" s="17"/>
      <c r="N458" s="17"/>
      <c r="O458" s="17"/>
      <c r="P458" s="17"/>
    </row>
    <row r="459">
      <c r="I459" s="16"/>
      <c r="J459" s="16"/>
      <c r="K459" s="16"/>
      <c r="L459" s="16"/>
      <c r="M459" s="17"/>
      <c r="N459" s="17"/>
      <c r="O459" s="17"/>
      <c r="P459" s="17"/>
    </row>
    <row r="460">
      <c r="I460" s="16"/>
      <c r="J460" s="16"/>
      <c r="K460" s="16"/>
      <c r="L460" s="16"/>
      <c r="M460" s="17"/>
      <c r="N460" s="17"/>
      <c r="O460" s="17"/>
      <c r="P460" s="17"/>
    </row>
    <row r="461">
      <c r="I461" s="16"/>
      <c r="J461" s="16"/>
      <c r="K461" s="16"/>
      <c r="L461" s="16"/>
      <c r="M461" s="17"/>
      <c r="N461" s="17"/>
      <c r="O461" s="17"/>
      <c r="P461" s="17"/>
    </row>
    <row r="462">
      <c r="I462" s="16"/>
      <c r="J462" s="16"/>
      <c r="K462" s="16"/>
      <c r="L462" s="16"/>
      <c r="M462" s="17"/>
      <c r="N462" s="17"/>
      <c r="O462" s="17"/>
      <c r="P462" s="17"/>
    </row>
    <row r="463">
      <c r="I463" s="16"/>
      <c r="J463" s="16"/>
      <c r="K463" s="16"/>
      <c r="L463" s="16"/>
      <c r="M463" s="17"/>
      <c r="N463" s="17"/>
      <c r="O463" s="17"/>
      <c r="P463" s="17"/>
    </row>
    <row r="464">
      <c r="I464" s="16"/>
      <c r="J464" s="16"/>
      <c r="K464" s="16"/>
      <c r="L464" s="16"/>
      <c r="M464" s="17"/>
      <c r="N464" s="17"/>
      <c r="O464" s="17"/>
      <c r="P464" s="17"/>
    </row>
    <row r="465">
      <c r="I465" s="16"/>
      <c r="J465" s="16"/>
      <c r="K465" s="16"/>
      <c r="L465" s="16"/>
      <c r="M465" s="17"/>
      <c r="N465" s="17"/>
      <c r="O465" s="17"/>
      <c r="P465" s="17"/>
    </row>
    <row r="466">
      <c r="I466" s="16"/>
      <c r="J466" s="16"/>
      <c r="K466" s="16"/>
      <c r="L466" s="16"/>
      <c r="M466" s="17"/>
      <c r="N466" s="17"/>
      <c r="O466" s="17"/>
      <c r="P466" s="17"/>
    </row>
    <row r="467">
      <c r="I467" s="16"/>
      <c r="J467" s="16"/>
      <c r="K467" s="16"/>
      <c r="L467" s="16"/>
      <c r="M467" s="17"/>
      <c r="N467" s="17"/>
      <c r="O467" s="17"/>
      <c r="P467" s="17"/>
    </row>
    <row r="468">
      <c r="I468" s="16"/>
      <c r="J468" s="16"/>
      <c r="K468" s="16"/>
      <c r="L468" s="16"/>
      <c r="M468" s="17"/>
      <c r="N468" s="17"/>
      <c r="O468" s="17"/>
      <c r="P468" s="17"/>
    </row>
    <row r="469">
      <c r="I469" s="16"/>
      <c r="J469" s="16"/>
      <c r="K469" s="16"/>
      <c r="L469" s="16"/>
      <c r="M469" s="17"/>
      <c r="N469" s="17"/>
      <c r="O469" s="17"/>
      <c r="P469" s="17"/>
    </row>
    <row r="470">
      <c r="I470" s="16"/>
      <c r="J470" s="16"/>
      <c r="K470" s="16"/>
      <c r="L470" s="16"/>
      <c r="M470" s="17"/>
      <c r="N470" s="17"/>
      <c r="O470" s="17"/>
      <c r="P470" s="17"/>
    </row>
    <row r="471">
      <c r="I471" s="16"/>
      <c r="J471" s="16"/>
      <c r="K471" s="16"/>
      <c r="L471" s="16"/>
      <c r="M471" s="17"/>
      <c r="N471" s="17"/>
      <c r="O471" s="17"/>
      <c r="P471" s="17"/>
    </row>
    <row r="472">
      <c r="I472" s="16"/>
      <c r="J472" s="16"/>
      <c r="K472" s="16"/>
      <c r="L472" s="16"/>
      <c r="M472" s="17"/>
      <c r="N472" s="17"/>
      <c r="O472" s="17"/>
      <c r="P472" s="17"/>
    </row>
    <row r="473">
      <c r="I473" s="16"/>
      <c r="J473" s="16"/>
      <c r="K473" s="16"/>
      <c r="L473" s="16"/>
      <c r="M473" s="17"/>
      <c r="N473" s="17"/>
      <c r="O473" s="17"/>
      <c r="P473" s="17"/>
    </row>
    <row r="474">
      <c r="I474" s="16"/>
      <c r="J474" s="16"/>
      <c r="K474" s="16"/>
      <c r="L474" s="16"/>
      <c r="M474" s="17"/>
      <c r="N474" s="17"/>
      <c r="O474" s="17"/>
      <c r="P474" s="17"/>
    </row>
    <row r="475">
      <c r="I475" s="16"/>
      <c r="J475" s="16"/>
      <c r="K475" s="16"/>
      <c r="L475" s="16"/>
      <c r="M475" s="17"/>
      <c r="N475" s="17"/>
      <c r="O475" s="17"/>
      <c r="P475" s="17"/>
    </row>
    <row r="476">
      <c r="I476" s="16"/>
      <c r="J476" s="16"/>
      <c r="K476" s="16"/>
      <c r="L476" s="16"/>
      <c r="M476" s="17"/>
      <c r="N476" s="17"/>
      <c r="O476" s="17"/>
      <c r="P476" s="17"/>
    </row>
    <row r="477">
      <c r="I477" s="16"/>
      <c r="J477" s="16"/>
      <c r="K477" s="16"/>
      <c r="L477" s="16"/>
      <c r="M477" s="17"/>
      <c r="N477" s="17"/>
      <c r="O477" s="17"/>
      <c r="P477" s="17"/>
    </row>
    <row r="478">
      <c r="I478" s="16"/>
      <c r="J478" s="16"/>
      <c r="K478" s="16"/>
      <c r="L478" s="16"/>
      <c r="M478" s="17"/>
      <c r="N478" s="17"/>
      <c r="O478" s="17"/>
      <c r="P478" s="17"/>
    </row>
    <row r="479">
      <c r="I479" s="16"/>
      <c r="J479" s="16"/>
      <c r="K479" s="16"/>
      <c r="L479" s="16"/>
      <c r="M479" s="17"/>
      <c r="N479" s="17"/>
      <c r="O479" s="17"/>
      <c r="P479" s="17"/>
    </row>
    <row r="480">
      <c r="I480" s="16"/>
      <c r="J480" s="16"/>
      <c r="K480" s="16"/>
      <c r="L480" s="16"/>
      <c r="M480" s="17"/>
      <c r="N480" s="17"/>
      <c r="O480" s="17"/>
      <c r="P480" s="17"/>
    </row>
    <row r="481">
      <c r="I481" s="16"/>
      <c r="J481" s="16"/>
      <c r="K481" s="16"/>
      <c r="L481" s="16"/>
      <c r="M481" s="17"/>
      <c r="N481" s="17"/>
      <c r="O481" s="17"/>
      <c r="P481" s="17"/>
    </row>
    <row r="482">
      <c r="I482" s="16"/>
      <c r="J482" s="16"/>
      <c r="K482" s="16"/>
      <c r="L482" s="16"/>
      <c r="M482" s="17"/>
      <c r="N482" s="17"/>
      <c r="O482" s="17"/>
      <c r="P482" s="17"/>
    </row>
    <row r="483">
      <c r="I483" s="16"/>
      <c r="J483" s="16"/>
      <c r="K483" s="16"/>
      <c r="L483" s="16"/>
      <c r="M483" s="17"/>
      <c r="N483" s="17"/>
      <c r="O483" s="17"/>
      <c r="P483" s="17"/>
    </row>
    <row r="484">
      <c r="I484" s="16"/>
      <c r="J484" s="16"/>
      <c r="K484" s="16"/>
      <c r="L484" s="16"/>
      <c r="M484" s="17"/>
      <c r="N484" s="17"/>
      <c r="O484" s="17"/>
      <c r="P484" s="17"/>
    </row>
    <row r="485">
      <c r="I485" s="16"/>
      <c r="J485" s="16"/>
      <c r="K485" s="16"/>
      <c r="L485" s="16"/>
      <c r="M485" s="17"/>
      <c r="N485" s="17"/>
      <c r="O485" s="17"/>
      <c r="P485" s="17"/>
    </row>
    <row r="486">
      <c r="I486" s="16"/>
      <c r="J486" s="16"/>
      <c r="K486" s="16"/>
      <c r="L486" s="16"/>
      <c r="M486" s="17"/>
      <c r="N486" s="17"/>
      <c r="O486" s="17"/>
      <c r="P486" s="17"/>
    </row>
    <row r="487">
      <c r="I487" s="16"/>
      <c r="J487" s="16"/>
      <c r="K487" s="16"/>
      <c r="L487" s="16"/>
      <c r="M487" s="17"/>
      <c r="N487" s="17"/>
      <c r="O487" s="17"/>
      <c r="P487" s="17"/>
    </row>
    <row r="488">
      <c r="I488" s="16"/>
      <c r="J488" s="16"/>
      <c r="K488" s="16"/>
      <c r="L488" s="16"/>
      <c r="M488" s="17"/>
      <c r="N488" s="17"/>
      <c r="O488" s="17"/>
      <c r="P488" s="17"/>
    </row>
    <row r="489">
      <c r="I489" s="16"/>
      <c r="J489" s="16"/>
      <c r="K489" s="16"/>
      <c r="L489" s="16"/>
      <c r="M489" s="17"/>
      <c r="N489" s="17"/>
      <c r="O489" s="17"/>
      <c r="P489" s="17"/>
    </row>
    <row r="490">
      <c r="I490" s="16"/>
      <c r="J490" s="16"/>
      <c r="K490" s="16"/>
      <c r="L490" s="16"/>
      <c r="M490" s="17"/>
      <c r="N490" s="17"/>
      <c r="O490" s="17"/>
      <c r="P490" s="17"/>
    </row>
    <row r="491">
      <c r="I491" s="16"/>
      <c r="J491" s="16"/>
      <c r="K491" s="16"/>
      <c r="L491" s="16"/>
      <c r="M491" s="17"/>
      <c r="N491" s="17"/>
      <c r="O491" s="17"/>
      <c r="P491" s="17"/>
    </row>
    <row r="492">
      <c r="I492" s="16"/>
      <c r="J492" s="16"/>
      <c r="K492" s="16"/>
      <c r="L492" s="16"/>
      <c r="M492" s="17"/>
      <c r="N492" s="17"/>
      <c r="O492" s="17"/>
      <c r="P492" s="17"/>
    </row>
    <row r="493">
      <c r="I493" s="16"/>
      <c r="J493" s="16"/>
      <c r="K493" s="16"/>
      <c r="L493" s="16"/>
      <c r="M493" s="17"/>
      <c r="N493" s="17"/>
      <c r="O493" s="17"/>
      <c r="P493" s="17"/>
    </row>
    <row r="494">
      <c r="I494" s="16"/>
      <c r="J494" s="16"/>
      <c r="K494" s="16"/>
      <c r="L494" s="16"/>
      <c r="M494" s="17"/>
      <c r="N494" s="17"/>
      <c r="O494" s="17"/>
      <c r="P494" s="17"/>
    </row>
    <row r="495">
      <c r="I495" s="16"/>
      <c r="J495" s="16"/>
      <c r="K495" s="16"/>
      <c r="L495" s="16"/>
      <c r="M495" s="17"/>
      <c r="N495" s="17"/>
      <c r="O495" s="17"/>
      <c r="P495" s="17"/>
    </row>
    <row r="496">
      <c r="I496" s="16"/>
      <c r="J496" s="16"/>
      <c r="K496" s="16"/>
      <c r="L496" s="16"/>
      <c r="M496" s="17"/>
      <c r="N496" s="17"/>
      <c r="O496" s="17"/>
      <c r="P496" s="17"/>
    </row>
    <row r="497">
      <c r="I497" s="16"/>
      <c r="J497" s="16"/>
      <c r="K497" s="16"/>
      <c r="L497" s="16"/>
      <c r="M497" s="17"/>
      <c r="N497" s="17"/>
      <c r="O497" s="17"/>
      <c r="P497" s="17"/>
    </row>
    <row r="498">
      <c r="I498" s="16"/>
      <c r="J498" s="16"/>
      <c r="K498" s="16"/>
      <c r="L498" s="16"/>
      <c r="M498" s="17"/>
      <c r="N498" s="17"/>
      <c r="O498" s="17"/>
      <c r="P498" s="17"/>
    </row>
    <row r="499">
      <c r="I499" s="16"/>
      <c r="J499" s="16"/>
      <c r="K499" s="16"/>
      <c r="L499" s="16"/>
      <c r="M499" s="17"/>
      <c r="N499" s="17"/>
      <c r="O499" s="17"/>
      <c r="P499" s="17"/>
    </row>
    <row r="500">
      <c r="I500" s="16"/>
      <c r="J500" s="16"/>
      <c r="K500" s="16"/>
      <c r="L500" s="16"/>
      <c r="M500" s="17"/>
      <c r="N500" s="17"/>
      <c r="O500" s="17"/>
      <c r="P500" s="17"/>
    </row>
    <row r="501">
      <c r="I501" s="16"/>
      <c r="J501" s="16"/>
      <c r="K501" s="16"/>
      <c r="L501" s="16"/>
      <c r="M501" s="17"/>
      <c r="N501" s="17"/>
      <c r="O501" s="17"/>
      <c r="P501" s="17"/>
    </row>
    <row r="502">
      <c r="I502" s="16"/>
      <c r="J502" s="16"/>
      <c r="K502" s="16"/>
      <c r="L502" s="16"/>
      <c r="M502" s="17"/>
      <c r="N502" s="17"/>
      <c r="O502" s="17"/>
      <c r="P502" s="17"/>
    </row>
    <row r="503">
      <c r="I503" s="16"/>
      <c r="J503" s="16"/>
      <c r="K503" s="16"/>
      <c r="L503" s="16"/>
      <c r="M503" s="17"/>
      <c r="N503" s="17"/>
      <c r="O503" s="17"/>
      <c r="P503" s="17"/>
    </row>
    <row r="504">
      <c r="I504" s="16"/>
      <c r="J504" s="16"/>
      <c r="K504" s="16"/>
      <c r="L504" s="16"/>
      <c r="M504" s="17"/>
      <c r="N504" s="17"/>
      <c r="O504" s="17"/>
      <c r="P504" s="17"/>
    </row>
    <row r="505">
      <c r="I505" s="16"/>
      <c r="J505" s="16"/>
      <c r="K505" s="16"/>
      <c r="L505" s="16"/>
      <c r="M505" s="17"/>
      <c r="N505" s="17"/>
      <c r="O505" s="17"/>
      <c r="P505" s="17"/>
    </row>
    <row r="506">
      <c r="I506" s="16"/>
      <c r="J506" s="16"/>
      <c r="K506" s="16"/>
      <c r="L506" s="16"/>
      <c r="M506" s="17"/>
      <c r="N506" s="17"/>
      <c r="O506" s="17"/>
      <c r="P506" s="17"/>
    </row>
    <row r="507">
      <c r="I507" s="16"/>
      <c r="J507" s="16"/>
      <c r="K507" s="16"/>
      <c r="L507" s="16"/>
      <c r="M507" s="17"/>
      <c r="N507" s="17"/>
      <c r="O507" s="17"/>
      <c r="P507" s="17"/>
    </row>
    <row r="508">
      <c r="I508" s="16"/>
      <c r="J508" s="16"/>
      <c r="K508" s="16"/>
      <c r="L508" s="16"/>
      <c r="M508" s="17"/>
      <c r="N508" s="17"/>
      <c r="O508" s="17"/>
      <c r="P508" s="17"/>
    </row>
    <row r="509">
      <c r="I509" s="16"/>
      <c r="J509" s="16"/>
      <c r="K509" s="16"/>
      <c r="L509" s="16"/>
      <c r="M509" s="17"/>
      <c r="N509" s="17"/>
      <c r="O509" s="17"/>
      <c r="P509" s="17"/>
    </row>
    <row r="510">
      <c r="I510" s="16"/>
      <c r="J510" s="16"/>
      <c r="K510" s="16"/>
      <c r="L510" s="16"/>
      <c r="M510" s="17"/>
      <c r="N510" s="17"/>
      <c r="O510" s="17"/>
      <c r="P510" s="17"/>
    </row>
    <row r="511">
      <c r="I511" s="16"/>
      <c r="J511" s="16"/>
      <c r="K511" s="16"/>
      <c r="L511" s="16"/>
      <c r="M511" s="17"/>
      <c r="N511" s="17"/>
      <c r="O511" s="17"/>
      <c r="P511" s="17"/>
    </row>
    <row r="512">
      <c r="I512" s="16"/>
      <c r="J512" s="16"/>
      <c r="K512" s="16"/>
      <c r="L512" s="16"/>
      <c r="M512" s="17"/>
      <c r="N512" s="17"/>
      <c r="O512" s="17"/>
      <c r="P512" s="17"/>
    </row>
    <row r="513">
      <c r="I513" s="16"/>
      <c r="J513" s="16"/>
      <c r="K513" s="16"/>
      <c r="L513" s="16"/>
      <c r="M513" s="17"/>
      <c r="N513" s="17"/>
      <c r="O513" s="17"/>
      <c r="P513" s="17"/>
    </row>
    <row r="514">
      <c r="I514" s="16"/>
      <c r="J514" s="16"/>
      <c r="K514" s="16"/>
      <c r="L514" s="16"/>
      <c r="M514" s="17"/>
      <c r="N514" s="17"/>
      <c r="O514" s="17"/>
      <c r="P514" s="17"/>
    </row>
    <row r="515">
      <c r="I515" s="16"/>
      <c r="J515" s="16"/>
      <c r="K515" s="16"/>
      <c r="L515" s="16"/>
      <c r="M515" s="17"/>
      <c r="N515" s="17"/>
      <c r="O515" s="17"/>
      <c r="P515" s="17"/>
    </row>
    <row r="516">
      <c r="I516" s="16"/>
      <c r="J516" s="16"/>
      <c r="K516" s="16"/>
      <c r="L516" s="16"/>
      <c r="M516" s="17"/>
      <c r="N516" s="17"/>
      <c r="O516" s="17"/>
      <c r="P516" s="17"/>
    </row>
    <row r="517">
      <c r="I517" s="16"/>
      <c r="J517" s="16"/>
      <c r="K517" s="16"/>
      <c r="L517" s="16"/>
      <c r="M517" s="17"/>
      <c r="N517" s="17"/>
      <c r="O517" s="17"/>
      <c r="P517" s="17"/>
    </row>
    <row r="518">
      <c r="I518" s="16"/>
      <c r="J518" s="16"/>
      <c r="K518" s="16"/>
      <c r="L518" s="16"/>
      <c r="M518" s="17"/>
      <c r="N518" s="17"/>
      <c r="O518" s="17"/>
      <c r="P518" s="17"/>
    </row>
    <row r="519">
      <c r="I519" s="16"/>
      <c r="J519" s="16"/>
      <c r="K519" s="16"/>
      <c r="L519" s="16"/>
      <c r="M519" s="17"/>
      <c r="N519" s="17"/>
      <c r="O519" s="17"/>
      <c r="P519" s="17"/>
    </row>
    <row r="520">
      <c r="I520" s="16"/>
      <c r="J520" s="16"/>
      <c r="K520" s="16"/>
      <c r="L520" s="16"/>
      <c r="M520" s="17"/>
      <c r="N520" s="17"/>
      <c r="O520" s="17"/>
      <c r="P520" s="17"/>
    </row>
    <row r="521">
      <c r="I521" s="16"/>
      <c r="J521" s="16"/>
      <c r="K521" s="16"/>
      <c r="L521" s="16"/>
      <c r="M521" s="17"/>
      <c r="N521" s="17"/>
      <c r="O521" s="17"/>
      <c r="P521" s="17"/>
    </row>
    <row r="522">
      <c r="I522" s="16"/>
      <c r="J522" s="16"/>
      <c r="K522" s="16"/>
      <c r="L522" s="16"/>
      <c r="M522" s="17"/>
      <c r="N522" s="17"/>
      <c r="O522" s="17"/>
      <c r="P522" s="17"/>
    </row>
    <row r="523">
      <c r="I523" s="16"/>
      <c r="J523" s="16"/>
      <c r="K523" s="16"/>
      <c r="L523" s="16"/>
      <c r="M523" s="17"/>
      <c r="N523" s="17"/>
      <c r="O523" s="17"/>
      <c r="P523" s="17"/>
    </row>
    <row r="524">
      <c r="I524" s="16"/>
      <c r="J524" s="16"/>
      <c r="K524" s="16"/>
      <c r="L524" s="16"/>
      <c r="M524" s="17"/>
      <c r="N524" s="17"/>
      <c r="O524" s="17"/>
      <c r="P524" s="17"/>
    </row>
    <row r="525">
      <c r="I525" s="16"/>
      <c r="J525" s="16"/>
      <c r="K525" s="16"/>
      <c r="L525" s="16"/>
      <c r="M525" s="17"/>
      <c r="N525" s="17"/>
      <c r="O525" s="17"/>
      <c r="P525" s="17"/>
    </row>
    <row r="526">
      <c r="I526" s="16"/>
      <c r="J526" s="16"/>
      <c r="K526" s="16"/>
      <c r="L526" s="16"/>
      <c r="M526" s="17"/>
      <c r="N526" s="17"/>
      <c r="O526" s="17"/>
      <c r="P526" s="17"/>
    </row>
    <row r="527">
      <c r="I527" s="16"/>
      <c r="J527" s="16"/>
      <c r="K527" s="16"/>
      <c r="L527" s="16"/>
      <c r="M527" s="17"/>
      <c r="N527" s="17"/>
      <c r="O527" s="17"/>
      <c r="P527" s="17"/>
    </row>
    <row r="528">
      <c r="I528" s="16"/>
      <c r="J528" s="16"/>
      <c r="K528" s="16"/>
      <c r="L528" s="16"/>
      <c r="M528" s="17"/>
      <c r="N528" s="17"/>
      <c r="O528" s="17"/>
      <c r="P528" s="17"/>
    </row>
    <row r="529">
      <c r="I529" s="16"/>
      <c r="J529" s="16"/>
      <c r="K529" s="16"/>
      <c r="L529" s="16"/>
      <c r="M529" s="17"/>
      <c r="N529" s="17"/>
      <c r="O529" s="17"/>
      <c r="P529" s="17"/>
    </row>
    <row r="530">
      <c r="I530" s="16"/>
      <c r="J530" s="16"/>
      <c r="K530" s="16"/>
      <c r="L530" s="16"/>
      <c r="M530" s="17"/>
      <c r="N530" s="17"/>
      <c r="O530" s="17"/>
      <c r="P530" s="17"/>
    </row>
    <row r="531">
      <c r="I531" s="16"/>
      <c r="J531" s="16"/>
      <c r="K531" s="16"/>
      <c r="L531" s="16"/>
      <c r="M531" s="17"/>
      <c r="N531" s="17"/>
      <c r="O531" s="17"/>
      <c r="P531" s="17"/>
    </row>
    <row r="532">
      <c r="I532" s="16"/>
      <c r="J532" s="16"/>
      <c r="K532" s="16"/>
      <c r="L532" s="16"/>
      <c r="M532" s="17"/>
      <c r="N532" s="17"/>
      <c r="O532" s="17"/>
      <c r="P532" s="17"/>
    </row>
    <row r="533">
      <c r="I533" s="16"/>
      <c r="J533" s="16"/>
      <c r="K533" s="16"/>
      <c r="L533" s="16"/>
      <c r="M533" s="17"/>
      <c r="N533" s="17"/>
      <c r="O533" s="17"/>
      <c r="P533" s="17"/>
    </row>
    <row r="534">
      <c r="I534" s="16"/>
      <c r="J534" s="16"/>
      <c r="K534" s="16"/>
      <c r="L534" s="16"/>
      <c r="M534" s="17"/>
      <c r="N534" s="17"/>
      <c r="O534" s="17"/>
      <c r="P534" s="17"/>
    </row>
    <row r="535">
      <c r="I535" s="16"/>
      <c r="J535" s="16"/>
      <c r="K535" s="16"/>
      <c r="L535" s="16"/>
      <c r="M535" s="17"/>
      <c r="N535" s="17"/>
      <c r="O535" s="17"/>
      <c r="P535" s="17"/>
    </row>
    <row r="536">
      <c r="I536" s="16"/>
      <c r="J536" s="16"/>
      <c r="K536" s="16"/>
      <c r="L536" s="16"/>
      <c r="M536" s="17"/>
      <c r="N536" s="17"/>
      <c r="O536" s="17"/>
      <c r="P536" s="17"/>
    </row>
    <row r="537">
      <c r="I537" s="16"/>
      <c r="J537" s="16"/>
      <c r="K537" s="16"/>
      <c r="L537" s="16"/>
      <c r="M537" s="17"/>
      <c r="N537" s="17"/>
      <c r="O537" s="17"/>
      <c r="P537" s="17"/>
    </row>
    <row r="538">
      <c r="I538" s="16"/>
      <c r="J538" s="16"/>
      <c r="K538" s="16"/>
      <c r="L538" s="16"/>
      <c r="M538" s="17"/>
      <c r="N538" s="17"/>
      <c r="O538" s="17"/>
      <c r="P538" s="17"/>
    </row>
    <row r="539">
      <c r="I539" s="16"/>
      <c r="J539" s="16"/>
      <c r="K539" s="16"/>
      <c r="L539" s="16"/>
      <c r="M539" s="17"/>
      <c r="N539" s="17"/>
      <c r="O539" s="17"/>
      <c r="P539" s="17"/>
    </row>
    <row r="540">
      <c r="I540" s="16"/>
      <c r="J540" s="16"/>
      <c r="K540" s="16"/>
      <c r="L540" s="16"/>
      <c r="M540" s="17"/>
      <c r="N540" s="17"/>
      <c r="O540" s="17"/>
      <c r="P540" s="17"/>
    </row>
    <row r="541">
      <c r="I541" s="16"/>
      <c r="J541" s="16"/>
      <c r="K541" s="16"/>
      <c r="L541" s="16"/>
      <c r="M541" s="17"/>
      <c r="N541" s="17"/>
      <c r="O541" s="17"/>
      <c r="P541" s="17"/>
    </row>
    <row r="542">
      <c r="I542" s="16"/>
      <c r="J542" s="16"/>
      <c r="K542" s="16"/>
      <c r="L542" s="16"/>
      <c r="M542" s="17"/>
      <c r="N542" s="17"/>
      <c r="O542" s="17"/>
      <c r="P542" s="17"/>
    </row>
    <row r="543">
      <c r="I543" s="16"/>
      <c r="J543" s="16"/>
      <c r="K543" s="16"/>
      <c r="L543" s="16"/>
      <c r="M543" s="17"/>
      <c r="N543" s="17"/>
      <c r="O543" s="17"/>
      <c r="P543" s="17"/>
    </row>
    <row r="544">
      <c r="I544" s="16"/>
      <c r="J544" s="16"/>
      <c r="K544" s="16"/>
      <c r="L544" s="16"/>
      <c r="M544" s="17"/>
      <c r="N544" s="17"/>
      <c r="O544" s="17"/>
      <c r="P544" s="17"/>
    </row>
    <row r="545">
      <c r="I545" s="16"/>
      <c r="J545" s="16"/>
      <c r="K545" s="16"/>
      <c r="L545" s="16"/>
      <c r="M545" s="17"/>
      <c r="N545" s="17"/>
      <c r="O545" s="17"/>
      <c r="P545" s="17"/>
    </row>
    <row r="546">
      <c r="I546" s="16"/>
      <c r="J546" s="16"/>
      <c r="K546" s="16"/>
      <c r="L546" s="16"/>
      <c r="M546" s="17"/>
      <c r="N546" s="17"/>
      <c r="O546" s="17"/>
      <c r="P546" s="17"/>
    </row>
    <row r="547">
      <c r="I547" s="16"/>
      <c r="J547" s="16"/>
      <c r="K547" s="16"/>
      <c r="L547" s="16"/>
      <c r="M547" s="17"/>
      <c r="N547" s="17"/>
      <c r="O547" s="17"/>
      <c r="P547" s="17"/>
    </row>
    <row r="548">
      <c r="I548" s="16"/>
      <c r="J548" s="16"/>
      <c r="K548" s="16"/>
      <c r="L548" s="16"/>
      <c r="M548" s="17"/>
      <c r="N548" s="17"/>
      <c r="O548" s="17"/>
      <c r="P548" s="17"/>
    </row>
    <row r="549">
      <c r="I549" s="16"/>
      <c r="J549" s="16"/>
      <c r="K549" s="16"/>
      <c r="L549" s="16"/>
      <c r="M549" s="17"/>
      <c r="N549" s="17"/>
      <c r="O549" s="17"/>
      <c r="P549" s="17"/>
    </row>
    <row r="550">
      <c r="I550" s="16"/>
      <c r="J550" s="16"/>
      <c r="K550" s="16"/>
      <c r="L550" s="16"/>
      <c r="M550" s="17"/>
      <c r="N550" s="17"/>
      <c r="O550" s="17"/>
      <c r="P550" s="17"/>
    </row>
    <row r="551">
      <c r="I551" s="16"/>
      <c r="J551" s="16"/>
      <c r="K551" s="16"/>
      <c r="L551" s="16"/>
      <c r="M551" s="17"/>
      <c r="N551" s="17"/>
      <c r="O551" s="17"/>
      <c r="P551" s="17"/>
    </row>
    <row r="552">
      <c r="I552" s="16"/>
      <c r="J552" s="16"/>
      <c r="K552" s="16"/>
      <c r="L552" s="16"/>
      <c r="M552" s="17"/>
      <c r="N552" s="17"/>
      <c r="O552" s="17"/>
      <c r="P552" s="17"/>
    </row>
    <row r="553">
      <c r="I553" s="16"/>
      <c r="J553" s="16"/>
      <c r="K553" s="16"/>
      <c r="L553" s="16"/>
      <c r="M553" s="17"/>
      <c r="N553" s="17"/>
      <c r="O553" s="17"/>
      <c r="P553" s="17"/>
    </row>
    <row r="554">
      <c r="I554" s="16"/>
      <c r="J554" s="16"/>
      <c r="K554" s="16"/>
      <c r="L554" s="16"/>
      <c r="M554" s="17"/>
      <c r="N554" s="17"/>
      <c r="O554" s="17"/>
      <c r="P554" s="17"/>
    </row>
    <row r="555">
      <c r="I555" s="16"/>
      <c r="J555" s="16"/>
      <c r="K555" s="16"/>
      <c r="L555" s="16"/>
      <c r="M555" s="17"/>
      <c r="N555" s="17"/>
      <c r="O555" s="17"/>
      <c r="P555" s="17"/>
    </row>
    <row r="556">
      <c r="I556" s="16"/>
      <c r="J556" s="16"/>
      <c r="K556" s="16"/>
      <c r="L556" s="16"/>
      <c r="M556" s="17"/>
      <c r="N556" s="17"/>
      <c r="O556" s="17"/>
      <c r="P556" s="17"/>
    </row>
    <row r="557">
      <c r="I557" s="16"/>
      <c r="J557" s="16"/>
      <c r="K557" s="16"/>
      <c r="L557" s="16"/>
      <c r="M557" s="17"/>
      <c r="N557" s="17"/>
      <c r="O557" s="17"/>
      <c r="P557" s="17"/>
    </row>
    <row r="558">
      <c r="I558" s="16"/>
      <c r="J558" s="16"/>
      <c r="K558" s="16"/>
      <c r="L558" s="16"/>
      <c r="M558" s="17"/>
      <c r="N558" s="17"/>
      <c r="O558" s="17"/>
      <c r="P558" s="17"/>
    </row>
    <row r="559">
      <c r="I559" s="16"/>
      <c r="J559" s="16"/>
      <c r="K559" s="16"/>
      <c r="L559" s="16"/>
      <c r="M559" s="17"/>
      <c r="N559" s="17"/>
      <c r="O559" s="17"/>
      <c r="P559" s="17"/>
    </row>
    <row r="560">
      <c r="I560" s="16"/>
      <c r="J560" s="16"/>
      <c r="K560" s="16"/>
      <c r="L560" s="16"/>
      <c r="M560" s="17"/>
      <c r="N560" s="17"/>
      <c r="O560" s="17"/>
      <c r="P560" s="17"/>
    </row>
    <row r="561">
      <c r="I561" s="16"/>
      <c r="J561" s="16"/>
      <c r="K561" s="16"/>
      <c r="L561" s="16"/>
      <c r="M561" s="17"/>
      <c r="N561" s="17"/>
      <c r="O561" s="17"/>
      <c r="P561" s="17"/>
    </row>
    <row r="562">
      <c r="I562" s="16"/>
      <c r="J562" s="16"/>
      <c r="K562" s="16"/>
      <c r="L562" s="16"/>
      <c r="M562" s="17"/>
      <c r="N562" s="17"/>
      <c r="O562" s="17"/>
      <c r="P562" s="17"/>
    </row>
    <row r="563">
      <c r="I563" s="16"/>
      <c r="J563" s="16"/>
      <c r="K563" s="16"/>
      <c r="L563" s="16"/>
      <c r="M563" s="17"/>
      <c r="N563" s="17"/>
      <c r="O563" s="17"/>
      <c r="P563" s="17"/>
    </row>
    <row r="564">
      <c r="I564" s="16"/>
      <c r="J564" s="16"/>
      <c r="K564" s="16"/>
      <c r="L564" s="16"/>
      <c r="M564" s="17"/>
      <c r="N564" s="17"/>
      <c r="O564" s="17"/>
      <c r="P564" s="17"/>
    </row>
    <row r="565">
      <c r="I565" s="16"/>
      <c r="J565" s="16"/>
      <c r="K565" s="16"/>
      <c r="L565" s="16"/>
      <c r="M565" s="17"/>
      <c r="N565" s="17"/>
      <c r="O565" s="17"/>
      <c r="P565" s="17"/>
    </row>
    <row r="566">
      <c r="I566" s="16"/>
      <c r="J566" s="16"/>
      <c r="K566" s="16"/>
      <c r="L566" s="16"/>
      <c r="M566" s="17"/>
      <c r="N566" s="17"/>
      <c r="O566" s="17"/>
      <c r="P566" s="17"/>
    </row>
    <row r="567">
      <c r="I567" s="16"/>
      <c r="J567" s="16"/>
      <c r="K567" s="16"/>
      <c r="L567" s="16"/>
      <c r="M567" s="17"/>
      <c r="N567" s="17"/>
      <c r="O567" s="17"/>
      <c r="P567" s="17"/>
    </row>
    <row r="568">
      <c r="I568" s="16"/>
      <c r="J568" s="16"/>
      <c r="K568" s="16"/>
      <c r="L568" s="16"/>
      <c r="M568" s="17"/>
      <c r="N568" s="17"/>
      <c r="O568" s="17"/>
      <c r="P568" s="17"/>
    </row>
    <row r="569">
      <c r="I569" s="16"/>
      <c r="J569" s="16"/>
      <c r="K569" s="16"/>
      <c r="L569" s="16"/>
      <c r="M569" s="17"/>
      <c r="N569" s="17"/>
      <c r="O569" s="17"/>
      <c r="P569" s="17"/>
    </row>
    <row r="570">
      <c r="I570" s="16"/>
      <c r="J570" s="16"/>
      <c r="K570" s="16"/>
      <c r="L570" s="16"/>
      <c r="M570" s="17"/>
      <c r="N570" s="17"/>
      <c r="O570" s="17"/>
      <c r="P570" s="17"/>
    </row>
    <row r="571">
      <c r="I571" s="16"/>
      <c r="J571" s="16"/>
      <c r="K571" s="16"/>
      <c r="L571" s="16"/>
      <c r="M571" s="17"/>
      <c r="N571" s="17"/>
      <c r="O571" s="17"/>
      <c r="P571" s="17"/>
    </row>
    <row r="572">
      <c r="I572" s="16"/>
      <c r="J572" s="16"/>
      <c r="K572" s="16"/>
      <c r="L572" s="16"/>
      <c r="M572" s="17"/>
      <c r="N572" s="17"/>
      <c r="O572" s="17"/>
      <c r="P572" s="17"/>
    </row>
    <row r="573">
      <c r="I573" s="16"/>
      <c r="J573" s="16"/>
      <c r="K573" s="16"/>
      <c r="L573" s="16"/>
      <c r="M573" s="17"/>
      <c r="N573" s="17"/>
      <c r="O573" s="17"/>
      <c r="P573" s="17"/>
    </row>
    <row r="574">
      <c r="I574" s="16"/>
      <c r="J574" s="16"/>
      <c r="K574" s="16"/>
      <c r="L574" s="16"/>
      <c r="M574" s="17"/>
      <c r="N574" s="17"/>
      <c r="O574" s="17"/>
      <c r="P574" s="17"/>
    </row>
    <row r="575">
      <c r="I575" s="16"/>
      <c r="J575" s="16"/>
      <c r="K575" s="16"/>
      <c r="L575" s="16"/>
      <c r="M575" s="17"/>
      <c r="N575" s="17"/>
      <c r="O575" s="17"/>
      <c r="P575" s="17"/>
    </row>
    <row r="576">
      <c r="I576" s="16"/>
      <c r="J576" s="16"/>
      <c r="K576" s="16"/>
      <c r="L576" s="16"/>
      <c r="M576" s="17"/>
      <c r="N576" s="17"/>
      <c r="O576" s="17"/>
      <c r="P576" s="17"/>
    </row>
    <row r="577">
      <c r="I577" s="16"/>
      <c r="J577" s="16"/>
      <c r="K577" s="16"/>
      <c r="L577" s="16"/>
      <c r="M577" s="17"/>
      <c r="N577" s="17"/>
      <c r="O577" s="17"/>
      <c r="P577" s="17"/>
    </row>
    <row r="578">
      <c r="I578" s="16"/>
      <c r="J578" s="16"/>
      <c r="K578" s="16"/>
      <c r="L578" s="16"/>
      <c r="M578" s="17"/>
      <c r="N578" s="17"/>
      <c r="O578" s="17"/>
      <c r="P578" s="17"/>
    </row>
    <row r="579">
      <c r="I579" s="16"/>
      <c r="J579" s="16"/>
      <c r="K579" s="16"/>
      <c r="L579" s="16"/>
      <c r="M579" s="17"/>
      <c r="N579" s="17"/>
      <c r="O579" s="17"/>
      <c r="P579" s="17"/>
    </row>
    <row r="580">
      <c r="I580" s="16"/>
      <c r="J580" s="16"/>
      <c r="K580" s="16"/>
      <c r="L580" s="16"/>
      <c r="M580" s="17"/>
      <c r="N580" s="17"/>
      <c r="O580" s="17"/>
      <c r="P580" s="17"/>
    </row>
    <row r="581">
      <c r="I581" s="16"/>
      <c r="J581" s="16"/>
      <c r="K581" s="16"/>
      <c r="L581" s="16"/>
      <c r="M581" s="17"/>
      <c r="N581" s="17"/>
      <c r="O581" s="17"/>
      <c r="P581" s="17"/>
    </row>
    <row r="582">
      <c r="I582" s="16"/>
      <c r="J582" s="16"/>
      <c r="K582" s="16"/>
      <c r="L582" s="16"/>
      <c r="M582" s="17"/>
      <c r="N582" s="17"/>
      <c r="O582" s="17"/>
      <c r="P582" s="17"/>
    </row>
    <row r="583">
      <c r="I583" s="16"/>
      <c r="J583" s="16"/>
      <c r="K583" s="16"/>
      <c r="L583" s="16"/>
      <c r="M583" s="17"/>
      <c r="N583" s="17"/>
      <c r="O583" s="17"/>
      <c r="P583" s="17"/>
    </row>
    <row r="584">
      <c r="I584" s="16"/>
      <c r="J584" s="16"/>
      <c r="K584" s="16"/>
      <c r="L584" s="16"/>
      <c r="M584" s="17"/>
      <c r="N584" s="17"/>
      <c r="O584" s="17"/>
      <c r="P584" s="17"/>
    </row>
    <row r="585">
      <c r="I585" s="16"/>
      <c r="J585" s="16"/>
      <c r="K585" s="16"/>
      <c r="L585" s="16"/>
      <c r="M585" s="17"/>
      <c r="N585" s="17"/>
      <c r="O585" s="17"/>
      <c r="P585" s="17"/>
    </row>
    <row r="586">
      <c r="I586" s="16"/>
      <c r="J586" s="16"/>
      <c r="K586" s="16"/>
      <c r="L586" s="16"/>
      <c r="M586" s="17"/>
      <c r="N586" s="17"/>
      <c r="O586" s="17"/>
      <c r="P586" s="17"/>
    </row>
    <row r="587">
      <c r="I587" s="16"/>
      <c r="J587" s="16"/>
      <c r="K587" s="16"/>
      <c r="L587" s="16"/>
      <c r="M587" s="17"/>
      <c r="N587" s="17"/>
      <c r="O587" s="17"/>
      <c r="P587" s="17"/>
    </row>
    <row r="588">
      <c r="I588" s="16"/>
      <c r="J588" s="16"/>
      <c r="K588" s="16"/>
      <c r="L588" s="16"/>
      <c r="M588" s="17"/>
      <c r="N588" s="17"/>
      <c r="O588" s="17"/>
      <c r="P588" s="17"/>
    </row>
    <row r="589">
      <c r="I589" s="16"/>
      <c r="J589" s="16"/>
      <c r="K589" s="16"/>
      <c r="L589" s="16"/>
      <c r="M589" s="17"/>
      <c r="N589" s="17"/>
      <c r="O589" s="17"/>
      <c r="P589" s="17"/>
    </row>
    <row r="590">
      <c r="I590" s="16"/>
      <c r="J590" s="16"/>
      <c r="K590" s="16"/>
      <c r="L590" s="16"/>
      <c r="M590" s="17"/>
      <c r="N590" s="17"/>
      <c r="O590" s="17"/>
      <c r="P590" s="17"/>
    </row>
    <row r="591">
      <c r="I591" s="16"/>
      <c r="J591" s="16"/>
      <c r="K591" s="16"/>
      <c r="L591" s="16"/>
      <c r="M591" s="17"/>
      <c r="N591" s="17"/>
      <c r="O591" s="17"/>
      <c r="P591" s="17"/>
    </row>
    <row r="592">
      <c r="I592" s="16"/>
      <c r="J592" s="16"/>
      <c r="K592" s="16"/>
      <c r="L592" s="16"/>
      <c r="M592" s="17"/>
      <c r="N592" s="17"/>
      <c r="O592" s="17"/>
      <c r="P592" s="17"/>
    </row>
    <row r="593">
      <c r="I593" s="16"/>
      <c r="J593" s="16"/>
      <c r="K593" s="16"/>
      <c r="L593" s="16"/>
      <c r="M593" s="17"/>
      <c r="N593" s="17"/>
      <c r="O593" s="17"/>
      <c r="P593" s="17"/>
    </row>
    <row r="594">
      <c r="I594" s="16"/>
      <c r="J594" s="16"/>
      <c r="K594" s="16"/>
      <c r="L594" s="16"/>
      <c r="M594" s="17"/>
      <c r="N594" s="17"/>
      <c r="O594" s="17"/>
      <c r="P594" s="17"/>
    </row>
    <row r="595">
      <c r="I595" s="16"/>
      <c r="J595" s="16"/>
      <c r="K595" s="16"/>
      <c r="L595" s="16"/>
      <c r="M595" s="17"/>
      <c r="N595" s="17"/>
      <c r="O595" s="17"/>
      <c r="P595" s="17"/>
    </row>
    <row r="596">
      <c r="I596" s="16"/>
      <c r="J596" s="16"/>
      <c r="K596" s="16"/>
      <c r="L596" s="16"/>
      <c r="M596" s="17"/>
      <c r="N596" s="17"/>
      <c r="O596" s="17"/>
      <c r="P596" s="17"/>
    </row>
    <row r="597">
      <c r="I597" s="16"/>
      <c r="J597" s="16"/>
      <c r="K597" s="16"/>
      <c r="L597" s="16"/>
      <c r="M597" s="17"/>
      <c r="N597" s="17"/>
      <c r="O597" s="17"/>
      <c r="P597" s="17"/>
    </row>
    <row r="598">
      <c r="I598" s="16"/>
      <c r="J598" s="16"/>
      <c r="K598" s="16"/>
      <c r="L598" s="16"/>
      <c r="M598" s="17"/>
      <c r="N598" s="17"/>
      <c r="O598" s="17"/>
      <c r="P598" s="17"/>
    </row>
    <row r="599">
      <c r="I599" s="16"/>
      <c r="J599" s="16"/>
      <c r="K599" s="16"/>
      <c r="L599" s="16"/>
      <c r="M599" s="17"/>
      <c r="N599" s="17"/>
      <c r="O599" s="17"/>
      <c r="P599" s="17"/>
    </row>
    <row r="600">
      <c r="I600" s="16"/>
      <c r="J600" s="16"/>
      <c r="K600" s="16"/>
      <c r="L600" s="16"/>
      <c r="M600" s="17"/>
      <c r="N600" s="17"/>
      <c r="O600" s="17"/>
      <c r="P600" s="17"/>
    </row>
    <row r="601">
      <c r="I601" s="16"/>
      <c r="J601" s="16"/>
      <c r="K601" s="16"/>
      <c r="L601" s="16"/>
      <c r="M601" s="17"/>
      <c r="N601" s="17"/>
      <c r="O601" s="17"/>
      <c r="P601" s="17"/>
    </row>
    <row r="602">
      <c r="I602" s="16"/>
      <c r="J602" s="16"/>
      <c r="K602" s="16"/>
      <c r="L602" s="16"/>
      <c r="M602" s="17"/>
      <c r="N602" s="17"/>
      <c r="O602" s="17"/>
      <c r="P602" s="17"/>
    </row>
    <row r="603">
      <c r="I603" s="16"/>
      <c r="J603" s="16"/>
      <c r="K603" s="16"/>
      <c r="L603" s="16"/>
      <c r="M603" s="17"/>
      <c r="N603" s="17"/>
      <c r="O603" s="17"/>
      <c r="P603" s="17"/>
    </row>
    <row r="604">
      <c r="I604" s="16"/>
      <c r="J604" s="16"/>
      <c r="K604" s="16"/>
      <c r="L604" s="16"/>
      <c r="M604" s="17"/>
      <c r="N604" s="17"/>
      <c r="O604" s="17"/>
      <c r="P604" s="17"/>
    </row>
    <row r="605">
      <c r="I605" s="16"/>
      <c r="J605" s="16"/>
      <c r="K605" s="16"/>
      <c r="L605" s="16"/>
      <c r="M605" s="17"/>
      <c r="N605" s="17"/>
      <c r="O605" s="17"/>
      <c r="P605" s="17"/>
    </row>
    <row r="606">
      <c r="I606" s="16"/>
      <c r="J606" s="16"/>
      <c r="K606" s="16"/>
      <c r="L606" s="16"/>
      <c r="M606" s="17"/>
      <c r="N606" s="17"/>
      <c r="O606" s="17"/>
      <c r="P606" s="17"/>
    </row>
    <row r="607">
      <c r="I607" s="16"/>
      <c r="J607" s="16"/>
      <c r="K607" s="16"/>
      <c r="L607" s="16"/>
      <c r="M607" s="17"/>
      <c r="N607" s="17"/>
      <c r="O607" s="17"/>
      <c r="P607" s="17"/>
    </row>
    <row r="608">
      <c r="I608" s="16"/>
      <c r="J608" s="16"/>
      <c r="K608" s="16"/>
      <c r="L608" s="16"/>
      <c r="M608" s="17"/>
      <c r="N608" s="17"/>
      <c r="O608" s="17"/>
      <c r="P608" s="17"/>
    </row>
    <row r="609">
      <c r="I609" s="16"/>
      <c r="J609" s="16"/>
      <c r="K609" s="16"/>
      <c r="L609" s="16"/>
      <c r="M609" s="17"/>
      <c r="N609" s="17"/>
      <c r="O609" s="17"/>
      <c r="P609" s="17"/>
    </row>
    <row r="610">
      <c r="I610" s="16"/>
      <c r="J610" s="16"/>
      <c r="K610" s="16"/>
      <c r="L610" s="16"/>
      <c r="M610" s="17"/>
      <c r="N610" s="17"/>
      <c r="O610" s="17"/>
      <c r="P610" s="17"/>
    </row>
    <row r="611">
      <c r="I611" s="16"/>
      <c r="J611" s="16"/>
      <c r="K611" s="16"/>
      <c r="L611" s="16"/>
      <c r="M611" s="17"/>
      <c r="N611" s="17"/>
      <c r="O611" s="17"/>
      <c r="P611" s="17"/>
    </row>
    <row r="612">
      <c r="I612" s="16"/>
      <c r="J612" s="16"/>
      <c r="K612" s="16"/>
      <c r="L612" s="16"/>
      <c r="M612" s="17"/>
      <c r="N612" s="17"/>
      <c r="O612" s="17"/>
      <c r="P612" s="17"/>
    </row>
    <row r="613">
      <c r="I613" s="16"/>
      <c r="J613" s="16"/>
      <c r="K613" s="16"/>
      <c r="L613" s="16"/>
      <c r="M613" s="17"/>
      <c r="N613" s="17"/>
      <c r="O613" s="17"/>
      <c r="P613" s="17"/>
    </row>
    <row r="614">
      <c r="I614" s="16"/>
      <c r="J614" s="16"/>
      <c r="K614" s="16"/>
      <c r="L614" s="16"/>
      <c r="M614" s="17"/>
      <c r="N614" s="17"/>
      <c r="O614" s="17"/>
      <c r="P614" s="17"/>
    </row>
    <row r="615">
      <c r="I615" s="16"/>
      <c r="J615" s="16"/>
      <c r="K615" s="16"/>
      <c r="L615" s="16"/>
      <c r="M615" s="17"/>
      <c r="N615" s="17"/>
      <c r="O615" s="17"/>
      <c r="P615" s="17"/>
    </row>
    <row r="616">
      <c r="I616" s="16"/>
      <c r="J616" s="16"/>
      <c r="K616" s="16"/>
      <c r="L616" s="16"/>
      <c r="M616" s="17"/>
      <c r="N616" s="17"/>
      <c r="O616" s="17"/>
      <c r="P616" s="17"/>
    </row>
    <row r="617">
      <c r="I617" s="16"/>
      <c r="J617" s="16"/>
      <c r="K617" s="16"/>
      <c r="L617" s="16"/>
      <c r="M617" s="17"/>
      <c r="N617" s="17"/>
      <c r="O617" s="17"/>
      <c r="P617" s="17"/>
    </row>
    <row r="618">
      <c r="I618" s="16"/>
      <c r="J618" s="16"/>
      <c r="K618" s="16"/>
      <c r="L618" s="16"/>
      <c r="M618" s="17"/>
      <c r="N618" s="17"/>
      <c r="O618" s="17"/>
      <c r="P618" s="17"/>
    </row>
    <row r="619">
      <c r="I619" s="16"/>
      <c r="J619" s="16"/>
      <c r="K619" s="16"/>
      <c r="L619" s="16"/>
      <c r="M619" s="17"/>
      <c r="N619" s="17"/>
      <c r="O619" s="17"/>
      <c r="P619" s="17"/>
    </row>
    <row r="620">
      <c r="I620" s="16"/>
      <c r="J620" s="16"/>
      <c r="K620" s="16"/>
      <c r="L620" s="16"/>
      <c r="M620" s="17"/>
      <c r="N620" s="17"/>
      <c r="O620" s="17"/>
      <c r="P620" s="17"/>
    </row>
    <row r="621">
      <c r="I621" s="16"/>
      <c r="J621" s="16"/>
      <c r="K621" s="16"/>
      <c r="L621" s="16"/>
      <c r="M621" s="17"/>
      <c r="N621" s="17"/>
      <c r="O621" s="17"/>
      <c r="P621" s="17"/>
    </row>
    <row r="622">
      <c r="I622" s="16"/>
      <c r="J622" s="16"/>
      <c r="K622" s="16"/>
      <c r="L622" s="16"/>
      <c r="M622" s="17"/>
      <c r="N622" s="17"/>
      <c r="O622" s="17"/>
      <c r="P622" s="17"/>
    </row>
    <row r="623">
      <c r="I623" s="16"/>
      <c r="J623" s="16"/>
      <c r="K623" s="16"/>
      <c r="L623" s="16"/>
      <c r="M623" s="17"/>
      <c r="N623" s="17"/>
      <c r="O623" s="17"/>
      <c r="P623" s="17"/>
    </row>
    <row r="624">
      <c r="I624" s="16"/>
      <c r="J624" s="16"/>
      <c r="K624" s="16"/>
      <c r="L624" s="16"/>
      <c r="M624" s="17"/>
      <c r="N624" s="17"/>
      <c r="O624" s="17"/>
      <c r="P624" s="17"/>
    </row>
    <row r="625">
      <c r="I625" s="16"/>
      <c r="J625" s="16"/>
      <c r="K625" s="16"/>
      <c r="L625" s="16"/>
      <c r="M625" s="17"/>
      <c r="N625" s="17"/>
      <c r="O625" s="17"/>
      <c r="P625" s="17"/>
    </row>
    <row r="626">
      <c r="I626" s="16"/>
      <c r="J626" s="16"/>
      <c r="K626" s="16"/>
      <c r="L626" s="16"/>
      <c r="M626" s="17"/>
      <c r="N626" s="17"/>
      <c r="O626" s="17"/>
      <c r="P626" s="17"/>
    </row>
    <row r="627">
      <c r="I627" s="16"/>
      <c r="J627" s="16"/>
      <c r="K627" s="16"/>
      <c r="L627" s="16"/>
      <c r="M627" s="17"/>
      <c r="N627" s="17"/>
      <c r="O627" s="17"/>
      <c r="P627" s="17"/>
    </row>
    <row r="628">
      <c r="I628" s="16"/>
      <c r="J628" s="16"/>
      <c r="K628" s="16"/>
      <c r="L628" s="16"/>
      <c r="M628" s="17"/>
      <c r="N628" s="17"/>
      <c r="O628" s="17"/>
      <c r="P628" s="17"/>
    </row>
    <row r="629">
      <c r="I629" s="16"/>
      <c r="J629" s="16"/>
      <c r="K629" s="16"/>
      <c r="L629" s="16"/>
      <c r="M629" s="17"/>
      <c r="N629" s="17"/>
      <c r="O629" s="17"/>
      <c r="P629" s="17"/>
    </row>
    <row r="630">
      <c r="I630" s="16"/>
      <c r="J630" s="16"/>
      <c r="K630" s="16"/>
      <c r="L630" s="16"/>
      <c r="M630" s="17"/>
      <c r="N630" s="17"/>
      <c r="O630" s="17"/>
      <c r="P630" s="17"/>
    </row>
    <row r="631">
      <c r="I631" s="16"/>
      <c r="J631" s="16"/>
      <c r="K631" s="16"/>
      <c r="L631" s="16"/>
      <c r="M631" s="17"/>
      <c r="N631" s="17"/>
      <c r="O631" s="17"/>
      <c r="P631" s="17"/>
    </row>
    <row r="632">
      <c r="I632" s="16"/>
      <c r="J632" s="16"/>
      <c r="K632" s="16"/>
      <c r="L632" s="16"/>
      <c r="M632" s="17"/>
      <c r="N632" s="17"/>
      <c r="O632" s="17"/>
      <c r="P632" s="17"/>
    </row>
    <row r="633">
      <c r="I633" s="16"/>
      <c r="J633" s="16"/>
      <c r="K633" s="16"/>
      <c r="L633" s="16"/>
      <c r="M633" s="17"/>
      <c r="N633" s="17"/>
      <c r="O633" s="17"/>
      <c r="P633" s="17"/>
    </row>
    <row r="634">
      <c r="I634" s="16"/>
      <c r="J634" s="16"/>
      <c r="K634" s="16"/>
      <c r="L634" s="16"/>
      <c r="M634" s="17"/>
      <c r="N634" s="17"/>
      <c r="O634" s="17"/>
      <c r="P634" s="17"/>
    </row>
    <row r="635">
      <c r="I635" s="16"/>
      <c r="J635" s="16"/>
      <c r="K635" s="16"/>
      <c r="L635" s="16"/>
      <c r="M635" s="17"/>
      <c r="N635" s="17"/>
      <c r="O635" s="17"/>
      <c r="P635" s="17"/>
    </row>
    <row r="636">
      <c r="I636" s="16"/>
      <c r="J636" s="16"/>
      <c r="K636" s="16"/>
      <c r="L636" s="16"/>
      <c r="M636" s="17"/>
      <c r="N636" s="17"/>
      <c r="O636" s="17"/>
      <c r="P636" s="17"/>
    </row>
    <row r="637">
      <c r="I637" s="16"/>
      <c r="J637" s="16"/>
      <c r="K637" s="16"/>
      <c r="L637" s="16"/>
      <c r="M637" s="17"/>
      <c r="N637" s="17"/>
      <c r="O637" s="17"/>
      <c r="P637" s="17"/>
    </row>
    <row r="638">
      <c r="I638" s="16"/>
      <c r="J638" s="16"/>
      <c r="K638" s="16"/>
      <c r="L638" s="16"/>
      <c r="M638" s="17"/>
      <c r="N638" s="17"/>
      <c r="O638" s="17"/>
      <c r="P638" s="17"/>
    </row>
    <row r="639">
      <c r="I639" s="16"/>
      <c r="J639" s="16"/>
      <c r="K639" s="16"/>
      <c r="L639" s="16"/>
      <c r="M639" s="17"/>
      <c r="N639" s="17"/>
      <c r="O639" s="17"/>
      <c r="P639" s="17"/>
    </row>
    <row r="640">
      <c r="I640" s="16"/>
      <c r="J640" s="16"/>
      <c r="K640" s="16"/>
      <c r="L640" s="16"/>
      <c r="M640" s="17"/>
      <c r="N640" s="17"/>
      <c r="O640" s="17"/>
      <c r="P640" s="17"/>
    </row>
    <row r="641">
      <c r="I641" s="16"/>
      <c r="J641" s="16"/>
      <c r="K641" s="16"/>
      <c r="L641" s="16"/>
      <c r="M641" s="17"/>
      <c r="N641" s="17"/>
      <c r="O641" s="17"/>
      <c r="P641" s="17"/>
    </row>
    <row r="642">
      <c r="I642" s="16"/>
      <c r="J642" s="16"/>
      <c r="K642" s="16"/>
      <c r="L642" s="16"/>
      <c r="M642" s="17"/>
      <c r="N642" s="17"/>
      <c r="O642" s="17"/>
      <c r="P642" s="17"/>
    </row>
    <row r="643">
      <c r="I643" s="16"/>
      <c r="J643" s="16"/>
      <c r="K643" s="16"/>
      <c r="L643" s="16"/>
      <c r="M643" s="17"/>
      <c r="N643" s="17"/>
      <c r="O643" s="17"/>
      <c r="P643" s="17"/>
    </row>
    <row r="644">
      <c r="I644" s="16"/>
      <c r="J644" s="16"/>
      <c r="K644" s="16"/>
      <c r="L644" s="16"/>
      <c r="M644" s="17"/>
      <c r="N644" s="17"/>
      <c r="O644" s="17"/>
      <c r="P644" s="17"/>
    </row>
    <row r="645">
      <c r="I645" s="16"/>
      <c r="J645" s="16"/>
      <c r="K645" s="16"/>
      <c r="L645" s="16"/>
      <c r="M645" s="17"/>
      <c r="N645" s="17"/>
      <c r="O645" s="17"/>
      <c r="P645" s="17"/>
    </row>
    <row r="646">
      <c r="I646" s="16"/>
      <c r="J646" s="16"/>
      <c r="K646" s="16"/>
      <c r="L646" s="16"/>
      <c r="M646" s="17"/>
      <c r="N646" s="17"/>
      <c r="O646" s="17"/>
      <c r="P646" s="17"/>
    </row>
    <row r="647">
      <c r="I647" s="16"/>
      <c r="J647" s="16"/>
      <c r="K647" s="16"/>
      <c r="L647" s="16"/>
      <c r="M647" s="17"/>
      <c r="N647" s="17"/>
      <c r="O647" s="17"/>
      <c r="P647" s="17"/>
    </row>
    <row r="648">
      <c r="I648" s="16"/>
      <c r="J648" s="16"/>
      <c r="K648" s="16"/>
      <c r="L648" s="16"/>
      <c r="M648" s="17"/>
      <c r="N648" s="17"/>
      <c r="O648" s="17"/>
      <c r="P648" s="17"/>
    </row>
    <row r="649">
      <c r="I649" s="16"/>
      <c r="J649" s="16"/>
      <c r="K649" s="16"/>
      <c r="L649" s="16"/>
      <c r="M649" s="17"/>
      <c r="N649" s="17"/>
      <c r="O649" s="17"/>
      <c r="P649" s="17"/>
    </row>
    <row r="650">
      <c r="I650" s="16"/>
      <c r="J650" s="16"/>
      <c r="K650" s="16"/>
      <c r="L650" s="16"/>
      <c r="M650" s="17"/>
      <c r="N650" s="17"/>
      <c r="O650" s="17"/>
      <c r="P650" s="17"/>
    </row>
    <row r="651">
      <c r="I651" s="16"/>
      <c r="J651" s="16"/>
      <c r="K651" s="16"/>
      <c r="L651" s="16"/>
      <c r="M651" s="17"/>
      <c r="N651" s="17"/>
      <c r="O651" s="17"/>
      <c r="P651" s="17"/>
    </row>
    <row r="652">
      <c r="I652" s="16"/>
      <c r="J652" s="16"/>
      <c r="K652" s="16"/>
      <c r="L652" s="16"/>
      <c r="M652" s="17"/>
      <c r="N652" s="17"/>
      <c r="O652" s="17"/>
      <c r="P652" s="17"/>
    </row>
    <row r="653">
      <c r="I653" s="16"/>
      <c r="J653" s="16"/>
      <c r="K653" s="16"/>
      <c r="L653" s="16"/>
      <c r="M653" s="17"/>
      <c r="N653" s="17"/>
      <c r="O653" s="17"/>
      <c r="P653" s="17"/>
    </row>
    <row r="654">
      <c r="I654" s="16"/>
      <c r="J654" s="16"/>
      <c r="K654" s="16"/>
      <c r="L654" s="16"/>
      <c r="M654" s="17"/>
      <c r="N654" s="17"/>
      <c r="O654" s="17"/>
      <c r="P654" s="17"/>
    </row>
    <row r="655">
      <c r="I655" s="16"/>
      <c r="J655" s="16"/>
      <c r="K655" s="16"/>
      <c r="L655" s="16"/>
      <c r="M655" s="17"/>
      <c r="N655" s="17"/>
      <c r="O655" s="17"/>
      <c r="P655" s="17"/>
    </row>
    <row r="656">
      <c r="I656" s="16"/>
      <c r="J656" s="16"/>
      <c r="K656" s="16"/>
      <c r="L656" s="16"/>
      <c r="M656" s="17"/>
      <c r="N656" s="17"/>
      <c r="O656" s="17"/>
      <c r="P656" s="17"/>
    </row>
    <row r="657">
      <c r="I657" s="16"/>
      <c r="J657" s="16"/>
      <c r="K657" s="16"/>
      <c r="L657" s="16"/>
      <c r="M657" s="17"/>
      <c r="N657" s="17"/>
      <c r="O657" s="17"/>
      <c r="P657" s="17"/>
    </row>
    <row r="658">
      <c r="I658" s="16"/>
      <c r="J658" s="16"/>
      <c r="K658" s="16"/>
      <c r="L658" s="16"/>
      <c r="M658" s="17"/>
      <c r="N658" s="17"/>
      <c r="O658" s="17"/>
      <c r="P658" s="17"/>
    </row>
    <row r="659">
      <c r="I659" s="16"/>
      <c r="J659" s="16"/>
      <c r="K659" s="16"/>
      <c r="L659" s="16"/>
      <c r="M659" s="17"/>
      <c r="N659" s="17"/>
      <c r="O659" s="17"/>
      <c r="P659" s="17"/>
    </row>
    <row r="660">
      <c r="I660" s="16"/>
      <c r="J660" s="16"/>
      <c r="K660" s="16"/>
      <c r="L660" s="16"/>
      <c r="M660" s="17"/>
      <c r="N660" s="17"/>
      <c r="O660" s="17"/>
      <c r="P660" s="17"/>
    </row>
    <row r="661">
      <c r="I661" s="16"/>
      <c r="J661" s="16"/>
      <c r="K661" s="16"/>
      <c r="L661" s="16"/>
      <c r="M661" s="17"/>
      <c r="N661" s="17"/>
      <c r="O661" s="17"/>
      <c r="P661" s="17"/>
    </row>
    <row r="662">
      <c r="I662" s="16"/>
      <c r="J662" s="16"/>
      <c r="K662" s="16"/>
      <c r="L662" s="16"/>
      <c r="M662" s="17"/>
      <c r="N662" s="17"/>
      <c r="O662" s="17"/>
      <c r="P662" s="17"/>
    </row>
    <row r="663">
      <c r="I663" s="16"/>
      <c r="J663" s="16"/>
      <c r="K663" s="16"/>
      <c r="L663" s="16"/>
      <c r="M663" s="17"/>
      <c r="N663" s="17"/>
      <c r="O663" s="17"/>
      <c r="P663" s="17"/>
    </row>
    <row r="664">
      <c r="I664" s="16"/>
      <c r="J664" s="16"/>
      <c r="K664" s="16"/>
      <c r="L664" s="16"/>
      <c r="M664" s="17"/>
      <c r="N664" s="17"/>
      <c r="O664" s="17"/>
      <c r="P664" s="17"/>
    </row>
    <row r="665">
      <c r="I665" s="16"/>
      <c r="J665" s="16"/>
      <c r="K665" s="16"/>
      <c r="L665" s="16"/>
      <c r="M665" s="17"/>
      <c r="N665" s="17"/>
      <c r="O665" s="17"/>
      <c r="P665" s="17"/>
    </row>
    <row r="666">
      <c r="I666" s="16"/>
      <c r="J666" s="16"/>
      <c r="K666" s="16"/>
      <c r="L666" s="16"/>
      <c r="M666" s="17"/>
      <c r="N666" s="17"/>
      <c r="O666" s="17"/>
      <c r="P666" s="17"/>
    </row>
    <row r="667">
      <c r="I667" s="16"/>
      <c r="J667" s="16"/>
      <c r="K667" s="16"/>
      <c r="L667" s="16"/>
      <c r="M667" s="17"/>
      <c r="N667" s="17"/>
      <c r="O667" s="17"/>
      <c r="P667" s="17"/>
    </row>
    <row r="668">
      <c r="I668" s="16"/>
      <c r="J668" s="16"/>
      <c r="K668" s="16"/>
      <c r="L668" s="16"/>
      <c r="M668" s="17"/>
      <c r="N668" s="17"/>
      <c r="O668" s="17"/>
      <c r="P668" s="17"/>
    </row>
    <row r="669">
      <c r="I669" s="16"/>
      <c r="J669" s="16"/>
      <c r="K669" s="16"/>
      <c r="L669" s="16"/>
      <c r="M669" s="17"/>
      <c r="N669" s="17"/>
      <c r="O669" s="17"/>
      <c r="P669" s="17"/>
    </row>
    <row r="670">
      <c r="I670" s="16"/>
      <c r="J670" s="16"/>
      <c r="K670" s="16"/>
      <c r="L670" s="16"/>
      <c r="M670" s="17"/>
      <c r="N670" s="17"/>
      <c r="O670" s="17"/>
      <c r="P670" s="17"/>
    </row>
    <row r="671">
      <c r="I671" s="16"/>
      <c r="J671" s="16"/>
      <c r="K671" s="16"/>
      <c r="L671" s="16"/>
      <c r="M671" s="17"/>
      <c r="N671" s="17"/>
      <c r="O671" s="17"/>
      <c r="P671" s="17"/>
    </row>
    <row r="672">
      <c r="I672" s="16"/>
      <c r="J672" s="16"/>
      <c r="K672" s="16"/>
      <c r="L672" s="16"/>
      <c r="M672" s="17"/>
      <c r="N672" s="17"/>
      <c r="O672" s="17"/>
      <c r="P672" s="17"/>
    </row>
    <row r="673">
      <c r="I673" s="16"/>
      <c r="J673" s="16"/>
      <c r="K673" s="16"/>
      <c r="L673" s="16"/>
      <c r="M673" s="17"/>
      <c r="N673" s="17"/>
      <c r="O673" s="17"/>
      <c r="P673" s="17"/>
    </row>
    <row r="674">
      <c r="I674" s="16"/>
      <c r="J674" s="16"/>
      <c r="K674" s="16"/>
      <c r="L674" s="16"/>
      <c r="M674" s="17"/>
      <c r="N674" s="17"/>
      <c r="O674" s="17"/>
      <c r="P674" s="17"/>
    </row>
    <row r="675">
      <c r="I675" s="16"/>
      <c r="J675" s="16"/>
      <c r="K675" s="16"/>
      <c r="L675" s="16"/>
      <c r="M675" s="17"/>
      <c r="N675" s="17"/>
      <c r="O675" s="17"/>
      <c r="P675" s="17"/>
    </row>
    <row r="676">
      <c r="I676" s="16"/>
      <c r="J676" s="16"/>
      <c r="K676" s="16"/>
      <c r="L676" s="16"/>
      <c r="M676" s="17"/>
      <c r="N676" s="17"/>
      <c r="O676" s="17"/>
      <c r="P676" s="17"/>
    </row>
    <row r="677">
      <c r="I677" s="16"/>
      <c r="J677" s="16"/>
      <c r="K677" s="16"/>
      <c r="L677" s="16"/>
      <c r="M677" s="17"/>
      <c r="N677" s="17"/>
      <c r="O677" s="17"/>
      <c r="P677" s="17"/>
    </row>
    <row r="678">
      <c r="I678" s="16"/>
      <c r="J678" s="16"/>
      <c r="K678" s="16"/>
      <c r="L678" s="16"/>
      <c r="M678" s="17"/>
      <c r="N678" s="17"/>
      <c r="O678" s="17"/>
      <c r="P678" s="17"/>
    </row>
    <row r="679">
      <c r="I679" s="16"/>
      <c r="J679" s="16"/>
      <c r="K679" s="16"/>
      <c r="L679" s="16"/>
      <c r="M679" s="17"/>
      <c r="N679" s="17"/>
      <c r="O679" s="17"/>
      <c r="P679" s="17"/>
    </row>
    <row r="680">
      <c r="I680" s="16"/>
      <c r="J680" s="16"/>
      <c r="K680" s="16"/>
      <c r="L680" s="16"/>
      <c r="M680" s="17"/>
      <c r="N680" s="17"/>
      <c r="O680" s="17"/>
      <c r="P680" s="17"/>
    </row>
    <row r="681">
      <c r="I681" s="16"/>
      <c r="J681" s="16"/>
      <c r="K681" s="16"/>
      <c r="L681" s="16"/>
      <c r="M681" s="17"/>
      <c r="N681" s="17"/>
      <c r="O681" s="17"/>
      <c r="P681" s="17"/>
    </row>
    <row r="682">
      <c r="I682" s="16"/>
      <c r="J682" s="16"/>
      <c r="K682" s="16"/>
      <c r="L682" s="16"/>
      <c r="M682" s="17"/>
      <c r="N682" s="17"/>
      <c r="O682" s="17"/>
      <c r="P682" s="17"/>
    </row>
    <row r="683">
      <c r="I683" s="16"/>
      <c r="J683" s="16"/>
      <c r="K683" s="16"/>
      <c r="L683" s="16"/>
      <c r="M683" s="17"/>
      <c r="N683" s="17"/>
      <c r="O683" s="17"/>
      <c r="P683" s="17"/>
    </row>
    <row r="684">
      <c r="I684" s="16"/>
      <c r="J684" s="16"/>
      <c r="K684" s="16"/>
      <c r="L684" s="16"/>
      <c r="M684" s="17"/>
      <c r="N684" s="17"/>
      <c r="O684" s="17"/>
      <c r="P684" s="17"/>
    </row>
    <row r="685">
      <c r="I685" s="16"/>
      <c r="J685" s="16"/>
      <c r="K685" s="16"/>
      <c r="L685" s="16"/>
      <c r="M685" s="17"/>
      <c r="N685" s="17"/>
      <c r="O685" s="17"/>
      <c r="P685" s="17"/>
    </row>
    <row r="686">
      <c r="I686" s="16"/>
      <c r="J686" s="16"/>
      <c r="K686" s="16"/>
      <c r="L686" s="16"/>
      <c r="M686" s="17"/>
      <c r="N686" s="17"/>
      <c r="O686" s="17"/>
      <c r="P686" s="17"/>
    </row>
    <row r="687">
      <c r="I687" s="16"/>
      <c r="J687" s="16"/>
      <c r="K687" s="16"/>
      <c r="L687" s="16"/>
      <c r="M687" s="17"/>
      <c r="N687" s="17"/>
      <c r="O687" s="17"/>
      <c r="P687" s="17"/>
    </row>
    <row r="688">
      <c r="I688" s="16"/>
      <c r="J688" s="16"/>
      <c r="K688" s="16"/>
      <c r="L688" s="16"/>
      <c r="M688" s="17"/>
      <c r="N688" s="17"/>
      <c r="O688" s="17"/>
      <c r="P688" s="17"/>
    </row>
    <row r="689">
      <c r="I689" s="16"/>
      <c r="J689" s="16"/>
      <c r="K689" s="16"/>
      <c r="L689" s="16"/>
      <c r="M689" s="17"/>
      <c r="N689" s="17"/>
      <c r="O689" s="17"/>
      <c r="P689" s="17"/>
    </row>
    <row r="690">
      <c r="I690" s="16"/>
      <c r="J690" s="16"/>
      <c r="K690" s="16"/>
      <c r="L690" s="16"/>
      <c r="M690" s="17"/>
      <c r="N690" s="17"/>
      <c r="O690" s="17"/>
      <c r="P690" s="17"/>
    </row>
    <row r="691">
      <c r="I691" s="16"/>
      <c r="J691" s="16"/>
      <c r="K691" s="16"/>
      <c r="L691" s="16"/>
      <c r="M691" s="17"/>
      <c r="N691" s="17"/>
      <c r="O691" s="17"/>
      <c r="P691" s="17"/>
    </row>
    <row r="692">
      <c r="I692" s="16"/>
      <c r="J692" s="16"/>
      <c r="K692" s="16"/>
      <c r="L692" s="16"/>
      <c r="M692" s="17"/>
      <c r="N692" s="17"/>
      <c r="O692" s="17"/>
      <c r="P692" s="17"/>
    </row>
    <row r="693">
      <c r="I693" s="16"/>
      <c r="J693" s="16"/>
      <c r="K693" s="16"/>
      <c r="L693" s="16"/>
      <c r="M693" s="17"/>
      <c r="N693" s="17"/>
      <c r="O693" s="17"/>
      <c r="P693" s="17"/>
    </row>
    <row r="694">
      <c r="I694" s="16"/>
      <c r="J694" s="16"/>
      <c r="K694" s="16"/>
      <c r="L694" s="16"/>
      <c r="M694" s="17"/>
      <c r="N694" s="17"/>
      <c r="O694" s="17"/>
      <c r="P694" s="17"/>
    </row>
    <row r="695">
      <c r="I695" s="16"/>
      <c r="J695" s="16"/>
      <c r="K695" s="16"/>
      <c r="L695" s="16"/>
      <c r="M695" s="17"/>
      <c r="N695" s="17"/>
      <c r="O695" s="17"/>
      <c r="P695" s="17"/>
    </row>
    <row r="696">
      <c r="I696" s="16"/>
      <c r="J696" s="16"/>
      <c r="K696" s="16"/>
      <c r="L696" s="16"/>
      <c r="M696" s="17"/>
      <c r="N696" s="17"/>
      <c r="O696" s="17"/>
      <c r="P696" s="17"/>
    </row>
    <row r="697">
      <c r="I697" s="16"/>
      <c r="J697" s="16"/>
      <c r="K697" s="16"/>
      <c r="L697" s="16"/>
      <c r="M697" s="17"/>
      <c r="N697" s="17"/>
      <c r="O697" s="17"/>
      <c r="P697" s="17"/>
    </row>
    <row r="698">
      <c r="I698" s="16"/>
      <c r="J698" s="16"/>
      <c r="K698" s="16"/>
      <c r="L698" s="16"/>
      <c r="M698" s="17"/>
      <c r="N698" s="17"/>
      <c r="O698" s="17"/>
      <c r="P698" s="17"/>
    </row>
    <row r="699">
      <c r="I699" s="16"/>
      <c r="J699" s="16"/>
      <c r="K699" s="16"/>
      <c r="L699" s="16"/>
      <c r="M699" s="17"/>
      <c r="N699" s="17"/>
      <c r="O699" s="17"/>
      <c r="P699" s="17"/>
    </row>
    <row r="700">
      <c r="I700" s="16"/>
      <c r="J700" s="16"/>
      <c r="K700" s="16"/>
      <c r="L700" s="16"/>
      <c r="M700" s="17"/>
      <c r="N700" s="17"/>
      <c r="O700" s="17"/>
      <c r="P700" s="17"/>
    </row>
    <row r="701">
      <c r="I701" s="16"/>
      <c r="J701" s="16"/>
      <c r="K701" s="16"/>
      <c r="L701" s="16"/>
      <c r="M701" s="17"/>
      <c r="N701" s="17"/>
      <c r="O701" s="17"/>
      <c r="P701" s="17"/>
    </row>
    <row r="702">
      <c r="I702" s="16"/>
      <c r="J702" s="16"/>
      <c r="K702" s="16"/>
      <c r="L702" s="16"/>
      <c r="M702" s="17"/>
      <c r="N702" s="17"/>
      <c r="O702" s="17"/>
      <c r="P702" s="17"/>
    </row>
    <row r="703">
      <c r="I703" s="16"/>
      <c r="J703" s="16"/>
      <c r="K703" s="16"/>
      <c r="L703" s="16"/>
      <c r="M703" s="17"/>
      <c r="N703" s="17"/>
      <c r="O703" s="17"/>
      <c r="P703" s="17"/>
    </row>
    <row r="704">
      <c r="I704" s="16"/>
      <c r="J704" s="16"/>
      <c r="K704" s="16"/>
      <c r="L704" s="16"/>
      <c r="M704" s="17"/>
      <c r="N704" s="17"/>
      <c r="O704" s="17"/>
      <c r="P704" s="17"/>
    </row>
    <row r="705">
      <c r="I705" s="16"/>
      <c r="J705" s="16"/>
      <c r="K705" s="16"/>
      <c r="L705" s="16"/>
      <c r="M705" s="17"/>
      <c r="N705" s="17"/>
      <c r="O705" s="17"/>
      <c r="P705" s="17"/>
    </row>
    <row r="706">
      <c r="I706" s="16"/>
      <c r="J706" s="16"/>
      <c r="K706" s="16"/>
      <c r="L706" s="16"/>
      <c r="M706" s="17"/>
      <c r="N706" s="17"/>
      <c r="O706" s="17"/>
      <c r="P706" s="17"/>
    </row>
    <row r="707">
      <c r="I707" s="16"/>
      <c r="J707" s="16"/>
      <c r="K707" s="16"/>
      <c r="L707" s="16"/>
      <c r="M707" s="17"/>
      <c r="N707" s="17"/>
      <c r="O707" s="17"/>
      <c r="P707" s="17"/>
    </row>
    <row r="708">
      <c r="I708" s="16"/>
      <c r="J708" s="16"/>
      <c r="K708" s="16"/>
      <c r="L708" s="16"/>
      <c r="M708" s="17"/>
      <c r="N708" s="17"/>
      <c r="O708" s="17"/>
      <c r="P708" s="17"/>
    </row>
    <row r="709">
      <c r="I709" s="16"/>
      <c r="J709" s="16"/>
      <c r="K709" s="16"/>
      <c r="L709" s="16"/>
      <c r="M709" s="17"/>
      <c r="N709" s="17"/>
      <c r="O709" s="17"/>
      <c r="P709" s="17"/>
    </row>
    <row r="710">
      <c r="I710" s="16"/>
      <c r="J710" s="16"/>
      <c r="K710" s="16"/>
      <c r="L710" s="16"/>
      <c r="M710" s="17"/>
      <c r="N710" s="17"/>
      <c r="O710" s="17"/>
      <c r="P710" s="17"/>
    </row>
    <row r="711">
      <c r="I711" s="16"/>
      <c r="J711" s="16"/>
      <c r="K711" s="16"/>
      <c r="L711" s="16"/>
      <c r="M711" s="17"/>
      <c r="N711" s="17"/>
      <c r="O711" s="17"/>
      <c r="P711" s="17"/>
    </row>
    <row r="712">
      <c r="I712" s="16"/>
      <c r="J712" s="16"/>
      <c r="K712" s="16"/>
      <c r="L712" s="16"/>
      <c r="M712" s="17"/>
      <c r="N712" s="17"/>
      <c r="O712" s="17"/>
      <c r="P712" s="17"/>
    </row>
    <row r="713">
      <c r="I713" s="16"/>
      <c r="J713" s="16"/>
      <c r="K713" s="16"/>
      <c r="L713" s="16"/>
      <c r="M713" s="17"/>
      <c r="N713" s="17"/>
      <c r="O713" s="17"/>
      <c r="P713" s="17"/>
    </row>
    <row r="714">
      <c r="I714" s="16"/>
      <c r="J714" s="16"/>
      <c r="K714" s="16"/>
      <c r="L714" s="16"/>
      <c r="M714" s="17"/>
      <c r="N714" s="17"/>
      <c r="O714" s="17"/>
      <c r="P714" s="17"/>
    </row>
    <row r="715">
      <c r="I715" s="16"/>
      <c r="J715" s="16"/>
      <c r="K715" s="16"/>
      <c r="L715" s="16"/>
      <c r="M715" s="17"/>
      <c r="N715" s="17"/>
      <c r="O715" s="17"/>
      <c r="P715" s="17"/>
    </row>
    <row r="716">
      <c r="I716" s="16"/>
      <c r="J716" s="16"/>
      <c r="K716" s="16"/>
      <c r="L716" s="16"/>
      <c r="M716" s="17"/>
      <c r="N716" s="17"/>
      <c r="O716" s="17"/>
      <c r="P716" s="17"/>
    </row>
    <row r="717">
      <c r="I717" s="16"/>
      <c r="J717" s="16"/>
      <c r="K717" s="16"/>
      <c r="L717" s="16"/>
      <c r="M717" s="17"/>
      <c r="N717" s="17"/>
      <c r="O717" s="17"/>
      <c r="P717" s="17"/>
    </row>
    <row r="718">
      <c r="I718" s="16"/>
      <c r="J718" s="16"/>
      <c r="K718" s="16"/>
      <c r="L718" s="16"/>
      <c r="M718" s="17"/>
      <c r="N718" s="17"/>
      <c r="O718" s="17"/>
      <c r="P718" s="17"/>
    </row>
    <row r="719">
      <c r="I719" s="16"/>
      <c r="J719" s="16"/>
      <c r="K719" s="16"/>
      <c r="L719" s="16"/>
      <c r="M719" s="17"/>
      <c r="N719" s="17"/>
      <c r="O719" s="17"/>
      <c r="P719" s="17"/>
    </row>
    <row r="720">
      <c r="I720" s="16"/>
      <c r="J720" s="16"/>
      <c r="K720" s="16"/>
      <c r="L720" s="16"/>
      <c r="M720" s="17"/>
      <c r="N720" s="17"/>
      <c r="O720" s="17"/>
      <c r="P720" s="17"/>
    </row>
    <row r="721">
      <c r="I721" s="16"/>
      <c r="J721" s="16"/>
      <c r="K721" s="16"/>
      <c r="L721" s="16"/>
      <c r="M721" s="17"/>
      <c r="N721" s="17"/>
      <c r="O721" s="17"/>
      <c r="P721" s="17"/>
    </row>
    <row r="722">
      <c r="I722" s="16"/>
      <c r="J722" s="16"/>
      <c r="K722" s="16"/>
      <c r="L722" s="16"/>
      <c r="M722" s="17"/>
      <c r="N722" s="17"/>
      <c r="O722" s="17"/>
      <c r="P722" s="17"/>
    </row>
    <row r="723">
      <c r="I723" s="16"/>
      <c r="J723" s="16"/>
      <c r="K723" s="16"/>
      <c r="L723" s="16"/>
      <c r="M723" s="17"/>
      <c r="N723" s="17"/>
      <c r="O723" s="17"/>
      <c r="P723" s="17"/>
    </row>
    <row r="724">
      <c r="I724" s="16"/>
      <c r="J724" s="16"/>
      <c r="K724" s="16"/>
      <c r="L724" s="16"/>
      <c r="M724" s="17"/>
      <c r="N724" s="17"/>
      <c r="O724" s="17"/>
      <c r="P724" s="17"/>
    </row>
    <row r="725">
      <c r="I725" s="16"/>
      <c r="J725" s="16"/>
      <c r="K725" s="16"/>
      <c r="L725" s="16"/>
      <c r="M725" s="17"/>
      <c r="N725" s="17"/>
      <c r="O725" s="17"/>
      <c r="P725" s="17"/>
    </row>
    <row r="726">
      <c r="I726" s="16"/>
      <c r="J726" s="16"/>
      <c r="K726" s="16"/>
      <c r="L726" s="16"/>
      <c r="M726" s="17"/>
      <c r="N726" s="17"/>
      <c r="O726" s="17"/>
      <c r="P726" s="17"/>
    </row>
    <row r="727">
      <c r="I727" s="16"/>
      <c r="J727" s="16"/>
      <c r="K727" s="16"/>
      <c r="L727" s="16"/>
      <c r="M727" s="17"/>
      <c r="N727" s="17"/>
      <c r="O727" s="17"/>
      <c r="P727" s="17"/>
    </row>
    <row r="728">
      <c r="I728" s="16"/>
      <c r="J728" s="16"/>
      <c r="K728" s="16"/>
      <c r="L728" s="16"/>
      <c r="M728" s="17"/>
      <c r="N728" s="17"/>
      <c r="O728" s="17"/>
      <c r="P728" s="17"/>
    </row>
    <row r="729">
      <c r="I729" s="16"/>
      <c r="J729" s="16"/>
      <c r="K729" s="16"/>
      <c r="L729" s="16"/>
      <c r="M729" s="17"/>
      <c r="N729" s="17"/>
      <c r="O729" s="17"/>
      <c r="P729" s="17"/>
    </row>
    <row r="730">
      <c r="I730" s="16"/>
      <c r="J730" s="16"/>
      <c r="K730" s="16"/>
      <c r="L730" s="16"/>
      <c r="M730" s="17"/>
      <c r="N730" s="17"/>
      <c r="O730" s="17"/>
      <c r="P730" s="17"/>
    </row>
    <row r="731">
      <c r="I731" s="16"/>
      <c r="J731" s="16"/>
      <c r="K731" s="16"/>
      <c r="L731" s="16"/>
      <c r="M731" s="17"/>
      <c r="N731" s="17"/>
      <c r="O731" s="17"/>
      <c r="P731" s="17"/>
    </row>
    <row r="732">
      <c r="I732" s="16"/>
      <c r="J732" s="16"/>
      <c r="K732" s="16"/>
      <c r="L732" s="16"/>
      <c r="M732" s="17"/>
      <c r="N732" s="17"/>
      <c r="O732" s="17"/>
      <c r="P732" s="17"/>
    </row>
    <row r="733">
      <c r="I733" s="16"/>
      <c r="J733" s="16"/>
      <c r="K733" s="16"/>
      <c r="L733" s="16"/>
      <c r="M733" s="17"/>
      <c r="N733" s="17"/>
      <c r="O733" s="17"/>
      <c r="P733" s="17"/>
    </row>
    <row r="734">
      <c r="I734" s="16"/>
      <c r="J734" s="16"/>
      <c r="K734" s="16"/>
      <c r="L734" s="16"/>
      <c r="M734" s="17"/>
      <c r="N734" s="17"/>
      <c r="O734" s="17"/>
      <c r="P734" s="17"/>
    </row>
    <row r="735">
      <c r="I735" s="16"/>
      <c r="J735" s="16"/>
      <c r="K735" s="16"/>
      <c r="L735" s="16"/>
      <c r="M735" s="17"/>
      <c r="N735" s="17"/>
      <c r="O735" s="17"/>
      <c r="P735" s="17"/>
    </row>
    <row r="736">
      <c r="I736" s="16"/>
      <c r="J736" s="16"/>
      <c r="K736" s="16"/>
      <c r="L736" s="16"/>
      <c r="M736" s="17"/>
      <c r="N736" s="17"/>
      <c r="O736" s="17"/>
      <c r="P736" s="17"/>
    </row>
    <row r="737">
      <c r="I737" s="16"/>
      <c r="J737" s="16"/>
      <c r="K737" s="16"/>
      <c r="L737" s="16"/>
      <c r="M737" s="17"/>
      <c r="N737" s="17"/>
      <c r="O737" s="17"/>
      <c r="P737" s="17"/>
    </row>
    <row r="738">
      <c r="I738" s="16"/>
      <c r="J738" s="16"/>
      <c r="K738" s="16"/>
      <c r="L738" s="16"/>
      <c r="M738" s="17"/>
      <c r="N738" s="17"/>
      <c r="O738" s="17"/>
      <c r="P738" s="17"/>
    </row>
    <row r="739">
      <c r="I739" s="16"/>
      <c r="J739" s="16"/>
      <c r="K739" s="16"/>
      <c r="L739" s="16"/>
      <c r="M739" s="17"/>
      <c r="N739" s="17"/>
      <c r="O739" s="17"/>
      <c r="P739" s="17"/>
    </row>
    <row r="740">
      <c r="I740" s="16"/>
      <c r="J740" s="16"/>
      <c r="K740" s="16"/>
      <c r="L740" s="16"/>
      <c r="M740" s="17"/>
      <c r="N740" s="17"/>
      <c r="O740" s="17"/>
      <c r="P740" s="17"/>
    </row>
    <row r="741">
      <c r="I741" s="16"/>
      <c r="J741" s="16"/>
      <c r="K741" s="16"/>
      <c r="L741" s="16"/>
      <c r="M741" s="17"/>
      <c r="N741" s="17"/>
      <c r="O741" s="17"/>
      <c r="P741" s="17"/>
    </row>
    <row r="742">
      <c r="I742" s="16"/>
      <c r="J742" s="16"/>
      <c r="K742" s="16"/>
      <c r="L742" s="16"/>
      <c r="M742" s="17"/>
      <c r="N742" s="17"/>
      <c r="O742" s="17"/>
      <c r="P742" s="17"/>
    </row>
    <row r="743">
      <c r="I743" s="16"/>
      <c r="J743" s="16"/>
      <c r="K743" s="16"/>
      <c r="L743" s="16"/>
      <c r="M743" s="17"/>
      <c r="N743" s="17"/>
      <c r="O743" s="17"/>
      <c r="P743" s="17"/>
    </row>
    <row r="744">
      <c r="I744" s="16"/>
      <c r="J744" s="16"/>
      <c r="K744" s="16"/>
      <c r="L744" s="16"/>
      <c r="M744" s="17"/>
      <c r="N744" s="17"/>
      <c r="O744" s="17"/>
      <c r="P744" s="17"/>
    </row>
    <row r="745">
      <c r="I745" s="16"/>
      <c r="J745" s="16"/>
      <c r="K745" s="16"/>
      <c r="L745" s="16"/>
      <c r="M745" s="17"/>
      <c r="N745" s="17"/>
      <c r="O745" s="17"/>
      <c r="P745" s="17"/>
    </row>
    <row r="746">
      <c r="I746" s="16"/>
      <c r="J746" s="16"/>
      <c r="K746" s="16"/>
      <c r="L746" s="16"/>
      <c r="M746" s="17"/>
      <c r="N746" s="17"/>
      <c r="O746" s="17"/>
      <c r="P746" s="17"/>
    </row>
    <row r="747">
      <c r="I747" s="16"/>
      <c r="J747" s="16"/>
      <c r="K747" s="16"/>
      <c r="L747" s="16"/>
      <c r="M747" s="17"/>
      <c r="N747" s="17"/>
      <c r="O747" s="17"/>
      <c r="P747" s="17"/>
    </row>
    <row r="748">
      <c r="I748" s="16"/>
      <c r="J748" s="16"/>
      <c r="K748" s="16"/>
      <c r="L748" s="16"/>
      <c r="M748" s="17"/>
      <c r="N748" s="17"/>
      <c r="O748" s="17"/>
      <c r="P748" s="17"/>
    </row>
    <row r="749">
      <c r="I749" s="16"/>
      <c r="J749" s="16"/>
      <c r="K749" s="16"/>
      <c r="L749" s="16"/>
      <c r="M749" s="17"/>
      <c r="N749" s="17"/>
      <c r="O749" s="17"/>
      <c r="P749" s="17"/>
    </row>
    <row r="750">
      <c r="I750" s="16"/>
      <c r="J750" s="16"/>
      <c r="K750" s="16"/>
      <c r="L750" s="16"/>
      <c r="M750" s="17"/>
      <c r="N750" s="17"/>
      <c r="O750" s="17"/>
      <c r="P750" s="17"/>
    </row>
    <row r="751">
      <c r="I751" s="16"/>
      <c r="J751" s="16"/>
      <c r="K751" s="16"/>
      <c r="L751" s="16"/>
      <c r="M751" s="17"/>
      <c r="N751" s="17"/>
      <c r="O751" s="17"/>
      <c r="P751" s="17"/>
    </row>
    <row r="752">
      <c r="I752" s="16"/>
      <c r="J752" s="16"/>
      <c r="K752" s="16"/>
      <c r="L752" s="16"/>
      <c r="M752" s="17"/>
      <c r="N752" s="17"/>
      <c r="O752" s="17"/>
      <c r="P752" s="17"/>
    </row>
    <row r="753">
      <c r="I753" s="16"/>
      <c r="J753" s="16"/>
      <c r="K753" s="16"/>
      <c r="L753" s="16"/>
      <c r="M753" s="17"/>
      <c r="N753" s="17"/>
      <c r="O753" s="17"/>
      <c r="P753" s="17"/>
    </row>
    <row r="754">
      <c r="I754" s="16"/>
      <c r="J754" s="16"/>
      <c r="K754" s="16"/>
      <c r="L754" s="16"/>
      <c r="M754" s="17"/>
      <c r="N754" s="17"/>
      <c r="O754" s="17"/>
      <c r="P754" s="17"/>
    </row>
    <row r="755">
      <c r="I755" s="16"/>
      <c r="J755" s="16"/>
      <c r="K755" s="16"/>
      <c r="L755" s="16"/>
      <c r="M755" s="17"/>
      <c r="N755" s="17"/>
      <c r="O755" s="17"/>
      <c r="P755" s="17"/>
    </row>
    <row r="756">
      <c r="I756" s="16"/>
      <c r="J756" s="16"/>
      <c r="K756" s="16"/>
      <c r="L756" s="16"/>
      <c r="M756" s="17"/>
      <c r="N756" s="17"/>
      <c r="O756" s="17"/>
      <c r="P756" s="17"/>
    </row>
    <row r="757">
      <c r="I757" s="16"/>
      <c r="J757" s="16"/>
      <c r="K757" s="16"/>
      <c r="L757" s="16"/>
      <c r="M757" s="17"/>
      <c r="N757" s="17"/>
      <c r="O757" s="17"/>
      <c r="P757" s="17"/>
    </row>
    <row r="758">
      <c r="I758" s="16"/>
      <c r="J758" s="16"/>
      <c r="K758" s="16"/>
      <c r="L758" s="16"/>
      <c r="M758" s="17"/>
      <c r="N758" s="17"/>
      <c r="O758" s="17"/>
      <c r="P758" s="17"/>
    </row>
    <row r="759">
      <c r="I759" s="16"/>
      <c r="J759" s="16"/>
      <c r="K759" s="16"/>
      <c r="L759" s="16"/>
      <c r="M759" s="17"/>
      <c r="N759" s="17"/>
      <c r="O759" s="17"/>
      <c r="P759" s="17"/>
    </row>
    <row r="760">
      <c r="I760" s="16"/>
      <c r="J760" s="16"/>
      <c r="K760" s="16"/>
      <c r="L760" s="16"/>
      <c r="M760" s="17"/>
      <c r="N760" s="17"/>
      <c r="O760" s="17"/>
      <c r="P760" s="17"/>
    </row>
    <row r="761">
      <c r="I761" s="16"/>
      <c r="J761" s="16"/>
      <c r="K761" s="16"/>
      <c r="L761" s="16"/>
      <c r="M761" s="17"/>
      <c r="N761" s="17"/>
      <c r="O761" s="17"/>
      <c r="P761" s="17"/>
    </row>
    <row r="762">
      <c r="I762" s="16"/>
      <c r="J762" s="16"/>
      <c r="K762" s="16"/>
      <c r="L762" s="16"/>
      <c r="M762" s="17"/>
      <c r="N762" s="17"/>
      <c r="O762" s="17"/>
      <c r="P762" s="17"/>
    </row>
    <row r="763">
      <c r="I763" s="16"/>
      <c r="J763" s="16"/>
      <c r="K763" s="16"/>
      <c r="L763" s="16"/>
      <c r="M763" s="17"/>
      <c r="N763" s="17"/>
      <c r="O763" s="17"/>
      <c r="P763" s="17"/>
    </row>
    <row r="764">
      <c r="I764" s="16"/>
      <c r="J764" s="16"/>
      <c r="K764" s="16"/>
      <c r="L764" s="16"/>
      <c r="M764" s="17"/>
      <c r="N764" s="17"/>
      <c r="O764" s="17"/>
      <c r="P764" s="17"/>
    </row>
    <row r="765">
      <c r="I765" s="16"/>
      <c r="J765" s="16"/>
      <c r="K765" s="16"/>
      <c r="L765" s="16"/>
      <c r="M765" s="17"/>
      <c r="N765" s="17"/>
      <c r="O765" s="17"/>
      <c r="P765" s="17"/>
    </row>
    <row r="766">
      <c r="I766" s="16"/>
      <c r="J766" s="16"/>
      <c r="K766" s="16"/>
      <c r="L766" s="16"/>
      <c r="M766" s="17"/>
      <c r="N766" s="17"/>
      <c r="O766" s="17"/>
      <c r="P766" s="17"/>
    </row>
    <row r="767">
      <c r="I767" s="16"/>
      <c r="J767" s="16"/>
      <c r="K767" s="16"/>
      <c r="L767" s="16"/>
      <c r="M767" s="17"/>
      <c r="N767" s="17"/>
      <c r="O767" s="17"/>
      <c r="P767" s="17"/>
    </row>
    <row r="768">
      <c r="I768" s="16"/>
      <c r="J768" s="16"/>
      <c r="K768" s="16"/>
      <c r="L768" s="16"/>
      <c r="M768" s="17"/>
      <c r="N768" s="17"/>
      <c r="O768" s="17"/>
      <c r="P768" s="17"/>
    </row>
    <row r="769">
      <c r="I769" s="16"/>
      <c r="J769" s="16"/>
      <c r="K769" s="16"/>
      <c r="L769" s="16"/>
      <c r="M769" s="17"/>
      <c r="N769" s="17"/>
      <c r="O769" s="17"/>
      <c r="P769" s="17"/>
    </row>
    <row r="770">
      <c r="I770" s="16"/>
      <c r="J770" s="16"/>
      <c r="K770" s="16"/>
      <c r="L770" s="16"/>
      <c r="M770" s="17"/>
      <c r="N770" s="17"/>
      <c r="O770" s="17"/>
      <c r="P770" s="17"/>
    </row>
    <row r="771">
      <c r="I771" s="16"/>
      <c r="J771" s="16"/>
      <c r="K771" s="16"/>
      <c r="L771" s="16"/>
      <c r="M771" s="17"/>
      <c r="N771" s="17"/>
      <c r="O771" s="17"/>
      <c r="P771" s="17"/>
    </row>
    <row r="772">
      <c r="I772" s="16"/>
      <c r="J772" s="16"/>
      <c r="K772" s="16"/>
      <c r="L772" s="16"/>
      <c r="M772" s="17"/>
      <c r="N772" s="17"/>
      <c r="O772" s="17"/>
      <c r="P772" s="17"/>
    </row>
    <row r="773">
      <c r="I773" s="16"/>
      <c r="J773" s="16"/>
      <c r="K773" s="16"/>
      <c r="L773" s="16"/>
      <c r="M773" s="17"/>
      <c r="N773" s="17"/>
      <c r="O773" s="17"/>
      <c r="P773" s="17"/>
    </row>
    <row r="774">
      <c r="I774" s="16"/>
      <c r="J774" s="16"/>
      <c r="K774" s="16"/>
      <c r="L774" s="16"/>
      <c r="M774" s="17"/>
      <c r="N774" s="17"/>
      <c r="O774" s="17"/>
      <c r="P774" s="17"/>
    </row>
    <row r="775">
      <c r="I775" s="16"/>
      <c r="J775" s="16"/>
      <c r="K775" s="16"/>
      <c r="L775" s="16"/>
      <c r="M775" s="17"/>
      <c r="N775" s="17"/>
      <c r="O775" s="17"/>
      <c r="P775" s="17"/>
    </row>
    <row r="776">
      <c r="I776" s="16"/>
      <c r="J776" s="16"/>
      <c r="K776" s="16"/>
      <c r="L776" s="16"/>
      <c r="M776" s="17"/>
      <c r="N776" s="17"/>
      <c r="O776" s="17"/>
      <c r="P776" s="17"/>
    </row>
    <row r="777">
      <c r="I777" s="16"/>
      <c r="J777" s="16"/>
      <c r="K777" s="16"/>
      <c r="L777" s="16"/>
      <c r="M777" s="17"/>
      <c r="N777" s="17"/>
      <c r="O777" s="17"/>
      <c r="P777" s="17"/>
    </row>
    <row r="778">
      <c r="I778" s="16"/>
      <c r="J778" s="16"/>
      <c r="K778" s="16"/>
      <c r="L778" s="16"/>
      <c r="M778" s="17"/>
      <c r="N778" s="17"/>
      <c r="O778" s="17"/>
      <c r="P778" s="17"/>
    </row>
    <row r="779">
      <c r="I779" s="16"/>
      <c r="J779" s="16"/>
      <c r="K779" s="16"/>
      <c r="L779" s="16"/>
      <c r="M779" s="17"/>
      <c r="N779" s="17"/>
      <c r="O779" s="17"/>
      <c r="P779" s="17"/>
    </row>
    <row r="780">
      <c r="I780" s="16"/>
      <c r="J780" s="16"/>
      <c r="K780" s="16"/>
      <c r="L780" s="16"/>
      <c r="M780" s="17"/>
      <c r="N780" s="17"/>
      <c r="O780" s="17"/>
      <c r="P780" s="17"/>
    </row>
    <row r="781">
      <c r="I781" s="16"/>
      <c r="J781" s="16"/>
      <c r="K781" s="16"/>
      <c r="L781" s="16"/>
      <c r="M781" s="17"/>
      <c r="N781" s="17"/>
      <c r="O781" s="17"/>
      <c r="P781" s="17"/>
    </row>
    <row r="782">
      <c r="I782" s="16"/>
      <c r="J782" s="16"/>
      <c r="K782" s="16"/>
      <c r="L782" s="16"/>
      <c r="M782" s="17"/>
      <c r="N782" s="17"/>
      <c r="O782" s="17"/>
      <c r="P782" s="17"/>
    </row>
    <row r="783">
      <c r="I783" s="16"/>
      <c r="J783" s="16"/>
      <c r="K783" s="16"/>
      <c r="L783" s="16"/>
      <c r="M783" s="17"/>
      <c r="N783" s="17"/>
      <c r="O783" s="17"/>
      <c r="P783" s="17"/>
    </row>
    <row r="784">
      <c r="I784" s="16"/>
      <c r="J784" s="16"/>
      <c r="K784" s="16"/>
      <c r="L784" s="16"/>
      <c r="M784" s="17"/>
      <c r="N784" s="17"/>
      <c r="O784" s="17"/>
      <c r="P784" s="17"/>
    </row>
    <row r="785">
      <c r="I785" s="16"/>
      <c r="J785" s="16"/>
      <c r="K785" s="16"/>
      <c r="L785" s="16"/>
      <c r="M785" s="17"/>
      <c r="N785" s="17"/>
      <c r="O785" s="17"/>
      <c r="P785" s="17"/>
    </row>
    <row r="786">
      <c r="I786" s="16"/>
      <c r="J786" s="16"/>
      <c r="K786" s="16"/>
      <c r="L786" s="16"/>
      <c r="M786" s="17"/>
      <c r="N786" s="17"/>
      <c r="O786" s="17"/>
      <c r="P786" s="17"/>
    </row>
    <row r="787">
      <c r="I787" s="16"/>
      <c r="J787" s="16"/>
      <c r="K787" s="16"/>
      <c r="L787" s="16"/>
      <c r="M787" s="17"/>
      <c r="N787" s="17"/>
      <c r="O787" s="17"/>
      <c r="P787" s="17"/>
    </row>
    <row r="788">
      <c r="I788" s="16"/>
      <c r="J788" s="16"/>
      <c r="K788" s="16"/>
      <c r="L788" s="16"/>
      <c r="M788" s="17"/>
      <c r="N788" s="17"/>
      <c r="O788" s="17"/>
      <c r="P788" s="17"/>
    </row>
    <row r="789">
      <c r="I789" s="16"/>
      <c r="J789" s="16"/>
      <c r="K789" s="16"/>
      <c r="L789" s="16"/>
      <c r="M789" s="17"/>
      <c r="N789" s="17"/>
      <c r="O789" s="17"/>
      <c r="P789" s="17"/>
    </row>
    <row r="790">
      <c r="I790" s="16"/>
      <c r="J790" s="16"/>
      <c r="K790" s="16"/>
      <c r="L790" s="16"/>
      <c r="M790" s="17"/>
      <c r="N790" s="17"/>
      <c r="O790" s="17"/>
      <c r="P790" s="17"/>
    </row>
    <row r="791">
      <c r="I791" s="16"/>
      <c r="J791" s="16"/>
      <c r="K791" s="16"/>
      <c r="L791" s="16"/>
      <c r="M791" s="17"/>
      <c r="N791" s="17"/>
      <c r="O791" s="17"/>
      <c r="P791" s="17"/>
    </row>
    <row r="792">
      <c r="I792" s="16"/>
      <c r="J792" s="16"/>
      <c r="K792" s="16"/>
      <c r="L792" s="16"/>
      <c r="M792" s="17"/>
      <c r="N792" s="17"/>
      <c r="O792" s="17"/>
      <c r="P792" s="17"/>
    </row>
    <row r="793">
      <c r="I793" s="16"/>
      <c r="J793" s="16"/>
      <c r="K793" s="16"/>
      <c r="L793" s="16"/>
      <c r="M793" s="17"/>
      <c r="N793" s="17"/>
      <c r="O793" s="17"/>
      <c r="P793" s="17"/>
    </row>
    <row r="794">
      <c r="I794" s="16"/>
      <c r="J794" s="16"/>
      <c r="K794" s="16"/>
      <c r="L794" s="16"/>
      <c r="M794" s="17"/>
      <c r="N794" s="17"/>
      <c r="O794" s="17"/>
      <c r="P794" s="17"/>
    </row>
    <row r="795">
      <c r="I795" s="16"/>
      <c r="J795" s="16"/>
      <c r="K795" s="16"/>
      <c r="L795" s="16"/>
      <c r="M795" s="17"/>
      <c r="N795" s="17"/>
      <c r="O795" s="17"/>
      <c r="P795" s="17"/>
    </row>
    <row r="796">
      <c r="I796" s="16"/>
      <c r="J796" s="16"/>
      <c r="K796" s="16"/>
      <c r="L796" s="16"/>
      <c r="M796" s="17"/>
      <c r="N796" s="17"/>
      <c r="O796" s="17"/>
      <c r="P796" s="17"/>
    </row>
    <row r="797">
      <c r="I797" s="16"/>
      <c r="J797" s="16"/>
      <c r="K797" s="16"/>
      <c r="L797" s="16"/>
      <c r="M797" s="17"/>
      <c r="N797" s="17"/>
      <c r="O797" s="17"/>
      <c r="P797" s="17"/>
    </row>
    <row r="798">
      <c r="I798" s="16"/>
      <c r="J798" s="16"/>
      <c r="K798" s="16"/>
      <c r="L798" s="16"/>
      <c r="M798" s="17"/>
      <c r="N798" s="17"/>
      <c r="O798" s="17"/>
      <c r="P798" s="17"/>
    </row>
    <row r="799">
      <c r="I799" s="16"/>
      <c r="J799" s="16"/>
      <c r="K799" s="16"/>
      <c r="L799" s="16"/>
      <c r="M799" s="17"/>
      <c r="N799" s="17"/>
      <c r="O799" s="17"/>
      <c r="P799" s="17"/>
    </row>
    <row r="800">
      <c r="I800" s="16"/>
      <c r="J800" s="16"/>
      <c r="K800" s="16"/>
      <c r="L800" s="16"/>
      <c r="M800" s="17"/>
      <c r="N800" s="17"/>
      <c r="O800" s="17"/>
      <c r="P800" s="17"/>
    </row>
    <row r="801">
      <c r="I801" s="16"/>
      <c r="J801" s="16"/>
      <c r="K801" s="16"/>
      <c r="L801" s="16"/>
      <c r="M801" s="17"/>
      <c r="N801" s="17"/>
      <c r="O801" s="17"/>
      <c r="P801" s="17"/>
    </row>
    <row r="802">
      <c r="I802" s="16"/>
      <c r="J802" s="16"/>
      <c r="K802" s="16"/>
      <c r="L802" s="16"/>
      <c r="M802" s="17"/>
      <c r="N802" s="17"/>
      <c r="O802" s="17"/>
      <c r="P802" s="17"/>
    </row>
    <row r="803">
      <c r="I803" s="16"/>
      <c r="J803" s="16"/>
      <c r="K803" s="16"/>
      <c r="L803" s="16"/>
      <c r="M803" s="17"/>
      <c r="N803" s="17"/>
      <c r="O803" s="17"/>
      <c r="P803" s="17"/>
    </row>
    <row r="804">
      <c r="I804" s="16"/>
      <c r="J804" s="16"/>
      <c r="K804" s="16"/>
      <c r="L804" s="16"/>
      <c r="M804" s="17"/>
      <c r="N804" s="17"/>
      <c r="O804" s="17"/>
      <c r="P804" s="17"/>
    </row>
    <row r="805">
      <c r="I805" s="16"/>
      <c r="J805" s="16"/>
      <c r="K805" s="16"/>
      <c r="L805" s="16"/>
      <c r="M805" s="17"/>
      <c r="N805" s="17"/>
      <c r="O805" s="17"/>
      <c r="P805" s="17"/>
    </row>
    <row r="806">
      <c r="I806" s="16"/>
      <c r="J806" s="16"/>
      <c r="K806" s="16"/>
      <c r="L806" s="16"/>
      <c r="M806" s="17"/>
      <c r="N806" s="17"/>
      <c r="O806" s="17"/>
      <c r="P806" s="17"/>
    </row>
    <row r="807">
      <c r="I807" s="16"/>
      <c r="J807" s="16"/>
      <c r="K807" s="16"/>
      <c r="L807" s="16"/>
      <c r="M807" s="17"/>
      <c r="N807" s="17"/>
      <c r="O807" s="17"/>
      <c r="P807" s="17"/>
    </row>
    <row r="808">
      <c r="I808" s="16"/>
      <c r="J808" s="16"/>
      <c r="K808" s="16"/>
      <c r="L808" s="16"/>
      <c r="M808" s="17"/>
      <c r="N808" s="17"/>
      <c r="O808" s="17"/>
      <c r="P808" s="17"/>
    </row>
    <row r="809">
      <c r="I809" s="16"/>
      <c r="J809" s="16"/>
      <c r="K809" s="16"/>
      <c r="L809" s="16"/>
      <c r="M809" s="17"/>
      <c r="N809" s="17"/>
      <c r="O809" s="17"/>
      <c r="P809" s="17"/>
    </row>
    <row r="810">
      <c r="I810" s="16"/>
      <c r="J810" s="16"/>
      <c r="K810" s="16"/>
      <c r="L810" s="16"/>
      <c r="M810" s="17"/>
      <c r="N810" s="17"/>
      <c r="O810" s="17"/>
      <c r="P810" s="17"/>
    </row>
    <row r="811">
      <c r="I811" s="16"/>
      <c r="J811" s="16"/>
      <c r="K811" s="16"/>
      <c r="L811" s="16"/>
      <c r="M811" s="17"/>
      <c r="N811" s="17"/>
      <c r="O811" s="17"/>
      <c r="P811" s="17"/>
    </row>
    <row r="812">
      <c r="I812" s="16"/>
      <c r="J812" s="16"/>
      <c r="K812" s="16"/>
      <c r="L812" s="16"/>
      <c r="M812" s="17"/>
      <c r="N812" s="17"/>
      <c r="O812" s="17"/>
      <c r="P812" s="17"/>
    </row>
    <row r="813">
      <c r="I813" s="16"/>
      <c r="J813" s="16"/>
      <c r="K813" s="16"/>
      <c r="L813" s="16"/>
      <c r="M813" s="17"/>
      <c r="N813" s="17"/>
      <c r="O813" s="17"/>
      <c r="P813" s="17"/>
    </row>
    <row r="814">
      <c r="I814" s="16"/>
      <c r="J814" s="16"/>
      <c r="K814" s="16"/>
      <c r="L814" s="16"/>
      <c r="M814" s="17"/>
      <c r="N814" s="17"/>
      <c r="O814" s="17"/>
      <c r="P814" s="17"/>
    </row>
    <row r="815">
      <c r="I815" s="16"/>
      <c r="J815" s="16"/>
      <c r="K815" s="16"/>
      <c r="L815" s="16"/>
      <c r="M815" s="17"/>
      <c r="N815" s="17"/>
      <c r="O815" s="17"/>
      <c r="P815" s="17"/>
    </row>
    <row r="816">
      <c r="I816" s="16"/>
      <c r="J816" s="16"/>
      <c r="K816" s="16"/>
      <c r="L816" s="16"/>
      <c r="M816" s="17"/>
      <c r="N816" s="17"/>
      <c r="O816" s="17"/>
      <c r="P816" s="17"/>
    </row>
    <row r="817">
      <c r="I817" s="16"/>
      <c r="J817" s="16"/>
      <c r="K817" s="16"/>
      <c r="L817" s="16"/>
      <c r="M817" s="17"/>
      <c r="N817" s="17"/>
      <c r="O817" s="17"/>
      <c r="P817" s="17"/>
    </row>
    <row r="818">
      <c r="I818" s="16"/>
      <c r="J818" s="16"/>
      <c r="K818" s="16"/>
      <c r="L818" s="16"/>
      <c r="M818" s="17"/>
      <c r="N818" s="17"/>
      <c r="O818" s="17"/>
      <c r="P818" s="17"/>
    </row>
    <row r="819">
      <c r="I819" s="16"/>
      <c r="J819" s="16"/>
      <c r="K819" s="16"/>
      <c r="L819" s="16"/>
      <c r="M819" s="17"/>
      <c r="N819" s="17"/>
      <c r="O819" s="17"/>
      <c r="P819" s="17"/>
    </row>
    <row r="820">
      <c r="I820" s="16"/>
      <c r="J820" s="16"/>
      <c r="K820" s="16"/>
      <c r="L820" s="16"/>
      <c r="M820" s="17"/>
      <c r="N820" s="17"/>
      <c r="O820" s="17"/>
      <c r="P820" s="17"/>
    </row>
    <row r="821">
      <c r="I821" s="16"/>
      <c r="J821" s="16"/>
      <c r="K821" s="16"/>
      <c r="L821" s="16"/>
      <c r="M821" s="17"/>
      <c r="N821" s="17"/>
      <c r="O821" s="17"/>
      <c r="P821" s="17"/>
    </row>
    <row r="822">
      <c r="I822" s="16"/>
      <c r="J822" s="16"/>
      <c r="K822" s="16"/>
      <c r="L822" s="16"/>
      <c r="M822" s="17"/>
      <c r="N822" s="17"/>
      <c r="O822" s="17"/>
      <c r="P822" s="17"/>
    </row>
    <row r="823">
      <c r="I823" s="16"/>
      <c r="J823" s="16"/>
      <c r="K823" s="16"/>
      <c r="L823" s="16"/>
      <c r="M823" s="17"/>
      <c r="N823" s="17"/>
      <c r="O823" s="17"/>
      <c r="P823" s="17"/>
    </row>
    <row r="824">
      <c r="I824" s="16"/>
      <c r="J824" s="16"/>
      <c r="K824" s="16"/>
      <c r="L824" s="16"/>
      <c r="M824" s="17"/>
      <c r="N824" s="17"/>
      <c r="O824" s="17"/>
      <c r="P824" s="17"/>
    </row>
    <row r="825">
      <c r="I825" s="16"/>
      <c r="J825" s="16"/>
      <c r="K825" s="16"/>
      <c r="L825" s="16"/>
      <c r="M825" s="17"/>
      <c r="N825" s="17"/>
      <c r="O825" s="17"/>
      <c r="P825" s="17"/>
    </row>
    <row r="826">
      <c r="I826" s="16"/>
      <c r="J826" s="16"/>
      <c r="K826" s="16"/>
      <c r="L826" s="16"/>
      <c r="M826" s="17"/>
      <c r="N826" s="17"/>
      <c r="O826" s="17"/>
      <c r="P826" s="17"/>
    </row>
    <row r="827">
      <c r="I827" s="16"/>
      <c r="J827" s="16"/>
      <c r="K827" s="16"/>
      <c r="L827" s="16"/>
      <c r="M827" s="17"/>
      <c r="N827" s="17"/>
      <c r="O827" s="17"/>
      <c r="P827" s="17"/>
    </row>
    <row r="828">
      <c r="I828" s="16"/>
      <c r="J828" s="16"/>
      <c r="K828" s="16"/>
      <c r="L828" s="16"/>
      <c r="M828" s="17"/>
      <c r="N828" s="17"/>
      <c r="O828" s="17"/>
      <c r="P828" s="17"/>
    </row>
    <row r="829">
      <c r="I829" s="16"/>
      <c r="J829" s="16"/>
      <c r="K829" s="16"/>
      <c r="L829" s="16"/>
      <c r="M829" s="17"/>
      <c r="N829" s="17"/>
      <c r="O829" s="17"/>
      <c r="P829" s="17"/>
    </row>
    <row r="830">
      <c r="I830" s="16"/>
      <c r="J830" s="16"/>
      <c r="K830" s="16"/>
      <c r="L830" s="16"/>
      <c r="M830" s="17"/>
      <c r="N830" s="17"/>
      <c r="O830" s="17"/>
      <c r="P830" s="17"/>
    </row>
    <row r="831">
      <c r="I831" s="16"/>
      <c r="J831" s="16"/>
      <c r="K831" s="16"/>
      <c r="L831" s="16"/>
      <c r="M831" s="17"/>
      <c r="N831" s="17"/>
      <c r="O831" s="17"/>
      <c r="P831" s="17"/>
    </row>
    <row r="832">
      <c r="I832" s="16"/>
      <c r="J832" s="16"/>
      <c r="K832" s="16"/>
      <c r="L832" s="16"/>
      <c r="M832" s="17"/>
      <c r="N832" s="17"/>
      <c r="O832" s="17"/>
      <c r="P832" s="17"/>
    </row>
    <row r="833">
      <c r="I833" s="16"/>
      <c r="J833" s="16"/>
      <c r="K833" s="16"/>
      <c r="L833" s="16"/>
      <c r="M833" s="17"/>
      <c r="N833" s="17"/>
      <c r="O833" s="17"/>
      <c r="P833" s="17"/>
    </row>
    <row r="834">
      <c r="I834" s="16"/>
      <c r="J834" s="16"/>
      <c r="K834" s="16"/>
      <c r="L834" s="16"/>
      <c r="M834" s="17"/>
      <c r="N834" s="17"/>
      <c r="O834" s="17"/>
      <c r="P834" s="17"/>
    </row>
    <row r="835">
      <c r="I835" s="16"/>
      <c r="J835" s="16"/>
      <c r="K835" s="16"/>
      <c r="L835" s="16"/>
      <c r="M835" s="17"/>
      <c r="N835" s="17"/>
      <c r="O835" s="17"/>
      <c r="P835" s="17"/>
    </row>
    <row r="836">
      <c r="I836" s="16"/>
      <c r="J836" s="16"/>
      <c r="K836" s="16"/>
      <c r="L836" s="16"/>
      <c r="M836" s="17"/>
      <c r="N836" s="17"/>
      <c r="O836" s="17"/>
      <c r="P836" s="17"/>
    </row>
    <row r="837">
      <c r="I837" s="16"/>
      <c r="J837" s="16"/>
      <c r="K837" s="16"/>
      <c r="L837" s="16"/>
      <c r="M837" s="17"/>
      <c r="N837" s="17"/>
      <c r="O837" s="17"/>
      <c r="P837" s="17"/>
    </row>
    <row r="838">
      <c r="I838" s="16"/>
      <c r="J838" s="16"/>
      <c r="K838" s="16"/>
      <c r="L838" s="16"/>
      <c r="M838" s="17"/>
      <c r="N838" s="17"/>
      <c r="O838" s="17"/>
      <c r="P838" s="17"/>
    </row>
    <row r="839">
      <c r="I839" s="16"/>
      <c r="J839" s="16"/>
      <c r="K839" s="16"/>
      <c r="L839" s="16"/>
      <c r="M839" s="17"/>
      <c r="N839" s="17"/>
      <c r="O839" s="17"/>
      <c r="P839" s="17"/>
    </row>
    <row r="840">
      <c r="I840" s="16"/>
      <c r="J840" s="16"/>
      <c r="K840" s="16"/>
      <c r="L840" s="16"/>
      <c r="M840" s="17"/>
      <c r="N840" s="17"/>
      <c r="O840" s="17"/>
      <c r="P840" s="17"/>
    </row>
    <row r="841">
      <c r="I841" s="16"/>
      <c r="J841" s="16"/>
      <c r="K841" s="16"/>
      <c r="L841" s="16"/>
      <c r="M841" s="17"/>
      <c r="N841" s="17"/>
      <c r="O841" s="17"/>
      <c r="P841" s="17"/>
    </row>
    <row r="842">
      <c r="I842" s="16"/>
      <c r="J842" s="16"/>
      <c r="K842" s="16"/>
      <c r="L842" s="16"/>
      <c r="M842" s="17"/>
      <c r="N842" s="17"/>
      <c r="O842" s="17"/>
      <c r="P842" s="17"/>
    </row>
    <row r="843">
      <c r="I843" s="16"/>
      <c r="J843" s="16"/>
      <c r="K843" s="16"/>
      <c r="L843" s="16"/>
      <c r="M843" s="17"/>
      <c r="N843" s="17"/>
      <c r="O843" s="17"/>
      <c r="P843" s="17"/>
    </row>
    <row r="844">
      <c r="I844" s="16"/>
      <c r="J844" s="16"/>
      <c r="K844" s="16"/>
      <c r="L844" s="16"/>
      <c r="M844" s="17"/>
      <c r="N844" s="17"/>
      <c r="O844" s="17"/>
      <c r="P844" s="17"/>
    </row>
    <row r="845">
      <c r="I845" s="16"/>
      <c r="J845" s="16"/>
      <c r="K845" s="16"/>
      <c r="L845" s="16"/>
      <c r="M845" s="17"/>
      <c r="N845" s="17"/>
      <c r="O845" s="17"/>
      <c r="P845" s="17"/>
    </row>
    <row r="846">
      <c r="I846" s="16"/>
      <c r="J846" s="16"/>
      <c r="K846" s="16"/>
      <c r="L846" s="16"/>
      <c r="M846" s="17"/>
      <c r="N846" s="17"/>
      <c r="O846" s="17"/>
      <c r="P846" s="17"/>
    </row>
    <row r="847">
      <c r="I847" s="16"/>
      <c r="J847" s="16"/>
      <c r="K847" s="16"/>
      <c r="L847" s="16"/>
      <c r="M847" s="17"/>
      <c r="N847" s="17"/>
      <c r="O847" s="17"/>
      <c r="P847" s="17"/>
    </row>
    <row r="848">
      <c r="I848" s="16"/>
      <c r="J848" s="16"/>
      <c r="K848" s="16"/>
      <c r="L848" s="16"/>
      <c r="M848" s="17"/>
      <c r="N848" s="17"/>
      <c r="O848" s="17"/>
      <c r="P848" s="17"/>
    </row>
    <row r="849">
      <c r="I849" s="16"/>
      <c r="J849" s="16"/>
      <c r="K849" s="16"/>
      <c r="L849" s="16"/>
      <c r="M849" s="17"/>
      <c r="N849" s="17"/>
      <c r="O849" s="17"/>
      <c r="P849" s="17"/>
    </row>
    <row r="850">
      <c r="I850" s="16"/>
      <c r="J850" s="16"/>
      <c r="K850" s="16"/>
      <c r="L850" s="16"/>
      <c r="M850" s="17"/>
      <c r="N850" s="17"/>
      <c r="O850" s="17"/>
      <c r="P850" s="17"/>
    </row>
    <row r="851">
      <c r="I851" s="16"/>
      <c r="J851" s="16"/>
      <c r="K851" s="16"/>
      <c r="L851" s="16"/>
      <c r="M851" s="17"/>
      <c r="N851" s="17"/>
      <c r="O851" s="17"/>
      <c r="P851" s="17"/>
    </row>
    <row r="852">
      <c r="I852" s="16"/>
      <c r="J852" s="16"/>
      <c r="K852" s="16"/>
      <c r="L852" s="16"/>
      <c r="M852" s="17"/>
      <c r="N852" s="17"/>
      <c r="O852" s="17"/>
      <c r="P852" s="17"/>
    </row>
    <row r="853">
      <c r="I853" s="16"/>
      <c r="J853" s="16"/>
      <c r="K853" s="16"/>
      <c r="L853" s="16"/>
      <c r="M853" s="17"/>
      <c r="N853" s="17"/>
      <c r="O853" s="17"/>
      <c r="P853" s="17"/>
    </row>
    <row r="854">
      <c r="I854" s="16"/>
      <c r="J854" s="16"/>
      <c r="K854" s="16"/>
      <c r="L854" s="16"/>
      <c r="M854" s="17"/>
      <c r="N854" s="17"/>
      <c r="O854" s="17"/>
      <c r="P854" s="17"/>
    </row>
    <row r="855">
      <c r="I855" s="16"/>
      <c r="J855" s="16"/>
      <c r="K855" s="16"/>
      <c r="L855" s="16"/>
      <c r="M855" s="17"/>
      <c r="N855" s="17"/>
      <c r="O855" s="17"/>
      <c r="P855" s="17"/>
    </row>
    <row r="856">
      <c r="I856" s="16"/>
      <c r="J856" s="16"/>
      <c r="K856" s="16"/>
      <c r="L856" s="16"/>
      <c r="M856" s="17"/>
      <c r="N856" s="17"/>
      <c r="O856" s="17"/>
      <c r="P856" s="17"/>
    </row>
    <row r="857">
      <c r="I857" s="16"/>
      <c r="J857" s="16"/>
      <c r="K857" s="16"/>
      <c r="L857" s="16"/>
      <c r="M857" s="17"/>
      <c r="N857" s="17"/>
      <c r="O857" s="17"/>
      <c r="P857" s="17"/>
    </row>
    <row r="858">
      <c r="I858" s="16"/>
      <c r="J858" s="16"/>
      <c r="K858" s="16"/>
      <c r="L858" s="16"/>
      <c r="M858" s="17"/>
      <c r="N858" s="17"/>
      <c r="O858" s="17"/>
      <c r="P858" s="17"/>
    </row>
    <row r="859">
      <c r="I859" s="16"/>
      <c r="J859" s="16"/>
      <c r="K859" s="16"/>
      <c r="L859" s="16"/>
      <c r="M859" s="17"/>
      <c r="N859" s="17"/>
      <c r="O859" s="17"/>
      <c r="P859" s="17"/>
    </row>
    <row r="860">
      <c r="I860" s="16"/>
      <c r="J860" s="16"/>
      <c r="K860" s="16"/>
      <c r="L860" s="16"/>
      <c r="M860" s="17"/>
      <c r="N860" s="17"/>
      <c r="O860" s="17"/>
      <c r="P860" s="17"/>
    </row>
    <row r="861">
      <c r="I861" s="16"/>
      <c r="J861" s="16"/>
      <c r="K861" s="16"/>
      <c r="L861" s="16"/>
      <c r="M861" s="17"/>
      <c r="N861" s="17"/>
      <c r="O861" s="17"/>
      <c r="P861" s="17"/>
    </row>
    <row r="862">
      <c r="I862" s="16"/>
      <c r="J862" s="16"/>
      <c r="K862" s="16"/>
      <c r="L862" s="16"/>
      <c r="M862" s="17"/>
      <c r="N862" s="17"/>
      <c r="O862" s="17"/>
      <c r="P862" s="17"/>
    </row>
    <row r="863">
      <c r="I863" s="16"/>
      <c r="J863" s="16"/>
      <c r="K863" s="16"/>
      <c r="L863" s="16"/>
      <c r="M863" s="17"/>
      <c r="N863" s="17"/>
      <c r="O863" s="17"/>
      <c r="P863" s="17"/>
    </row>
    <row r="864">
      <c r="I864" s="16"/>
      <c r="J864" s="16"/>
      <c r="K864" s="16"/>
      <c r="L864" s="16"/>
      <c r="M864" s="17"/>
      <c r="N864" s="17"/>
      <c r="O864" s="17"/>
      <c r="P864" s="17"/>
    </row>
    <row r="865">
      <c r="I865" s="16"/>
      <c r="J865" s="16"/>
      <c r="K865" s="16"/>
      <c r="L865" s="16"/>
      <c r="M865" s="17"/>
      <c r="N865" s="17"/>
      <c r="O865" s="17"/>
      <c r="P865" s="17"/>
    </row>
    <row r="866">
      <c r="I866" s="16"/>
      <c r="J866" s="16"/>
      <c r="K866" s="16"/>
      <c r="L866" s="16"/>
      <c r="M866" s="17"/>
      <c r="N866" s="17"/>
      <c r="O866" s="17"/>
      <c r="P866" s="17"/>
    </row>
    <row r="867">
      <c r="I867" s="16"/>
      <c r="J867" s="16"/>
      <c r="K867" s="16"/>
      <c r="L867" s="16"/>
      <c r="M867" s="17"/>
      <c r="N867" s="17"/>
      <c r="O867" s="17"/>
      <c r="P867" s="17"/>
    </row>
    <row r="868">
      <c r="I868" s="16"/>
      <c r="J868" s="16"/>
      <c r="K868" s="16"/>
      <c r="L868" s="16"/>
      <c r="M868" s="17"/>
      <c r="N868" s="17"/>
      <c r="O868" s="17"/>
      <c r="P868" s="17"/>
    </row>
    <row r="869">
      <c r="I869" s="16"/>
      <c r="J869" s="16"/>
      <c r="K869" s="16"/>
      <c r="L869" s="16"/>
      <c r="M869" s="17"/>
      <c r="N869" s="17"/>
      <c r="O869" s="17"/>
      <c r="P869" s="17"/>
    </row>
    <row r="870">
      <c r="I870" s="16"/>
      <c r="J870" s="16"/>
      <c r="K870" s="16"/>
      <c r="L870" s="16"/>
      <c r="M870" s="17"/>
      <c r="N870" s="17"/>
      <c r="O870" s="17"/>
      <c r="P870" s="17"/>
    </row>
    <row r="871">
      <c r="I871" s="16"/>
      <c r="J871" s="16"/>
      <c r="K871" s="16"/>
      <c r="L871" s="16"/>
      <c r="M871" s="17"/>
      <c r="N871" s="17"/>
      <c r="O871" s="17"/>
      <c r="P871" s="17"/>
    </row>
    <row r="872">
      <c r="I872" s="16"/>
      <c r="J872" s="16"/>
      <c r="K872" s="16"/>
      <c r="L872" s="16"/>
      <c r="M872" s="17"/>
      <c r="N872" s="17"/>
      <c r="O872" s="17"/>
      <c r="P872" s="17"/>
    </row>
    <row r="873">
      <c r="I873" s="16"/>
      <c r="J873" s="16"/>
      <c r="K873" s="16"/>
      <c r="L873" s="16"/>
      <c r="M873" s="17"/>
      <c r="N873" s="17"/>
      <c r="O873" s="17"/>
      <c r="P873" s="17"/>
    </row>
    <row r="874">
      <c r="I874" s="16"/>
      <c r="J874" s="16"/>
      <c r="K874" s="16"/>
      <c r="L874" s="16"/>
      <c r="M874" s="17"/>
      <c r="N874" s="17"/>
      <c r="O874" s="17"/>
      <c r="P874" s="17"/>
    </row>
    <row r="875">
      <c r="I875" s="16"/>
      <c r="J875" s="16"/>
      <c r="K875" s="16"/>
      <c r="L875" s="16"/>
      <c r="M875" s="17"/>
      <c r="N875" s="17"/>
      <c r="O875" s="17"/>
      <c r="P875" s="17"/>
    </row>
    <row r="876">
      <c r="I876" s="16"/>
      <c r="J876" s="16"/>
      <c r="K876" s="16"/>
      <c r="L876" s="16"/>
      <c r="M876" s="17"/>
      <c r="N876" s="17"/>
      <c r="O876" s="17"/>
      <c r="P876" s="17"/>
    </row>
    <row r="877">
      <c r="I877" s="16"/>
      <c r="J877" s="16"/>
      <c r="K877" s="16"/>
      <c r="L877" s="16"/>
      <c r="M877" s="17"/>
      <c r="N877" s="17"/>
      <c r="O877" s="17"/>
      <c r="P877" s="17"/>
    </row>
    <row r="878">
      <c r="I878" s="16"/>
      <c r="J878" s="16"/>
      <c r="K878" s="16"/>
      <c r="L878" s="16"/>
      <c r="M878" s="17"/>
      <c r="N878" s="17"/>
      <c r="O878" s="17"/>
      <c r="P878" s="17"/>
    </row>
    <row r="879">
      <c r="I879" s="16"/>
      <c r="J879" s="16"/>
      <c r="K879" s="16"/>
      <c r="L879" s="16"/>
      <c r="M879" s="17"/>
      <c r="N879" s="17"/>
      <c r="O879" s="17"/>
      <c r="P879" s="17"/>
    </row>
    <row r="880">
      <c r="I880" s="16"/>
      <c r="J880" s="16"/>
      <c r="K880" s="16"/>
      <c r="L880" s="16"/>
      <c r="M880" s="17"/>
      <c r="N880" s="17"/>
      <c r="O880" s="17"/>
      <c r="P880" s="17"/>
    </row>
    <row r="881">
      <c r="I881" s="16"/>
      <c r="J881" s="16"/>
      <c r="K881" s="16"/>
      <c r="L881" s="16"/>
      <c r="M881" s="17"/>
      <c r="N881" s="17"/>
      <c r="O881" s="17"/>
      <c r="P881" s="17"/>
    </row>
    <row r="882">
      <c r="I882" s="16"/>
      <c r="J882" s="16"/>
      <c r="K882" s="16"/>
      <c r="L882" s="16"/>
      <c r="M882" s="17"/>
      <c r="N882" s="17"/>
      <c r="O882" s="17"/>
      <c r="P882" s="17"/>
    </row>
    <row r="883">
      <c r="I883" s="16"/>
      <c r="J883" s="16"/>
      <c r="K883" s="16"/>
      <c r="L883" s="16"/>
      <c r="M883" s="17"/>
      <c r="N883" s="17"/>
      <c r="O883" s="17"/>
      <c r="P883" s="17"/>
    </row>
    <row r="884">
      <c r="I884" s="16"/>
      <c r="J884" s="16"/>
      <c r="K884" s="16"/>
      <c r="L884" s="16"/>
      <c r="M884" s="17"/>
      <c r="N884" s="17"/>
      <c r="O884" s="17"/>
      <c r="P884" s="17"/>
    </row>
    <row r="885">
      <c r="I885" s="16"/>
      <c r="J885" s="16"/>
      <c r="K885" s="16"/>
      <c r="L885" s="16"/>
      <c r="M885" s="17"/>
      <c r="N885" s="17"/>
      <c r="O885" s="17"/>
      <c r="P885" s="17"/>
    </row>
    <row r="886">
      <c r="I886" s="16"/>
      <c r="J886" s="16"/>
      <c r="K886" s="16"/>
      <c r="L886" s="16"/>
      <c r="M886" s="17"/>
      <c r="N886" s="17"/>
      <c r="O886" s="17"/>
      <c r="P886" s="17"/>
    </row>
    <row r="887">
      <c r="I887" s="16"/>
      <c r="J887" s="16"/>
      <c r="K887" s="16"/>
      <c r="L887" s="16"/>
      <c r="M887" s="17"/>
      <c r="N887" s="17"/>
      <c r="O887" s="17"/>
      <c r="P887" s="17"/>
    </row>
    <row r="888">
      <c r="I888" s="16"/>
      <c r="J888" s="16"/>
      <c r="K888" s="16"/>
      <c r="L888" s="16"/>
      <c r="M888" s="17"/>
      <c r="N888" s="17"/>
      <c r="O888" s="17"/>
      <c r="P888" s="17"/>
    </row>
    <row r="889">
      <c r="I889" s="16"/>
      <c r="J889" s="16"/>
      <c r="K889" s="16"/>
      <c r="L889" s="16"/>
      <c r="M889" s="17"/>
      <c r="N889" s="17"/>
      <c r="O889" s="17"/>
      <c r="P889" s="17"/>
    </row>
    <row r="890">
      <c r="I890" s="16"/>
      <c r="J890" s="16"/>
      <c r="K890" s="16"/>
      <c r="L890" s="16"/>
      <c r="M890" s="17"/>
      <c r="N890" s="17"/>
      <c r="O890" s="17"/>
      <c r="P890" s="17"/>
    </row>
    <row r="891">
      <c r="I891" s="16"/>
      <c r="J891" s="16"/>
      <c r="K891" s="16"/>
      <c r="L891" s="16"/>
      <c r="M891" s="17"/>
      <c r="N891" s="17"/>
      <c r="O891" s="17"/>
      <c r="P891" s="17"/>
    </row>
    <row r="892">
      <c r="I892" s="16"/>
      <c r="J892" s="16"/>
      <c r="K892" s="16"/>
      <c r="L892" s="16"/>
      <c r="M892" s="17"/>
      <c r="N892" s="17"/>
      <c r="O892" s="17"/>
      <c r="P892" s="17"/>
    </row>
    <row r="893">
      <c r="I893" s="16"/>
      <c r="J893" s="16"/>
      <c r="K893" s="16"/>
      <c r="L893" s="16"/>
      <c r="M893" s="17"/>
      <c r="N893" s="17"/>
      <c r="O893" s="17"/>
      <c r="P893" s="17"/>
    </row>
    <row r="894">
      <c r="I894" s="16"/>
      <c r="J894" s="16"/>
      <c r="K894" s="16"/>
      <c r="L894" s="16"/>
      <c r="M894" s="17"/>
      <c r="N894" s="17"/>
      <c r="O894" s="17"/>
      <c r="P894" s="17"/>
    </row>
    <row r="895">
      <c r="I895" s="16"/>
      <c r="J895" s="16"/>
      <c r="K895" s="16"/>
      <c r="L895" s="16"/>
      <c r="M895" s="17"/>
      <c r="N895" s="17"/>
      <c r="O895" s="17"/>
      <c r="P895" s="17"/>
    </row>
    <row r="896">
      <c r="I896" s="16"/>
      <c r="J896" s="16"/>
      <c r="K896" s="16"/>
      <c r="L896" s="16"/>
      <c r="M896" s="17"/>
      <c r="N896" s="17"/>
      <c r="O896" s="17"/>
      <c r="P896" s="17"/>
    </row>
    <row r="897">
      <c r="I897" s="16"/>
      <c r="J897" s="16"/>
      <c r="K897" s="16"/>
      <c r="L897" s="16"/>
      <c r="M897" s="17"/>
      <c r="N897" s="17"/>
      <c r="O897" s="17"/>
      <c r="P897" s="17"/>
    </row>
    <row r="898">
      <c r="I898" s="16"/>
      <c r="J898" s="16"/>
      <c r="K898" s="16"/>
      <c r="L898" s="16"/>
      <c r="M898" s="17"/>
      <c r="N898" s="17"/>
      <c r="O898" s="17"/>
      <c r="P898" s="17"/>
    </row>
    <row r="899">
      <c r="I899" s="16"/>
      <c r="J899" s="16"/>
      <c r="K899" s="16"/>
      <c r="L899" s="16"/>
      <c r="M899" s="17"/>
      <c r="N899" s="17"/>
      <c r="O899" s="17"/>
      <c r="P899" s="17"/>
    </row>
    <row r="900">
      <c r="I900" s="16"/>
      <c r="J900" s="16"/>
      <c r="K900" s="16"/>
      <c r="L900" s="16"/>
      <c r="M900" s="17"/>
      <c r="N900" s="17"/>
      <c r="O900" s="17"/>
      <c r="P900" s="17"/>
    </row>
    <row r="901">
      <c r="I901" s="16"/>
      <c r="J901" s="16"/>
      <c r="K901" s="16"/>
      <c r="L901" s="16"/>
      <c r="M901" s="17"/>
      <c r="N901" s="17"/>
      <c r="O901" s="17"/>
      <c r="P901" s="17"/>
    </row>
    <row r="902">
      <c r="I902" s="16"/>
      <c r="J902" s="16"/>
      <c r="K902" s="16"/>
      <c r="L902" s="16"/>
      <c r="M902" s="17"/>
      <c r="N902" s="17"/>
      <c r="O902" s="17"/>
      <c r="P902" s="17"/>
    </row>
    <row r="903">
      <c r="I903" s="16"/>
      <c r="J903" s="16"/>
      <c r="K903" s="16"/>
      <c r="L903" s="16"/>
      <c r="M903" s="17"/>
      <c r="N903" s="17"/>
      <c r="O903" s="17"/>
      <c r="P903" s="17"/>
    </row>
    <row r="904">
      <c r="I904" s="16"/>
      <c r="J904" s="16"/>
      <c r="K904" s="16"/>
      <c r="L904" s="16"/>
      <c r="M904" s="17"/>
      <c r="N904" s="17"/>
      <c r="O904" s="17"/>
      <c r="P904" s="17"/>
    </row>
    <row r="905">
      <c r="I905" s="16"/>
      <c r="J905" s="16"/>
      <c r="K905" s="16"/>
      <c r="L905" s="16"/>
      <c r="M905" s="17"/>
      <c r="N905" s="17"/>
      <c r="O905" s="17"/>
      <c r="P905" s="17"/>
    </row>
    <row r="906">
      <c r="I906" s="16"/>
      <c r="J906" s="16"/>
      <c r="K906" s="16"/>
      <c r="L906" s="16"/>
      <c r="M906" s="17"/>
      <c r="N906" s="17"/>
      <c r="O906" s="17"/>
      <c r="P906" s="17"/>
    </row>
    <row r="907">
      <c r="I907" s="16"/>
      <c r="J907" s="16"/>
      <c r="K907" s="16"/>
      <c r="L907" s="16"/>
      <c r="M907" s="17"/>
      <c r="N907" s="17"/>
      <c r="O907" s="17"/>
      <c r="P907" s="17"/>
    </row>
    <row r="908">
      <c r="I908" s="16"/>
      <c r="J908" s="16"/>
      <c r="K908" s="16"/>
      <c r="L908" s="16"/>
      <c r="M908" s="17"/>
      <c r="N908" s="17"/>
      <c r="O908" s="17"/>
      <c r="P908" s="17"/>
    </row>
    <row r="909">
      <c r="I909" s="16"/>
      <c r="J909" s="16"/>
      <c r="K909" s="16"/>
      <c r="L909" s="16"/>
      <c r="M909" s="17"/>
      <c r="N909" s="17"/>
      <c r="O909" s="17"/>
      <c r="P909" s="17"/>
    </row>
    <row r="910">
      <c r="I910" s="16"/>
      <c r="J910" s="16"/>
      <c r="K910" s="16"/>
      <c r="L910" s="16"/>
      <c r="M910" s="17"/>
      <c r="N910" s="17"/>
      <c r="O910" s="17"/>
      <c r="P910" s="17"/>
    </row>
    <row r="911">
      <c r="I911" s="16"/>
      <c r="J911" s="16"/>
      <c r="K911" s="16"/>
      <c r="L911" s="16"/>
      <c r="M911" s="17"/>
      <c r="N911" s="17"/>
      <c r="O911" s="17"/>
      <c r="P911" s="17"/>
    </row>
    <row r="912">
      <c r="I912" s="16"/>
      <c r="J912" s="16"/>
      <c r="K912" s="16"/>
      <c r="L912" s="16"/>
      <c r="M912" s="17"/>
      <c r="N912" s="17"/>
      <c r="O912" s="17"/>
      <c r="P912" s="17"/>
    </row>
    <row r="913">
      <c r="I913" s="16"/>
      <c r="J913" s="16"/>
      <c r="K913" s="16"/>
      <c r="L913" s="16"/>
      <c r="M913" s="17"/>
      <c r="N913" s="17"/>
      <c r="O913" s="17"/>
      <c r="P913" s="17"/>
    </row>
    <row r="914">
      <c r="I914" s="16"/>
      <c r="J914" s="16"/>
      <c r="K914" s="16"/>
      <c r="L914" s="16"/>
      <c r="M914" s="17"/>
      <c r="N914" s="17"/>
      <c r="O914" s="17"/>
      <c r="P914" s="17"/>
    </row>
    <row r="915">
      <c r="I915" s="16"/>
      <c r="J915" s="16"/>
      <c r="K915" s="16"/>
      <c r="L915" s="16"/>
      <c r="M915" s="17"/>
      <c r="N915" s="17"/>
      <c r="O915" s="17"/>
      <c r="P915" s="17"/>
    </row>
    <row r="916">
      <c r="I916" s="16"/>
      <c r="J916" s="16"/>
      <c r="K916" s="16"/>
      <c r="L916" s="16"/>
      <c r="M916" s="17"/>
      <c r="N916" s="17"/>
      <c r="O916" s="17"/>
      <c r="P916" s="17"/>
    </row>
    <row r="917">
      <c r="I917" s="16"/>
      <c r="J917" s="16"/>
      <c r="K917" s="16"/>
      <c r="L917" s="16"/>
      <c r="M917" s="17"/>
      <c r="N917" s="17"/>
      <c r="O917" s="17"/>
      <c r="P917" s="17"/>
    </row>
    <row r="918">
      <c r="I918" s="16"/>
      <c r="J918" s="16"/>
      <c r="K918" s="16"/>
      <c r="L918" s="16"/>
      <c r="M918" s="17"/>
      <c r="N918" s="17"/>
      <c r="O918" s="17"/>
      <c r="P918" s="17"/>
    </row>
    <row r="919">
      <c r="I919" s="16"/>
      <c r="J919" s="16"/>
      <c r="K919" s="16"/>
      <c r="L919" s="16"/>
      <c r="M919" s="17"/>
      <c r="N919" s="17"/>
      <c r="O919" s="17"/>
      <c r="P919" s="17"/>
    </row>
    <row r="920">
      <c r="I920" s="16"/>
      <c r="J920" s="16"/>
      <c r="K920" s="16"/>
      <c r="L920" s="16"/>
      <c r="M920" s="17"/>
      <c r="N920" s="17"/>
      <c r="O920" s="17"/>
      <c r="P920" s="17"/>
    </row>
    <row r="921">
      <c r="I921" s="16"/>
      <c r="J921" s="16"/>
      <c r="K921" s="16"/>
      <c r="L921" s="16"/>
      <c r="M921" s="17"/>
      <c r="N921" s="17"/>
      <c r="O921" s="17"/>
      <c r="P921" s="17"/>
    </row>
    <row r="922">
      <c r="I922" s="16"/>
      <c r="J922" s="16"/>
      <c r="K922" s="16"/>
      <c r="L922" s="16"/>
      <c r="M922" s="17"/>
      <c r="N922" s="17"/>
      <c r="O922" s="17"/>
      <c r="P922" s="17"/>
    </row>
    <row r="923">
      <c r="I923" s="16"/>
      <c r="J923" s="16"/>
      <c r="K923" s="16"/>
      <c r="L923" s="16"/>
      <c r="M923" s="17"/>
      <c r="N923" s="17"/>
      <c r="O923" s="17"/>
      <c r="P923" s="17"/>
    </row>
    <row r="924">
      <c r="I924" s="16"/>
      <c r="J924" s="16"/>
      <c r="K924" s="16"/>
      <c r="L924" s="16"/>
      <c r="M924" s="17"/>
      <c r="N924" s="17"/>
      <c r="O924" s="17"/>
      <c r="P924" s="17"/>
    </row>
    <row r="925">
      <c r="I925" s="16"/>
      <c r="J925" s="16"/>
      <c r="K925" s="16"/>
      <c r="L925" s="16"/>
      <c r="M925" s="17"/>
      <c r="N925" s="17"/>
      <c r="O925" s="17"/>
      <c r="P925" s="17"/>
    </row>
    <row r="926">
      <c r="I926" s="16"/>
      <c r="J926" s="16"/>
      <c r="K926" s="16"/>
      <c r="L926" s="16"/>
      <c r="M926" s="17"/>
      <c r="N926" s="17"/>
      <c r="O926" s="17"/>
      <c r="P926" s="17"/>
    </row>
    <row r="927">
      <c r="I927" s="16"/>
      <c r="J927" s="16"/>
      <c r="K927" s="16"/>
      <c r="L927" s="16"/>
      <c r="M927" s="17"/>
      <c r="N927" s="17"/>
      <c r="O927" s="17"/>
      <c r="P927" s="17"/>
    </row>
    <row r="928">
      <c r="I928" s="16"/>
      <c r="J928" s="16"/>
      <c r="K928" s="16"/>
      <c r="L928" s="16"/>
      <c r="M928" s="17"/>
      <c r="N928" s="17"/>
      <c r="O928" s="17"/>
      <c r="P928" s="17"/>
    </row>
    <row r="929">
      <c r="I929" s="16"/>
      <c r="J929" s="16"/>
      <c r="K929" s="16"/>
      <c r="L929" s="16"/>
      <c r="M929" s="17"/>
      <c r="N929" s="17"/>
      <c r="O929" s="17"/>
      <c r="P929" s="17"/>
    </row>
    <row r="930">
      <c r="I930" s="16"/>
      <c r="J930" s="16"/>
      <c r="K930" s="16"/>
      <c r="L930" s="16"/>
      <c r="M930" s="17"/>
      <c r="N930" s="17"/>
      <c r="O930" s="17"/>
      <c r="P930" s="17"/>
    </row>
    <row r="931">
      <c r="I931" s="16"/>
      <c r="J931" s="16"/>
      <c r="K931" s="16"/>
      <c r="L931" s="16"/>
      <c r="M931" s="17"/>
      <c r="N931" s="17"/>
      <c r="O931" s="17"/>
      <c r="P931" s="17"/>
    </row>
    <row r="932">
      <c r="I932" s="16"/>
      <c r="J932" s="16"/>
      <c r="K932" s="16"/>
      <c r="L932" s="16"/>
      <c r="M932" s="17"/>
      <c r="N932" s="17"/>
      <c r="O932" s="17"/>
      <c r="P932" s="17"/>
    </row>
    <row r="933">
      <c r="I933" s="16"/>
      <c r="J933" s="16"/>
      <c r="K933" s="16"/>
      <c r="L933" s="16"/>
      <c r="M933" s="17"/>
      <c r="N933" s="17"/>
      <c r="O933" s="17"/>
      <c r="P933" s="17"/>
    </row>
    <row r="934">
      <c r="I934" s="16"/>
      <c r="J934" s="16"/>
      <c r="K934" s="16"/>
      <c r="L934" s="16"/>
      <c r="M934" s="17"/>
      <c r="N934" s="17"/>
      <c r="O934" s="17"/>
      <c r="P934" s="17"/>
    </row>
    <row r="935">
      <c r="I935" s="16"/>
      <c r="J935" s="16"/>
      <c r="K935" s="16"/>
      <c r="L935" s="16"/>
      <c r="M935" s="17"/>
      <c r="N935" s="17"/>
      <c r="O935" s="17"/>
      <c r="P935" s="17"/>
    </row>
    <row r="936">
      <c r="I936" s="16"/>
      <c r="J936" s="16"/>
      <c r="K936" s="16"/>
      <c r="L936" s="16"/>
      <c r="M936" s="17"/>
      <c r="N936" s="17"/>
      <c r="O936" s="17"/>
      <c r="P936" s="17"/>
    </row>
    <row r="937">
      <c r="I937" s="16"/>
      <c r="J937" s="16"/>
      <c r="K937" s="16"/>
      <c r="L937" s="16"/>
      <c r="M937" s="17"/>
      <c r="N937" s="17"/>
      <c r="O937" s="17"/>
      <c r="P937" s="17"/>
    </row>
    <row r="938">
      <c r="I938" s="16"/>
      <c r="J938" s="16"/>
      <c r="K938" s="16"/>
      <c r="L938" s="16"/>
      <c r="M938" s="17"/>
      <c r="N938" s="17"/>
      <c r="O938" s="17"/>
      <c r="P938" s="17"/>
    </row>
    <row r="939">
      <c r="I939" s="16"/>
      <c r="J939" s="16"/>
      <c r="K939" s="16"/>
      <c r="L939" s="16"/>
      <c r="M939" s="17"/>
      <c r="N939" s="17"/>
      <c r="O939" s="17"/>
      <c r="P939" s="17"/>
    </row>
    <row r="940">
      <c r="I940" s="16"/>
      <c r="J940" s="16"/>
      <c r="K940" s="16"/>
      <c r="L940" s="16"/>
      <c r="M940" s="17"/>
      <c r="N940" s="17"/>
      <c r="O940" s="17"/>
      <c r="P940" s="17"/>
    </row>
    <row r="941">
      <c r="I941" s="16"/>
      <c r="J941" s="16"/>
      <c r="K941" s="16"/>
      <c r="L941" s="16"/>
      <c r="M941" s="17"/>
      <c r="N941" s="17"/>
      <c r="O941" s="17"/>
      <c r="P941" s="17"/>
    </row>
    <row r="942">
      <c r="I942" s="16"/>
      <c r="J942" s="16"/>
      <c r="K942" s="16"/>
      <c r="L942" s="16"/>
      <c r="M942" s="17"/>
      <c r="N942" s="17"/>
      <c r="O942" s="17"/>
      <c r="P942" s="17"/>
    </row>
    <row r="943">
      <c r="I943" s="16"/>
      <c r="J943" s="16"/>
      <c r="K943" s="16"/>
      <c r="L943" s="16"/>
      <c r="M943" s="17"/>
      <c r="N943" s="17"/>
      <c r="O943" s="17"/>
      <c r="P943" s="17"/>
    </row>
    <row r="944">
      <c r="I944" s="16"/>
      <c r="J944" s="16"/>
      <c r="K944" s="16"/>
      <c r="L944" s="16"/>
      <c r="M944" s="17"/>
      <c r="N944" s="17"/>
      <c r="O944" s="17"/>
      <c r="P944" s="17"/>
    </row>
    <row r="945">
      <c r="I945" s="16"/>
      <c r="J945" s="16"/>
      <c r="K945" s="16"/>
      <c r="L945" s="16"/>
      <c r="M945" s="17"/>
      <c r="N945" s="17"/>
      <c r="O945" s="17"/>
      <c r="P945" s="17"/>
    </row>
    <row r="946">
      <c r="I946" s="16"/>
      <c r="J946" s="16"/>
      <c r="K946" s="16"/>
      <c r="L946" s="16"/>
      <c r="M946" s="17"/>
      <c r="N946" s="17"/>
      <c r="O946" s="17"/>
      <c r="P946" s="17"/>
    </row>
    <row r="947">
      <c r="I947" s="16"/>
      <c r="J947" s="16"/>
      <c r="K947" s="16"/>
      <c r="L947" s="16"/>
      <c r="M947" s="17"/>
      <c r="N947" s="17"/>
      <c r="O947" s="17"/>
      <c r="P947" s="17"/>
    </row>
    <row r="948">
      <c r="I948" s="16"/>
      <c r="J948" s="16"/>
      <c r="K948" s="16"/>
      <c r="L948" s="16"/>
      <c r="M948" s="17"/>
      <c r="N948" s="17"/>
      <c r="O948" s="17"/>
      <c r="P948" s="17"/>
    </row>
    <row r="949">
      <c r="I949" s="16"/>
      <c r="J949" s="16"/>
      <c r="K949" s="16"/>
      <c r="L949" s="16"/>
      <c r="M949" s="17"/>
      <c r="N949" s="17"/>
      <c r="O949" s="17"/>
      <c r="P949" s="17"/>
    </row>
    <row r="950">
      <c r="I950" s="16"/>
      <c r="J950" s="16"/>
      <c r="K950" s="16"/>
      <c r="L950" s="16"/>
      <c r="M950" s="17"/>
      <c r="N950" s="17"/>
      <c r="O950" s="17"/>
      <c r="P950" s="17"/>
    </row>
    <row r="951">
      <c r="I951" s="16"/>
      <c r="J951" s="16"/>
      <c r="K951" s="16"/>
      <c r="L951" s="16"/>
      <c r="M951" s="17"/>
      <c r="N951" s="17"/>
      <c r="O951" s="17"/>
      <c r="P951" s="17"/>
    </row>
    <row r="952">
      <c r="I952" s="16"/>
      <c r="J952" s="16"/>
      <c r="K952" s="16"/>
      <c r="L952" s="16"/>
      <c r="M952" s="17"/>
      <c r="N952" s="17"/>
      <c r="O952" s="17"/>
      <c r="P952" s="17"/>
    </row>
    <row r="953">
      <c r="I953" s="16"/>
      <c r="J953" s="16"/>
      <c r="K953" s="16"/>
      <c r="L953" s="16"/>
      <c r="M953" s="17"/>
      <c r="N953" s="17"/>
      <c r="O953" s="17"/>
      <c r="P953" s="17"/>
    </row>
    <row r="954">
      <c r="I954" s="16"/>
      <c r="J954" s="16"/>
      <c r="K954" s="16"/>
      <c r="L954" s="16"/>
      <c r="M954" s="17"/>
      <c r="N954" s="17"/>
      <c r="O954" s="17"/>
      <c r="P954" s="17"/>
    </row>
    <row r="955">
      <c r="I955" s="16"/>
      <c r="J955" s="16"/>
      <c r="K955" s="16"/>
      <c r="L955" s="16"/>
      <c r="M955" s="17"/>
      <c r="N955" s="17"/>
      <c r="O955" s="17"/>
      <c r="P955" s="17"/>
    </row>
    <row r="956">
      <c r="I956" s="16"/>
      <c r="J956" s="16"/>
      <c r="K956" s="16"/>
      <c r="L956" s="16"/>
      <c r="M956" s="17"/>
      <c r="N956" s="17"/>
      <c r="O956" s="17"/>
      <c r="P956" s="17"/>
    </row>
    <row r="957">
      <c r="I957" s="16"/>
      <c r="J957" s="16"/>
      <c r="K957" s="16"/>
      <c r="L957" s="16"/>
      <c r="M957" s="17"/>
      <c r="N957" s="17"/>
      <c r="O957" s="17"/>
      <c r="P957" s="17"/>
    </row>
    <row r="958">
      <c r="I958" s="16"/>
      <c r="J958" s="16"/>
      <c r="K958" s="16"/>
      <c r="L958" s="16"/>
      <c r="M958" s="17"/>
      <c r="N958" s="17"/>
      <c r="O958" s="17"/>
      <c r="P958" s="17"/>
    </row>
    <row r="959">
      <c r="I959" s="16"/>
      <c r="J959" s="16"/>
      <c r="K959" s="16"/>
      <c r="L959" s="16"/>
      <c r="M959" s="17"/>
      <c r="N959" s="17"/>
      <c r="O959" s="17"/>
      <c r="P959" s="17"/>
    </row>
    <row r="960">
      <c r="I960" s="16"/>
      <c r="J960" s="16"/>
      <c r="K960" s="16"/>
      <c r="L960" s="16"/>
      <c r="M960" s="17"/>
      <c r="N960" s="17"/>
      <c r="O960" s="17"/>
      <c r="P960" s="17"/>
    </row>
    <row r="961">
      <c r="I961" s="16"/>
      <c r="J961" s="16"/>
      <c r="K961" s="16"/>
      <c r="L961" s="16"/>
      <c r="M961" s="17"/>
      <c r="N961" s="17"/>
      <c r="O961" s="17"/>
      <c r="P961" s="17"/>
    </row>
    <row r="962">
      <c r="I962" s="16"/>
      <c r="J962" s="16"/>
      <c r="K962" s="16"/>
      <c r="L962" s="16"/>
      <c r="M962" s="17"/>
      <c r="N962" s="17"/>
      <c r="O962" s="17"/>
      <c r="P962" s="17"/>
    </row>
    <row r="963">
      <c r="I963" s="16"/>
      <c r="J963" s="16"/>
      <c r="K963" s="16"/>
      <c r="L963" s="16"/>
      <c r="M963" s="17"/>
      <c r="N963" s="17"/>
      <c r="O963" s="17"/>
      <c r="P963" s="17"/>
    </row>
    <row r="964">
      <c r="I964" s="16"/>
      <c r="J964" s="16"/>
      <c r="K964" s="16"/>
      <c r="L964" s="16"/>
      <c r="M964" s="17"/>
      <c r="N964" s="17"/>
      <c r="O964" s="17"/>
      <c r="P964" s="17"/>
    </row>
    <row r="965">
      <c r="I965" s="16"/>
      <c r="J965" s="16"/>
      <c r="K965" s="16"/>
      <c r="L965" s="16"/>
      <c r="M965" s="17"/>
      <c r="N965" s="17"/>
      <c r="O965" s="17"/>
      <c r="P965" s="17"/>
    </row>
    <row r="966">
      <c r="I966" s="16"/>
      <c r="J966" s="16"/>
      <c r="K966" s="16"/>
      <c r="L966" s="16"/>
      <c r="M966" s="17"/>
      <c r="N966" s="17"/>
      <c r="O966" s="17"/>
      <c r="P966" s="17"/>
    </row>
    <row r="967">
      <c r="I967" s="16"/>
      <c r="J967" s="16"/>
      <c r="K967" s="16"/>
      <c r="L967" s="16"/>
      <c r="M967" s="17"/>
      <c r="N967" s="17"/>
      <c r="O967" s="17"/>
      <c r="P967" s="17"/>
    </row>
    <row r="968">
      <c r="I968" s="16"/>
      <c r="J968" s="16"/>
      <c r="K968" s="16"/>
      <c r="L968" s="16"/>
      <c r="M968" s="17"/>
      <c r="N968" s="17"/>
      <c r="O968" s="17"/>
      <c r="P968" s="17"/>
    </row>
    <row r="969">
      <c r="I969" s="16"/>
      <c r="J969" s="16"/>
      <c r="K969" s="16"/>
      <c r="L969" s="16"/>
      <c r="M969" s="17"/>
      <c r="N969" s="17"/>
      <c r="O969" s="17"/>
      <c r="P969" s="17"/>
    </row>
    <row r="970">
      <c r="I970" s="16"/>
      <c r="J970" s="16"/>
      <c r="K970" s="16"/>
      <c r="L970" s="16"/>
      <c r="M970" s="17"/>
      <c r="N970" s="17"/>
      <c r="O970" s="17"/>
      <c r="P970" s="17"/>
    </row>
    <row r="971">
      <c r="I971" s="16"/>
      <c r="J971" s="16"/>
      <c r="K971" s="16"/>
      <c r="L971" s="16"/>
      <c r="M971" s="17"/>
      <c r="N971" s="17"/>
      <c r="O971" s="17"/>
      <c r="P971" s="17"/>
    </row>
    <row r="972">
      <c r="I972" s="16"/>
      <c r="J972" s="16"/>
      <c r="K972" s="16"/>
      <c r="L972" s="16"/>
      <c r="M972" s="17"/>
      <c r="N972" s="17"/>
      <c r="O972" s="17"/>
      <c r="P972" s="17"/>
    </row>
    <row r="973">
      <c r="I973" s="16"/>
      <c r="J973" s="16"/>
      <c r="K973" s="16"/>
      <c r="L973" s="16"/>
      <c r="M973" s="17"/>
      <c r="N973" s="17"/>
      <c r="O973" s="17"/>
      <c r="P973" s="17"/>
    </row>
    <row r="974">
      <c r="I974" s="16"/>
      <c r="J974" s="16"/>
      <c r="K974" s="16"/>
      <c r="L974" s="16"/>
      <c r="M974" s="17"/>
      <c r="N974" s="17"/>
      <c r="O974" s="17"/>
      <c r="P974" s="17"/>
    </row>
    <row r="975">
      <c r="I975" s="16"/>
      <c r="J975" s="16"/>
      <c r="K975" s="16"/>
      <c r="L975" s="16"/>
      <c r="M975" s="17"/>
      <c r="N975" s="17"/>
      <c r="O975" s="17"/>
      <c r="P975" s="17"/>
    </row>
    <row r="976">
      <c r="I976" s="16"/>
      <c r="J976" s="16"/>
      <c r="K976" s="16"/>
      <c r="L976" s="16"/>
      <c r="M976" s="17"/>
      <c r="N976" s="17"/>
      <c r="O976" s="17"/>
      <c r="P976" s="17"/>
    </row>
    <row r="977">
      <c r="I977" s="16"/>
      <c r="J977" s="16"/>
      <c r="K977" s="16"/>
      <c r="L977" s="16"/>
      <c r="M977" s="17"/>
      <c r="N977" s="17"/>
      <c r="O977" s="17"/>
      <c r="P977" s="17"/>
    </row>
    <row r="978">
      <c r="I978" s="16"/>
      <c r="J978" s="16"/>
      <c r="K978" s="16"/>
      <c r="L978" s="16"/>
      <c r="M978" s="17"/>
      <c r="N978" s="17"/>
      <c r="O978" s="17"/>
      <c r="P978" s="17"/>
    </row>
    <row r="979">
      <c r="I979" s="16"/>
      <c r="J979" s="16"/>
      <c r="K979" s="16"/>
      <c r="L979" s="16"/>
      <c r="M979" s="17"/>
      <c r="N979" s="17"/>
      <c r="O979" s="17"/>
      <c r="P979" s="17"/>
    </row>
    <row r="980">
      <c r="I980" s="16"/>
      <c r="J980" s="16"/>
      <c r="K980" s="16"/>
      <c r="L980" s="16"/>
      <c r="M980" s="17"/>
      <c r="N980" s="17"/>
      <c r="O980" s="17"/>
      <c r="P980" s="17"/>
    </row>
    <row r="981">
      <c r="I981" s="16"/>
      <c r="J981" s="16"/>
      <c r="K981" s="16"/>
      <c r="L981" s="16"/>
      <c r="M981" s="17"/>
      <c r="N981" s="17"/>
      <c r="O981" s="17"/>
      <c r="P981" s="17"/>
    </row>
    <row r="982">
      <c r="I982" s="16"/>
      <c r="J982" s="16"/>
      <c r="K982" s="16"/>
      <c r="L982" s="16"/>
      <c r="M982" s="17"/>
      <c r="N982" s="17"/>
      <c r="O982" s="17"/>
      <c r="P982" s="17"/>
    </row>
    <row r="983">
      <c r="I983" s="16"/>
      <c r="J983" s="16"/>
      <c r="K983" s="16"/>
      <c r="L983" s="16"/>
      <c r="M983" s="17"/>
      <c r="N983" s="17"/>
      <c r="O983" s="17"/>
      <c r="P983" s="17"/>
    </row>
    <row r="984">
      <c r="I984" s="16"/>
      <c r="J984" s="16"/>
      <c r="K984" s="16"/>
      <c r="L984" s="16"/>
      <c r="M984" s="17"/>
      <c r="N984" s="17"/>
      <c r="O984" s="17"/>
      <c r="P984" s="17"/>
    </row>
    <row r="985">
      <c r="I985" s="16"/>
      <c r="J985" s="16"/>
      <c r="K985" s="16"/>
      <c r="L985" s="16"/>
      <c r="M985" s="17"/>
      <c r="N985" s="17"/>
      <c r="O985" s="17"/>
      <c r="P985" s="17"/>
    </row>
    <row r="986">
      <c r="I986" s="16"/>
      <c r="J986" s="16"/>
      <c r="K986" s="16"/>
      <c r="L986" s="16"/>
      <c r="M986" s="17"/>
      <c r="N986" s="17"/>
      <c r="O986" s="17"/>
      <c r="P986" s="17"/>
    </row>
    <row r="987">
      <c r="I987" s="16"/>
      <c r="J987" s="16"/>
      <c r="K987" s="16"/>
      <c r="L987" s="16"/>
      <c r="M987" s="17"/>
      <c r="N987" s="17"/>
      <c r="O987" s="17"/>
      <c r="P987" s="17"/>
    </row>
    <row r="988">
      <c r="I988" s="16"/>
      <c r="J988" s="16"/>
      <c r="K988" s="16"/>
      <c r="L988" s="16"/>
      <c r="M988" s="17"/>
      <c r="N988" s="17"/>
      <c r="O988" s="17"/>
      <c r="P988" s="17"/>
    </row>
    <row r="989">
      <c r="I989" s="16"/>
      <c r="J989" s="16"/>
      <c r="K989" s="16"/>
      <c r="L989" s="16"/>
      <c r="M989" s="17"/>
      <c r="N989" s="17"/>
      <c r="O989" s="17"/>
      <c r="P989" s="17"/>
    </row>
    <row r="990">
      <c r="I990" s="16"/>
      <c r="J990" s="16"/>
      <c r="K990" s="16"/>
      <c r="L990" s="16"/>
      <c r="M990" s="17"/>
      <c r="N990" s="17"/>
      <c r="O990" s="17"/>
      <c r="P990" s="17"/>
    </row>
    <row r="991">
      <c r="I991" s="16"/>
      <c r="J991" s="16"/>
      <c r="K991" s="16"/>
      <c r="L991" s="16"/>
      <c r="M991" s="17"/>
      <c r="N991" s="17"/>
      <c r="O991" s="17"/>
      <c r="P991" s="17"/>
    </row>
    <row r="992">
      <c r="I992" s="16"/>
      <c r="J992" s="16"/>
      <c r="K992" s="16"/>
      <c r="L992" s="16"/>
      <c r="M992" s="17"/>
      <c r="N992" s="17"/>
      <c r="O992" s="17"/>
      <c r="P992" s="17"/>
    </row>
    <row r="993">
      <c r="I993" s="16"/>
      <c r="J993" s="16"/>
      <c r="K993" s="16"/>
      <c r="L993" s="16"/>
      <c r="M993" s="17"/>
      <c r="N993" s="17"/>
      <c r="O993" s="17"/>
      <c r="P993" s="17"/>
    </row>
    <row r="994">
      <c r="I994" s="16"/>
      <c r="J994" s="16"/>
      <c r="K994" s="16"/>
      <c r="L994" s="16"/>
      <c r="M994" s="17"/>
      <c r="N994" s="17"/>
      <c r="O994" s="17"/>
      <c r="P994" s="17"/>
    </row>
    <row r="995">
      <c r="I995" s="16"/>
      <c r="J995" s="16"/>
      <c r="K995" s="16"/>
      <c r="L995" s="16"/>
      <c r="M995" s="17"/>
      <c r="N995" s="17"/>
      <c r="O995" s="17"/>
      <c r="P995" s="17"/>
    </row>
    <row r="996">
      <c r="I996" s="16"/>
      <c r="J996" s="16"/>
      <c r="K996" s="16"/>
      <c r="L996" s="16"/>
      <c r="M996" s="17"/>
      <c r="N996" s="17"/>
      <c r="O996" s="17"/>
      <c r="P996" s="17"/>
    </row>
    <row r="997">
      <c r="I997" s="16"/>
      <c r="J997" s="16"/>
      <c r="K997" s="16"/>
      <c r="L997" s="16"/>
      <c r="M997" s="17"/>
      <c r="N997" s="17"/>
      <c r="O997" s="17"/>
      <c r="P997" s="17"/>
    </row>
    <row r="998">
      <c r="I998" s="16"/>
      <c r="J998" s="16"/>
      <c r="K998" s="16"/>
      <c r="L998" s="16"/>
      <c r="M998" s="17"/>
      <c r="N998" s="17"/>
      <c r="O998" s="17"/>
      <c r="P998" s="17"/>
    </row>
  </sheetData>
  <autoFilter ref="$A$1:$W$249">
    <sortState ref="A1:W249">
      <sortCondition ref="A1:A249"/>
      <sortCondition ref="P1:P249"/>
    </sortState>
  </autoFilter>
  <hyperlinks>
    <hyperlink r:id="rId1" ref="A1"/>
    <hyperlink r:id="rId2" ref="B1"/>
    <hyperlink r:id="rId3" ref="B2"/>
    <hyperlink r:id="rId4" ref="B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69"/>
    <hyperlink r:id="rId71" ref="B70"/>
    <hyperlink r:id="rId72" ref="B71"/>
    <hyperlink r:id="rId73" ref="B72"/>
    <hyperlink r:id="rId74" ref="B73"/>
    <hyperlink r:id="rId75" ref="B74"/>
    <hyperlink r:id="rId76" ref="B75"/>
    <hyperlink r:id="rId77" ref="B76"/>
    <hyperlink r:id="rId78" ref="B77"/>
    <hyperlink r:id="rId79" ref="B78"/>
    <hyperlink r:id="rId80" ref="B79"/>
    <hyperlink r:id="rId81" ref="B80"/>
    <hyperlink r:id="rId82" ref="B81"/>
    <hyperlink r:id="rId83" ref="B82"/>
    <hyperlink r:id="rId84" ref="B83"/>
    <hyperlink r:id="rId85" ref="B84"/>
    <hyperlink r:id="rId86" ref="B85"/>
    <hyperlink r:id="rId87" ref="B86"/>
    <hyperlink r:id="rId88" ref="B87"/>
    <hyperlink r:id="rId89" ref="B88"/>
    <hyperlink r:id="rId90" ref="B89"/>
    <hyperlink r:id="rId91" ref="B90"/>
    <hyperlink r:id="rId92" ref="B91"/>
    <hyperlink r:id="rId93" ref="B92"/>
    <hyperlink r:id="rId94" ref="B93"/>
    <hyperlink r:id="rId95" ref="B94"/>
    <hyperlink r:id="rId96" ref="B95"/>
    <hyperlink r:id="rId97" ref="B96"/>
    <hyperlink r:id="rId98" ref="B97"/>
    <hyperlink r:id="rId99" ref="B98"/>
    <hyperlink r:id="rId100" ref="B99"/>
    <hyperlink r:id="rId101" ref="B100"/>
    <hyperlink r:id="rId102" ref="B101"/>
    <hyperlink r:id="rId103" ref="B102"/>
    <hyperlink r:id="rId104" ref="B103"/>
    <hyperlink r:id="rId105" ref="B104"/>
    <hyperlink r:id="rId106" ref="B105"/>
    <hyperlink r:id="rId107" ref="B106"/>
    <hyperlink r:id="rId108" ref="B107"/>
    <hyperlink r:id="rId109" ref="B108"/>
    <hyperlink r:id="rId110" ref="B109"/>
    <hyperlink r:id="rId111" ref="B110"/>
    <hyperlink r:id="rId112" ref="B111"/>
    <hyperlink r:id="rId113" ref="B112"/>
    <hyperlink r:id="rId114" ref="B113"/>
    <hyperlink r:id="rId115" ref="B114"/>
    <hyperlink r:id="rId116" ref="B115"/>
    <hyperlink r:id="rId117" ref="B116"/>
    <hyperlink r:id="rId118" ref="B117"/>
    <hyperlink r:id="rId119" ref="B118"/>
    <hyperlink r:id="rId120" ref="B119"/>
    <hyperlink r:id="rId121" ref="B120"/>
    <hyperlink r:id="rId122" ref="B121"/>
    <hyperlink r:id="rId123" ref="B122"/>
    <hyperlink r:id="rId124" ref="B123"/>
    <hyperlink r:id="rId125" ref="B124"/>
    <hyperlink r:id="rId126" ref="B125"/>
    <hyperlink r:id="rId127" ref="B126"/>
    <hyperlink r:id="rId128" ref="B127"/>
    <hyperlink r:id="rId129" ref="B128"/>
    <hyperlink r:id="rId130" ref="B129"/>
    <hyperlink r:id="rId131" ref="B130"/>
    <hyperlink r:id="rId132" ref="B131"/>
    <hyperlink r:id="rId133" ref="B132"/>
    <hyperlink r:id="rId134" ref="B133"/>
    <hyperlink r:id="rId135" ref="B134"/>
    <hyperlink r:id="rId136" ref="B135"/>
    <hyperlink r:id="rId137" ref="B136"/>
    <hyperlink r:id="rId138" ref="B137"/>
    <hyperlink r:id="rId139" ref="B138"/>
    <hyperlink r:id="rId140" ref="B139"/>
    <hyperlink r:id="rId141" ref="B140"/>
    <hyperlink r:id="rId142" ref="B141"/>
    <hyperlink r:id="rId143" ref="B142"/>
    <hyperlink r:id="rId144" ref="B143"/>
    <hyperlink r:id="rId145" ref="B144"/>
    <hyperlink r:id="rId146" ref="B145"/>
    <hyperlink r:id="rId147" ref="B146"/>
    <hyperlink r:id="rId148" ref="B147"/>
    <hyperlink r:id="rId149" ref="B148"/>
    <hyperlink r:id="rId150" ref="B149"/>
    <hyperlink r:id="rId151" ref="B150"/>
    <hyperlink r:id="rId152" ref="B151"/>
    <hyperlink r:id="rId153" ref="B152"/>
    <hyperlink r:id="rId154" ref="B153"/>
    <hyperlink r:id="rId155" ref="B154"/>
    <hyperlink r:id="rId156" ref="B155"/>
    <hyperlink r:id="rId157" ref="B156"/>
    <hyperlink r:id="rId158" ref="B157"/>
    <hyperlink r:id="rId159" ref="B158"/>
    <hyperlink r:id="rId160" ref="B159"/>
    <hyperlink r:id="rId161" ref="B160"/>
    <hyperlink r:id="rId162" ref="B161"/>
    <hyperlink r:id="rId163" ref="B162"/>
    <hyperlink r:id="rId164" ref="B163"/>
    <hyperlink r:id="rId165" ref="B164"/>
    <hyperlink r:id="rId166" ref="B165"/>
    <hyperlink r:id="rId167" ref="B166"/>
    <hyperlink r:id="rId168" ref="B167"/>
    <hyperlink r:id="rId169" ref="B168"/>
    <hyperlink r:id="rId170" ref="B169"/>
    <hyperlink r:id="rId171" ref="B170"/>
    <hyperlink r:id="rId172" ref="B171"/>
    <hyperlink r:id="rId173" ref="B172"/>
    <hyperlink r:id="rId174" ref="B173"/>
    <hyperlink r:id="rId175" ref="B174"/>
    <hyperlink r:id="rId176" ref="B175"/>
    <hyperlink r:id="rId177" ref="B176"/>
    <hyperlink r:id="rId178" ref="B177"/>
    <hyperlink r:id="rId179" ref="B178"/>
    <hyperlink r:id="rId180" ref="B179"/>
    <hyperlink r:id="rId181" ref="B180"/>
    <hyperlink r:id="rId182" ref="B181"/>
    <hyperlink r:id="rId183" ref="B182"/>
    <hyperlink r:id="rId184" ref="B183"/>
    <hyperlink r:id="rId185" ref="B184"/>
    <hyperlink r:id="rId186" ref="B185"/>
    <hyperlink r:id="rId187" ref="B186"/>
    <hyperlink r:id="rId188" ref="B187"/>
    <hyperlink r:id="rId189" ref="B188"/>
    <hyperlink r:id="rId190" ref="B189"/>
    <hyperlink r:id="rId191" ref="B190"/>
    <hyperlink r:id="rId192" ref="B191"/>
    <hyperlink r:id="rId193" ref="B192"/>
    <hyperlink r:id="rId194" ref="B193"/>
    <hyperlink r:id="rId195" ref="B194"/>
    <hyperlink r:id="rId196" ref="B195"/>
    <hyperlink r:id="rId197" ref="B196"/>
    <hyperlink r:id="rId198" ref="B197"/>
    <hyperlink r:id="rId199" ref="B198"/>
    <hyperlink r:id="rId200" ref="B199"/>
    <hyperlink r:id="rId201" ref="B200"/>
    <hyperlink r:id="rId202" ref="B201"/>
    <hyperlink r:id="rId203" ref="B202"/>
    <hyperlink r:id="rId204" ref="B203"/>
    <hyperlink r:id="rId205" ref="B204"/>
    <hyperlink r:id="rId206" ref="B205"/>
    <hyperlink r:id="rId207" ref="B206"/>
    <hyperlink r:id="rId208" ref="B207"/>
    <hyperlink r:id="rId209" ref="B208"/>
    <hyperlink r:id="rId210" ref="B209"/>
    <hyperlink r:id="rId211" ref="B210"/>
    <hyperlink r:id="rId212" ref="B211"/>
    <hyperlink r:id="rId213" ref="B212"/>
    <hyperlink r:id="rId214" ref="B213"/>
    <hyperlink r:id="rId215" ref="B214"/>
    <hyperlink r:id="rId216" ref="B215"/>
    <hyperlink r:id="rId217" ref="B216"/>
    <hyperlink r:id="rId218" ref="B217"/>
    <hyperlink r:id="rId219" ref="B218"/>
    <hyperlink r:id="rId220" ref="B219"/>
    <hyperlink r:id="rId221" ref="B220"/>
    <hyperlink r:id="rId222" ref="B221"/>
    <hyperlink r:id="rId223" ref="B222"/>
    <hyperlink r:id="rId224" ref="B223"/>
    <hyperlink r:id="rId225" ref="B224"/>
    <hyperlink r:id="rId226" ref="B225"/>
    <hyperlink r:id="rId227" ref="B226"/>
    <hyperlink r:id="rId228" ref="B227"/>
    <hyperlink r:id="rId229" ref="B228"/>
    <hyperlink r:id="rId230" ref="C228"/>
    <hyperlink r:id="rId231" ref="B229"/>
    <hyperlink r:id="rId232" ref="B230"/>
    <hyperlink r:id="rId233" ref="B231"/>
    <hyperlink r:id="rId234" ref="B232"/>
    <hyperlink r:id="rId235" ref="B233"/>
    <hyperlink r:id="rId236" ref="B234"/>
    <hyperlink r:id="rId237" ref="B235"/>
    <hyperlink r:id="rId238" ref="B236"/>
    <hyperlink r:id="rId239" ref="B237"/>
    <hyperlink r:id="rId240" ref="B238"/>
    <hyperlink r:id="rId241" ref="B239"/>
    <hyperlink r:id="rId242" ref="B240"/>
    <hyperlink r:id="rId243" ref="B241"/>
    <hyperlink r:id="rId244" ref="B242"/>
    <hyperlink r:id="rId245" ref="B243"/>
    <hyperlink r:id="rId246" ref="B244"/>
    <hyperlink r:id="rId247" ref="B245"/>
    <hyperlink r:id="rId248" ref="B246"/>
    <hyperlink r:id="rId249" ref="B247"/>
    <hyperlink r:id="rId250" ref="B248"/>
    <hyperlink r:id="rId251" ref="B249"/>
  </hyperlinks>
  <drawing r:id="rId25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6.0"/>
    <col customWidth="1" min="2" max="2" width="15.86"/>
    <col customWidth="1" min="3" max="3" width="18.43"/>
    <col customWidth="1" min="4" max="4" width="13.86"/>
    <col customWidth="1" min="5" max="5" width="10.14"/>
    <col customWidth="1" min="6" max="6" width="9.14"/>
    <col customWidth="1" hidden="1" min="7" max="11" width="9.14"/>
    <col customWidth="1" min="12" max="12" width="8.14"/>
    <col customWidth="1" min="13" max="13" width="7.14"/>
    <col customWidth="1" min="14" max="14" width="8.29"/>
    <col customWidth="1" min="15" max="15" width="7.57"/>
    <col customWidth="1" min="16" max="16" width="8.29"/>
    <col customWidth="1" min="17" max="18" width="10.0"/>
    <col customWidth="1" min="19" max="20" width="9.86"/>
  </cols>
  <sheetData>
    <row r="1">
      <c r="A1" s="21">
        <v>0.0</v>
      </c>
      <c r="B1" s="22" t="s">
        <v>505</v>
      </c>
      <c r="C1" s="22"/>
      <c r="D1" s="22" t="s">
        <v>505</v>
      </c>
      <c r="E1" s="23"/>
      <c r="F1" s="17">
        <f>IFERROR(__xludf.DUMMYFUNCTION("GOOGLEFINANCE(""INDEXNSE:""&amp;D1)"),17822.95)</f>
        <v>17822.95</v>
      </c>
      <c r="G1" s="17">
        <f>IFERROR(__xludf.DUMMYFUNCTION("GOOGLEFINANCE(""INDEXNSE:""&amp;D1,""closeyest"")"),17546.65)</f>
        <v>17546.65</v>
      </c>
      <c r="H1" s="17">
        <f>IFERROR(__xludf.DUMMYFUNCTION("INDEX(GOOGLEFINANCE(""INDEXNSE:""&amp;D1,""PRICE"",TODAY()-7),2,2)"),17585.15)</f>
        <v>17585.15</v>
      </c>
      <c r="I1" s="17">
        <f>IFERROR(__xludf.DUMMYFUNCTION("INDEX(GOOGLEFINANCE(""INDEXNSE:""&amp;D1,""PRICE"",TODAY()-14),2,2)"),17355.3)</f>
        <v>17355.3</v>
      </c>
      <c r="J1" s="17">
        <f>IFERROR(__xludf.DUMMYFUNCTION("INDEX(GOOGLEFINANCE(""INDEXNSE:""&amp;D1,""PRICE"",TODAY()-28),2,2)"),16705.2)</f>
        <v>16705.2</v>
      </c>
      <c r="K1" s="17">
        <f>IFERROR(__xludf.DUMMYFUNCTION("INDEX(GOOGLEFINANCE(""INDEXNSE:""&amp;D1,""PRICE"",TODAY()-84),2,2)"),15722.2)</f>
        <v>15722.2</v>
      </c>
      <c r="L1" s="16">
        <f>F1/G1-1</f>
        <v>0.0157465955</v>
      </c>
      <c r="M1" s="16">
        <f>F1/H1-1</f>
        <v>0.01352277348</v>
      </c>
      <c r="N1" s="16">
        <f>F1/I1-1</f>
        <v>0.02694565925</v>
      </c>
      <c r="O1" s="16">
        <f>F1/J1-1</f>
        <v>0.06691030338</v>
      </c>
      <c r="P1" s="16">
        <f>F1/K1-1</f>
        <v>0.1336167966</v>
      </c>
      <c r="U1" s="4"/>
      <c r="V1" s="4"/>
      <c r="W1" s="4"/>
      <c r="X1" s="4"/>
    </row>
    <row r="2">
      <c r="A2" s="3"/>
      <c r="B2" s="3"/>
      <c r="C2" s="3"/>
      <c r="D2" s="3"/>
      <c r="E2" s="24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7"/>
      <c r="R2" s="27"/>
      <c r="S2" s="27"/>
      <c r="T2" s="27"/>
      <c r="U2" s="4"/>
      <c r="V2" s="4"/>
      <c r="W2" s="4"/>
      <c r="X2" s="4"/>
      <c r="Y2" s="3"/>
      <c r="Z2" s="3"/>
      <c r="AA2" s="3"/>
    </row>
    <row r="3">
      <c r="A3" s="28" t="s">
        <v>3</v>
      </c>
      <c r="B3" s="28" t="s">
        <v>4</v>
      </c>
      <c r="C3" s="28" t="s">
        <v>506</v>
      </c>
      <c r="D3" s="28" t="s">
        <v>507</v>
      </c>
      <c r="E3" s="24" t="s">
        <v>508</v>
      </c>
      <c r="F3" s="25" t="s">
        <v>5</v>
      </c>
      <c r="G3" s="25" t="s">
        <v>12</v>
      </c>
      <c r="H3" s="25" t="s">
        <v>509</v>
      </c>
      <c r="I3" s="25" t="s">
        <v>14</v>
      </c>
      <c r="J3" s="25" t="s">
        <v>510</v>
      </c>
      <c r="K3" s="25" t="s">
        <v>511</v>
      </c>
      <c r="L3" s="26" t="s">
        <v>512</v>
      </c>
      <c r="M3" s="26" t="s">
        <v>513</v>
      </c>
      <c r="N3" s="26" t="s">
        <v>514</v>
      </c>
      <c r="O3" s="26" t="s">
        <v>515</v>
      </c>
      <c r="P3" s="26" t="s">
        <v>516</v>
      </c>
      <c r="Q3" s="25" t="s">
        <v>517</v>
      </c>
      <c r="R3" s="25" t="s">
        <v>518</v>
      </c>
      <c r="S3" s="25" t="s">
        <v>519</v>
      </c>
      <c r="T3" s="25" t="s">
        <v>520</v>
      </c>
      <c r="U3" s="29" t="s">
        <v>509</v>
      </c>
      <c r="V3" s="29" t="s">
        <v>14</v>
      </c>
      <c r="W3" s="29" t="s">
        <v>510</v>
      </c>
      <c r="X3" s="29" t="s">
        <v>511</v>
      </c>
      <c r="Y3" s="28"/>
      <c r="Z3" s="28"/>
      <c r="AA3" s="28"/>
    </row>
    <row r="4">
      <c r="A4" s="21">
        <v>1.0</v>
      </c>
      <c r="B4" s="22" t="s">
        <v>521</v>
      </c>
      <c r="C4" s="22" t="s">
        <v>522</v>
      </c>
      <c r="D4" s="22" t="s">
        <v>9</v>
      </c>
      <c r="E4" s="23">
        <f>IFERROR(__xludf.DUMMYFUNCTION("GOOGLEFINANCE(""NSE:""&amp;D4,""marketcap"")/10000000"),1655705.3186651)</f>
        <v>1655705.319</v>
      </c>
      <c r="F4" s="17">
        <f>IFERROR(__xludf.DUMMYFUNCTION("GOOGLEFINANCE(""NSE:""&amp;D4)"),2488.1)</f>
        <v>2488.1</v>
      </c>
      <c r="G4" s="17">
        <f>IFERROR(__xludf.DUMMYFUNCTION("GOOGLEFINANCE(""NSE:""&amp;D4,""closeyest"")"),2430.5)</f>
        <v>2430.5</v>
      </c>
      <c r="H4" s="17">
        <f>IFERROR(__xludf.DUMMYFUNCTION("INDEX(GOOGLEFINANCE(""NSE:""&amp;D4,""PRICE"",TODAY()-7),2,2)"),2390.55)</f>
        <v>2390.55</v>
      </c>
      <c r="I4" s="17">
        <f>IFERROR(__xludf.DUMMYFUNCTION("INDEX(GOOGLEFINANCE(""NSE:""&amp;D4,""PRICE"",TODAY()-14),2,2)"),2371.55)</f>
        <v>2371.55</v>
      </c>
      <c r="J4" s="17">
        <f>IFERROR(__xludf.DUMMYFUNCTION("INDEX(GOOGLEFINANCE(""NSE:""&amp;D4,""PRICE"",TODAY()-28),2,2)"),2227.4)</f>
        <v>2227.4</v>
      </c>
      <c r="K4" s="17">
        <f>IFERROR(__xludf.DUMMYFUNCTION("INDEX(GOOGLEFINANCE(""NSE:""&amp;D4,""PRICE"",TODAY()-84),2,2)"),2129.05)</f>
        <v>2129.05</v>
      </c>
      <c r="L4" s="16">
        <f t="shared" ref="L4:L53" si="1">F4/G4-1</f>
        <v>0.0236988274</v>
      </c>
      <c r="M4" s="16">
        <f t="shared" ref="M4:M53" si="2">F4/H4-1</f>
        <v>0.04080650896</v>
      </c>
      <c r="N4" s="16">
        <f t="shared" ref="N4:N53" si="3">F4/I4-1</f>
        <v>0.0491450739</v>
      </c>
      <c r="O4" s="16">
        <f t="shared" ref="O4:O53" si="4">F4/J4-1</f>
        <v>0.1170422915</v>
      </c>
      <c r="P4" s="16">
        <f t="shared" ref="P4:P53" si="5">F4/K4-1</f>
        <v>0.1686432916</v>
      </c>
      <c r="Q4" s="30">
        <f t="shared" ref="Q4:Q53" si="6">M4-$M$1</f>
        <v>0.02728373549</v>
      </c>
      <c r="R4" s="30">
        <f t="shared" ref="R4:R53" si="7">N4-$N$1</f>
        <v>0.02219941465</v>
      </c>
      <c r="S4" s="30">
        <f t="shared" ref="S4:S53" si="8">O4-$O$1</f>
        <v>0.05013198808</v>
      </c>
      <c r="T4" s="30">
        <f t="shared" ref="T4:T53" si="9">P4-$P$1</f>
        <v>0.03502649498</v>
      </c>
      <c r="U4" s="31" t="str">
        <f t="shared" ref="U4:U53" si="10">RANK(Q4,$Q$4:$Q$53)</f>
        <v>#N/A</v>
      </c>
      <c r="V4" s="31">
        <f t="shared" ref="V4:V53" si="11">rank(R4,$R$4:$R$53)</f>
        <v>13</v>
      </c>
      <c r="W4" s="31">
        <f t="shared" ref="W4:W53" si="12">rank(S4,$S$4:$S$53)</f>
        <v>12</v>
      </c>
      <c r="X4" s="31">
        <f t="shared" ref="X4:X53" si="13">rank(T4,$T$4:$T$53)</f>
        <v>13</v>
      </c>
    </row>
    <row r="5">
      <c r="A5" s="21">
        <v>2.0</v>
      </c>
      <c r="B5" s="22" t="s">
        <v>523</v>
      </c>
      <c r="C5" s="22" t="s">
        <v>524</v>
      </c>
      <c r="D5" s="22" t="s">
        <v>24</v>
      </c>
      <c r="E5" s="23">
        <f>IFERROR(__xludf.DUMMYFUNCTION("GOOGLEFINANCE(""NSE:""&amp;D5,""marketcap"")/10000000"),1430311.3731375)</f>
        <v>1430311.373</v>
      </c>
      <c r="F5" s="17">
        <f>IFERROR(__xludf.DUMMYFUNCTION("GOOGLEFINANCE(""NSE:""&amp;D5)"),3872.0)</f>
        <v>3872</v>
      </c>
      <c r="G5" s="17">
        <f>IFERROR(__xludf.DUMMYFUNCTION("GOOGLEFINANCE(""NSE:""&amp;D5,""closeyest"")"),3862.15)</f>
        <v>3862.15</v>
      </c>
      <c r="H5" s="17">
        <f>IFERROR(__xludf.DUMMYFUNCTION("INDEX(GOOGLEFINANCE(""NSE:""&amp;D5,""PRICE"",TODAY()-7),2,2)"),3827.85)</f>
        <v>3827.85</v>
      </c>
      <c r="I5" s="17">
        <f>IFERROR(__xludf.DUMMYFUNCTION("INDEX(GOOGLEFINANCE(""NSE:""&amp;D5,""PRICE"",TODAY()-14),2,2)"),3845.35)</f>
        <v>3845.35</v>
      </c>
      <c r="J5" s="17">
        <f>IFERROR(__xludf.DUMMYFUNCTION("INDEX(GOOGLEFINANCE(""NSE:""&amp;D5,""PRICE"",TODAY()-28),2,2)"),3720.15)</f>
        <v>3720.15</v>
      </c>
      <c r="K5" s="17">
        <f>IFERROR(__xludf.DUMMYFUNCTION("INDEX(GOOGLEFINANCE(""NSE:""&amp;D5,""PRICE"",TODAY()-84),2,2)"),3325.45)</f>
        <v>3325.45</v>
      </c>
      <c r="L5" s="16">
        <f t="shared" si="1"/>
        <v>0.002550392916</v>
      </c>
      <c r="M5" s="16">
        <f t="shared" si="2"/>
        <v>0.01153388978</v>
      </c>
      <c r="N5" s="16">
        <f t="shared" si="3"/>
        <v>0.006930448464</v>
      </c>
      <c r="O5" s="16">
        <f t="shared" si="4"/>
        <v>0.04081824658</v>
      </c>
      <c r="P5" s="16">
        <f t="shared" si="5"/>
        <v>0.1643536965</v>
      </c>
      <c r="Q5" s="30">
        <f t="shared" si="6"/>
        <v>-0.001988883695</v>
      </c>
      <c r="R5" s="30">
        <f t="shared" si="7"/>
        <v>-0.02001521079</v>
      </c>
      <c r="S5" s="30">
        <f t="shared" si="8"/>
        <v>-0.0260920568</v>
      </c>
      <c r="T5" s="30">
        <f t="shared" si="9"/>
        <v>0.03073689986</v>
      </c>
      <c r="U5" s="31" t="str">
        <f t="shared" si="10"/>
        <v>#N/A</v>
      </c>
      <c r="V5" s="31">
        <f t="shared" si="11"/>
        <v>32</v>
      </c>
      <c r="W5" s="31">
        <f t="shared" si="12"/>
        <v>29</v>
      </c>
      <c r="X5" s="31">
        <f t="shared" si="13"/>
        <v>14</v>
      </c>
    </row>
    <row r="6">
      <c r="A6" s="21">
        <v>3.0</v>
      </c>
      <c r="B6" s="22" t="s">
        <v>525</v>
      </c>
      <c r="C6" s="22" t="s">
        <v>526</v>
      </c>
      <c r="D6" s="22" t="s">
        <v>30</v>
      </c>
      <c r="E6" s="23">
        <f>IFERROR(__xludf.DUMMYFUNCTION("GOOGLEFINANCE(""NSE:""&amp;D6,""marketcap"")/10000000"),653713.9090734)</f>
        <v>653713.9091</v>
      </c>
      <c r="F6" s="17">
        <f>IFERROR(__xludf.DUMMYFUNCTION("GOOGLEFINANCE(""NSE:""&amp;D6)"),2782.0)</f>
        <v>2782</v>
      </c>
      <c r="G6" s="17">
        <f>IFERROR(__xludf.DUMMYFUNCTION("GOOGLEFINANCE(""NSE:""&amp;D6,""closeyest"")"),2784.5)</f>
        <v>2784.5</v>
      </c>
      <c r="H6" s="17">
        <f>IFERROR(__xludf.DUMMYFUNCTION("INDEX(GOOGLEFINANCE(""NSE:""&amp;D6,""PRICE"",TODAY()-7),2,2)"),2722.25)</f>
        <v>2722.25</v>
      </c>
      <c r="I6" s="17">
        <f>IFERROR(__xludf.DUMMYFUNCTION("INDEX(GOOGLEFINANCE(""NSE:""&amp;D6,""PRICE"",TODAY()-14),2,2)"),2786.35)</f>
        <v>2786.35</v>
      </c>
      <c r="J6" s="17">
        <f>IFERROR(__xludf.DUMMYFUNCTION("INDEX(GOOGLEFINANCE(""NSE:""&amp;D6,""PRICE"",TODAY()-28),2,2)"),2677.95)</f>
        <v>2677.95</v>
      </c>
      <c r="K6" s="17">
        <f>IFERROR(__xludf.DUMMYFUNCTION("INDEX(GOOGLEFINANCE(""NSE:""&amp;D6,""PRICE"",TODAY()-84),2,2)"),2487.3)</f>
        <v>2487.3</v>
      </c>
      <c r="L6" s="16">
        <f t="shared" si="1"/>
        <v>-0.000897827258</v>
      </c>
      <c r="M6" s="16">
        <f t="shared" si="2"/>
        <v>0.02194875562</v>
      </c>
      <c r="N6" s="16">
        <f t="shared" si="3"/>
        <v>-0.001561182192</v>
      </c>
      <c r="O6" s="16">
        <f t="shared" si="4"/>
        <v>0.03885434754</v>
      </c>
      <c r="P6" s="16">
        <f t="shared" si="5"/>
        <v>0.118481888</v>
      </c>
      <c r="Q6" s="30">
        <f t="shared" si="6"/>
        <v>0.008425982148</v>
      </c>
      <c r="R6" s="30">
        <f t="shared" si="7"/>
        <v>-0.02850684144</v>
      </c>
      <c r="S6" s="30">
        <f t="shared" si="8"/>
        <v>-0.02805595584</v>
      </c>
      <c r="T6" s="30">
        <f t="shared" si="9"/>
        <v>-0.01513490864</v>
      </c>
      <c r="U6" s="31" t="str">
        <f t="shared" si="10"/>
        <v>#N/A</v>
      </c>
      <c r="V6" s="31">
        <f t="shared" si="11"/>
        <v>35</v>
      </c>
      <c r="W6" s="31">
        <f t="shared" si="12"/>
        <v>31</v>
      </c>
      <c r="X6" s="31">
        <f t="shared" si="13"/>
        <v>26</v>
      </c>
    </row>
    <row r="7">
      <c r="A7" s="21">
        <v>4.0</v>
      </c>
      <c r="B7" s="22" t="s">
        <v>527</v>
      </c>
      <c r="C7" s="22" t="s">
        <v>528</v>
      </c>
      <c r="D7" s="22" t="s">
        <v>32</v>
      </c>
      <c r="E7" s="23">
        <f>IFERROR(__xludf.DUMMYFUNCTION("GOOGLEFINANCE(""NSE:""&amp;D7,""marketcap"")/10000000"),509516.0668263)</f>
        <v>509516.0668</v>
      </c>
      <c r="F7" s="17">
        <f>IFERROR(__xludf.DUMMYFUNCTION("GOOGLEFINANCE(""NSE:""&amp;D7)"),2825.15)</f>
        <v>2825.15</v>
      </c>
      <c r="G7" s="17">
        <f>IFERROR(__xludf.DUMMYFUNCTION("GOOGLEFINANCE(""NSE:""&amp;D7,""closeyest"")"),2734.7)</f>
        <v>2734.7</v>
      </c>
      <c r="H7" s="17">
        <f>IFERROR(__xludf.DUMMYFUNCTION("INDEX(GOOGLEFINANCE(""NSE:""&amp;D7,""PRICE"",TODAY()-7),2,2)"),2825.65)</f>
        <v>2825.65</v>
      </c>
      <c r="I7" s="17">
        <f>IFERROR(__xludf.DUMMYFUNCTION("INDEX(GOOGLEFINANCE(""NSE:""&amp;D7,""PRICE"",TODAY()-14),2,2)"),2849.8)</f>
        <v>2849.8</v>
      </c>
      <c r="J7" s="17">
        <f>IFERROR(__xludf.DUMMYFUNCTION("INDEX(GOOGLEFINANCE(""NSE:""&amp;D7,""PRICE"",TODAY()-28),2,2)"),2718.2)</f>
        <v>2718.2</v>
      </c>
      <c r="K7" s="17">
        <f>IFERROR(__xludf.DUMMYFUNCTION("INDEX(GOOGLEFINANCE(""NSE:""&amp;D7,""PRICE"",TODAY()-84),2,2)"),2475.7)</f>
        <v>2475.7</v>
      </c>
      <c r="L7" s="16">
        <f t="shared" si="1"/>
        <v>0.03307492595</v>
      </c>
      <c r="M7" s="16">
        <f t="shared" si="2"/>
        <v>-0.0001769504362</v>
      </c>
      <c r="N7" s="16">
        <f t="shared" si="3"/>
        <v>-0.008649729806</v>
      </c>
      <c r="O7" s="16">
        <f t="shared" si="4"/>
        <v>0.03934589066</v>
      </c>
      <c r="P7" s="16">
        <f t="shared" si="5"/>
        <v>0.1411519974</v>
      </c>
      <c r="Q7" s="30">
        <f t="shared" si="6"/>
        <v>-0.01369972391</v>
      </c>
      <c r="R7" s="30">
        <f t="shared" si="7"/>
        <v>-0.03559538906</v>
      </c>
      <c r="S7" s="30">
        <f t="shared" si="8"/>
        <v>-0.02756441272</v>
      </c>
      <c r="T7" s="30">
        <f t="shared" si="9"/>
        <v>0.007535200783</v>
      </c>
      <c r="U7" s="31" t="str">
        <f t="shared" si="10"/>
        <v>#N/A</v>
      </c>
      <c r="V7" s="31">
        <f t="shared" si="11"/>
        <v>37</v>
      </c>
      <c r="W7" s="31">
        <f t="shared" si="12"/>
        <v>30</v>
      </c>
      <c r="X7" s="31">
        <f t="shared" si="13"/>
        <v>20</v>
      </c>
    </row>
    <row r="8">
      <c r="A8" s="21">
        <v>5.0</v>
      </c>
      <c r="B8" s="22" t="s">
        <v>529</v>
      </c>
      <c r="C8" s="22" t="s">
        <v>528</v>
      </c>
      <c r="D8" s="22" t="s">
        <v>36</v>
      </c>
      <c r="E8" s="23">
        <f>IFERROR(__xludf.DUMMYFUNCTION("GOOGLEFINANCE(""NSE:""&amp;D8,""marketcap"")/10000000"),476076.6988323)</f>
        <v>476076.6988</v>
      </c>
      <c r="F8" s="17">
        <f>IFERROR(__xludf.DUMMYFUNCTION("GOOGLEFINANCE(""NSE:""&amp;D8)"),7890.05)</f>
        <v>7890.05</v>
      </c>
      <c r="G8" s="17">
        <f>IFERROR(__xludf.DUMMYFUNCTION("GOOGLEFINANCE(""NSE:""&amp;D8,""closeyest"")"),7793.65)</f>
        <v>7793.65</v>
      </c>
      <c r="H8" s="17">
        <f>IFERROR(__xludf.DUMMYFUNCTION("INDEX(GOOGLEFINANCE(""NSE:""&amp;D8,""PRICE"",TODAY()-7),2,2)"),7428.8)</f>
        <v>7428.8</v>
      </c>
      <c r="I8" s="17">
        <f>IFERROR(__xludf.DUMMYFUNCTION("INDEX(GOOGLEFINANCE(""NSE:""&amp;D8,""PRICE"",TODAY()-14),2,2)"),7445.55)</f>
        <v>7445.55</v>
      </c>
      <c r="J8" s="17">
        <f>IFERROR(__xludf.DUMMYFUNCTION("INDEX(GOOGLEFINANCE(""NSE:""&amp;D8,""PRICE"",TODAY()-28),2,2)"),6966.6)</f>
        <v>6966.6</v>
      </c>
      <c r="K8" s="17">
        <f>IFERROR(__xludf.DUMMYFUNCTION("INDEX(GOOGLEFINANCE(""NSE:""&amp;D8,""PRICE"",TODAY()-84),2,2)"),5997.75)</f>
        <v>5997.75</v>
      </c>
      <c r="L8" s="16">
        <f t="shared" si="1"/>
        <v>0.01236904403</v>
      </c>
      <c r="M8" s="16">
        <f t="shared" si="2"/>
        <v>0.06208943571</v>
      </c>
      <c r="N8" s="16">
        <f t="shared" si="3"/>
        <v>0.05970008932</v>
      </c>
      <c r="O8" s="16">
        <f t="shared" si="4"/>
        <v>0.1325539</v>
      </c>
      <c r="P8" s="16">
        <f t="shared" si="5"/>
        <v>0.3155016465</v>
      </c>
      <c r="Q8" s="30">
        <f t="shared" si="6"/>
        <v>0.04856666223</v>
      </c>
      <c r="R8" s="30">
        <f t="shared" si="7"/>
        <v>0.03275443006</v>
      </c>
      <c r="S8" s="30">
        <f t="shared" si="8"/>
        <v>0.06564359666</v>
      </c>
      <c r="T8" s="30">
        <f t="shared" si="9"/>
        <v>0.1818848498</v>
      </c>
      <c r="U8" s="31" t="str">
        <f t="shared" si="10"/>
        <v>#N/A</v>
      </c>
      <c r="V8" s="31">
        <f t="shared" si="11"/>
        <v>12</v>
      </c>
      <c r="W8" s="31">
        <f t="shared" si="12"/>
        <v>10</v>
      </c>
      <c r="X8" s="31">
        <f t="shared" si="13"/>
        <v>5</v>
      </c>
    </row>
    <row r="9">
      <c r="A9" s="21">
        <v>6.0</v>
      </c>
      <c r="B9" s="22" t="s">
        <v>530</v>
      </c>
      <c r="C9" s="22" t="s">
        <v>531</v>
      </c>
      <c r="D9" s="22" t="s">
        <v>44</v>
      </c>
      <c r="E9" s="23">
        <f>IFERROR(__xludf.DUMMYFUNCTION("GOOGLEFINANCE(""NSE:""&amp;D9,""marketcap"")/10000000"),398540.9631592)</f>
        <v>398540.9632</v>
      </c>
      <c r="F9" s="17">
        <f>IFERROR(__xludf.DUMMYFUNCTION("GOOGLEFINANCE(""NSE:""&amp;D9)"),726.95)</f>
        <v>726.95</v>
      </c>
      <c r="G9" s="17">
        <f>IFERROR(__xludf.DUMMYFUNCTION("GOOGLEFINANCE(""NSE:""&amp;D9,""closeyest"")"),726.75)</f>
        <v>726.75</v>
      </c>
      <c r="H9" s="17">
        <f>IFERROR(__xludf.DUMMYFUNCTION("INDEX(GOOGLEFINANCE(""NSE:""&amp;D9,""PRICE"",TODAY()-7),2,2)"),728.15)</f>
        <v>728.15</v>
      </c>
      <c r="I9" s="17">
        <f>IFERROR(__xludf.DUMMYFUNCTION("INDEX(GOOGLEFINANCE(""NSE:""&amp;D9,""PRICE"",TODAY()-14),2,2)"),693.3)</f>
        <v>693.3</v>
      </c>
      <c r="J9" s="17">
        <f>IFERROR(__xludf.DUMMYFUNCTION("INDEX(GOOGLEFINANCE(""NSE:""&amp;D9,""PRICE"",TODAY()-28),2,2)"),595.15)</f>
        <v>595.15</v>
      </c>
      <c r="K9" s="17">
        <f>IFERROR(__xludf.DUMMYFUNCTION("INDEX(GOOGLEFINANCE(""NSE:""&amp;D9,""PRICE"",TODAY()-84),2,2)"),525.0)</f>
        <v>525</v>
      </c>
      <c r="L9" s="16">
        <f t="shared" si="1"/>
        <v>0.0002751977984</v>
      </c>
      <c r="M9" s="16">
        <f t="shared" si="2"/>
        <v>-0.001648012085</v>
      </c>
      <c r="N9" s="16">
        <f t="shared" si="3"/>
        <v>0.04853598731</v>
      </c>
      <c r="O9" s="16">
        <f t="shared" si="4"/>
        <v>0.2214567756</v>
      </c>
      <c r="P9" s="16">
        <f t="shared" si="5"/>
        <v>0.3846666667</v>
      </c>
      <c r="Q9" s="30">
        <f t="shared" si="6"/>
        <v>-0.01517078556</v>
      </c>
      <c r="R9" s="30">
        <f t="shared" si="7"/>
        <v>0.02159032806</v>
      </c>
      <c r="S9" s="30">
        <f t="shared" si="8"/>
        <v>0.1545464722</v>
      </c>
      <c r="T9" s="30">
        <f t="shared" si="9"/>
        <v>0.25104987</v>
      </c>
      <c r="U9" s="31" t="str">
        <f t="shared" si="10"/>
        <v>#N/A</v>
      </c>
      <c r="V9" s="31">
        <f t="shared" si="11"/>
        <v>14</v>
      </c>
      <c r="W9" s="31">
        <f t="shared" si="12"/>
        <v>1</v>
      </c>
      <c r="X9" s="31">
        <f t="shared" si="13"/>
        <v>3</v>
      </c>
    </row>
    <row r="10">
      <c r="A10" s="21">
        <v>7.0</v>
      </c>
      <c r="B10" s="22" t="s">
        <v>532</v>
      </c>
      <c r="C10" s="22" t="s">
        <v>528</v>
      </c>
      <c r="D10" s="22" t="s">
        <v>42</v>
      </c>
      <c r="E10" s="23">
        <f>IFERROR(__xludf.DUMMYFUNCTION("GOOGLEFINANCE(""NSE:""&amp;D10,""marketcap"")/10000000"),401938.0815719)</f>
        <v>401938.0816</v>
      </c>
      <c r="F10" s="17">
        <f>IFERROR(__xludf.DUMMYFUNCTION("GOOGLEFINANCE(""NSE:""&amp;D10)"),2024.05)</f>
        <v>2024.05</v>
      </c>
      <c r="G10" s="17">
        <f>IFERROR(__xludf.DUMMYFUNCTION("GOOGLEFINANCE(""NSE:""&amp;D10,""closeyest"")"),1985.55)</f>
        <v>1985.55</v>
      </c>
      <c r="H10" s="17">
        <f>IFERROR(__xludf.DUMMYFUNCTION("INDEX(GOOGLEFINANCE(""NSE:""&amp;D10,""PRICE"",TODAY()-7),2,2)"),2007.95)</f>
        <v>2007.95</v>
      </c>
      <c r="I10" s="17">
        <f>IFERROR(__xludf.DUMMYFUNCTION("INDEX(GOOGLEFINANCE(""NSE:""&amp;D10,""PRICE"",TODAY()-14),2,2)"),1840.05)</f>
        <v>1840.05</v>
      </c>
      <c r="J10" s="17">
        <f>IFERROR(__xludf.DUMMYFUNCTION("INDEX(GOOGLEFINANCE(""NSE:""&amp;D10,""PRICE"",TODAY()-28),2,2)"),1713.55)</f>
        <v>1713.55</v>
      </c>
      <c r="K10" s="17">
        <f>IFERROR(__xludf.DUMMYFUNCTION("INDEX(GOOGLEFINANCE(""NSE:""&amp;D10,""PRICE"",TODAY()-84),2,2)"),1715.15)</f>
        <v>1715.15</v>
      </c>
      <c r="L10" s="16">
        <f t="shared" si="1"/>
        <v>0.01939009342</v>
      </c>
      <c r="M10" s="16">
        <f t="shared" si="2"/>
        <v>0.008018127941</v>
      </c>
      <c r="N10" s="16">
        <f t="shared" si="3"/>
        <v>0.09999728268</v>
      </c>
      <c r="O10" s="16">
        <f t="shared" si="4"/>
        <v>0.1812027662</v>
      </c>
      <c r="P10" s="16">
        <f t="shared" si="5"/>
        <v>0.1801008658</v>
      </c>
      <c r="Q10" s="30">
        <f t="shared" si="6"/>
        <v>-0.005504645535</v>
      </c>
      <c r="R10" s="30">
        <f t="shared" si="7"/>
        <v>0.07305162343</v>
      </c>
      <c r="S10" s="30">
        <f t="shared" si="8"/>
        <v>0.1142924628</v>
      </c>
      <c r="T10" s="30">
        <f t="shared" si="9"/>
        <v>0.04648406918</v>
      </c>
      <c r="U10" s="31" t="str">
        <f t="shared" si="10"/>
        <v>#N/A</v>
      </c>
      <c r="V10" s="31">
        <f t="shared" si="11"/>
        <v>4</v>
      </c>
      <c r="W10" s="31">
        <f t="shared" si="12"/>
        <v>4</v>
      </c>
      <c r="X10" s="31">
        <f t="shared" si="13"/>
        <v>12</v>
      </c>
    </row>
    <row r="11">
      <c r="A11" s="21">
        <v>8.0</v>
      </c>
      <c r="B11" s="22" t="s">
        <v>533</v>
      </c>
      <c r="C11" s="22" t="s">
        <v>528</v>
      </c>
      <c r="D11" s="22" t="s">
        <v>38</v>
      </c>
      <c r="E11" s="23">
        <f>IFERROR(__xludf.DUMMYFUNCTION("GOOGLEFINANCE(""NSE:""&amp;D11,""marketcap"")/10000000"),401291.3530894)</f>
        <v>401291.3531</v>
      </c>
      <c r="F11" s="17">
        <f>IFERROR(__xludf.DUMMYFUNCTION("GOOGLEFINANCE(""NSE:""&amp;D11)"),450.0)</f>
        <v>450</v>
      </c>
      <c r="G11" s="17">
        <f>IFERROR(__xludf.DUMMYFUNCTION("GOOGLEFINANCE(""NSE:""&amp;D11,""closeyest"")"),438.85)</f>
        <v>438.85</v>
      </c>
      <c r="H11" s="17">
        <f>IFERROR(__xludf.DUMMYFUNCTION("INDEX(GOOGLEFINANCE(""NSE:""&amp;D11,""PRICE"",TODAY()-7),2,2)"),454.1)</f>
        <v>454.1</v>
      </c>
      <c r="I11" s="17">
        <f>IFERROR(__xludf.DUMMYFUNCTION("INDEX(GOOGLEFINANCE(""NSE:""&amp;D11,""PRICE"",TODAY()-14),2,2)"),432.85)</f>
        <v>432.85</v>
      </c>
      <c r="J11" s="17">
        <f>IFERROR(__xludf.DUMMYFUNCTION("INDEX(GOOGLEFINANCE(""NSE:""&amp;D11,""PRICE"",TODAY()-28),2,2)"),412.45)</f>
        <v>412.45</v>
      </c>
      <c r="K11" s="17">
        <f>IFERROR(__xludf.DUMMYFUNCTION("INDEX(GOOGLEFINANCE(""NSE:""&amp;D11,""PRICE"",TODAY()-84),2,2)"),424.4)</f>
        <v>424.4</v>
      </c>
      <c r="L11" s="16">
        <f t="shared" si="1"/>
        <v>0.02540731457</v>
      </c>
      <c r="M11" s="16">
        <f t="shared" si="2"/>
        <v>-0.009028848271</v>
      </c>
      <c r="N11" s="16">
        <f t="shared" si="3"/>
        <v>0.03962111586</v>
      </c>
      <c r="O11" s="16">
        <f t="shared" si="4"/>
        <v>0.09104133834</v>
      </c>
      <c r="P11" s="16">
        <f t="shared" si="5"/>
        <v>0.0603204524</v>
      </c>
      <c r="Q11" s="30">
        <f t="shared" si="6"/>
        <v>-0.02255162175</v>
      </c>
      <c r="R11" s="30">
        <f t="shared" si="7"/>
        <v>0.01267545661</v>
      </c>
      <c r="S11" s="30">
        <f t="shared" si="8"/>
        <v>0.02413103497</v>
      </c>
      <c r="T11" s="30">
        <f t="shared" si="9"/>
        <v>-0.07329634423</v>
      </c>
      <c r="U11" s="31" t="str">
        <f t="shared" si="10"/>
        <v>#N/A</v>
      </c>
      <c r="V11" s="31">
        <f t="shared" si="11"/>
        <v>16</v>
      </c>
      <c r="W11" s="31">
        <f t="shared" si="12"/>
        <v>20</v>
      </c>
      <c r="X11" s="31">
        <f t="shared" si="13"/>
        <v>38</v>
      </c>
    </row>
    <row r="12">
      <c r="A12" s="21">
        <v>9.0</v>
      </c>
      <c r="B12" s="22" t="s">
        <v>534</v>
      </c>
      <c r="C12" s="22" t="s">
        <v>524</v>
      </c>
      <c r="D12" s="22" t="s">
        <v>40</v>
      </c>
      <c r="E12" s="23">
        <f>IFERROR(__xludf.DUMMYFUNCTION("GOOGLEFINANCE(""NSE:""&amp;D12,""marketcap"")/10000000"),5092.4768245)</f>
        <v>5092.476825</v>
      </c>
      <c r="F12" s="17">
        <f>IFERROR(__xludf.DUMMYFUNCTION("GOOGLEFINANCE(""NSE:""&amp;D12)"),674.0)</f>
        <v>674</v>
      </c>
      <c r="G12" s="17">
        <f>IFERROR(__xludf.DUMMYFUNCTION("GOOGLEFINANCE(""NSE:""&amp;D12,""closeyest"")"),668.15)</f>
        <v>668.15</v>
      </c>
      <c r="H12" s="17">
        <f>IFERROR(__xludf.DUMMYFUNCTION("INDEX(GOOGLEFINANCE(""NSE:""&amp;D12,""PRICE"",TODAY()-7),2,2)"),665.25)</f>
        <v>665.25</v>
      </c>
      <c r="I12" s="17">
        <f>IFERROR(__xludf.DUMMYFUNCTION("INDEX(GOOGLEFINANCE(""NSE:""&amp;D12,""PRICE"",TODAY()-14),2,2)"),670.75)</f>
        <v>670.75</v>
      </c>
      <c r="J12" s="17">
        <f>IFERROR(__xludf.DUMMYFUNCTION("INDEX(GOOGLEFINANCE(""NSE:""&amp;D12,""PRICE"",TODAY()-28),2,2)"),634.95)</f>
        <v>634.95</v>
      </c>
      <c r="K12" s="17">
        <f>IFERROR(__xludf.DUMMYFUNCTION("INDEX(GOOGLEFINANCE(""NSE:""&amp;D12,""PRICE"",TODAY()-84),2,2)"),538.6)</f>
        <v>538.6</v>
      </c>
      <c r="L12" s="16">
        <f t="shared" si="1"/>
        <v>0.00875551897</v>
      </c>
      <c r="M12" s="16">
        <f t="shared" si="2"/>
        <v>0.01315295002</v>
      </c>
      <c r="N12" s="16">
        <f t="shared" si="3"/>
        <v>0.0048453224</v>
      </c>
      <c r="O12" s="16">
        <f t="shared" si="4"/>
        <v>0.06150090558</v>
      </c>
      <c r="P12" s="16">
        <f t="shared" si="5"/>
        <v>0.2513924991</v>
      </c>
      <c r="Q12" s="30">
        <f t="shared" si="6"/>
        <v>-0.0003698234577</v>
      </c>
      <c r="R12" s="30">
        <f t="shared" si="7"/>
        <v>-0.02210033685</v>
      </c>
      <c r="S12" s="30">
        <f t="shared" si="8"/>
        <v>-0.005409397795</v>
      </c>
      <c r="T12" s="30">
        <f t="shared" si="9"/>
        <v>0.1177757024</v>
      </c>
      <c r="U12" s="31" t="str">
        <f t="shared" si="10"/>
        <v>#N/A</v>
      </c>
      <c r="V12" s="31">
        <f t="shared" si="11"/>
        <v>33</v>
      </c>
      <c r="W12" s="31">
        <f t="shared" si="12"/>
        <v>25</v>
      </c>
      <c r="X12" s="31">
        <f t="shared" si="13"/>
        <v>7</v>
      </c>
    </row>
    <row r="13">
      <c r="A13" s="21">
        <v>10.0</v>
      </c>
      <c r="B13" s="22" t="s">
        <v>535</v>
      </c>
      <c r="C13" s="22" t="s">
        <v>524</v>
      </c>
      <c r="D13" s="22" t="s">
        <v>46</v>
      </c>
      <c r="E13" s="23">
        <f>IFERROR(__xludf.DUMMYFUNCTION("GOOGLEFINANCE(""NSE:""&amp;D13,""marketcap"")/10000000"),360499.7683995)</f>
        <v>360499.7684</v>
      </c>
      <c r="F13" s="17">
        <f>IFERROR(__xludf.DUMMYFUNCTION("GOOGLEFINANCE(""NSE:""&amp;D13)"),1327.0)</f>
        <v>1327</v>
      </c>
      <c r="G13" s="17">
        <f>IFERROR(__xludf.DUMMYFUNCTION("GOOGLEFINANCE(""NSE:""&amp;D13,""closeyest"")"),1315.5)</f>
        <v>1315.5</v>
      </c>
      <c r="H13" s="17">
        <f>IFERROR(__xludf.DUMMYFUNCTION("INDEX(GOOGLEFINANCE(""NSE:""&amp;D13,""PRICE"",TODAY()-7),2,2)"),1263.3)</f>
        <v>1263.3</v>
      </c>
      <c r="I13" s="17">
        <f>IFERROR(__xludf.DUMMYFUNCTION("INDEX(GOOGLEFINANCE(""NSE:""&amp;D13,""PRICE"",TODAY()-14),2,2)"),1208.4)</f>
        <v>1208.4</v>
      </c>
      <c r="J13" s="17">
        <f>IFERROR(__xludf.DUMMYFUNCTION("INDEX(GOOGLEFINANCE(""NSE:""&amp;D13,""PRICE"",TODAY()-28),2,2)"),1162.95)</f>
        <v>1162.95</v>
      </c>
      <c r="K13" s="17">
        <f>IFERROR(__xludf.DUMMYFUNCTION("INDEX(GOOGLEFINANCE(""NSE:""&amp;D13,""PRICE"",TODAY()-84),2,2)"),984.65)</f>
        <v>984.65</v>
      </c>
      <c r="L13" s="16">
        <f t="shared" si="1"/>
        <v>0.008741923223</v>
      </c>
      <c r="M13" s="16">
        <f t="shared" si="2"/>
        <v>0.05042349402</v>
      </c>
      <c r="N13" s="16">
        <f t="shared" si="3"/>
        <v>0.09814630917</v>
      </c>
      <c r="O13" s="16">
        <f t="shared" si="4"/>
        <v>0.1410636743</v>
      </c>
      <c r="P13" s="16">
        <f t="shared" si="5"/>
        <v>0.3476869954</v>
      </c>
      <c r="Q13" s="30">
        <f t="shared" si="6"/>
        <v>0.03690072055</v>
      </c>
      <c r="R13" s="30">
        <f t="shared" si="7"/>
        <v>0.07120064992</v>
      </c>
      <c r="S13" s="30">
        <f t="shared" si="8"/>
        <v>0.0741533709</v>
      </c>
      <c r="T13" s="30">
        <f t="shared" si="9"/>
        <v>0.2140701987</v>
      </c>
      <c r="U13" s="31" t="str">
        <f t="shared" si="10"/>
        <v>#N/A</v>
      </c>
      <c r="V13" s="31">
        <f t="shared" si="11"/>
        <v>5</v>
      </c>
      <c r="W13" s="31">
        <f t="shared" si="12"/>
        <v>8</v>
      </c>
      <c r="X13" s="31">
        <f t="shared" si="13"/>
        <v>4</v>
      </c>
    </row>
    <row r="14">
      <c r="A14" s="21">
        <v>11.0</v>
      </c>
      <c r="B14" s="22" t="s">
        <v>536</v>
      </c>
      <c r="C14" s="22" t="s">
        <v>526</v>
      </c>
      <c r="D14" s="22" t="s">
        <v>48</v>
      </c>
      <c r="E14" s="23">
        <f>IFERROR(__xludf.DUMMYFUNCTION("GOOGLEFINANCE(""NSE:""&amp;D14,""marketcap"")/10000000"),318708.7923473)</f>
        <v>318708.7923</v>
      </c>
      <c r="F14" s="17">
        <f>IFERROR(__xludf.DUMMYFUNCTION("GOOGLEFINANCE(""NSE:""&amp;D14)"),3326.0)</f>
        <v>3326</v>
      </c>
      <c r="G14" s="17">
        <f>IFERROR(__xludf.DUMMYFUNCTION("GOOGLEFINANCE(""NSE:""&amp;D14,""closeyest"")"),3317.5)</f>
        <v>3317.5</v>
      </c>
      <c r="H14" s="17">
        <f>IFERROR(__xludf.DUMMYFUNCTION("INDEX(GOOGLEFINANCE(""NSE:""&amp;D14,""PRICE"",TODAY()-7),2,2)"),3303.05)</f>
        <v>3303.05</v>
      </c>
      <c r="I14" s="17">
        <f>IFERROR(__xludf.DUMMYFUNCTION("INDEX(GOOGLEFINANCE(""NSE:""&amp;D14,""PRICE"",TODAY()-14),2,2)"),3367.05)</f>
        <v>3367.05</v>
      </c>
      <c r="J14" s="17">
        <f>IFERROR(__xludf.DUMMYFUNCTION("INDEX(GOOGLEFINANCE(""NSE:""&amp;D14,""PRICE"",TODAY()-28),2,2)"),3036.8)</f>
        <v>3036.8</v>
      </c>
      <c r="K14" s="17">
        <f>IFERROR(__xludf.DUMMYFUNCTION("INDEX(GOOGLEFINANCE(""NSE:""&amp;D14,""PRICE"",TODAY()-84),2,2)"),3005.0)</f>
        <v>3005</v>
      </c>
      <c r="L14" s="16">
        <f t="shared" si="1"/>
        <v>0.002562170309</v>
      </c>
      <c r="M14" s="16">
        <f t="shared" si="2"/>
        <v>0.006948123704</v>
      </c>
      <c r="N14" s="16">
        <f t="shared" si="3"/>
        <v>-0.01219168115</v>
      </c>
      <c r="O14" s="16">
        <f t="shared" si="4"/>
        <v>0.09523182297</v>
      </c>
      <c r="P14" s="16">
        <f t="shared" si="5"/>
        <v>0.1068219634</v>
      </c>
      <c r="Q14" s="30">
        <f t="shared" si="6"/>
        <v>-0.006574649773</v>
      </c>
      <c r="R14" s="30">
        <f t="shared" si="7"/>
        <v>-0.0391373404</v>
      </c>
      <c r="S14" s="30">
        <f t="shared" si="8"/>
        <v>0.02832151959</v>
      </c>
      <c r="T14" s="30">
        <f t="shared" si="9"/>
        <v>-0.02679483324</v>
      </c>
      <c r="U14" s="31" t="str">
        <f t="shared" si="10"/>
        <v>#N/A</v>
      </c>
      <c r="V14" s="31">
        <f t="shared" si="11"/>
        <v>39</v>
      </c>
      <c r="W14" s="31">
        <f t="shared" si="12"/>
        <v>19</v>
      </c>
      <c r="X14" s="31">
        <f t="shared" si="13"/>
        <v>29</v>
      </c>
    </row>
    <row r="15">
      <c r="A15" s="21">
        <v>12.0</v>
      </c>
      <c r="B15" s="22" t="s">
        <v>537</v>
      </c>
      <c r="C15" s="22" t="s">
        <v>526</v>
      </c>
      <c r="D15" s="22" t="s">
        <v>51</v>
      </c>
      <c r="E15" s="23">
        <f>IFERROR(__xludf.DUMMYFUNCTION("GOOGLEFINANCE(""NSE:""&amp;D15,""marketcap"")/10000000"),298706.3612787)</f>
        <v>298706.3613</v>
      </c>
      <c r="F15" s="17">
        <f>IFERROR(__xludf.DUMMYFUNCTION("GOOGLEFINANCE(""NSE:""&amp;D15)"),242.35)</f>
        <v>242.35</v>
      </c>
      <c r="G15" s="17">
        <f>IFERROR(__xludf.DUMMYFUNCTION("GOOGLEFINANCE(""NSE:""&amp;D15,""closeyest"")"),243.5)</f>
        <v>243.5</v>
      </c>
      <c r="H15" s="17">
        <f>IFERROR(__xludf.DUMMYFUNCTION("INDEX(GOOGLEFINANCE(""NSE:""&amp;D15,""PRICE"",TODAY()-7),2,2)"),231.15)</f>
        <v>231.15</v>
      </c>
      <c r="I15" s="17">
        <f>IFERROR(__xludf.DUMMYFUNCTION("INDEX(GOOGLEFINANCE(""NSE:""&amp;D15,""PRICE"",TODAY()-14),2,2)"),214.15)</f>
        <v>214.15</v>
      </c>
      <c r="J15" s="17">
        <f>IFERROR(__xludf.DUMMYFUNCTION("INDEX(GOOGLEFINANCE(""NSE:""&amp;D15,""PRICE"",TODAY()-28),2,2)"),205.9)</f>
        <v>205.9</v>
      </c>
      <c r="K15" s="17">
        <f>IFERROR(__xludf.DUMMYFUNCTION("INDEX(GOOGLEFINANCE(""NSE:""&amp;D15,""PRICE"",TODAY()-84),2,2)"),202.4)</f>
        <v>202.4</v>
      </c>
      <c r="L15" s="16">
        <f t="shared" si="1"/>
        <v>-0.004722792608</v>
      </c>
      <c r="M15" s="16">
        <f t="shared" si="2"/>
        <v>0.04845338525</v>
      </c>
      <c r="N15" s="16">
        <f t="shared" si="3"/>
        <v>0.1316833995</v>
      </c>
      <c r="O15" s="16">
        <f t="shared" si="4"/>
        <v>0.1770276833</v>
      </c>
      <c r="P15" s="16">
        <f t="shared" si="5"/>
        <v>0.1973814229</v>
      </c>
      <c r="Q15" s="30">
        <f t="shared" si="6"/>
        <v>0.03493061177</v>
      </c>
      <c r="R15" s="30">
        <f t="shared" si="7"/>
        <v>0.1047377402</v>
      </c>
      <c r="S15" s="30">
        <f t="shared" si="8"/>
        <v>0.11011738</v>
      </c>
      <c r="T15" s="30">
        <f t="shared" si="9"/>
        <v>0.06376462629</v>
      </c>
      <c r="U15" s="31" t="str">
        <f t="shared" si="10"/>
        <v>#N/A</v>
      </c>
      <c r="V15" s="31">
        <f t="shared" si="11"/>
        <v>2</v>
      </c>
      <c r="W15" s="31">
        <f t="shared" si="12"/>
        <v>6</v>
      </c>
      <c r="X15" s="31">
        <f t="shared" si="13"/>
        <v>10</v>
      </c>
    </row>
    <row r="16">
      <c r="A16" s="21">
        <v>13.0</v>
      </c>
      <c r="B16" s="22" t="s">
        <v>538</v>
      </c>
      <c r="C16" s="22" t="s">
        <v>528</v>
      </c>
      <c r="D16" s="22" t="s">
        <v>50</v>
      </c>
      <c r="E16" s="23">
        <f>IFERROR(__xludf.DUMMYFUNCTION("GOOGLEFINANCE(""NSE:""&amp;D16,""marketcap"")/10000000"),294144.3113936)</f>
        <v>294144.3114</v>
      </c>
      <c r="F16" s="17">
        <f>IFERROR(__xludf.DUMMYFUNCTION("GOOGLEFINANCE(""NSE:""&amp;D16)"),18430.0)</f>
        <v>18430</v>
      </c>
      <c r="G16" s="17">
        <f>IFERROR(__xludf.DUMMYFUNCTION("GOOGLEFINANCE(""NSE:""&amp;D16,""closeyest"")"),17614.75)</f>
        <v>17614.75</v>
      </c>
      <c r="H16" s="17">
        <f>IFERROR(__xludf.DUMMYFUNCTION("INDEX(GOOGLEFINANCE(""NSE:""&amp;D16,""PRICE"",TODAY()-7),2,2)"),16840.2)</f>
        <v>16840.2</v>
      </c>
      <c r="I16" s="17">
        <f>IFERROR(__xludf.DUMMYFUNCTION("INDEX(GOOGLEFINANCE(""NSE:""&amp;D16,""PRICE"",TODAY()-14),2,2)"),16938.2)</f>
        <v>16938.2</v>
      </c>
      <c r="J16" s="17">
        <f>IFERROR(__xludf.DUMMYFUNCTION("INDEX(GOOGLEFINANCE(""NSE:""&amp;D16,""PRICE"",TODAY()-28),2,2)"),16195.6)</f>
        <v>16195.6</v>
      </c>
      <c r="K16" s="17">
        <f>IFERROR(__xludf.DUMMYFUNCTION("INDEX(GOOGLEFINANCE(""NSE:""&amp;D16,""PRICE"",TODAY()-84),2,2)"),11750.45)</f>
        <v>11750.45</v>
      </c>
      <c r="L16" s="16">
        <f t="shared" si="1"/>
        <v>0.04628223506</v>
      </c>
      <c r="M16" s="16">
        <f t="shared" si="2"/>
        <v>0.09440505457</v>
      </c>
      <c r="N16" s="16">
        <f t="shared" si="3"/>
        <v>0.08807311285</v>
      </c>
      <c r="O16" s="16">
        <f t="shared" si="4"/>
        <v>0.1379633975</v>
      </c>
      <c r="P16" s="16">
        <f t="shared" si="5"/>
        <v>0.56845057</v>
      </c>
      <c r="Q16" s="30">
        <f t="shared" si="6"/>
        <v>0.0808822811</v>
      </c>
      <c r="R16" s="30">
        <f t="shared" si="7"/>
        <v>0.06112745359</v>
      </c>
      <c r="S16" s="30">
        <f t="shared" si="8"/>
        <v>0.07105309409</v>
      </c>
      <c r="T16" s="30">
        <f t="shared" si="9"/>
        <v>0.4348337733</v>
      </c>
      <c r="U16" s="31" t="str">
        <f t="shared" si="10"/>
        <v>#N/A</v>
      </c>
      <c r="V16" s="31">
        <f t="shared" si="11"/>
        <v>7</v>
      </c>
      <c r="W16" s="31">
        <f t="shared" si="12"/>
        <v>9</v>
      </c>
      <c r="X16" s="31">
        <f t="shared" si="13"/>
        <v>1</v>
      </c>
    </row>
    <row r="17">
      <c r="A17" s="21">
        <v>14.0</v>
      </c>
      <c r="B17" s="22" t="s">
        <v>539</v>
      </c>
      <c r="C17" s="22" t="s">
        <v>528</v>
      </c>
      <c r="D17" s="22" t="s">
        <v>55</v>
      </c>
      <c r="E17" s="23">
        <f>IFERROR(__xludf.DUMMYFUNCTION("GOOGLEFINANCE(""NSE:""&amp;D17,""marketcap"")/10000000"),249162.2785767)</f>
        <v>249162.2786</v>
      </c>
      <c r="F17" s="17">
        <f>IFERROR(__xludf.DUMMYFUNCTION("GOOGLEFINANCE(""NSE:""&amp;D17)"),813.0)</f>
        <v>813</v>
      </c>
      <c r="G17" s="17">
        <f>IFERROR(__xludf.DUMMYFUNCTION("GOOGLEFINANCE(""NSE:""&amp;D17,""closeyest"")"),788.35)</f>
        <v>788.35</v>
      </c>
      <c r="H17" s="17">
        <f>IFERROR(__xludf.DUMMYFUNCTION("INDEX(GOOGLEFINANCE(""NSE:""&amp;D17,""PRICE"",TODAY()-7),2,2)"),807.35)</f>
        <v>807.35</v>
      </c>
      <c r="I17" s="17">
        <f>IFERROR(__xludf.DUMMYFUNCTION("INDEX(GOOGLEFINANCE(""NSE:""&amp;D17,""PRICE"",TODAY()-14),2,2)"),788.35)</f>
        <v>788.35</v>
      </c>
      <c r="J17" s="17">
        <f>IFERROR(__xludf.DUMMYFUNCTION("INDEX(GOOGLEFINANCE(""NSE:""&amp;D17,""PRICE"",TODAY()-28),2,2)"),752.4)</f>
        <v>752.4</v>
      </c>
      <c r="K17" s="17">
        <f>IFERROR(__xludf.DUMMYFUNCTION("INDEX(GOOGLEFINANCE(""NSE:""&amp;D17,""PRICE"",TODAY()-84),2,2)"),750.65)</f>
        <v>750.65</v>
      </c>
      <c r="L17" s="16">
        <f t="shared" si="1"/>
        <v>0.03126783789</v>
      </c>
      <c r="M17" s="16">
        <f t="shared" si="2"/>
        <v>0.006998204001</v>
      </c>
      <c r="N17" s="16">
        <f t="shared" si="3"/>
        <v>0.03126783789</v>
      </c>
      <c r="O17" s="16">
        <f t="shared" si="4"/>
        <v>0.08054226475</v>
      </c>
      <c r="P17" s="16">
        <f t="shared" si="5"/>
        <v>0.08306134683</v>
      </c>
      <c r="Q17" s="30">
        <f t="shared" si="6"/>
        <v>-0.006524569476</v>
      </c>
      <c r="R17" s="30">
        <f t="shared" si="7"/>
        <v>0.004322178638</v>
      </c>
      <c r="S17" s="30">
        <f t="shared" si="8"/>
        <v>0.01363196137</v>
      </c>
      <c r="T17" s="30">
        <f t="shared" si="9"/>
        <v>-0.0505554498</v>
      </c>
      <c r="U17" s="31" t="str">
        <f t="shared" si="10"/>
        <v>#N/A</v>
      </c>
      <c r="V17" s="31">
        <f t="shared" si="11"/>
        <v>19</v>
      </c>
      <c r="W17" s="31">
        <f t="shared" si="12"/>
        <v>22</v>
      </c>
      <c r="X17" s="31">
        <f t="shared" si="13"/>
        <v>32</v>
      </c>
    </row>
    <row r="18">
      <c r="A18" s="21">
        <v>15.0</v>
      </c>
      <c r="B18" s="22" t="s">
        <v>540</v>
      </c>
      <c r="C18" s="22" t="s">
        <v>541</v>
      </c>
      <c r="D18" s="22" t="s">
        <v>57</v>
      </c>
      <c r="E18" s="23">
        <f>IFERROR(__xludf.DUMMYFUNCTION("GOOGLEFINANCE(""NSE:""&amp;D18,""marketcap"")/10000000"),249029.265)</f>
        <v>249029.265</v>
      </c>
      <c r="F18" s="17">
        <f>IFERROR(__xludf.DUMMYFUNCTION("GOOGLEFINANCE(""NSE:""&amp;D18)"),1774.55)</f>
        <v>1774.55</v>
      </c>
      <c r="G18" s="17">
        <f>IFERROR(__xludf.DUMMYFUNCTION("GOOGLEFINANCE(""NSE:""&amp;D18,""closeyest"")"),1710.9)</f>
        <v>1710.9</v>
      </c>
      <c r="H18" s="17">
        <f>IFERROR(__xludf.DUMMYFUNCTION("INDEX(GOOGLEFINANCE(""NSE:""&amp;D18,""PRICE"",TODAY()-7),2,2)"),1716.2)</f>
        <v>1716.2</v>
      </c>
      <c r="I18" s="17">
        <f>IFERROR(__xludf.DUMMYFUNCTION("INDEX(GOOGLEFINANCE(""NSE:""&amp;D18,""PRICE"",TODAY()-14),2,2)"),1671.7)</f>
        <v>1671.7</v>
      </c>
      <c r="J18" s="17">
        <f>IFERROR(__xludf.DUMMYFUNCTION("INDEX(GOOGLEFINANCE(""NSE:""&amp;D18,""PRICE"",TODAY()-28),2,2)"),1638.1)</f>
        <v>1638.1</v>
      </c>
      <c r="K18" s="17">
        <f>IFERROR(__xludf.DUMMYFUNCTION("INDEX(GOOGLEFINANCE(""NSE:""&amp;D18,""PRICE"",TODAY()-84),2,2)"),1485.65)</f>
        <v>1485.65</v>
      </c>
      <c r="L18" s="16">
        <f t="shared" si="1"/>
        <v>0.03720264188</v>
      </c>
      <c r="M18" s="16">
        <f t="shared" si="2"/>
        <v>0.03399953385</v>
      </c>
      <c r="N18" s="16">
        <f t="shared" si="3"/>
        <v>0.06152419693</v>
      </c>
      <c r="O18" s="16">
        <f t="shared" si="4"/>
        <v>0.08329772297</v>
      </c>
      <c r="P18" s="16">
        <f t="shared" si="5"/>
        <v>0.1944603372</v>
      </c>
      <c r="Q18" s="30">
        <f t="shared" si="6"/>
        <v>0.02047676038</v>
      </c>
      <c r="R18" s="30">
        <f t="shared" si="7"/>
        <v>0.03457853767</v>
      </c>
      <c r="S18" s="30">
        <f t="shared" si="8"/>
        <v>0.01638741959</v>
      </c>
      <c r="T18" s="30">
        <f t="shared" si="9"/>
        <v>0.06084354059</v>
      </c>
      <c r="U18" s="31" t="str">
        <f t="shared" si="10"/>
        <v>#N/A</v>
      </c>
      <c r="V18" s="31">
        <f t="shared" si="11"/>
        <v>11</v>
      </c>
      <c r="W18" s="31">
        <f t="shared" si="12"/>
        <v>21</v>
      </c>
      <c r="X18" s="31">
        <f t="shared" si="13"/>
        <v>11</v>
      </c>
    </row>
    <row r="19">
      <c r="A19" s="21">
        <v>16.0</v>
      </c>
      <c r="B19" s="22" t="s">
        <v>542</v>
      </c>
      <c r="C19" s="22" t="s">
        <v>543</v>
      </c>
      <c r="D19" s="22" t="s">
        <v>59</v>
      </c>
      <c r="E19" s="23">
        <f>IFERROR(__xludf.DUMMYFUNCTION("GOOGLEFINANCE(""NSE:""&amp;D19,""marketcap"")/10000000"),220045.44996)</f>
        <v>220045.45</v>
      </c>
      <c r="F19" s="17">
        <f>IFERROR(__xludf.DUMMYFUNCTION("GOOGLEFINANCE(""NSE:""&amp;D19)"),7628.0)</f>
        <v>7628</v>
      </c>
      <c r="G19" s="17">
        <f>IFERROR(__xludf.DUMMYFUNCTION("GOOGLEFINANCE(""NSE:""&amp;D19,""closeyest"")"),7625.6)</f>
        <v>7625.6</v>
      </c>
      <c r="H19" s="17">
        <f>IFERROR(__xludf.DUMMYFUNCTION("INDEX(GOOGLEFINANCE(""NSE:""&amp;D19,""PRICE"",TODAY()-7),2,2)"),7711.85)</f>
        <v>7711.85</v>
      </c>
      <c r="I19" s="17">
        <f>IFERROR(__xludf.DUMMYFUNCTION("INDEX(GOOGLEFINANCE(""NSE:""&amp;D19,""PRICE"",TODAY()-14),2,2)"),7944.45)</f>
        <v>7944.45</v>
      </c>
      <c r="J19" s="17">
        <f>IFERROR(__xludf.DUMMYFUNCTION("INDEX(GOOGLEFINANCE(""NSE:""&amp;D19,""PRICE"",TODAY()-28),2,2)"),7565.6)</f>
        <v>7565.6</v>
      </c>
      <c r="K19" s="17">
        <f>IFERROR(__xludf.DUMMYFUNCTION("INDEX(GOOGLEFINANCE(""NSE:""&amp;D19,""PRICE"",TODAY()-84),2,2)"),6719.9)</f>
        <v>6719.9</v>
      </c>
      <c r="L19" s="16">
        <f t="shared" si="1"/>
        <v>0.0003147293328</v>
      </c>
      <c r="M19" s="16">
        <f t="shared" si="2"/>
        <v>-0.01087287745</v>
      </c>
      <c r="N19" s="16">
        <f t="shared" si="3"/>
        <v>-0.03983283928</v>
      </c>
      <c r="O19" s="16">
        <f t="shared" si="4"/>
        <v>0.008247858729</v>
      </c>
      <c r="P19" s="16">
        <f t="shared" si="5"/>
        <v>0.1351359395</v>
      </c>
      <c r="Q19" s="30">
        <f t="shared" si="6"/>
        <v>-0.02439565093</v>
      </c>
      <c r="R19" s="30">
        <f t="shared" si="7"/>
        <v>-0.06677849853</v>
      </c>
      <c r="S19" s="30">
        <f t="shared" si="8"/>
        <v>-0.05866244465</v>
      </c>
      <c r="T19" s="30">
        <f t="shared" si="9"/>
        <v>0.001519142891</v>
      </c>
      <c r="U19" s="31" t="str">
        <f t="shared" si="10"/>
        <v>#N/A</v>
      </c>
      <c r="V19" s="31">
        <f t="shared" si="11"/>
        <v>48</v>
      </c>
      <c r="W19" s="31">
        <f t="shared" si="12"/>
        <v>42</v>
      </c>
      <c r="X19" s="31">
        <f t="shared" si="13"/>
        <v>21</v>
      </c>
    </row>
    <row r="20">
      <c r="A20" s="21">
        <v>17.0</v>
      </c>
      <c r="B20" s="22" t="s">
        <v>544</v>
      </c>
      <c r="C20" s="22" t="s">
        <v>545</v>
      </c>
      <c r="D20" s="22" t="s">
        <v>61</v>
      </c>
      <c r="E20" s="23">
        <f>IFERROR(__xludf.DUMMYFUNCTION("GOOGLEFINANCE(""NSE:""&amp;D20,""marketcap"")/10000000"),206723.7284232)</f>
        <v>206723.7284</v>
      </c>
      <c r="F20" s="17">
        <f>IFERROR(__xludf.DUMMYFUNCTION("GOOGLEFINANCE(""NSE:""&amp;D20)"),6843.0)</f>
        <v>6843</v>
      </c>
      <c r="G20" s="17">
        <f>IFERROR(__xludf.DUMMYFUNCTION("GOOGLEFINANCE(""NSE:""&amp;D20,""closeyest"")"),6831.0)</f>
        <v>6831</v>
      </c>
      <c r="H20" s="17">
        <f>IFERROR(__xludf.DUMMYFUNCTION("INDEX(GOOGLEFINANCE(""NSE:""&amp;D20,""PRICE"",TODAY()-7),2,2)"),7014.45)</f>
        <v>7014.45</v>
      </c>
      <c r="I20" s="17">
        <f>IFERROR(__xludf.DUMMYFUNCTION("INDEX(GOOGLEFINANCE(""NSE:""&amp;D20,""PRICE"",TODAY()-14),2,2)"),6873.7)</f>
        <v>6873.7</v>
      </c>
      <c r="J20" s="17">
        <f>IFERROR(__xludf.DUMMYFUNCTION("INDEX(GOOGLEFINANCE(""NSE:""&amp;D20,""PRICE"",TODAY()-28),2,2)"),6624.85)</f>
        <v>6624.85</v>
      </c>
      <c r="K20" s="17">
        <f>IFERROR(__xludf.DUMMYFUNCTION("INDEX(GOOGLEFINANCE(""NSE:""&amp;D20,""PRICE"",TODAY()-84),2,2)"),7573.85)</f>
        <v>7573.85</v>
      </c>
      <c r="L20" s="16">
        <f t="shared" si="1"/>
        <v>0.001756697409</v>
      </c>
      <c r="M20" s="16">
        <f t="shared" si="2"/>
        <v>-0.02444240104</v>
      </c>
      <c r="N20" s="16">
        <f t="shared" si="3"/>
        <v>-0.004466299082</v>
      </c>
      <c r="O20" s="16">
        <f t="shared" si="4"/>
        <v>0.03292904745</v>
      </c>
      <c r="P20" s="16">
        <f t="shared" si="5"/>
        <v>-0.09649649782</v>
      </c>
      <c r="Q20" s="30">
        <f t="shared" si="6"/>
        <v>-0.03796517452</v>
      </c>
      <c r="R20" s="30">
        <f t="shared" si="7"/>
        <v>-0.03141195833</v>
      </c>
      <c r="S20" s="30">
        <f t="shared" si="8"/>
        <v>-0.03398125593</v>
      </c>
      <c r="T20" s="30">
        <f t="shared" si="9"/>
        <v>-0.2301132944</v>
      </c>
      <c r="U20" s="31" t="str">
        <f t="shared" si="10"/>
        <v>#N/A</v>
      </c>
      <c r="V20" s="31">
        <f t="shared" si="11"/>
        <v>36</v>
      </c>
      <c r="W20" s="31">
        <f t="shared" si="12"/>
        <v>33</v>
      </c>
      <c r="X20" s="31">
        <f t="shared" si="13"/>
        <v>49</v>
      </c>
    </row>
    <row r="21">
      <c r="A21" s="21">
        <v>18.0</v>
      </c>
      <c r="B21" s="22" t="s">
        <v>546</v>
      </c>
      <c r="C21" s="22" t="s">
        <v>526</v>
      </c>
      <c r="D21" s="22" t="s">
        <v>63</v>
      </c>
      <c r="E21" s="23">
        <f>IFERROR(__xludf.DUMMYFUNCTION("GOOGLEFINANCE(""NSE:""&amp;D21,""marketcap"")/10000000"),191327.354768)</f>
        <v>191327.3548</v>
      </c>
      <c r="F21" s="17">
        <f>IFERROR(__xludf.DUMMYFUNCTION("GOOGLEFINANCE(""NSE:""&amp;D21)"),19844.0)</f>
        <v>19844</v>
      </c>
      <c r="G21" s="17">
        <f>IFERROR(__xludf.DUMMYFUNCTION("GOOGLEFINANCE(""NSE:""&amp;D21,""closeyest"")"),19925.2)</f>
        <v>19925.2</v>
      </c>
      <c r="H21" s="17">
        <f>IFERROR(__xludf.DUMMYFUNCTION("INDEX(GOOGLEFINANCE(""NSE:""&amp;D21,""PRICE"",TODAY()-7),2,2)"),20175.7)</f>
        <v>20175.7</v>
      </c>
      <c r="I21" s="17">
        <f>IFERROR(__xludf.DUMMYFUNCTION("INDEX(GOOGLEFINANCE(""NSE:""&amp;D21,""PRICE"",TODAY()-14),2,2)"),20452.25)</f>
        <v>20452.25</v>
      </c>
      <c r="J21" s="17">
        <f>IFERROR(__xludf.DUMMYFUNCTION("INDEX(GOOGLEFINANCE(""NSE:""&amp;D21,""PRICE"",TODAY()-28),2,2)"),19957.35)</f>
        <v>19957.35</v>
      </c>
      <c r="K21" s="17">
        <f>IFERROR(__xludf.DUMMYFUNCTION("INDEX(GOOGLEFINANCE(""NSE:""&amp;D21,""PRICE"",TODAY()-84),2,2)"),17602.0)</f>
        <v>17602</v>
      </c>
      <c r="L21" s="16">
        <f t="shared" si="1"/>
        <v>-0.004075241403</v>
      </c>
      <c r="M21" s="16">
        <f t="shared" si="2"/>
        <v>-0.0164405696</v>
      </c>
      <c r="N21" s="16">
        <f t="shared" si="3"/>
        <v>-0.02974000416</v>
      </c>
      <c r="O21" s="16">
        <f t="shared" si="4"/>
        <v>-0.005679611772</v>
      </c>
      <c r="P21" s="16">
        <f t="shared" si="5"/>
        <v>0.1273718896</v>
      </c>
      <c r="Q21" s="30">
        <f t="shared" si="6"/>
        <v>-0.02996334307</v>
      </c>
      <c r="R21" s="30">
        <f t="shared" si="7"/>
        <v>-0.05668566341</v>
      </c>
      <c r="S21" s="30">
        <f t="shared" si="8"/>
        <v>-0.07258991515</v>
      </c>
      <c r="T21" s="30">
        <f t="shared" si="9"/>
        <v>-0.006244907074</v>
      </c>
      <c r="U21" s="31" t="str">
        <f t="shared" si="10"/>
        <v>#N/A</v>
      </c>
      <c r="V21" s="31">
        <f t="shared" si="11"/>
        <v>45</v>
      </c>
      <c r="W21" s="31">
        <f t="shared" si="12"/>
        <v>47</v>
      </c>
      <c r="X21" s="31">
        <f t="shared" si="13"/>
        <v>24</v>
      </c>
    </row>
    <row r="22">
      <c r="A22" s="21">
        <v>19.0</v>
      </c>
      <c r="B22" s="22" t="s">
        <v>547</v>
      </c>
      <c r="C22" s="22" t="s">
        <v>526</v>
      </c>
      <c r="D22" s="22" t="s">
        <v>71</v>
      </c>
      <c r="E22" s="23">
        <f>IFERROR(__xludf.DUMMYFUNCTION("GOOGLEFINANCE(""NSE:""&amp;D22,""marketcap"")/10000000"),186763.36944)</f>
        <v>186763.3694</v>
      </c>
      <c r="F22" s="17">
        <f>IFERROR(__xludf.DUMMYFUNCTION("GOOGLEFINANCE(""NSE:""&amp;D22)"),2106.0)</f>
        <v>2106</v>
      </c>
      <c r="G22" s="17">
        <f>IFERROR(__xludf.DUMMYFUNCTION("GOOGLEFINANCE(""NSE:""&amp;D22,""closeyest"")"),2081.05)</f>
        <v>2081.05</v>
      </c>
      <c r="H22" s="17">
        <f>IFERROR(__xludf.DUMMYFUNCTION("INDEX(GOOGLEFINANCE(""NSE:""&amp;D22,""PRICE"",TODAY()-7),2,2)"),2095.6)</f>
        <v>2095.6</v>
      </c>
      <c r="I22" s="17">
        <f>IFERROR(__xludf.DUMMYFUNCTION("INDEX(GOOGLEFINANCE(""NSE:""&amp;D22,""PRICE"",TODAY()-14),2,2)"),2030.65)</f>
        <v>2030.65</v>
      </c>
      <c r="J22" s="17">
        <f>IFERROR(__xludf.DUMMYFUNCTION("INDEX(GOOGLEFINANCE(""NSE:""&amp;D22,""PRICE"",TODAY()-28),2,2)"),1822.55)</f>
        <v>1822.55</v>
      </c>
      <c r="K22" s="17">
        <f>IFERROR(__xludf.DUMMYFUNCTION("INDEX(GOOGLEFINANCE(""NSE:""&amp;D22,""PRICE"",TODAY()-84),2,2)"),1754.75)</f>
        <v>1754.75</v>
      </c>
      <c r="L22" s="16">
        <f t="shared" si="1"/>
        <v>0.0119891401</v>
      </c>
      <c r="M22" s="16">
        <f t="shared" si="2"/>
        <v>0.004962779156</v>
      </c>
      <c r="N22" s="16">
        <f t="shared" si="3"/>
        <v>0.03710634526</v>
      </c>
      <c r="O22" s="16">
        <f t="shared" si="4"/>
        <v>0.1555238539</v>
      </c>
      <c r="P22" s="16">
        <f t="shared" si="5"/>
        <v>0.2001709645</v>
      </c>
      <c r="Q22" s="30">
        <f t="shared" si="6"/>
        <v>-0.00855999432</v>
      </c>
      <c r="R22" s="30">
        <f t="shared" si="7"/>
        <v>0.01016068601</v>
      </c>
      <c r="S22" s="30">
        <f t="shared" si="8"/>
        <v>0.08861355056</v>
      </c>
      <c r="T22" s="30">
        <f t="shared" si="9"/>
        <v>0.06655416789</v>
      </c>
      <c r="U22" s="31" t="str">
        <f t="shared" si="10"/>
        <v>#N/A</v>
      </c>
      <c r="V22" s="31">
        <f t="shared" si="11"/>
        <v>17</v>
      </c>
      <c r="W22" s="31">
        <f t="shared" si="12"/>
        <v>7</v>
      </c>
      <c r="X22" s="31">
        <f t="shared" si="13"/>
        <v>9</v>
      </c>
    </row>
    <row r="23">
      <c r="A23" s="21">
        <v>20.0</v>
      </c>
      <c r="B23" s="22" t="s">
        <v>548</v>
      </c>
      <c r="C23" s="22" t="s">
        <v>549</v>
      </c>
      <c r="D23" s="22" t="s">
        <v>65</v>
      </c>
      <c r="E23" s="23">
        <f>IFERROR(__xludf.DUMMYFUNCTION("GOOGLEFINANCE(""NSE:""&amp;D23,""marketcap"")/10000000"),184508.8615)</f>
        <v>184508.8615</v>
      </c>
      <c r="F23" s="17">
        <f>IFERROR(__xludf.DUMMYFUNCTION("GOOGLEFINANCE(""NSE:""&amp;D23)"),769.0)</f>
        <v>769</v>
      </c>
      <c r="G23" s="17">
        <f>IFERROR(__xludf.DUMMYFUNCTION("GOOGLEFINANCE(""NSE:""&amp;D23,""closeyest"")"),770.1)</f>
        <v>770.1</v>
      </c>
      <c r="H23" s="17">
        <f>IFERROR(__xludf.DUMMYFUNCTION("INDEX(GOOGLEFINANCE(""NSE:""&amp;D23,""PRICE"",TODAY()-7),2,2)"),769.9)</f>
        <v>769.9</v>
      </c>
      <c r="I23" s="17">
        <f>IFERROR(__xludf.DUMMYFUNCTION("INDEX(GOOGLEFINANCE(""NSE:""&amp;D23,""PRICE"",TODAY()-14),2,2)"),780.3)</f>
        <v>780.3</v>
      </c>
      <c r="J23" s="17">
        <f>IFERROR(__xludf.DUMMYFUNCTION("INDEX(GOOGLEFINANCE(""NSE:""&amp;D23,""PRICE"",TODAY()-28),2,2)"),771.8)</f>
        <v>771.8</v>
      </c>
      <c r="K23" s="17">
        <f>IFERROR(__xludf.DUMMYFUNCTION("INDEX(GOOGLEFINANCE(""NSE:""&amp;D23,""PRICE"",TODAY()-84),2,2)"),681.25)</f>
        <v>681.25</v>
      </c>
      <c r="L23" s="16">
        <f t="shared" si="1"/>
        <v>-0.001428385924</v>
      </c>
      <c r="M23" s="16">
        <f t="shared" si="2"/>
        <v>-0.001168982985</v>
      </c>
      <c r="N23" s="16">
        <f t="shared" si="3"/>
        <v>-0.01448160964</v>
      </c>
      <c r="O23" s="16">
        <f t="shared" si="4"/>
        <v>-0.003627882871</v>
      </c>
      <c r="P23" s="16">
        <f t="shared" si="5"/>
        <v>0.1288073394</v>
      </c>
      <c r="Q23" s="30">
        <f t="shared" si="6"/>
        <v>-0.01469175646</v>
      </c>
      <c r="R23" s="30">
        <f t="shared" si="7"/>
        <v>-0.04142726889</v>
      </c>
      <c r="S23" s="30">
        <f t="shared" si="8"/>
        <v>-0.07053818625</v>
      </c>
      <c r="T23" s="30">
        <f t="shared" si="9"/>
        <v>-0.004809457182</v>
      </c>
      <c r="U23" s="31" t="str">
        <f t="shared" si="10"/>
        <v>#N/A</v>
      </c>
      <c r="V23" s="31">
        <f t="shared" si="11"/>
        <v>41</v>
      </c>
      <c r="W23" s="31">
        <f t="shared" si="12"/>
        <v>45</v>
      </c>
      <c r="X23" s="31">
        <f t="shared" si="13"/>
        <v>23</v>
      </c>
    </row>
    <row r="24">
      <c r="A24" s="21">
        <v>21.0</v>
      </c>
      <c r="B24" s="22" t="s">
        <v>550</v>
      </c>
      <c r="C24" s="22" t="s">
        <v>522</v>
      </c>
      <c r="D24" s="22" t="s">
        <v>81</v>
      </c>
      <c r="E24" s="23">
        <f>IFERROR(__xludf.DUMMYFUNCTION("GOOGLEFINANCE(""NSE:""&amp;D24,""marketcap"")/10000000"),173547.505834)</f>
        <v>173547.5058</v>
      </c>
      <c r="F24" s="17">
        <f>IFERROR(__xludf.DUMMYFUNCTION("GOOGLEFINANCE(""NSE:""&amp;D24)"),137.75)</f>
        <v>137.75</v>
      </c>
      <c r="G24" s="17">
        <f>IFERROR(__xludf.DUMMYFUNCTION("GOOGLEFINANCE(""NSE:""&amp;D24,""closeyest"")"),133.65)</f>
        <v>133.65</v>
      </c>
      <c r="H24" s="17">
        <f>IFERROR(__xludf.DUMMYFUNCTION("INDEX(GOOGLEFINANCE(""NSE:""&amp;D24,""PRICE"",TODAY()-7),2,2)"),127.75)</f>
        <v>127.75</v>
      </c>
      <c r="I24" s="17">
        <f>IFERROR(__xludf.DUMMYFUNCTION("INDEX(GOOGLEFINANCE(""NSE:""&amp;D24,""PRICE"",TODAY()-14),2,2)"),123.05)</f>
        <v>123.05</v>
      </c>
      <c r="J24" s="17">
        <f>IFERROR(__xludf.DUMMYFUNCTION("INDEX(GOOGLEFINANCE(""NSE:""&amp;D24,""PRICE"",TODAY()-28),2,2)"),116.65)</f>
        <v>116.65</v>
      </c>
      <c r="K24" s="17">
        <f>IFERROR(__xludf.DUMMYFUNCTION("INDEX(GOOGLEFINANCE(""NSE:""&amp;D24,""PRICE"",TODAY()-84),2,2)"),118.45)</f>
        <v>118.45</v>
      </c>
      <c r="L24" s="16">
        <f t="shared" si="1"/>
        <v>0.03067714179</v>
      </c>
      <c r="M24" s="16">
        <f t="shared" si="2"/>
        <v>0.0782778865</v>
      </c>
      <c r="N24" s="16">
        <f t="shared" si="3"/>
        <v>0.1194636327</v>
      </c>
      <c r="O24" s="16">
        <f t="shared" si="4"/>
        <v>0.1808829833</v>
      </c>
      <c r="P24" s="16">
        <f t="shared" si="5"/>
        <v>0.1629379485</v>
      </c>
      <c r="Q24" s="30">
        <f t="shared" si="6"/>
        <v>0.06475511302</v>
      </c>
      <c r="R24" s="30">
        <f t="shared" si="7"/>
        <v>0.09251797342</v>
      </c>
      <c r="S24" s="30">
        <f t="shared" si="8"/>
        <v>0.1139726799</v>
      </c>
      <c r="T24" s="30">
        <f t="shared" si="9"/>
        <v>0.02932115187</v>
      </c>
      <c r="U24" s="31" t="str">
        <f t="shared" si="10"/>
        <v>#N/A</v>
      </c>
      <c r="V24" s="31">
        <f t="shared" si="11"/>
        <v>3</v>
      </c>
      <c r="W24" s="31">
        <f t="shared" si="12"/>
        <v>5</v>
      </c>
      <c r="X24" s="31">
        <f t="shared" si="13"/>
        <v>15</v>
      </c>
    </row>
    <row r="25">
      <c r="A25" s="21">
        <v>22.0</v>
      </c>
      <c r="B25" s="22" t="s">
        <v>551</v>
      </c>
      <c r="C25" s="22" t="s">
        <v>552</v>
      </c>
      <c r="D25" s="22" t="s">
        <v>75</v>
      </c>
      <c r="E25" s="23">
        <f>IFERROR(__xludf.DUMMYFUNCTION("GOOGLEFINANCE(""NSE:""&amp;D25,""marketcap"")/10000000"),162328.4167213)</f>
        <v>162328.4167</v>
      </c>
      <c r="F25" s="17">
        <f>IFERROR(__xludf.DUMMYFUNCTION("GOOGLEFINANCE(""NSE:""&amp;D25)"),674.3)</f>
        <v>674.3</v>
      </c>
      <c r="G25" s="17">
        <f>IFERROR(__xludf.DUMMYFUNCTION("GOOGLEFINANCE(""NSE:""&amp;D25,""closeyest"")"),678.55)</f>
        <v>678.55</v>
      </c>
      <c r="H25" s="17">
        <f>IFERROR(__xludf.DUMMYFUNCTION("INDEX(GOOGLEFINANCE(""NSE:""&amp;D25,""PRICE"",TODAY()-7),2,2)"),682.3)</f>
        <v>682.3</v>
      </c>
      <c r="I25" s="17">
        <f>IFERROR(__xludf.DUMMYFUNCTION("INDEX(GOOGLEFINANCE(""NSE:""&amp;D25,""PRICE"",TODAY()-14),2,2)"),694.4)</f>
        <v>694.4</v>
      </c>
      <c r="J25" s="17">
        <f>IFERROR(__xludf.DUMMYFUNCTION("INDEX(GOOGLEFINANCE(""NSE:""&amp;D25,""PRICE"",TODAY()-28),2,2)"),677.5)</f>
        <v>677.5</v>
      </c>
      <c r="K25" s="17">
        <f>IFERROR(__xludf.DUMMYFUNCTION("INDEX(GOOGLEFINANCE(""NSE:""&amp;D25,""PRICE"",TODAY()-84),2,2)"),671.3)</f>
        <v>671.3</v>
      </c>
      <c r="L25" s="16">
        <f t="shared" si="1"/>
        <v>-0.006263355685</v>
      </c>
      <c r="M25" s="16">
        <f t="shared" si="2"/>
        <v>-0.01172504763</v>
      </c>
      <c r="N25" s="16">
        <f t="shared" si="3"/>
        <v>-0.02894585253</v>
      </c>
      <c r="O25" s="16">
        <f t="shared" si="4"/>
        <v>-0.004723247232</v>
      </c>
      <c r="P25" s="16">
        <f t="shared" si="5"/>
        <v>0.004468940861</v>
      </c>
      <c r="Q25" s="30">
        <f t="shared" si="6"/>
        <v>-0.02524782111</v>
      </c>
      <c r="R25" s="30">
        <f t="shared" si="7"/>
        <v>-0.05589151179</v>
      </c>
      <c r="S25" s="30">
        <f t="shared" si="8"/>
        <v>-0.07163355061</v>
      </c>
      <c r="T25" s="30">
        <f t="shared" si="9"/>
        <v>-0.1291478558</v>
      </c>
      <c r="U25" s="31" t="str">
        <f t="shared" si="10"/>
        <v>#N/A</v>
      </c>
      <c r="V25" s="31">
        <f t="shared" si="11"/>
        <v>44</v>
      </c>
      <c r="W25" s="31">
        <f t="shared" si="12"/>
        <v>46</v>
      </c>
      <c r="X25" s="31">
        <f t="shared" si="13"/>
        <v>41</v>
      </c>
    </row>
    <row r="26">
      <c r="A26" s="21">
        <v>23.0</v>
      </c>
      <c r="B26" s="22" t="s">
        <v>553</v>
      </c>
      <c r="C26" s="22" t="s">
        <v>552</v>
      </c>
      <c r="D26" s="22" t="s">
        <v>67</v>
      </c>
      <c r="E26" s="23">
        <f>IFERROR(__xludf.DUMMYFUNCTION("GOOGLEFINANCE(""NSE:""&amp;D26,""marketcap"")/10000000"),158771.5852178)</f>
        <v>158771.5852</v>
      </c>
      <c r="F26" s="17">
        <f>IFERROR(__xludf.DUMMYFUNCTION("GOOGLEFINANCE(""NSE:""&amp;D26)"),1315.5)</f>
        <v>1315.5</v>
      </c>
      <c r="G26" s="17">
        <f>IFERROR(__xludf.DUMMYFUNCTION("GOOGLEFINANCE(""NSE:""&amp;D26,""closeyest"")"),1305.8)</f>
        <v>1305.8</v>
      </c>
      <c r="H26" s="17">
        <f>IFERROR(__xludf.DUMMYFUNCTION("INDEX(GOOGLEFINANCE(""NSE:""&amp;D26,""PRICE"",TODAY()-7),2,2)"),1385.9)</f>
        <v>1385.9</v>
      </c>
      <c r="I26" s="17">
        <f>IFERROR(__xludf.DUMMYFUNCTION("INDEX(GOOGLEFINANCE(""NSE:""&amp;D26,""PRICE"",TODAY()-14),2,2)"),1463.45)</f>
        <v>1463.45</v>
      </c>
      <c r="J26" s="17">
        <f>IFERROR(__xludf.DUMMYFUNCTION("INDEX(GOOGLEFINANCE(""NSE:""&amp;D26,""PRICE"",TODAY()-28),2,2)"),1384.15)</f>
        <v>1384.15</v>
      </c>
      <c r="K26" s="17">
        <f>IFERROR(__xludf.DUMMYFUNCTION("INDEX(GOOGLEFINANCE(""NSE:""&amp;D26,""PRICE"",TODAY()-84),2,2)"),1136.0)</f>
        <v>1136</v>
      </c>
      <c r="L26" s="16">
        <f t="shared" si="1"/>
        <v>0.007428396385</v>
      </c>
      <c r="M26" s="16">
        <f t="shared" si="2"/>
        <v>-0.05079731582</v>
      </c>
      <c r="N26" s="16">
        <f t="shared" si="3"/>
        <v>-0.1010967235</v>
      </c>
      <c r="O26" s="16">
        <f t="shared" si="4"/>
        <v>-0.04959722573</v>
      </c>
      <c r="P26" s="16">
        <f t="shared" si="5"/>
        <v>0.1580105634</v>
      </c>
      <c r="Q26" s="30">
        <f t="shared" si="6"/>
        <v>-0.0643200893</v>
      </c>
      <c r="R26" s="30">
        <f t="shared" si="7"/>
        <v>-0.1280423827</v>
      </c>
      <c r="S26" s="30">
        <f t="shared" si="8"/>
        <v>-0.1165075291</v>
      </c>
      <c r="T26" s="30">
        <f t="shared" si="9"/>
        <v>0.02439376675</v>
      </c>
      <c r="U26" s="31" t="str">
        <f t="shared" si="10"/>
        <v>#N/A</v>
      </c>
      <c r="V26" s="31">
        <f t="shared" si="11"/>
        <v>49</v>
      </c>
      <c r="W26" s="31">
        <f t="shared" si="12"/>
        <v>49</v>
      </c>
      <c r="X26" s="31">
        <f t="shared" si="13"/>
        <v>17</v>
      </c>
    </row>
    <row r="27">
      <c r="A27" s="21">
        <v>24.0</v>
      </c>
      <c r="B27" s="22" t="s">
        <v>554</v>
      </c>
      <c r="C27" s="22" t="s">
        <v>555</v>
      </c>
      <c r="D27" s="22" t="s">
        <v>83</v>
      </c>
      <c r="E27" s="23">
        <f>IFERROR(__xludf.DUMMYFUNCTION("GOOGLEFINANCE(""NSE:""&amp;D27,""marketcap"")/10000000"),153989.0723071)</f>
        <v>153989.0723</v>
      </c>
      <c r="F27" s="17">
        <f>IFERROR(__xludf.DUMMYFUNCTION("GOOGLEFINANCE(""NSE:""&amp;D27)"),754.0)</f>
        <v>754</v>
      </c>
      <c r="G27" s="17">
        <f>IFERROR(__xludf.DUMMYFUNCTION("GOOGLEFINANCE(""NSE:""&amp;D27,""closeyest"")"),745.3)</f>
        <v>745.3</v>
      </c>
      <c r="H27" s="17">
        <f>IFERROR(__xludf.DUMMYFUNCTION("INDEX(GOOGLEFINANCE(""NSE:""&amp;D27,""PRICE"",TODAY()-7),2,2)"),767.1)</f>
        <v>767.1</v>
      </c>
      <c r="I27" s="17">
        <f>IFERROR(__xludf.DUMMYFUNCTION("INDEX(GOOGLEFINANCE(""NSE:""&amp;D27,""PRICE"",TODAY()-14),2,2)"),745.1)</f>
        <v>745.1</v>
      </c>
      <c r="J27" s="17">
        <f>IFERROR(__xludf.DUMMYFUNCTION("INDEX(GOOGLEFINANCE(""NSE:""&amp;D27,""PRICE"",TODAY()-28),2,2)"),727.0)</f>
        <v>727</v>
      </c>
      <c r="K27" s="17">
        <f>IFERROR(__xludf.DUMMYFUNCTION("INDEX(GOOGLEFINANCE(""NSE:""&amp;D27,""PRICE"",TODAY()-84),2,2)"),710.4)</f>
        <v>710.4</v>
      </c>
      <c r="L27" s="16">
        <f t="shared" si="1"/>
        <v>0.01167315175</v>
      </c>
      <c r="M27" s="16">
        <f t="shared" si="2"/>
        <v>-0.01707730413</v>
      </c>
      <c r="N27" s="16">
        <f t="shared" si="3"/>
        <v>0.01194470541</v>
      </c>
      <c r="O27" s="16">
        <f t="shared" si="4"/>
        <v>0.0371389271</v>
      </c>
      <c r="P27" s="16">
        <f t="shared" si="5"/>
        <v>0.06137387387</v>
      </c>
      <c r="Q27" s="30">
        <f t="shared" si="6"/>
        <v>-0.03060007761</v>
      </c>
      <c r="R27" s="30">
        <f t="shared" si="7"/>
        <v>-0.01500095384</v>
      </c>
      <c r="S27" s="30">
        <f t="shared" si="8"/>
        <v>-0.02977137628</v>
      </c>
      <c r="T27" s="30">
        <f t="shared" si="9"/>
        <v>-0.07224292276</v>
      </c>
      <c r="U27" s="31" t="str">
        <f t="shared" si="10"/>
        <v>#N/A</v>
      </c>
      <c r="V27" s="31">
        <f t="shared" si="11"/>
        <v>29</v>
      </c>
      <c r="W27" s="31">
        <f t="shared" si="12"/>
        <v>32</v>
      </c>
      <c r="X27" s="31">
        <f t="shared" si="13"/>
        <v>37</v>
      </c>
    </row>
    <row r="28">
      <c r="A28" s="21">
        <v>25.0</v>
      </c>
      <c r="B28" s="22" t="s">
        <v>556</v>
      </c>
      <c r="C28" s="22" t="s">
        <v>528</v>
      </c>
      <c r="D28" s="22" t="s">
        <v>85</v>
      </c>
      <c r="E28" s="23">
        <f>IFERROR(__xludf.DUMMYFUNCTION("GOOGLEFINANCE(""NSE:""&amp;D28,""marketcap"")/10000000"),146607.8008886)</f>
        <v>146607.8009</v>
      </c>
      <c r="F28" s="17">
        <f>IFERROR(__xludf.DUMMYFUNCTION("GOOGLEFINANCE(""NSE:""&amp;D28)"),725.15)</f>
        <v>725.15</v>
      </c>
      <c r="G28" s="17">
        <f>IFERROR(__xludf.DUMMYFUNCTION("GOOGLEFINANCE(""NSE:""&amp;D28,""closeyest"")"),733.05)</f>
        <v>733.05</v>
      </c>
      <c r="H28" s="17">
        <f>IFERROR(__xludf.DUMMYFUNCTION("INDEX(GOOGLEFINANCE(""NSE:""&amp;D28,""PRICE"",TODAY()-7),2,2)"),747.75)</f>
        <v>747.75</v>
      </c>
      <c r="I28" s="17">
        <f>IFERROR(__xludf.DUMMYFUNCTION("INDEX(GOOGLEFINANCE(""NSE:""&amp;D28,""PRICE"",TODAY()-14),2,2)"),734.9)</f>
        <v>734.9</v>
      </c>
      <c r="J28" s="17">
        <f>IFERROR(__xludf.DUMMYFUNCTION("INDEX(GOOGLEFINANCE(""NSE:""&amp;D28,""PRICE"",TODAY()-28),2,2)"),704.1)</f>
        <v>704.1</v>
      </c>
      <c r="K28" s="17">
        <f>IFERROR(__xludf.DUMMYFUNCTION("INDEX(GOOGLEFINANCE(""NSE:""&amp;D28,""PRICE"",TODAY()-84),2,2)"),687.5)</f>
        <v>687.5</v>
      </c>
      <c r="L28" s="16">
        <f t="shared" si="1"/>
        <v>-0.01077689107</v>
      </c>
      <c r="M28" s="16">
        <f t="shared" si="2"/>
        <v>-0.03022400535</v>
      </c>
      <c r="N28" s="16">
        <f t="shared" si="3"/>
        <v>-0.01326711117</v>
      </c>
      <c r="O28" s="16">
        <f t="shared" si="4"/>
        <v>0.02989632155</v>
      </c>
      <c r="P28" s="16">
        <f t="shared" si="5"/>
        <v>0.05476363636</v>
      </c>
      <c r="Q28" s="30">
        <f t="shared" si="6"/>
        <v>-0.04374677883</v>
      </c>
      <c r="R28" s="30">
        <f t="shared" si="7"/>
        <v>-0.04021277042</v>
      </c>
      <c r="S28" s="30">
        <f t="shared" si="8"/>
        <v>-0.03701398183</v>
      </c>
      <c r="T28" s="30">
        <f t="shared" si="9"/>
        <v>-0.07885316027</v>
      </c>
      <c r="U28" s="31" t="str">
        <f t="shared" si="10"/>
        <v>#N/A</v>
      </c>
      <c r="V28" s="31">
        <f t="shared" si="11"/>
        <v>40</v>
      </c>
      <c r="W28" s="31">
        <f t="shared" si="12"/>
        <v>34</v>
      </c>
      <c r="X28" s="31">
        <f t="shared" si="13"/>
        <v>39</v>
      </c>
    </row>
    <row r="29">
      <c r="A29" s="21">
        <v>26.0</v>
      </c>
      <c r="B29" s="22" t="s">
        <v>557</v>
      </c>
      <c r="C29" s="22" t="s">
        <v>524</v>
      </c>
      <c r="D29" s="22" t="s">
        <v>87</v>
      </c>
      <c r="E29" s="23">
        <f>IFERROR(__xludf.DUMMYFUNCTION("GOOGLEFINANCE(""NSE:""&amp;D29,""marketcap"")/10000000"),147670.63738)</f>
        <v>147670.6374</v>
      </c>
      <c r="F29" s="17">
        <f>IFERROR(__xludf.DUMMYFUNCTION("GOOGLEFINANCE(""NSE:""&amp;D29)"),1523.0)</f>
        <v>1523</v>
      </c>
      <c r="G29" s="17">
        <f>IFERROR(__xludf.DUMMYFUNCTION("GOOGLEFINANCE(""NSE:""&amp;D29,""closeyest"")"),1513.6)</f>
        <v>1513.6</v>
      </c>
      <c r="H29" s="17">
        <f>IFERROR(__xludf.DUMMYFUNCTION("INDEX(GOOGLEFINANCE(""NSE:""&amp;D29,""PRICE"",TODAY()-7),2,2)"),1451.55)</f>
        <v>1451.55</v>
      </c>
      <c r="I29" s="17">
        <f>IFERROR(__xludf.DUMMYFUNCTION("INDEX(GOOGLEFINANCE(""NSE:""&amp;D29,""PRICE"",TODAY()-14),2,2)"),1429.5)</f>
        <v>1429.5</v>
      </c>
      <c r="J29" s="17">
        <f>IFERROR(__xludf.DUMMYFUNCTION("INDEX(GOOGLEFINANCE(""NSE:""&amp;D29,""PRICE"",TODAY()-28),2,2)"),1445.4)</f>
        <v>1445.4</v>
      </c>
      <c r="K29" s="17">
        <f>IFERROR(__xludf.DUMMYFUNCTION("INDEX(GOOGLEFINANCE(""NSE:""&amp;D29,""PRICE"",TODAY()-84),2,2)"),1089.4)</f>
        <v>1089.4</v>
      </c>
      <c r="L29" s="16">
        <f t="shared" si="1"/>
        <v>0.006210359408</v>
      </c>
      <c r="M29" s="16">
        <f t="shared" si="2"/>
        <v>0.04922324412</v>
      </c>
      <c r="N29" s="16">
        <f t="shared" si="3"/>
        <v>0.06540748513</v>
      </c>
      <c r="O29" s="16">
        <f t="shared" si="4"/>
        <v>0.05368756054</v>
      </c>
      <c r="P29" s="16">
        <f t="shared" si="5"/>
        <v>0.3980172572</v>
      </c>
      <c r="Q29" s="30">
        <f t="shared" si="6"/>
        <v>0.03570047064</v>
      </c>
      <c r="R29" s="30">
        <f t="shared" si="7"/>
        <v>0.03846182588</v>
      </c>
      <c r="S29" s="30">
        <f t="shared" si="8"/>
        <v>-0.01322274284</v>
      </c>
      <c r="T29" s="30">
        <f t="shared" si="9"/>
        <v>0.2644004606</v>
      </c>
      <c r="U29" s="31" t="str">
        <f t="shared" si="10"/>
        <v>#N/A</v>
      </c>
      <c r="V29" s="31">
        <f t="shared" si="11"/>
        <v>10</v>
      </c>
      <c r="W29" s="31">
        <f t="shared" si="12"/>
        <v>26</v>
      </c>
      <c r="X29" s="31">
        <f t="shared" si="13"/>
        <v>2</v>
      </c>
    </row>
    <row r="30">
      <c r="A30" s="21">
        <v>27.0</v>
      </c>
      <c r="B30" s="22" t="s">
        <v>558</v>
      </c>
      <c r="C30" s="22" t="s">
        <v>549</v>
      </c>
      <c r="D30" s="22" t="s">
        <v>91</v>
      </c>
      <c r="E30" s="23">
        <f>IFERROR(__xludf.DUMMYFUNCTION("GOOGLEFINANCE(""NSE:""&amp;D30,""marketcap"")/10000000"),138407.3905447)</f>
        <v>138407.3905</v>
      </c>
      <c r="F30" s="17">
        <f>IFERROR(__xludf.DUMMYFUNCTION("GOOGLEFINANCE(""NSE:""&amp;D30)"),5219.5)</f>
        <v>5219.5</v>
      </c>
      <c r="G30" s="17">
        <f>IFERROR(__xludf.DUMMYFUNCTION("GOOGLEFINANCE(""NSE:""&amp;D30,""closeyest"")"),5139.9)</f>
        <v>5139.9</v>
      </c>
      <c r="H30" s="17">
        <f>IFERROR(__xludf.DUMMYFUNCTION("INDEX(GOOGLEFINANCE(""NSE:""&amp;D30,""PRICE"",TODAY()-7),2,2)"),5122.8)</f>
        <v>5122.8</v>
      </c>
      <c r="I30" s="17">
        <f>IFERROR(__xludf.DUMMYFUNCTION("INDEX(GOOGLEFINANCE(""NSE:""&amp;D30,""PRICE"",TODAY()-14),2,2)"),5085.2)</f>
        <v>5085.2</v>
      </c>
      <c r="J30" s="17">
        <f>IFERROR(__xludf.DUMMYFUNCTION("INDEX(GOOGLEFINANCE(""NSE:""&amp;D30,""PRICE"",TODAY()-28),2,2)"),4910.7)</f>
        <v>4910.7</v>
      </c>
      <c r="K30" s="17">
        <f>IFERROR(__xludf.DUMMYFUNCTION("INDEX(GOOGLEFINANCE(""NSE:""&amp;D30,""PRICE"",TODAY()-84),2,2)"),4519.65)</f>
        <v>4519.65</v>
      </c>
      <c r="L30" s="16">
        <f t="shared" si="1"/>
        <v>0.01548668262</v>
      </c>
      <c r="M30" s="16">
        <f t="shared" si="2"/>
        <v>0.01887639572</v>
      </c>
      <c r="N30" s="16">
        <f t="shared" si="3"/>
        <v>0.02640997404</v>
      </c>
      <c r="O30" s="16">
        <f t="shared" si="4"/>
        <v>0.06288309202</v>
      </c>
      <c r="P30" s="16">
        <f t="shared" si="5"/>
        <v>0.1548460611</v>
      </c>
      <c r="Q30" s="30">
        <f t="shared" si="6"/>
        <v>0.005353622245</v>
      </c>
      <c r="R30" s="30">
        <f t="shared" si="7"/>
        <v>-0.0005356852087</v>
      </c>
      <c r="S30" s="30">
        <f t="shared" si="8"/>
        <v>-0.004027211355</v>
      </c>
      <c r="T30" s="30">
        <f t="shared" si="9"/>
        <v>0.02122926446</v>
      </c>
      <c r="U30" s="31" t="str">
        <f t="shared" si="10"/>
        <v>#N/A</v>
      </c>
      <c r="V30" s="31">
        <f t="shared" si="11"/>
        <v>21</v>
      </c>
      <c r="W30" s="31">
        <f t="shared" si="12"/>
        <v>24</v>
      </c>
      <c r="X30" s="31">
        <f t="shared" si="13"/>
        <v>18</v>
      </c>
    </row>
    <row r="31">
      <c r="A31" s="21">
        <v>28.0</v>
      </c>
      <c r="B31" s="22" t="s">
        <v>559</v>
      </c>
      <c r="C31" s="22" t="s">
        <v>560</v>
      </c>
      <c r="D31" s="22" t="s">
        <v>93</v>
      </c>
      <c r="E31" s="23">
        <f>IFERROR(__xludf.DUMMYFUNCTION("GOOGLEFINANCE(""NSE:""&amp;D31,""marketcap"")/10000000"),124302.5346912)</f>
        <v>124302.5347</v>
      </c>
      <c r="F31" s="17">
        <f>IFERROR(__xludf.DUMMYFUNCTION("GOOGLEFINANCE(""NSE:""&amp;D31)"),178.2)</f>
        <v>178.2</v>
      </c>
      <c r="G31" s="17">
        <f>IFERROR(__xludf.DUMMYFUNCTION("GOOGLEFINANCE(""NSE:""&amp;D31,""closeyest"")"),176.75)</f>
        <v>176.75</v>
      </c>
      <c r="H31" s="17">
        <f>IFERROR(__xludf.DUMMYFUNCTION("INDEX(GOOGLEFINANCE(""NSE:""&amp;D31,""PRICE"",TODAY()-7),2,2)"),178.8)</f>
        <v>178.8</v>
      </c>
      <c r="I31" s="17">
        <f>IFERROR(__xludf.DUMMYFUNCTION("INDEX(GOOGLEFINANCE(""NSE:""&amp;D31,""PRICE"",TODAY()-14),2,2)"),173.9)</f>
        <v>173.9</v>
      </c>
      <c r="J31" s="17">
        <f>IFERROR(__xludf.DUMMYFUNCTION("INDEX(GOOGLEFINANCE(""NSE:""&amp;D31,""PRICE"",TODAY()-28),2,2)"),174.35)</f>
        <v>174.35</v>
      </c>
      <c r="K31" s="17">
        <f>IFERROR(__xludf.DUMMYFUNCTION("INDEX(GOOGLEFINANCE(""NSE:""&amp;D31,""PRICE"",TODAY()-84),2,2)"),170.96)</f>
        <v>170.96</v>
      </c>
      <c r="L31" s="16">
        <f t="shared" si="1"/>
        <v>0.008203677511</v>
      </c>
      <c r="M31" s="16">
        <f t="shared" si="2"/>
        <v>-0.003355704698</v>
      </c>
      <c r="N31" s="16">
        <f t="shared" si="3"/>
        <v>0.02472685451</v>
      </c>
      <c r="O31" s="16">
        <f t="shared" si="4"/>
        <v>0.02208201893</v>
      </c>
      <c r="P31" s="16">
        <f t="shared" si="5"/>
        <v>0.04234908751</v>
      </c>
      <c r="Q31" s="30">
        <f t="shared" si="6"/>
        <v>-0.01687847817</v>
      </c>
      <c r="R31" s="30">
        <f t="shared" si="7"/>
        <v>-0.002218804737</v>
      </c>
      <c r="S31" s="30">
        <f t="shared" si="8"/>
        <v>-0.04482828445</v>
      </c>
      <c r="T31" s="30">
        <f t="shared" si="9"/>
        <v>-0.09126770913</v>
      </c>
      <c r="U31" s="31" t="str">
        <f t="shared" si="10"/>
        <v>#N/A</v>
      </c>
      <c r="V31" s="31">
        <f t="shared" si="11"/>
        <v>23</v>
      </c>
      <c r="W31" s="31">
        <f t="shared" si="12"/>
        <v>39</v>
      </c>
      <c r="X31" s="31">
        <f t="shared" si="13"/>
        <v>40</v>
      </c>
    </row>
    <row r="32">
      <c r="A32" s="21">
        <v>29.0</v>
      </c>
      <c r="B32" s="22" t="s">
        <v>561</v>
      </c>
      <c r="C32" s="22" t="s">
        <v>560</v>
      </c>
      <c r="D32" s="22" t="s">
        <v>98</v>
      </c>
      <c r="E32" s="23">
        <f>IFERROR(__xludf.DUMMYFUNCTION("GOOGLEFINANCE(""NSE:""&amp;D32,""marketcap"")/10000000"),122324.2114398)</f>
        <v>122324.2114</v>
      </c>
      <c r="F32" s="17">
        <f>IFERROR(__xludf.DUMMYFUNCTION("GOOGLEFINANCE(""NSE:""&amp;D32)"),126.15)</f>
        <v>126.15</v>
      </c>
      <c r="G32" s="17">
        <f>IFERROR(__xludf.DUMMYFUNCTION("GOOGLEFINANCE(""NSE:""&amp;D32,""closeyest"")"),124.4)</f>
        <v>124.4</v>
      </c>
      <c r="H32" s="17">
        <f>IFERROR(__xludf.DUMMYFUNCTION("INDEX(GOOGLEFINANCE(""NSE:""&amp;D32,""PRICE"",TODAY()-7),2,2)"),123.75)</f>
        <v>123.75</v>
      </c>
      <c r="I32" s="17">
        <f>IFERROR(__xludf.DUMMYFUNCTION("INDEX(GOOGLEFINANCE(""NSE:""&amp;D32,""PRICE"",TODAY()-14),2,2)"),115.0)</f>
        <v>115</v>
      </c>
      <c r="J32" s="17">
        <f>IFERROR(__xludf.DUMMYFUNCTION("INDEX(GOOGLEFINANCE(""NSE:""&amp;D32,""PRICE"",TODAY()-28),2,2)"),113.4)</f>
        <v>113.4</v>
      </c>
      <c r="K32" s="17">
        <f>IFERROR(__xludf.DUMMYFUNCTION("INDEX(GOOGLEFINANCE(""NSE:""&amp;D32,""PRICE"",TODAY()-84),2,2)"),117.5)</f>
        <v>117.5</v>
      </c>
      <c r="L32" s="16">
        <f t="shared" si="1"/>
        <v>0.01406752412</v>
      </c>
      <c r="M32" s="16">
        <f t="shared" si="2"/>
        <v>0.01939393939</v>
      </c>
      <c r="N32" s="16">
        <f t="shared" si="3"/>
        <v>0.09695652174</v>
      </c>
      <c r="O32" s="16">
        <f t="shared" si="4"/>
        <v>0.1124338624</v>
      </c>
      <c r="P32" s="16">
        <f t="shared" si="5"/>
        <v>0.07361702128</v>
      </c>
      <c r="Q32" s="30">
        <f t="shared" si="6"/>
        <v>0.005871165917</v>
      </c>
      <c r="R32" s="30">
        <f t="shared" si="7"/>
        <v>0.07001086249</v>
      </c>
      <c r="S32" s="30">
        <f t="shared" si="8"/>
        <v>0.04552355906</v>
      </c>
      <c r="T32" s="30">
        <f t="shared" si="9"/>
        <v>-0.05999977535</v>
      </c>
      <c r="U32" s="31" t="str">
        <f t="shared" si="10"/>
        <v>#N/A</v>
      </c>
      <c r="V32" s="31">
        <f t="shared" si="11"/>
        <v>6</v>
      </c>
      <c r="W32" s="31">
        <f t="shared" si="12"/>
        <v>13</v>
      </c>
      <c r="X32" s="31">
        <f t="shared" si="13"/>
        <v>35</v>
      </c>
    </row>
    <row r="33">
      <c r="A33" s="21">
        <v>30.0</v>
      </c>
      <c r="B33" s="22" t="s">
        <v>562</v>
      </c>
      <c r="C33" s="22" t="s">
        <v>528</v>
      </c>
      <c r="D33" s="22" t="s">
        <v>95</v>
      </c>
      <c r="E33" s="23">
        <f>IFERROR(__xludf.DUMMYFUNCTION("GOOGLEFINANCE(""NSE:""&amp;D33,""marketcap"")/10000000"),121593.87955)</f>
        <v>121593.8796</v>
      </c>
      <c r="F33" s="17">
        <f>IFERROR(__xludf.DUMMYFUNCTION("GOOGLEFINANCE(""NSE:""&amp;D33)"),1219.0)</f>
        <v>1219</v>
      </c>
      <c r="G33" s="17">
        <f>IFERROR(__xludf.DUMMYFUNCTION("GOOGLEFINANCE(""NSE:""&amp;D33,""closeyest"")"),1191.3)</f>
        <v>1191.3</v>
      </c>
      <c r="H33" s="17">
        <f>IFERROR(__xludf.DUMMYFUNCTION("INDEX(GOOGLEFINANCE(""NSE:""&amp;D33,""PRICE"",TODAY()-7),2,2)"),1198.8)</f>
        <v>1198.8</v>
      </c>
      <c r="I33" s="17">
        <f>IFERROR(__xludf.DUMMYFUNCTION("INDEX(GOOGLEFINANCE(""NSE:""&amp;D33,""PRICE"",TODAY()-14),2,2)"),1165.15)</f>
        <v>1165.15</v>
      </c>
      <c r="J33" s="17">
        <f>IFERROR(__xludf.DUMMYFUNCTION("INDEX(GOOGLEFINANCE(""NSE:""&amp;D33,""PRICE"",TODAY()-28),2,2)"),1184.05)</f>
        <v>1184.05</v>
      </c>
      <c r="K33" s="17">
        <f>IFERROR(__xludf.DUMMYFUNCTION("INDEX(GOOGLEFINANCE(""NSE:""&amp;D33,""PRICE"",TODAY()-84),2,2)"),1007.2)</f>
        <v>1007.2</v>
      </c>
      <c r="L33" s="16">
        <f t="shared" si="1"/>
        <v>0.02325190968</v>
      </c>
      <c r="M33" s="16">
        <f t="shared" si="2"/>
        <v>0.01685018352</v>
      </c>
      <c r="N33" s="16">
        <f t="shared" si="3"/>
        <v>0.04621722525</v>
      </c>
      <c r="O33" s="16">
        <f t="shared" si="4"/>
        <v>0.02951733457</v>
      </c>
      <c r="P33" s="16">
        <f t="shared" si="5"/>
        <v>0.2102859412</v>
      </c>
      <c r="Q33" s="30">
        <f t="shared" si="6"/>
        <v>0.00332741004</v>
      </c>
      <c r="R33" s="30">
        <f t="shared" si="7"/>
        <v>0.019271566</v>
      </c>
      <c r="S33" s="30">
        <f t="shared" si="8"/>
        <v>-0.03739296881</v>
      </c>
      <c r="T33" s="30">
        <f t="shared" si="9"/>
        <v>0.07666914459</v>
      </c>
      <c r="U33" s="31" t="str">
        <f t="shared" si="10"/>
        <v>#N/A</v>
      </c>
      <c r="V33" s="31">
        <f t="shared" si="11"/>
        <v>15</v>
      </c>
      <c r="W33" s="31">
        <f t="shared" si="12"/>
        <v>35</v>
      </c>
      <c r="X33" s="31">
        <f t="shared" si="13"/>
        <v>8</v>
      </c>
    </row>
    <row r="34">
      <c r="A34" s="21">
        <v>31.0</v>
      </c>
      <c r="B34" s="22" t="s">
        <v>563</v>
      </c>
      <c r="C34" s="22" t="s">
        <v>522</v>
      </c>
      <c r="D34" s="22" t="s">
        <v>116</v>
      </c>
      <c r="E34" s="23">
        <f>IFERROR(__xludf.DUMMYFUNCTION("GOOGLEFINANCE(""NSE:""&amp;D34,""marketcap"")/10000000"),111039.967147)</f>
        <v>111039.9671</v>
      </c>
      <c r="F34" s="17">
        <f>IFERROR(__xludf.DUMMYFUNCTION("GOOGLEFINANCE(""NSE:""&amp;D34)"),117.85)</f>
        <v>117.85</v>
      </c>
      <c r="G34" s="17">
        <f>IFERROR(__xludf.DUMMYFUNCTION("GOOGLEFINANCE(""NSE:""&amp;D34,""closeyest"")"),116.45)</f>
        <v>116.45</v>
      </c>
      <c r="H34" s="17">
        <f>IFERROR(__xludf.DUMMYFUNCTION("INDEX(GOOGLEFINANCE(""NSE:""&amp;D34,""PRICE"",TODAY()-7),2,2)"),118.25)</f>
        <v>118.25</v>
      </c>
      <c r="I34" s="17">
        <f>IFERROR(__xludf.DUMMYFUNCTION("INDEX(GOOGLEFINANCE(""NSE:""&amp;D34,""PRICE"",TODAY()-14),2,2)"),114.0)</f>
        <v>114</v>
      </c>
      <c r="J34" s="17">
        <f>IFERROR(__xludf.DUMMYFUNCTION("INDEX(GOOGLEFINANCE(""NSE:""&amp;D34,""PRICE"",TODAY()-28),2,2)"),105.95)</f>
        <v>105.95</v>
      </c>
      <c r="K34" s="17">
        <f>IFERROR(__xludf.DUMMYFUNCTION("INDEX(GOOGLEFINANCE(""NSE:""&amp;D34,""PRICE"",TODAY()-84),2,2)"),108.45)</f>
        <v>108.45</v>
      </c>
      <c r="L34" s="16">
        <f t="shared" si="1"/>
        <v>0.01202232718</v>
      </c>
      <c r="M34" s="16">
        <f t="shared" si="2"/>
        <v>-0.003382663848</v>
      </c>
      <c r="N34" s="16">
        <f t="shared" si="3"/>
        <v>0.03377192982</v>
      </c>
      <c r="O34" s="16">
        <f t="shared" si="4"/>
        <v>0.1123171307</v>
      </c>
      <c r="P34" s="16">
        <f t="shared" si="5"/>
        <v>0.08667588751</v>
      </c>
      <c r="Q34" s="30">
        <f t="shared" si="6"/>
        <v>-0.01690543732</v>
      </c>
      <c r="R34" s="30">
        <f t="shared" si="7"/>
        <v>0.006826270573</v>
      </c>
      <c r="S34" s="30">
        <f t="shared" si="8"/>
        <v>0.04540682734</v>
      </c>
      <c r="T34" s="30">
        <f t="shared" si="9"/>
        <v>-0.04694090913</v>
      </c>
      <c r="U34" s="31" t="str">
        <f t="shared" si="10"/>
        <v>#N/A</v>
      </c>
      <c r="V34" s="31">
        <f t="shared" si="11"/>
        <v>18</v>
      </c>
      <c r="W34" s="31">
        <f t="shared" si="12"/>
        <v>14</v>
      </c>
      <c r="X34" s="31">
        <f t="shared" si="13"/>
        <v>31</v>
      </c>
    </row>
    <row r="35">
      <c r="A35" s="21">
        <v>32.0</v>
      </c>
      <c r="B35" s="22" t="s">
        <v>564</v>
      </c>
      <c r="C35" s="22" t="s">
        <v>545</v>
      </c>
      <c r="D35" s="22" t="s">
        <v>106</v>
      </c>
      <c r="E35" s="23">
        <f>IFERROR(__xludf.DUMMYFUNCTION("GOOGLEFINANCE(""NSE:""&amp;D35,""marketcap"")/10000000"),109814.7765)</f>
        <v>109814.7765</v>
      </c>
      <c r="F35" s="17">
        <f>IFERROR(__xludf.DUMMYFUNCTION("GOOGLEFINANCE(""NSE:""&amp;D35)"),3795.0)</f>
        <v>3795</v>
      </c>
      <c r="G35" s="17">
        <f>IFERROR(__xludf.DUMMYFUNCTION("GOOGLEFINANCE(""NSE:""&amp;D35,""closeyest"")"),3757.15)</f>
        <v>3757.15</v>
      </c>
      <c r="H35" s="17">
        <f>IFERROR(__xludf.DUMMYFUNCTION("INDEX(GOOGLEFINANCE(""NSE:""&amp;D35,""PRICE"",TODAY()-7),2,2)"),3822.2)</f>
        <v>3822.2</v>
      </c>
      <c r="I35" s="17">
        <f>IFERROR(__xludf.DUMMYFUNCTION("INDEX(GOOGLEFINANCE(""NSE:""&amp;D35,""PRICE"",TODAY()-14),2,2)"),3699.55)</f>
        <v>3699.55</v>
      </c>
      <c r="J35" s="17">
        <f>IFERROR(__xludf.DUMMYFUNCTION("INDEX(GOOGLEFINANCE(""NSE:""&amp;D35,""PRICE"",TODAY()-28),2,2)"),3699.45)</f>
        <v>3699.45</v>
      </c>
      <c r="K35" s="17">
        <f>IFERROR(__xludf.DUMMYFUNCTION("INDEX(GOOGLEFINANCE(""NSE:""&amp;D35,""PRICE"",TODAY()-84),2,2)"),4175.35)</f>
        <v>4175.35</v>
      </c>
      <c r="L35" s="16">
        <f t="shared" si="1"/>
        <v>0.01007412533</v>
      </c>
      <c r="M35" s="16">
        <f t="shared" si="2"/>
        <v>-0.007116320444</v>
      </c>
      <c r="N35" s="16">
        <f t="shared" si="3"/>
        <v>0.02580043519</v>
      </c>
      <c r="O35" s="16">
        <f t="shared" si="4"/>
        <v>0.02582816365</v>
      </c>
      <c r="P35" s="16">
        <f t="shared" si="5"/>
        <v>-0.09109415977</v>
      </c>
      <c r="Q35" s="30">
        <f t="shared" si="6"/>
        <v>-0.02063909392</v>
      </c>
      <c r="R35" s="30">
        <f t="shared" si="7"/>
        <v>-0.001145224063</v>
      </c>
      <c r="S35" s="30">
        <f t="shared" si="8"/>
        <v>-0.04108213973</v>
      </c>
      <c r="T35" s="30">
        <f t="shared" si="9"/>
        <v>-0.2247109564</v>
      </c>
      <c r="U35" s="31" t="str">
        <f t="shared" si="10"/>
        <v>#N/A</v>
      </c>
      <c r="V35" s="31">
        <f t="shared" si="11"/>
        <v>22</v>
      </c>
      <c r="W35" s="31">
        <f t="shared" si="12"/>
        <v>37</v>
      </c>
      <c r="X35" s="31">
        <f t="shared" si="13"/>
        <v>47</v>
      </c>
    </row>
    <row r="36">
      <c r="A36" s="21">
        <v>33.0</v>
      </c>
      <c r="B36" s="22" t="s">
        <v>565</v>
      </c>
      <c r="C36" s="22" t="s">
        <v>543</v>
      </c>
      <c r="D36" s="22" t="s">
        <v>122</v>
      </c>
      <c r="E36" s="23">
        <f>IFERROR(__xludf.DUMMYFUNCTION("GOOGLEFINANCE(""NSE:""&amp;D36,""marketcap"")/10000000"),108100.6941888)</f>
        <v>108100.6942</v>
      </c>
      <c r="F36" s="17">
        <f>IFERROR(__xludf.DUMMYFUNCTION("GOOGLEFINANCE(""NSE:""&amp;D36)"),29900.0)</f>
        <v>29900</v>
      </c>
      <c r="G36" s="17">
        <f>IFERROR(__xludf.DUMMYFUNCTION("GOOGLEFINANCE(""NSE:""&amp;D36,""closeyest"")"),29792.5)</f>
        <v>29792.5</v>
      </c>
      <c r="H36" s="17">
        <f>IFERROR(__xludf.DUMMYFUNCTION("INDEX(GOOGLEFINANCE(""NSE:""&amp;D36,""PRICE"",TODAY()-7),2,2)"),30559.45)</f>
        <v>30559.45</v>
      </c>
      <c r="I36" s="17">
        <f>IFERROR(__xludf.DUMMYFUNCTION("INDEX(GOOGLEFINANCE(""NSE:""&amp;D36,""PRICE"",TODAY()-14),2,2)"),30663.35)</f>
        <v>30663.35</v>
      </c>
      <c r="J36" s="17">
        <f>IFERROR(__xludf.DUMMYFUNCTION("INDEX(GOOGLEFINANCE(""NSE:""&amp;D36,""PRICE"",TODAY()-28),2,2)"),26897.75)</f>
        <v>26897.75</v>
      </c>
      <c r="K36" s="17">
        <f>IFERROR(__xludf.DUMMYFUNCTION("INDEX(GOOGLEFINANCE(""NSE:""&amp;D36,""PRICE"",TODAY()-84),2,2)"),27014.9)</f>
        <v>27014.9</v>
      </c>
      <c r="L36" s="16">
        <f t="shared" si="1"/>
        <v>0.003608290677</v>
      </c>
      <c r="M36" s="16">
        <f t="shared" si="2"/>
        <v>-0.02157924963</v>
      </c>
      <c r="N36" s="16">
        <f t="shared" si="3"/>
        <v>-0.02489454022</v>
      </c>
      <c r="O36" s="16">
        <f t="shared" si="4"/>
        <v>0.1116171427</v>
      </c>
      <c r="P36" s="16">
        <f t="shared" si="5"/>
        <v>0.1067966196</v>
      </c>
      <c r="Q36" s="30">
        <f t="shared" si="6"/>
        <v>-0.0351020231</v>
      </c>
      <c r="R36" s="30">
        <f t="shared" si="7"/>
        <v>-0.05184019948</v>
      </c>
      <c r="S36" s="30">
        <f t="shared" si="8"/>
        <v>0.04470683932</v>
      </c>
      <c r="T36" s="30">
        <f t="shared" si="9"/>
        <v>-0.02682017699</v>
      </c>
      <c r="U36" s="31" t="str">
        <f t="shared" si="10"/>
        <v>#N/A</v>
      </c>
      <c r="V36" s="31">
        <f t="shared" si="11"/>
        <v>42</v>
      </c>
      <c r="W36" s="31">
        <f t="shared" si="12"/>
        <v>15</v>
      </c>
      <c r="X36" s="31">
        <f t="shared" si="13"/>
        <v>30</v>
      </c>
    </row>
    <row r="37">
      <c r="A37" s="21">
        <v>34.0</v>
      </c>
      <c r="B37" s="22" t="s">
        <v>566</v>
      </c>
      <c r="C37" s="22" t="s">
        <v>552</v>
      </c>
      <c r="D37" s="22" t="s">
        <v>118</v>
      </c>
      <c r="E37" s="23">
        <f>IFERROR(__xludf.DUMMYFUNCTION("GOOGLEFINANCE(""NSE:""&amp;D37,""marketcap"")/10000000"),108210.7423078)</f>
        <v>108210.7423</v>
      </c>
      <c r="F37" s="17">
        <f>IFERROR(__xludf.DUMMYFUNCTION("GOOGLEFINANCE(""NSE:""&amp;D37)"),483.8)</f>
        <v>483.8</v>
      </c>
      <c r="G37" s="17">
        <f>IFERROR(__xludf.DUMMYFUNCTION("GOOGLEFINANCE(""NSE:""&amp;D37,""closeyest"")"),463.0)</f>
        <v>463</v>
      </c>
      <c r="H37" s="17">
        <f>IFERROR(__xludf.DUMMYFUNCTION("INDEX(GOOGLEFINANCE(""NSE:""&amp;D37,""PRICE"",TODAY()-7),2,2)"),473.05)</f>
        <v>473.05</v>
      </c>
      <c r="I37" s="17">
        <f>IFERROR(__xludf.DUMMYFUNCTION("INDEX(GOOGLEFINANCE(""NSE:""&amp;D37,""PRICE"",TODAY()-14),2,2)"),478.35)</f>
        <v>478.35</v>
      </c>
      <c r="J37" s="17">
        <f>IFERROR(__xludf.DUMMYFUNCTION("INDEX(GOOGLEFINANCE(""NSE:""&amp;D37,""PRICE"",TODAY()-28),2,2)"),437.9)</f>
        <v>437.9</v>
      </c>
      <c r="K37" s="17">
        <f>IFERROR(__xludf.DUMMYFUNCTION("INDEX(GOOGLEFINANCE(""NSE:""&amp;D37,""PRICE"",TODAY()-84),2,2)"),376.05)</f>
        <v>376.05</v>
      </c>
      <c r="L37" s="16">
        <f t="shared" si="1"/>
        <v>0.04492440605</v>
      </c>
      <c r="M37" s="16">
        <f t="shared" si="2"/>
        <v>0.02272487052</v>
      </c>
      <c r="N37" s="16">
        <f t="shared" si="3"/>
        <v>0.01139333124</v>
      </c>
      <c r="O37" s="16">
        <f t="shared" si="4"/>
        <v>0.1048184517</v>
      </c>
      <c r="P37" s="16">
        <f t="shared" si="5"/>
        <v>0.2865310464</v>
      </c>
      <c r="Q37" s="30">
        <f t="shared" si="6"/>
        <v>0.009202097045</v>
      </c>
      <c r="R37" s="30">
        <f t="shared" si="7"/>
        <v>-0.01555232801</v>
      </c>
      <c r="S37" s="30">
        <f t="shared" si="8"/>
        <v>0.03790814832</v>
      </c>
      <c r="T37" s="30">
        <f t="shared" si="9"/>
        <v>0.1529142498</v>
      </c>
      <c r="U37" s="31" t="str">
        <f t="shared" si="10"/>
        <v>#N/A</v>
      </c>
      <c r="V37" s="31">
        <f t="shared" si="11"/>
        <v>30</v>
      </c>
      <c r="W37" s="31">
        <f t="shared" si="12"/>
        <v>17</v>
      </c>
      <c r="X37" s="31">
        <f t="shared" si="13"/>
        <v>6</v>
      </c>
    </row>
    <row r="38">
      <c r="A38" s="21">
        <v>35.0</v>
      </c>
      <c r="B38" s="22" t="s">
        <v>567</v>
      </c>
      <c r="C38" s="22" t="s">
        <v>543</v>
      </c>
      <c r="D38" s="22" t="s">
        <v>124</v>
      </c>
      <c r="E38" s="23">
        <f>IFERROR(__xludf.DUMMYFUNCTION("GOOGLEFINANCE(""NSE:""&amp;D38,""marketcap"")/10000000"),105601.13722)</f>
        <v>105601.1372</v>
      </c>
      <c r="F38" s="17">
        <f>IFERROR(__xludf.DUMMYFUNCTION("GOOGLEFINANCE(""NSE:""&amp;D38)"),1608.05)</f>
        <v>1608.05</v>
      </c>
      <c r="G38" s="17">
        <f>IFERROR(__xludf.DUMMYFUNCTION("GOOGLEFINANCE(""NSE:""&amp;D38,""closeyest"")"),1574.65)</f>
        <v>1574.65</v>
      </c>
      <c r="H38" s="17">
        <f>IFERROR(__xludf.DUMMYFUNCTION("INDEX(GOOGLEFINANCE(""NSE:""&amp;D38,""PRICE"",TODAY()-7),2,2)"),1568.8)</f>
        <v>1568.8</v>
      </c>
      <c r="I38" s="17">
        <f>IFERROR(__xludf.DUMMYFUNCTION("INDEX(GOOGLEFINANCE(""NSE:""&amp;D38,""PRICE"",TODAY()-14),2,2)"),1606.35)</f>
        <v>1606.35</v>
      </c>
      <c r="J38" s="17">
        <f>IFERROR(__xludf.DUMMYFUNCTION("INDEX(GOOGLEFINANCE(""NSE:""&amp;D38,""PRICE"",TODAY()-28),2,2)"),1458.3)</f>
        <v>1458.3</v>
      </c>
      <c r="K38" s="17">
        <f>IFERROR(__xludf.DUMMYFUNCTION("INDEX(GOOGLEFINANCE(""NSE:""&amp;D38,""PRICE"",TODAY()-84),2,2)"),1489.75)</f>
        <v>1489.75</v>
      </c>
      <c r="L38" s="16">
        <f t="shared" si="1"/>
        <v>0.02121106278</v>
      </c>
      <c r="M38" s="16">
        <f t="shared" si="2"/>
        <v>0.0250191229</v>
      </c>
      <c r="N38" s="16">
        <f t="shared" si="3"/>
        <v>0.001058299872</v>
      </c>
      <c r="O38" s="16">
        <f t="shared" si="4"/>
        <v>0.1026880614</v>
      </c>
      <c r="P38" s="16">
        <f t="shared" si="5"/>
        <v>0.07940929686</v>
      </c>
      <c r="Q38" s="30">
        <f t="shared" si="6"/>
        <v>0.01149634942</v>
      </c>
      <c r="R38" s="30">
        <f t="shared" si="7"/>
        <v>-0.02588735938</v>
      </c>
      <c r="S38" s="30">
        <f t="shared" si="8"/>
        <v>0.03577775806</v>
      </c>
      <c r="T38" s="30">
        <f t="shared" si="9"/>
        <v>-0.05420749977</v>
      </c>
      <c r="U38" s="31" t="str">
        <f t="shared" si="10"/>
        <v>#N/A</v>
      </c>
      <c r="V38" s="31">
        <f t="shared" si="11"/>
        <v>34</v>
      </c>
      <c r="W38" s="31">
        <f t="shared" si="12"/>
        <v>18</v>
      </c>
      <c r="X38" s="31">
        <f t="shared" si="13"/>
        <v>33</v>
      </c>
    </row>
    <row r="39">
      <c r="A39" s="21">
        <v>36.0</v>
      </c>
      <c r="B39" s="22" t="s">
        <v>568</v>
      </c>
      <c r="C39" s="22" t="s">
        <v>552</v>
      </c>
      <c r="D39" s="22" t="s">
        <v>132</v>
      </c>
      <c r="E39" s="23">
        <f>IFERROR(__xludf.DUMMYFUNCTION("GOOGLEFINANCE(""NSE:""&amp;D39,""marketcap"")/10000000"),103102.4413207)</f>
        <v>103102.4413</v>
      </c>
      <c r="F39" s="17">
        <f>IFERROR(__xludf.DUMMYFUNCTION("GOOGLEFINANCE(""NSE:""&amp;D39)"),167.5)</f>
        <v>167.5</v>
      </c>
      <c r="G39" s="17">
        <f>IFERROR(__xludf.DUMMYFUNCTION("GOOGLEFINANCE(""NSE:""&amp;D39,""closeyest"")"),162.1)</f>
        <v>162.1</v>
      </c>
      <c r="H39" s="17">
        <f>IFERROR(__xludf.DUMMYFUNCTION("INDEX(GOOGLEFINANCE(""NSE:""&amp;D39,""PRICE"",TODAY()-7),2,2)"),156.7)</f>
        <v>156.7</v>
      </c>
      <c r="I39" s="17">
        <f>IFERROR(__xludf.DUMMYFUNCTION("INDEX(GOOGLEFINANCE(""NSE:""&amp;D39,""PRICE"",TODAY()-14),2,2)"),154.6)</f>
        <v>154.6</v>
      </c>
      <c r="J39" s="17">
        <f>IFERROR(__xludf.DUMMYFUNCTION("INDEX(GOOGLEFINANCE(""NSE:""&amp;D39,""PRICE"",TODAY()-28),2,2)"),138.55)</f>
        <v>138.55</v>
      </c>
      <c r="K39" s="17">
        <f>IFERROR(__xludf.DUMMYFUNCTION("INDEX(GOOGLEFINANCE(""NSE:""&amp;D39,""PRICE"",TODAY()-84),2,2)"),147.65)</f>
        <v>147.65</v>
      </c>
      <c r="L39" s="16">
        <f t="shared" si="1"/>
        <v>0.0333127699</v>
      </c>
      <c r="M39" s="16">
        <f t="shared" si="2"/>
        <v>0.06892150606</v>
      </c>
      <c r="N39" s="16">
        <f t="shared" si="3"/>
        <v>0.08344113842</v>
      </c>
      <c r="O39" s="16">
        <f t="shared" si="4"/>
        <v>0.2089498376</v>
      </c>
      <c r="P39" s="16">
        <f t="shared" si="5"/>
        <v>0.134439553</v>
      </c>
      <c r="Q39" s="30">
        <f t="shared" si="6"/>
        <v>0.05539873259</v>
      </c>
      <c r="R39" s="30">
        <f t="shared" si="7"/>
        <v>0.05649547917</v>
      </c>
      <c r="S39" s="30">
        <f t="shared" si="8"/>
        <v>0.1420395342</v>
      </c>
      <c r="T39" s="30">
        <f t="shared" si="9"/>
        <v>0.0008227563654</v>
      </c>
      <c r="U39" s="31" t="str">
        <f t="shared" si="10"/>
        <v>#N/A</v>
      </c>
      <c r="V39" s="31">
        <f t="shared" si="11"/>
        <v>8</v>
      </c>
      <c r="W39" s="31">
        <f t="shared" si="12"/>
        <v>2</v>
      </c>
      <c r="X39" s="31">
        <f t="shared" si="13"/>
        <v>22</v>
      </c>
    </row>
    <row r="40">
      <c r="A40" s="21">
        <v>37.0</v>
      </c>
      <c r="B40" s="22" t="s">
        <v>569</v>
      </c>
      <c r="C40" s="22" t="s">
        <v>526</v>
      </c>
      <c r="D40" s="22" t="s">
        <v>126</v>
      </c>
      <c r="E40" s="23">
        <f>IFERROR(__xludf.DUMMYFUNCTION("GOOGLEFINANCE(""NSE:""&amp;D40,""marketcap"")/10000000"),97526.3286628)</f>
        <v>97526.32866</v>
      </c>
      <c r="F40" s="17">
        <f>IFERROR(__xludf.DUMMYFUNCTION("GOOGLEFINANCE(""NSE:""&amp;D40)"),4048.95)</f>
        <v>4048.95</v>
      </c>
      <c r="G40" s="17">
        <f>IFERROR(__xludf.DUMMYFUNCTION("GOOGLEFINANCE(""NSE:""&amp;D40,""closeyest"")"),4058.5)</f>
        <v>4058.5</v>
      </c>
      <c r="H40" s="17">
        <f>IFERROR(__xludf.DUMMYFUNCTION("INDEX(GOOGLEFINANCE(""NSE:""&amp;D40,""PRICE"",TODAY()-7),2,2)"),4051.85)</f>
        <v>4051.85</v>
      </c>
      <c r="I40" s="17">
        <f>IFERROR(__xludf.DUMMYFUNCTION("INDEX(GOOGLEFINANCE(""NSE:""&amp;D40,""PRICE"",TODAY()-14),2,2)"),4093.85)</f>
        <v>4093.85</v>
      </c>
      <c r="J40" s="17">
        <f>IFERROR(__xludf.DUMMYFUNCTION("INDEX(GOOGLEFINANCE(""NSE:""&amp;D40,""PRICE"",TODAY()-28),2,2)"),3941.55)</f>
        <v>3941.55</v>
      </c>
      <c r="K40" s="17">
        <f>IFERROR(__xludf.DUMMYFUNCTION("INDEX(GOOGLEFINANCE(""NSE:""&amp;D40,""PRICE"",TODAY()-84),2,2)"),3545.3)</f>
        <v>3545.3</v>
      </c>
      <c r="L40" s="16">
        <f t="shared" si="1"/>
        <v>-0.002353086116</v>
      </c>
      <c r="M40" s="16">
        <f t="shared" si="2"/>
        <v>-0.0007157224478</v>
      </c>
      <c r="N40" s="16">
        <f t="shared" si="3"/>
        <v>-0.01096767102</v>
      </c>
      <c r="O40" s="16">
        <f t="shared" si="4"/>
        <v>0.02724816379</v>
      </c>
      <c r="P40" s="16">
        <f t="shared" si="5"/>
        <v>0.1420613206</v>
      </c>
      <c r="Q40" s="30">
        <f t="shared" si="6"/>
        <v>-0.01423849592</v>
      </c>
      <c r="R40" s="30">
        <f t="shared" si="7"/>
        <v>-0.03791333027</v>
      </c>
      <c r="S40" s="30">
        <f t="shared" si="8"/>
        <v>-0.03966213959</v>
      </c>
      <c r="T40" s="30">
        <f t="shared" si="9"/>
        <v>0.00844452399</v>
      </c>
      <c r="U40" s="31" t="str">
        <f t="shared" si="10"/>
        <v>#N/A</v>
      </c>
      <c r="V40" s="31">
        <f t="shared" si="11"/>
        <v>38</v>
      </c>
      <c r="W40" s="31">
        <f t="shared" si="12"/>
        <v>36</v>
      </c>
      <c r="X40" s="31">
        <f t="shared" si="13"/>
        <v>19</v>
      </c>
    </row>
    <row r="41">
      <c r="A41" s="21">
        <v>38.0</v>
      </c>
      <c r="B41" s="22" t="s">
        <v>570</v>
      </c>
      <c r="C41" s="22" t="s">
        <v>522</v>
      </c>
      <c r="D41" s="22" t="s">
        <v>114</v>
      </c>
      <c r="E41" s="23">
        <f>IFERROR(__xludf.DUMMYFUNCTION("GOOGLEFINANCE(""NSE:""&amp;D41,""marketcap"")/10000000"),92722.0684929)</f>
        <v>92722.06849</v>
      </c>
      <c r="F41" s="17">
        <f>IFERROR(__xludf.DUMMYFUNCTION("GOOGLEFINANCE(""NSE:""&amp;D41)"),419.55)</f>
        <v>419.55</v>
      </c>
      <c r="G41" s="17">
        <f>IFERROR(__xludf.DUMMYFUNCTION("GOOGLEFINANCE(""NSE:""&amp;D41,""closeyest"")"),420.15)</f>
        <v>420.15</v>
      </c>
      <c r="H41" s="17">
        <f>IFERROR(__xludf.DUMMYFUNCTION("INDEX(GOOGLEFINANCE(""NSE:""&amp;D41,""PRICE"",TODAY()-7),2,2)"),436.25)</f>
        <v>436.25</v>
      </c>
      <c r="I41" s="17">
        <f>IFERROR(__xludf.DUMMYFUNCTION("INDEX(GOOGLEFINANCE(""NSE:""&amp;D41,""PRICE"",TODAY()-14),2,2)"),498.1)</f>
        <v>498.1</v>
      </c>
      <c r="J41" s="17">
        <f>IFERROR(__xludf.DUMMYFUNCTION("INDEX(GOOGLEFINANCE(""NSE:""&amp;D41,""PRICE"",TODAY()-28),2,2)"),471.3)</f>
        <v>471.3</v>
      </c>
      <c r="K41" s="17">
        <f>IFERROR(__xludf.DUMMYFUNCTION("INDEX(GOOGLEFINANCE(""NSE:""&amp;D41,""PRICE"",TODAY()-84),2,2)"),462.75)</f>
        <v>462.75</v>
      </c>
      <c r="L41" s="16">
        <f t="shared" si="1"/>
        <v>-0.001428061407</v>
      </c>
      <c r="M41" s="16">
        <f t="shared" si="2"/>
        <v>-0.03828080229</v>
      </c>
      <c r="N41" s="16">
        <f t="shared" si="3"/>
        <v>-0.1576992572</v>
      </c>
      <c r="O41" s="16">
        <f t="shared" si="4"/>
        <v>-0.1098026735</v>
      </c>
      <c r="P41" s="16">
        <f t="shared" si="5"/>
        <v>-0.09335494327</v>
      </c>
      <c r="Q41" s="30">
        <f t="shared" si="6"/>
        <v>-0.05180357577</v>
      </c>
      <c r="R41" s="30">
        <f t="shared" si="7"/>
        <v>-0.1846449164</v>
      </c>
      <c r="S41" s="30">
        <f t="shared" si="8"/>
        <v>-0.1767129768</v>
      </c>
      <c r="T41" s="30">
        <f t="shared" si="9"/>
        <v>-0.2269717399</v>
      </c>
      <c r="U41" s="31" t="str">
        <f t="shared" si="10"/>
        <v>#N/A</v>
      </c>
      <c r="V41" s="31">
        <f t="shared" si="11"/>
        <v>50</v>
      </c>
      <c r="W41" s="31">
        <f t="shared" si="12"/>
        <v>50</v>
      </c>
      <c r="X41" s="31">
        <f t="shared" si="13"/>
        <v>48</v>
      </c>
    </row>
    <row r="42">
      <c r="A42" s="21">
        <v>39.0</v>
      </c>
      <c r="B42" s="22" t="s">
        <v>571</v>
      </c>
      <c r="C42" s="22" t="s">
        <v>545</v>
      </c>
      <c r="D42" s="22" t="s">
        <v>120</v>
      </c>
      <c r="E42" s="23">
        <f>IFERROR(__xludf.DUMMYFUNCTION("GOOGLEFINANCE(""NSE:""&amp;D42,""marketcap"")/10000000"),90538.3257945)</f>
        <v>90538.32579</v>
      </c>
      <c r="F42" s="17">
        <f>IFERROR(__xludf.DUMMYFUNCTION("GOOGLEFINANCE(""NSE:""&amp;D42)"),758.1)</f>
        <v>758.1</v>
      </c>
      <c r="G42" s="17">
        <f>IFERROR(__xludf.DUMMYFUNCTION("GOOGLEFINANCE(""NSE:""&amp;D42,""closeyest"")"),752.5)</f>
        <v>752.5</v>
      </c>
      <c r="H42" s="17">
        <f>IFERROR(__xludf.DUMMYFUNCTION("INDEX(GOOGLEFINANCE(""NSE:""&amp;D42,""PRICE"",TODAY()-7),2,2)"),754.15)</f>
        <v>754.15</v>
      </c>
      <c r="I42" s="17">
        <f>IFERROR(__xludf.DUMMYFUNCTION("INDEX(GOOGLEFINANCE(""NSE:""&amp;D42,""PRICE"",TODAY()-14),2,2)"),745.55)</f>
        <v>745.55</v>
      </c>
      <c r="J42" s="17">
        <f>IFERROR(__xludf.DUMMYFUNCTION("INDEX(GOOGLEFINANCE(""NSE:""&amp;D42,""PRICE"",TODAY()-28),2,2)"),775.15)</f>
        <v>775.15</v>
      </c>
      <c r="K42" s="17">
        <f>IFERROR(__xludf.DUMMYFUNCTION("INDEX(GOOGLEFINANCE(""NSE:""&amp;D42,""PRICE"",TODAY()-84),2,2)"),782.6)</f>
        <v>782.6</v>
      </c>
      <c r="L42" s="16">
        <f t="shared" si="1"/>
        <v>0.007441860465</v>
      </c>
      <c r="M42" s="16">
        <f t="shared" si="2"/>
        <v>0.005237684811</v>
      </c>
      <c r="N42" s="16">
        <f t="shared" si="3"/>
        <v>0.01683321038</v>
      </c>
      <c r="O42" s="16">
        <f t="shared" si="4"/>
        <v>-0.02199574276</v>
      </c>
      <c r="P42" s="16">
        <f t="shared" si="5"/>
        <v>-0.0313059034</v>
      </c>
      <c r="Q42" s="30">
        <f t="shared" si="6"/>
        <v>-0.008285088666</v>
      </c>
      <c r="R42" s="30">
        <f t="shared" si="7"/>
        <v>-0.01011244887</v>
      </c>
      <c r="S42" s="30">
        <f t="shared" si="8"/>
        <v>-0.08890604614</v>
      </c>
      <c r="T42" s="30">
        <f t="shared" si="9"/>
        <v>-0.1649227</v>
      </c>
      <c r="U42" s="31" t="str">
        <f t="shared" si="10"/>
        <v>#N/A</v>
      </c>
      <c r="V42" s="31">
        <f t="shared" si="11"/>
        <v>27</v>
      </c>
      <c r="W42" s="31">
        <f t="shared" si="12"/>
        <v>48</v>
      </c>
      <c r="X42" s="31">
        <f t="shared" si="13"/>
        <v>44</v>
      </c>
    </row>
    <row r="43">
      <c r="A43" s="21">
        <v>40.0</v>
      </c>
      <c r="B43" s="22" t="s">
        <v>572</v>
      </c>
      <c r="C43" s="22" t="s">
        <v>528</v>
      </c>
      <c r="D43" s="22" t="s">
        <v>149</v>
      </c>
      <c r="E43" s="23">
        <f>IFERROR(__xludf.DUMMYFUNCTION("GOOGLEFINANCE(""NSE:""&amp;D43,""marketcap"")/10000000"),90533.90502)</f>
        <v>90533.90502</v>
      </c>
      <c r="F43" s="17">
        <f>IFERROR(__xludf.DUMMYFUNCTION("GOOGLEFINANCE(""NSE:""&amp;D43)"),1172.0)</f>
        <v>1172</v>
      </c>
      <c r="G43" s="17">
        <f>IFERROR(__xludf.DUMMYFUNCTION("GOOGLEFINANCE(""NSE:""&amp;D43,""closeyest"")"),1141.4)</f>
        <v>1141.4</v>
      </c>
      <c r="H43" s="17">
        <f>IFERROR(__xludf.DUMMYFUNCTION("INDEX(GOOGLEFINANCE(""NSE:""&amp;D43,""PRICE"",TODAY()-7),2,2)"),1130.0)</f>
        <v>1130</v>
      </c>
      <c r="I43" s="17">
        <f>IFERROR(__xludf.DUMMYFUNCTION("INDEX(GOOGLEFINANCE(""NSE:""&amp;D43,""PRICE"",TODAY()-14),2,2)"),996.3)</f>
        <v>996.3</v>
      </c>
      <c r="J43" s="17">
        <f>IFERROR(__xludf.DUMMYFUNCTION("INDEX(GOOGLEFINANCE(""NSE:""&amp;D43,""PRICE"",TODAY()-28),2,2)"),990.2)</f>
        <v>990.2</v>
      </c>
      <c r="K43" s="17">
        <f>IFERROR(__xludf.DUMMYFUNCTION("INDEX(GOOGLEFINANCE(""NSE:""&amp;D43,""PRICE"",TODAY()-84),2,2)"),1009.65)</f>
        <v>1009.65</v>
      </c>
      <c r="L43" s="16">
        <f t="shared" si="1"/>
        <v>0.02680918171</v>
      </c>
      <c r="M43" s="16">
        <f t="shared" si="2"/>
        <v>0.03716814159</v>
      </c>
      <c r="N43" s="16">
        <f t="shared" si="3"/>
        <v>0.1763525043</v>
      </c>
      <c r="O43" s="16">
        <f t="shared" si="4"/>
        <v>0.1835992729</v>
      </c>
      <c r="P43" s="16">
        <f t="shared" si="5"/>
        <v>0.1607982964</v>
      </c>
      <c r="Q43" s="30">
        <f t="shared" si="6"/>
        <v>0.02364536812</v>
      </c>
      <c r="R43" s="30">
        <f t="shared" si="7"/>
        <v>0.149406845</v>
      </c>
      <c r="S43" s="30">
        <f t="shared" si="8"/>
        <v>0.1166889695</v>
      </c>
      <c r="T43" s="30">
        <f t="shared" si="9"/>
        <v>0.02718149981</v>
      </c>
      <c r="U43" s="31" t="str">
        <f t="shared" si="10"/>
        <v>#N/A</v>
      </c>
      <c r="V43" s="31">
        <f t="shared" si="11"/>
        <v>1</v>
      </c>
      <c r="W43" s="31">
        <f t="shared" si="12"/>
        <v>3</v>
      </c>
      <c r="X43" s="31">
        <f t="shared" si="13"/>
        <v>16</v>
      </c>
    </row>
    <row r="44">
      <c r="A44" s="21">
        <v>41.0</v>
      </c>
      <c r="B44" s="22" t="s">
        <v>573</v>
      </c>
      <c r="C44" s="22" t="s">
        <v>526</v>
      </c>
      <c r="D44" s="22" t="s">
        <v>138</v>
      </c>
      <c r="E44" s="23">
        <f>IFERROR(__xludf.DUMMYFUNCTION("GOOGLEFINANCE(""NSE:""&amp;D44,""marketcap"")/10000000"),78327.6196645)</f>
        <v>78327.61966</v>
      </c>
      <c r="F44" s="17">
        <f>IFERROR(__xludf.DUMMYFUNCTION("GOOGLEFINANCE(""NSE:""&amp;D44)"),850.0)</f>
        <v>850</v>
      </c>
      <c r="G44" s="17">
        <f>IFERROR(__xludf.DUMMYFUNCTION("GOOGLEFINANCE(""NSE:""&amp;D44,""closeyest"")"),854.15)</f>
        <v>854.15</v>
      </c>
      <c r="H44" s="17">
        <f>IFERROR(__xludf.DUMMYFUNCTION("INDEX(GOOGLEFINANCE(""NSE:""&amp;D44,""PRICE"",TODAY()-7),2,2)"),874.15)</f>
        <v>874.15</v>
      </c>
      <c r="I44" s="17">
        <f>IFERROR(__xludf.DUMMYFUNCTION("INDEX(GOOGLEFINANCE(""NSE:""&amp;D44,""PRICE"",TODAY()-14),2,2)"),882.1)</f>
        <v>882.1</v>
      </c>
      <c r="J44" s="17">
        <f>IFERROR(__xludf.DUMMYFUNCTION("INDEX(GOOGLEFINANCE(""NSE:""&amp;D44,""PRICE"",TODAY()-28),2,2)"),847.95)</f>
        <v>847.95</v>
      </c>
      <c r="K44" s="17">
        <f>IFERROR(__xludf.DUMMYFUNCTION("INDEX(GOOGLEFINANCE(""NSE:""&amp;D44,""PRICE"",TODAY()-84),2,2)"),763.6)</f>
        <v>763.6</v>
      </c>
      <c r="L44" s="16">
        <f t="shared" si="1"/>
        <v>-0.004858631388</v>
      </c>
      <c r="M44" s="16">
        <f t="shared" si="2"/>
        <v>-0.0276268375</v>
      </c>
      <c r="N44" s="16">
        <f t="shared" si="3"/>
        <v>-0.03639043192</v>
      </c>
      <c r="O44" s="16">
        <f t="shared" si="4"/>
        <v>0.002417595377</v>
      </c>
      <c r="P44" s="16">
        <f t="shared" si="5"/>
        <v>0.1131482452</v>
      </c>
      <c r="Q44" s="30">
        <f t="shared" si="6"/>
        <v>-0.04114961098</v>
      </c>
      <c r="R44" s="30">
        <f t="shared" si="7"/>
        <v>-0.06333609117</v>
      </c>
      <c r="S44" s="30">
        <f t="shared" si="8"/>
        <v>-0.064492708</v>
      </c>
      <c r="T44" s="30">
        <f t="shared" si="9"/>
        <v>-0.02046855148</v>
      </c>
      <c r="U44" s="31" t="str">
        <f t="shared" si="10"/>
        <v>#N/A</v>
      </c>
      <c r="V44" s="31">
        <f t="shared" si="11"/>
        <v>46</v>
      </c>
      <c r="W44" s="31">
        <f t="shared" si="12"/>
        <v>43</v>
      </c>
      <c r="X44" s="31">
        <f t="shared" si="13"/>
        <v>27</v>
      </c>
    </row>
    <row r="45">
      <c r="A45" s="21">
        <v>42.0</v>
      </c>
      <c r="B45" s="22" t="s">
        <v>574</v>
      </c>
      <c r="C45" s="22" t="s">
        <v>549</v>
      </c>
      <c r="D45" s="22" t="s">
        <v>151</v>
      </c>
      <c r="E45" s="23">
        <f>IFERROR(__xludf.DUMMYFUNCTION("GOOGLEFINANCE(""NSE:""&amp;D45,""marketcap"")/10000000"),78092.1762537)</f>
        <v>78092.17625</v>
      </c>
      <c r="F45" s="17">
        <f>IFERROR(__xludf.DUMMYFUNCTION("GOOGLEFINANCE(""NSE:""&amp;D45)"),969.0)</f>
        <v>969</v>
      </c>
      <c r="G45" s="17">
        <f>IFERROR(__xludf.DUMMYFUNCTION("GOOGLEFINANCE(""NSE:""&amp;D45,""closeyest"")"),963.5)</f>
        <v>963.5</v>
      </c>
      <c r="H45" s="17">
        <f>IFERROR(__xludf.DUMMYFUNCTION("INDEX(GOOGLEFINANCE(""NSE:""&amp;D45,""PRICE"",TODAY()-7),2,2)"),954.05)</f>
        <v>954.05</v>
      </c>
      <c r="I45" s="17">
        <f>IFERROR(__xludf.DUMMYFUNCTION("INDEX(GOOGLEFINANCE(""NSE:""&amp;D45,""PRICE"",TODAY()-14),2,2)"),950.45)</f>
        <v>950.45</v>
      </c>
      <c r="J45" s="17">
        <f>IFERROR(__xludf.DUMMYFUNCTION("INDEX(GOOGLEFINANCE(""NSE:""&amp;D45,""PRICE"",TODAY()-28),2,2)"),923.9)</f>
        <v>923.9</v>
      </c>
      <c r="K45" s="17">
        <f>IFERROR(__xludf.DUMMYFUNCTION("INDEX(GOOGLEFINANCE(""NSE:""&amp;D45,""PRICE"",TODAY()-84),2,2)"),979.2)</f>
        <v>979.2</v>
      </c>
      <c r="L45" s="16">
        <f t="shared" si="1"/>
        <v>0.005708354956</v>
      </c>
      <c r="M45" s="16">
        <f t="shared" si="2"/>
        <v>0.01567003826</v>
      </c>
      <c r="N45" s="16">
        <f t="shared" si="3"/>
        <v>0.01951707086</v>
      </c>
      <c r="O45" s="16">
        <f t="shared" si="4"/>
        <v>0.0488148068</v>
      </c>
      <c r="P45" s="16">
        <f t="shared" si="5"/>
        <v>-0.01041666667</v>
      </c>
      <c r="Q45" s="30">
        <f t="shared" si="6"/>
        <v>0.002147264781</v>
      </c>
      <c r="R45" s="30">
        <f t="shared" si="7"/>
        <v>-0.00742858839</v>
      </c>
      <c r="S45" s="30">
        <f t="shared" si="8"/>
        <v>-0.01809549658</v>
      </c>
      <c r="T45" s="30">
        <f t="shared" si="9"/>
        <v>-0.1440334633</v>
      </c>
      <c r="U45" s="31" t="str">
        <f t="shared" si="10"/>
        <v>#N/A</v>
      </c>
      <c r="V45" s="31">
        <f t="shared" si="11"/>
        <v>25</v>
      </c>
      <c r="W45" s="31">
        <f t="shared" si="12"/>
        <v>27</v>
      </c>
      <c r="X45" s="31">
        <f t="shared" si="13"/>
        <v>42</v>
      </c>
    </row>
    <row r="46">
      <c r="A46" s="21">
        <v>43.0</v>
      </c>
      <c r="B46" s="22" t="s">
        <v>575</v>
      </c>
      <c r="C46" s="22" t="s">
        <v>545</v>
      </c>
      <c r="D46" s="22" t="s">
        <v>157</v>
      </c>
      <c r="E46" s="23">
        <f>IFERROR(__xludf.DUMMYFUNCTION("GOOGLEFINANCE(""NSE:""&amp;D46,""marketcap"")/10000000"),78125.36592)</f>
        <v>78125.36592</v>
      </c>
      <c r="F46" s="17">
        <f>IFERROR(__xludf.DUMMYFUNCTION("GOOGLEFINANCE(""NSE:""&amp;D46)"),2858.7)</f>
        <v>2858.7</v>
      </c>
      <c r="G46" s="17">
        <f>IFERROR(__xludf.DUMMYFUNCTION("GOOGLEFINANCE(""NSE:""&amp;D46,""closeyest"")"),2842.85)</f>
        <v>2842.85</v>
      </c>
      <c r="H46" s="17">
        <f>IFERROR(__xludf.DUMMYFUNCTION("INDEX(GOOGLEFINANCE(""NSE:""&amp;D46,""PRICE"",TODAY()-7),2,2)"),2898.55)</f>
        <v>2898.55</v>
      </c>
      <c r="I46" s="17">
        <f>IFERROR(__xludf.DUMMYFUNCTION("INDEX(GOOGLEFINANCE(""NSE:""&amp;D46,""PRICE"",TODAY()-14),2,2)"),2805.0)</f>
        <v>2805</v>
      </c>
      <c r="J46" s="17">
        <f>IFERROR(__xludf.DUMMYFUNCTION("INDEX(GOOGLEFINANCE(""NSE:""&amp;D46,""PRICE"",TODAY()-28),2,2)"),2576.1)</f>
        <v>2576.1</v>
      </c>
      <c r="K46" s="17">
        <f>IFERROR(__xludf.DUMMYFUNCTION("INDEX(GOOGLEFINANCE(""NSE:""&amp;D46,""PRICE"",TODAY()-84),2,2)"),2661.0)</f>
        <v>2661</v>
      </c>
      <c r="L46" s="16">
        <f t="shared" si="1"/>
        <v>0.005575390893</v>
      </c>
      <c r="M46" s="16">
        <f t="shared" si="2"/>
        <v>-0.01374825344</v>
      </c>
      <c r="N46" s="16">
        <f t="shared" si="3"/>
        <v>0.01914438503</v>
      </c>
      <c r="O46" s="16">
        <f t="shared" si="4"/>
        <v>0.1097007104</v>
      </c>
      <c r="P46" s="16">
        <f t="shared" si="5"/>
        <v>0.07429537768</v>
      </c>
      <c r="Q46" s="30">
        <f t="shared" si="6"/>
        <v>-0.02727102691</v>
      </c>
      <c r="R46" s="30">
        <f t="shared" si="7"/>
        <v>-0.007801274224</v>
      </c>
      <c r="S46" s="30">
        <f t="shared" si="8"/>
        <v>0.042790407</v>
      </c>
      <c r="T46" s="30">
        <f t="shared" si="9"/>
        <v>-0.05932141895</v>
      </c>
      <c r="U46" s="31" t="str">
        <f t="shared" si="10"/>
        <v>#N/A</v>
      </c>
      <c r="V46" s="31">
        <f t="shared" si="11"/>
        <v>26</v>
      </c>
      <c r="W46" s="31">
        <f t="shared" si="12"/>
        <v>16</v>
      </c>
      <c r="X46" s="31">
        <f t="shared" si="13"/>
        <v>34</v>
      </c>
    </row>
    <row r="47">
      <c r="A47" s="21">
        <v>44.0</v>
      </c>
      <c r="B47" s="22" t="s">
        <v>576</v>
      </c>
      <c r="C47" s="22" t="s">
        <v>545</v>
      </c>
      <c r="D47" s="22" t="s">
        <v>183</v>
      </c>
      <c r="E47" s="23">
        <f>IFERROR(__xludf.DUMMYFUNCTION("GOOGLEFINANCE(""NSE:""&amp;D47,""marketcap"")/10000000"),56996.28357)</f>
        <v>56996.28357</v>
      </c>
      <c r="F47" s="17">
        <f>IFERROR(__xludf.DUMMYFUNCTION("GOOGLEFINANCE(""NSE:""&amp;D47)"),2852.0)</f>
        <v>2852</v>
      </c>
      <c r="G47" s="17">
        <f>IFERROR(__xludf.DUMMYFUNCTION("GOOGLEFINANCE(""NSE:""&amp;D47,""closeyest"")"),2847.2)</f>
        <v>2847.2</v>
      </c>
      <c r="H47" s="17">
        <f>IFERROR(__xludf.DUMMYFUNCTION("INDEX(GOOGLEFINANCE(""NSE:""&amp;D47,""PRICE"",TODAY()-7),2,2)"),2932.1)</f>
        <v>2932.1</v>
      </c>
      <c r="I47" s="17">
        <f>IFERROR(__xludf.DUMMYFUNCTION("INDEX(GOOGLEFINANCE(""NSE:""&amp;D47,""PRICE"",TODAY()-14),2,2)"),2789.8)</f>
        <v>2789.8</v>
      </c>
      <c r="J47" s="17">
        <f>IFERROR(__xludf.DUMMYFUNCTION("INDEX(GOOGLEFINANCE(""NSE:""&amp;D47,""PRICE"",TODAY()-28),2,2)"),2674.05)</f>
        <v>2674.05</v>
      </c>
      <c r="K47" s="17">
        <f>IFERROR(__xludf.DUMMYFUNCTION("INDEX(GOOGLEFINANCE(""NSE:""&amp;D47,""PRICE"",TODAY()-84),2,2)"),2919.85)</f>
        <v>2919.85</v>
      </c>
      <c r="L47" s="16">
        <f t="shared" si="1"/>
        <v>0.001685866817</v>
      </c>
      <c r="M47" s="16">
        <f t="shared" si="2"/>
        <v>-0.02731830429</v>
      </c>
      <c r="N47" s="16">
        <f t="shared" si="3"/>
        <v>0.02229550505</v>
      </c>
      <c r="O47" s="16">
        <f t="shared" si="4"/>
        <v>0.066546998</v>
      </c>
      <c r="P47" s="16">
        <f t="shared" si="5"/>
        <v>-0.02323749508</v>
      </c>
      <c r="Q47" s="30">
        <f t="shared" si="6"/>
        <v>-0.04084107776</v>
      </c>
      <c r="R47" s="30">
        <f t="shared" si="7"/>
        <v>-0.004650154197</v>
      </c>
      <c r="S47" s="30">
        <f t="shared" si="8"/>
        <v>-0.0003633053793</v>
      </c>
      <c r="T47" s="30">
        <f t="shared" si="9"/>
        <v>-0.1568542917</v>
      </c>
      <c r="U47" s="31" t="str">
        <f t="shared" si="10"/>
        <v>#N/A</v>
      </c>
      <c r="V47" s="31">
        <f t="shared" si="11"/>
        <v>24</v>
      </c>
      <c r="W47" s="31">
        <f t="shared" si="12"/>
        <v>23</v>
      </c>
      <c r="X47" s="31">
        <f t="shared" si="13"/>
        <v>43</v>
      </c>
    </row>
    <row r="48">
      <c r="A48" s="21">
        <v>45.0</v>
      </c>
      <c r="B48" s="22" t="s">
        <v>577</v>
      </c>
      <c r="C48" s="22" t="s">
        <v>578</v>
      </c>
      <c r="D48" s="22" t="s">
        <v>181</v>
      </c>
      <c r="E48" s="23">
        <f>IFERROR(__xludf.DUMMYFUNCTION("GOOGLEFINANCE(""NSE:""&amp;D48,""marketcap"")/10000000"),55553.8504648)</f>
        <v>55553.85046</v>
      </c>
      <c r="F48" s="17">
        <f>IFERROR(__xludf.DUMMYFUNCTION("GOOGLEFINANCE(""NSE:""&amp;D48)"),727.1)</f>
        <v>727.1</v>
      </c>
      <c r="G48" s="17">
        <f>IFERROR(__xludf.DUMMYFUNCTION("GOOGLEFINANCE(""NSE:""&amp;D48,""closeyest"")"),724.9)</f>
        <v>724.9</v>
      </c>
      <c r="H48" s="17">
        <f>IFERROR(__xludf.DUMMYFUNCTION("INDEX(GOOGLEFINANCE(""NSE:""&amp;D48,""PRICE"",TODAY()-7),2,2)"),742.35)</f>
        <v>742.35</v>
      </c>
      <c r="I48" s="17">
        <f>IFERROR(__xludf.DUMMYFUNCTION("INDEX(GOOGLEFINANCE(""NSE:""&amp;D48,""PRICE"",TODAY()-14),2,2)"),756.0)</f>
        <v>756</v>
      </c>
      <c r="J48" s="17">
        <f>IFERROR(__xludf.DUMMYFUNCTION("INDEX(GOOGLEFINANCE(""NSE:""&amp;D48,""PRICE"",TODAY()-28),2,2)"),729.25)</f>
        <v>729.25</v>
      </c>
      <c r="K48" s="17">
        <f>IFERROR(__xludf.DUMMYFUNCTION("INDEX(GOOGLEFINANCE(""NSE:""&amp;D48,""PRICE"",TODAY()-84),2,2)"),799.35)</f>
        <v>799.35</v>
      </c>
      <c r="L48" s="16">
        <f t="shared" si="1"/>
        <v>0.003034901366</v>
      </c>
      <c r="M48" s="16">
        <f t="shared" si="2"/>
        <v>-0.02054287061</v>
      </c>
      <c r="N48" s="16">
        <f t="shared" si="3"/>
        <v>-0.03822751323</v>
      </c>
      <c r="O48" s="16">
        <f t="shared" si="4"/>
        <v>-0.002948234487</v>
      </c>
      <c r="P48" s="16">
        <f t="shared" si="5"/>
        <v>-0.09038593858</v>
      </c>
      <c r="Q48" s="30">
        <f t="shared" si="6"/>
        <v>-0.03406564409</v>
      </c>
      <c r="R48" s="30">
        <f t="shared" si="7"/>
        <v>-0.06517317248</v>
      </c>
      <c r="S48" s="30">
        <f t="shared" si="8"/>
        <v>-0.06985853787</v>
      </c>
      <c r="T48" s="30">
        <f t="shared" si="9"/>
        <v>-0.2240027352</v>
      </c>
      <c r="U48" s="31" t="str">
        <f t="shared" si="10"/>
        <v>#N/A</v>
      </c>
      <c r="V48" s="31">
        <f t="shared" si="11"/>
        <v>47</v>
      </c>
      <c r="W48" s="31">
        <f t="shared" si="12"/>
        <v>44</v>
      </c>
      <c r="X48" s="31">
        <f t="shared" si="13"/>
        <v>46</v>
      </c>
    </row>
    <row r="49">
      <c r="A49" s="21">
        <v>46.0</v>
      </c>
      <c r="B49" s="22" t="s">
        <v>579</v>
      </c>
      <c r="C49" s="22" t="s">
        <v>528</v>
      </c>
      <c r="D49" s="22" t="s">
        <v>26</v>
      </c>
      <c r="E49" s="23">
        <f>IFERROR(__xludf.DUMMYFUNCTION("GOOGLEFINANCE(""NSE:""&amp;D49,""marketcap"")/10000000"),11908.7788472)</f>
        <v>11908.77885</v>
      </c>
      <c r="F49" s="17">
        <f>IFERROR(__xludf.DUMMYFUNCTION("GOOGLEFINANCE(""NSE:""&amp;D49)"),1571.6)</f>
        <v>1571.6</v>
      </c>
      <c r="G49" s="17">
        <f>IFERROR(__xludf.DUMMYFUNCTION("GOOGLEFINANCE(""NSE:""&amp;D49,""closeyest"")"),1533.7)</f>
        <v>1533.7</v>
      </c>
      <c r="H49" s="17">
        <f>IFERROR(__xludf.DUMMYFUNCTION("INDEX(GOOGLEFINANCE(""NSE:""&amp;D49,""PRICE"",TODAY()-7),2,2)"),1582.15)</f>
        <v>1582.15</v>
      </c>
      <c r="I49" s="17">
        <f>IFERROR(__xludf.DUMMYFUNCTION("INDEX(GOOGLEFINANCE(""NSE:""&amp;D49,""PRICE"",TODAY()-14),2,2)"),1555.55)</f>
        <v>1555.55</v>
      </c>
      <c r="J49" s="17">
        <f>IFERROR(__xludf.DUMMYFUNCTION("INDEX(GOOGLEFINANCE(""NSE:""&amp;D49,""PRICE"",TODAY()-28),2,2)"),1548.45)</f>
        <v>1548.45</v>
      </c>
      <c r="K49" s="17">
        <f>IFERROR(__xludf.DUMMYFUNCTION("INDEX(GOOGLEFINANCE(""NSE:""&amp;D49,""PRICE"",TODAY()-84),2,2)"),1480.4)</f>
        <v>1480.4</v>
      </c>
      <c r="L49" s="16">
        <f t="shared" si="1"/>
        <v>0.02471148204</v>
      </c>
      <c r="M49" s="16">
        <f t="shared" si="2"/>
        <v>-0.006668141453</v>
      </c>
      <c r="N49" s="16">
        <f t="shared" si="3"/>
        <v>0.01031789399</v>
      </c>
      <c r="O49" s="16">
        <f t="shared" si="4"/>
        <v>0.01495043431</v>
      </c>
      <c r="P49" s="16">
        <f t="shared" si="5"/>
        <v>0.06160497163</v>
      </c>
      <c r="Q49" s="30">
        <f t="shared" si="6"/>
        <v>-0.02019091493</v>
      </c>
      <c r="R49" s="30">
        <f t="shared" si="7"/>
        <v>-0.01662776526</v>
      </c>
      <c r="S49" s="30">
        <f t="shared" si="8"/>
        <v>-0.05195986907</v>
      </c>
      <c r="T49" s="30">
        <f t="shared" si="9"/>
        <v>-0.072011825</v>
      </c>
      <c r="U49" s="31" t="str">
        <f t="shared" si="10"/>
        <v>#N/A</v>
      </c>
      <c r="V49" s="31">
        <f t="shared" si="11"/>
        <v>31</v>
      </c>
      <c r="W49" s="31">
        <f t="shared" si="12"/>
        <v>41</v>
      </c>
      <c r="X49" s="31">
        <f t="shared" si="13"/>
        <v>36</v>
      </c>
    </row>
    <row r="50">
      <c r="A50" s="21">
        <v>47.0</v>
      </c>
      <c r="B50" s="22" t="s">
        <v>580</v>
      </c>
      <c r="C50" s="22" t="s">
        <v>524</v>
      </c>
      <c r="D50" s="22" t="s">
        <v>28</v>
      </c>
      <c r="E50" s="23">
        <f>IFERROR(__xludf.DUMMYFUNCTION("GOOGLEFINANCE(""NSE:""&amp;D50,""marketcap"")/10000000"),10066.141614)</f>
        <v>10066.14161</v>
      </c>
      <c r="F50" s="17">
        <f>IFERROR(__xludf.DUMMYFUNCTION("GOOGLEFINANCE(""NSE:""&amp;D50)"),1742.1)</f>
        <v>1742.1</v>
      </c>
      <c r="G50" s="17">
        <f>IFERROR(__xludf.DUMMYFUNCTION("GOOGLEFINANCE(""NSE:""&amp;D50,""closeyest"")"),1716.9)</f>
        <v>1716.9</v>
      </c>
      <c r="H50" s="17">
        <f>IFERROR(__xludf.DUMMYFUNCTION("INDEX(GOOGLEFINANCE(""NSE:""&amp;D50,""PRICE"",TODAY()-7),2,2)"),1691.3)</f>
        <v>1691.3</v>
      </c>
      <c r="I50" s="17">
        <f>IFERROR(__xludf.DUMMYFUNCTION("INDEX(GOOGLEFINANCE(""NSE:""&amp;D50,""PRICE"",TODAY()-14),2,2)"),1691.9)</f>
        <v>1691.9</v>
      </c>
      <c r="J50" s="17">
        <f>IFERROR(__xludf.DUMMYFUNCTION("INDEX(GOOGLEFINANCE(""NSE:""&amp;D50,""PRICE"",TODAY()-28),2,2)"),1708.8)</f>
        <v>1708.8</v>
      </c>
      <c r="K50" s="17">
        <f>IFERROR(__xludf.DUMMYFUNCTION("INDEX(GOOGLEFINANCE(""NSE:""&amp;D50,""PRICE"",TODAY()-84),2,2)"),1567.8)</f>
        <v>1567.8</v>
      </c>
      <c r="L50" s="16">
        <f t="shared" si="1"/>
        <v>0.01467761663</v>
      </c>
      <c r="M50" s="16">
        <f t="shared" si="2"/>
        <v>0.03003606693</v>
      </c>
      <c r="N50" s="16">
        <f t="shared" si="3"/>
        <v>0.02967078433</v>
      </c>
      <c r="O50" s="16">
        <f t="shared" si="4"/>
        <v>0.01948735955</v>
      </c>
      <c r="P50" s="16">
        <f t="shared" si="5"/>
        <v>0.1111748948</v>
      </c>
      <c r="Q50" s="30">
        <f t="shared" si="6"/>
        <v>0.01651329345</v>
      </c>
      <c r="R50" s="30">
        <f t="shared" si="7"/>
        <v>0.002725125074</v>
      </c>
      <c r="S50" s="30">
        <f t="shared" si="8"/>
        <v>-0.04742294383</v>
      </c>
      <c r="T50" s="30">
        <f t="shared" si="9"/>
        <v>-0.02244190187</v>
      </c>
      <c r="U50" s="31" t="str">
        <f t="shared" si="10"/>
        <v>#N/A</v>
      </c>
      <c r="V50" s="31">
        <f t="shared" si="11"/>
        <v>20</v>
      </c>
      <c r="W50" s="31">
        <f t="shared" si="12"/>
        <v>40</v>
      </c>
      <c r="X50" s="31">
        <f t="shared" si="13"/>
        <v>28</v>
      </c>
    </row>
    <row r="51">
      <c r="A51" s="21">
        <v>48.0</v>
      </c>
      <c r="B51" s="22" t="s">
        <v>581</v>
      </c>
      <c r="C51" s="22" t="s">
        <v>528</v>
      </c>
      <c r="D51" s="22" t="s">
        <v>34</v>
      </c>
      <c r="E51" s="23">
        <f>IFERROR(__xludf.DUMMYFUNCTION("GOOGLEFINANCE(""NSE:""&amp;D51,""marketcap"")/10000000"),6827.2247571)</f>
        <v>6827.224757</v>
      </c>
      <c r="F51" s="17">
        <f>IFERROR(__xludf.DUMMYFUNCTION("GOOGLEFINANCE(""NSE:""&amp;D51)"),717.0)</f>
        <v>717</v>
      </c>
      <c r="G51" s="17">
        <f>IFERROR(__xludf.DUMMYFUNCTION("GOOGLEFINANCE(""NSE:""&amp;D51,""closeyest"")"),703.35)</f>
        <v>703.35</v>
      </c>
      <c r="H51" s="17">
        <f>IFERROR(__xludf.DUMMYFUNCTION("INDEX(GOOGLEFINANCE(""NSE:""&amp;D51,""PRICE"",TODAY()-7),2,2)"),720.15)</f>
        <v>720.15</v>
      </c>
      <c r="I51" s="17">
        <f>IFERROR(__xludf.DUMMYFUNCTION("INDEX(GOOGLEFINANCE(""NSE:""&amp;D51,""PRICE"",TODAY()-14),2,2)"),707.4)</f>
        <v>707.4</v>
      </c>
      <c r="J51" s="17">
        <f>IFERROR(__xludf.DUMMYFUNCTION("INDEX(GOOGLEFINANCE(""NSE:""&amp;D51,""PRICE"",TODAY()-28),2,2)"),699.75)</f>
        <v>699.75</v>
      </c>
      <c r="K51" s="17">
        <f>IFERROR(__xludf.DUMMYFUNCTION("INDEX(GOOGLEFINANCE(""NSE:""&amp;D51,""PRICE"",TODAY()-84),2,2)"),640.25)</f>
        <v>640.25</v>
      </c>
      <c r="L51" s="16">
        <f t="shared" si="1"/>
        <v>0.01940712305</v>
      </c>
      <c r="M51" s="16">
        <f t="shared" si="2"/>
        <v>-0.004374088732</v>
      </c>
      <c r="N51" s="16">
        <f t="shared" si="3"/>
        <v>0.01357082273</v>
      </c>
      <c r="O51" s="16">
        <f t="shared" si="4"/>
        <v>0.02465166131</v>
      </c>
      <c r="P51" s="16">
        <f t="shared" si="5"/>
        <v>0.1198750488</v>
      </c>
      <c r="Q51" s="30">
        <f t="shared" si="6"/>
        <v>-0.01789686221</v>
      </c>
      <c r="R51" s="30">
        <f t="shared" si="7"/>
        <v>-0.01337483652</v>
      </c>
      <c r="S51" s="30">
        <f t="shared" si="8"/>
        <v>-0.04225864207</v>
      </c>
      <c r="T51" s="30">
        <f t="shared" si="9"/>
        <v>-0.01374174782</v>
      </c>
      <c r="U51" s="31" t="str">
        <f t="shared" si="10"/>
        <v>#N/A</v>
      </c>
      <c r="V51" s="31">
        <f t="shared" si="11"/>
        <v>28</v>
      </c>
      <c r="W51" s="31">
        <f t="shared" si="12"/>
        <v>38</v>
      </c>
      <c r="X51" s="31">
        <f t="shared" si="13"/>
        <v>25</v>
      </c>
    </row>
    <row r="52">
      <c r="A52" s="21">
        <v>49.0</v>
      </c>
      <c r="B52" s="22" t="s">
        <v>582</v>
      </c>
      <c r="C52" s="22" t="s">
        <v>545</v>
      </c>
      <c r="D52" s="22" t="s">
        <v>110</v>
      </c>
      <c r="E52" s="23">
        <f>IFERROR(__xludf.DUMMYFUNCTION("GOOGLEFINANCE(""NSE:""&amp;D52,""marketcap"")/10000000"),1559.8243894)</f>
        <v>1559.824389</v>
      </c>
      <c r="F52" s="17">
        <f>IFERROR(__xludf.DUMMYFUNCTION("GOOGLEFINANCE(""NSE:""&amp;D52)"),321.0)</f>
        <v>321</v>
      </c>
      <c r="G52" s="17">
        <f>IFERROR(__xludf.DUMMYFUNCTION("GOOGLEFINANCE(""NSE:""&amp;D52,""closeyest"")"),310.1)</f>
        <v>310.1</v>
      </c>
      <c r="H52" s="17">
        <f>IFERROR(__xludf.DUMMYFUNCTION("INDEX(GOOGLEFINANCE(""NSE:""&amp;D52,""PRICE"",TODAY()-7),2,2)"),308.6)</f>
        <v>308.6</v>
      </c>
      <c r="I52" s="17">
        <f>IFERROR(__xludf.DUMMYFUNCTION("INDEX(GOOGLEFINANCE(""NSE:""&amp;D52,""PRICE"",TODAY()-14),2,2)"),301.2)</f>
        <v>301.2</v>
      </c>
      <c r="J52" s="17">
        <f>IFERROR(__xludf.DUMMYFUNCTION("INDEX(GOOGLEFINANCE(""NSE:""&amp;D52,""PRICE"",TODAY()-28),2,2)"),285.75)</f>
        <v>285.75</v>
      </c>
      <c r="K52" s="17">
        <f>IFERROR(__xludf.DUMMYFUNCTION("INDEX(GOOGLEFINANCE(""NSE:""&amp;D52,""PRICE"",TODAY()-84),2,2)"),344.9)</f>
        <v>344.9</v>
      </c>
      <c r="L52" s="16">
        <f t="shared" si="1"/>
        <v>0.03514995163</v>
      </c>
      <c r="M52" s="16">
        <f t="shared" si="2"/>
        <v>0.04018146468</v>
      </c>
      <c r="N52" s="16">
        <f t="shared" si="3"/>
        <v>0.06573705179</v>
      </c>
      <c r="O52" s="16">
        <f t="shared" si="4"/>
        <v>0.1233595801</v>
      </c>
      <c r="P52" s="16">
        <f t="shared" si="5"/>
        <v>-0.06929544796</v>
      </c>
      <c r="Q52" s="30">
        <f t="shared" si="6"/>
        <v>0.0266586912</v>
      </c>
      <c r="R52" s="30">
        <f t="shared" si="7"/>
        <v>0.03879139254</v>
      </c>
      <c r="S52" s="30">
        <f t="shared" si="8"/>
        <v>0.05644927667</v>
      </c>
      <c r="T52" s="30">
        <f t="shared" si="9"/>
        <v>-0.2029122446</v>
      </c>
      <c r="U52" s="31" t="str">
        <f t="shared" si="10"/>
        <v>#N/A</v>
      </c>
      <c r="V52" s="31">
        <f t="shared" si="11"/>
        <v>9</v>
      </c>
      <c r="W52" s="31">
        <f t="shared" si="12"/>
        <v>11</v>
      </c>
      <c r="X52" s="31">
        <f t="shared" si="13"/>
        <v>45</v>
      </c>
    </row>
    <row r="53">
      <c r="A53" s="21">
        <v>50.0</v>
      </c>
      <c r="B53" s="22" t="s">
        <v>583</v>
      </c>
      <c r="C53" s="22" t="s">
        <v>549</v>
      </c>
      <c r="D53" s="22" t="s">
        <v>147</v>
      </c>
      <c r="E53" s="23">
        <f>IFERROR(__xludf.DUMMYFUNCTION("GOOGLEFINANCE(""NSE:""&amp;D53,""marketcap"")/10000000"),1080.6777882)</f>
        <v>1080.677788</v>
      </c>
      <c r="F53" s="17">
        <f>IFERROR(__xludf.DUMMYFUNCTION("GOOGLEFINANCE(""NSE:""&amp;D53)"),4799.95)</f>
        <v>4799.95</v>
      </c>
      <c r="G53" s="17">
        <f>IFERROR(__xludf.DUMMYFUNCTION("GOOGLEFINANCE(""NSE:""&amp;D53,""closeyest"")"),4846.35)</f>
        <v>4846.35</v>
      </c>
      <c r="H53" s="17" t="str">
        <f>IFERROR(__xludf.DUMMYFUNCTION("INDEX(GOOGLEFINANCE(""NSE:""&amp;D53,""PRICE"",TODAY()-7),2,2)"),"#N/A")</f>
        <v>#N/A</v>
      </c>
      <c r="I53" s="17">
        <f>IFERROR(__xludf.DUMMYFUNCTION("INDEX(GOOGLEFINANCE(""NSE:""&amp;D53,""PRICE"",TODAY()-14),2,2)"),4931.4)</f>
        <v>4931.4</v>
      </c>
      <c r="J53" s="17">
        <f>IFERROR(__xludf.DUMMYFUNCTION("INDEX(GOOGLEFINANCE(""NSE:""&amp;D53,""PRICE"",TODAY()-28),2,2)"),4600.55)</f>
        <v>4600.55</v>
      </c>
      <c r="K53" s="17">
        <f>IFERROR(__xludf.DUMMYFUNCTION("INDEX(GOOGLEFINANCE(""NSE:""&amp;D53,""PRICE"",TODAY()-84),2,2)"),5575.7)</f>
        <v>5575.7</v>
      </c>
      <c r="L53" s="16">
        <f t="shared" si="1"/>
        <v>-0.009574215647</v>
      </c>
      <c r="M53" s="16" t="str">
        <f t="shared" si="2"/>
        <v>#N/A</v>
      </c>
      <c r="N53" s="16">
        <f t="shared" si="3"/>
        <v>-0.02665571643</v>
      </c>
      <c r="O53" s="16">
        <f t="shared" si="4"/>
        <v>0.04334264381</v>
      </c>
      <c r="P53" s="16">
        <f t="shared" si="5"/>
        <v>-0.1391305128</v>
      </c>
      <c r="Q53" s="32" t="str">
        <f t="shared" si="6"/>
        <v>#N/A</v>
      </c>
      <c r="R53" s="30">
        <f t="shared" si="7"/>
        <v>-0.05360137568</v>
      </c>
      <c r="S53" s="30">
        <f t="shared" si="8"/>
        <v>-0.02356765956</v>
      </c>
      <c r="T53" s="30">
        <f t="shared" si="9"/>
        <v>-0.2727473094</v>
      </c>
      <c r="U53" s="31" t="str">
        <f t="shared" si="10"/>
        <v>#N/A</v>
      </c>
      <c r="V53" s="31">
        <f t="shared" si="11"/>
        <v>43</v>
      </c>
      <c r="W53" s="31">
        <f t="shared" si="12"/>
        <v>28</v>
      </c>
      <c r="X53" s="31">
        <f t="shared" si="13"/>
        <v>50</v>
      </c>
    </row>
    <row r="54">
      <c r="A54" s="7"/>
      <c r="B54" s="18"/>
      <c r="C54" s="19"/>
      <c r="E54" s="23"/>
      <c r="F54" s="17"/>
      <c r="G54" s="17"/>
      <c r="H54" s="17"/>
      <c r="I54" s="17"/>
      <c r="J54" s="17"/>
      <c r="K54" s="17"/>
      <c r="L54" s="16"/>
      <c r="M54" s="16"/>
      <c r="N54" s="16"/>
      <c r="O54" s="16"/>
      <c r="P54" s="16"/>
      <c r="U54" s="4"/>
      <c r="V54" s="4"/>
      <c r="W54" s="4"/>
      <c r="X54" s="4"/>
    </row>
    <row r="55">
      <c r="A55" s="7"/>
      <c r="B55" s="18"/>
      <c r="C55" s="9"/>
      <c r="E55" s="23"/>
      <c r="F55" s="17"/>
      <c r="G55" s="17"/>
      <c r="H55" s="17"/>
      <c r="I55" s="17"/>
      <c r="J55" s="17"/>
      <c r="K55" s="17"/>
      <c r="L55" s="16"/>
      <c r="M55" s="16"/>
      <c r="N55" s="16"/>
      <c r="O55" s="16"/>
      <c r="P55" s="16"/>
      <c r="U55" s="4"/>
      <c r="V55" s="4"/>
      <c r="W55" s="4"/>
      <c r="X55" s="4"/>
    </row>
    <row r="56">
      <c r="A56" s="7"/>
      <c r="B56" s="18"/>
      <c r="C56" s="9"/>
      <c r="E56" s="23"/>
      <c r="F56" s="17"/>
      <c r="G56" s="17"/>
      <c r="H56" s="17"/>
      <c r="I56" s="17"/>
      <c r="J56" s="17"/>
      <c r="K56" s="17"/>
      <c r="L56" s="16"/>
      <c r="M56" s="16"/>
      <c r="N56" s="16"/>
      <c r="O56" s="16"/>
      <c r="P56" s="16"/>
      <c r="U56" s="4"/>
      <c r="V56" s="4"/>
      <c r="W56" s="4"/>
      <c r="X56" s="4"/>
    </row>
    <row r="57">
      <c r="A57" s="7"/>
      <c r="B57" s="18"/>
      <c r="C57" s="9"/>
      <c r="E57" s="23"/>
      <c r="F57" s="17"/>
      <c r="G57" s="17"/>
      <c r="H57" s="17"/>
      <c r="I57" s="17"/>
      <c r="J57" s="17"/>
      <c r="K57" s="17"/>
      <c r="L57" s="16"/>
      <c r="M57" s="16"/>
      <c r="N57" s="16"/>
      <c r="O57" s="16"/>
      <c r="P57" s="16"/>
      <c r="U57" s="4"/>
      <c r="V57" s="4"/>
      <c r="W57" s="4"/>
      <c r="X57" s="4"/>
    </row>
    <row r="58">
      <c r="A58" s="7"/>
      <c r="B58" s="18"/>
      <c r="C58" s="9"/>
      <c r="E58" s="23"/>
      <c r="F58" s="17"/>
      <c r="G58" s="17"/>
      <c r="H58" s="17"/>
      <c r="I58" s="17"/>
      <c r="J58" s="17"/>
      <c r="K58" s="17"/>
      <c r="L58" s="16"/>
      <c r="M58" s="16"/>
      <c r="N58" s="16"/>
      <c r="O58" s="16"/>
      <c r="P58" s="16"/>
      <c r="U58" s="4"/>
      <c r="V58" s="4"/>
      <c r="W58" s="4"/>
      <c r="X58" s="4"/>
    </row>
    <row r="59">
      <c r="A59" s="7"/>
      <c r="B59" s="18"/>
      <c r="C59" s="9"/>
      <c r="E59" s="23"/>
      <c r="F59" s="17"/>
      <c r="G59" s="17"/>
      <c r="H59" s="17"/>
      <c r="I59" s="17"/>
      <c r="J59" s="17"/>
      <c r="K59" s="17"/>
      <c r="L59" s="16"/>
      <c r="M59" s="16"/>
      <c r="N59" s="16"/>
      <c r="O59" s="16"/>
      <c r="P59" s="16"/>
      <c r="U59" s="4"/>
      <c r="V59" s="4"/>
      <c r="W59" s="4"/>
      <c r="X59" s="4"/>
    </row>
    <row r="60">
      <c r="A60" s="7"/>
      <c r="B60" s="18"/>
      <c r="C60" s="9"/>
      <c r="E60" s="23"/>
      <c r="F60" s="17"/>
      <c r="G60" s="17"/>
      <c r="H60" s="17"/>
      <c r="I60" s="17"/>
      <c r="J60" s="17"/>
      <c r="K60" s="17"/>
      <c r="L60" s="16"/>
      <c r="M60" s="16"/>
      <c r="N60" s="16"/>
      <c r="O60" s="16"/>
      <c r="P60" s="16"/>
      <c r="U60" s="4"/>
      <c r="V60" s="4"/>
      <c r="W60" s="4"/>
      <c r="X60" s="4"/>
    </row>
    <row r="61">
      <c r="A61" s="7"/>
      <c r="B61" s="18"/>
      <c r="C61" s="9"/>
      <c r="E61" s="23"/>
      <c r="F61" s="17"/>
      <c r="G61" s="17"/>
      <c r="H61" s="17"/>
      <c r="I61" s="17"/>
      <c r="J61" s="17"/>
      <c r="K61" s="17"/>
      <c r="L61" s="16"/>
      <c r="M61" s="16"/>
      <c r="N61" s="16"/>
      <c r="O61" s="16"/>
      <c r="P61" s="16"/>
      <c r="U61" s="4"/>
      <c r="V61" s="4"/>
      <c r="W61" s="4"/>
      <c r="X61" s="4"/>
    </row>
    <row r="62">
      <c r="A62" s="7"/>
      <c r="B62" s="18"/>
      <c r="C62" s="9"/>
      <c r="E62" s="23"/>
      <c r="F62" s="17"/>
      <c r="G62" s="17"/>
      <c r="H62" s="17"/>
      <c r="I62" s="17"/>
      <c r="J62" s="17"/>
      <c r="K62" s="17"/>
      <c r="L62" s="16"/>
      <c r="M62" s="16"/>
      <c r="N62" s="16"/>
      <c r="O62" s="16"/>
      <c r="P62" s="16"/>
      <c r="U62" s="4"/>
      <c r="V62" s="4"/>
      <c r="W62" s="4"/>
      <c r="X62" s="4"/>
    </row>
    <row r="63">
      <c r="A63" s="7"/>
      <c r="B63" s="18"/>
      <c r="C63" s="9"/>
      <c r="E63" s="23"/>
      <c r="F63" s="17"/>
      <c r="G63" s="17"/>
      <c r="H63" s="17"/>
      <c r="I63" s="17"/>
      <c r="J63" s="17"/>
      <c r="K63" s="17"/>
      <c r="L63" s="16"/>
      <c r="M63" s="16"/>
      <c r="N63" s="16"/>
      <c r="O63" s="16"/>
      <c r="P63" s="16"/>
      <c r="U63" s="4"/>
      <c r="V63" s="4"/>
      <c r="W63" s="4"/>
      <c r="X63" s="4"/>
    </row>
    <row r="64">
      <c r="A64" s="7"/>
      <c r="B64" s="18"/>
      <c r="C64" s="9"/>
      <c r="E64" s="23"/>
      <c r="F64" s="17"/>
      <c r="G64" s="17"/>
      <c r="H64" s="17"/>
      <c r="I64" s="17"/>
      <c r="J64" s="17"/>
      <c r="K64" s="17"/>
      <c r="L64" s="16"/>
      <c r="M64" s="16"/>
      <c r="N64" s="16"/>
      <c r="O64" s="16"/>
      <c r="P64" s="16"/>
      <c r="U64" s="4"/>
      <c r="V64" s="4"/>
      <c r="W64" s="4"/>
      <c r="X64" s="4"/>
    </row>
    <row r="65">
      <c r="E65" s="23"/>
      <c r="F65" s="17"/>
      <c r="G65" s="17"/>
      <c r="H65" s="17"/>
      <c r="I65" s="17"/>
      <c r="J65" s="17"/>
      <c r="K65" s="17"/>
      <c r="L65" s="16"/>
      <c r="M65" s="16"/>
      <c r="N65" s="16"/>
      <c r="O65" s="16"/>
      <c r="P65" s="16"/>
      <c r="U65" s="4"/>
      <c r="V65" s="4"/>
      <c r="W65" s="4"/>
      <c r="X65" s="4"/>
    </row>
    <row r="66">
      <c r="E66" s="23"/>
      <c r="F66" s="17"/>
      <c r="G66" s="17"/>
      <c r="H66" s="17"/>
      <c r="I66" s="17"/>
      <c r="J66" s="17"/>
      <c r="K66" s="17"/>
      <c r="L66" s="16"/>
      <c r="M66" s="16"/>
      <c r="N66" s="16"/>
      <c r="O66" s="16"/>
      <c r="P66" s="16"/>
      <c r="U66" s="4"/>
      <c r="V66" s="4"/>
      <c r="W66" s="4"/>
      <c r="X66" s="4"/>
    </row>
    <row r="67">
      <c r="E67" s="23"/>
      <c r="F67" s="17"/>
      <c r="G67" s="17"/>
      <c r="H67" s="17"/>
      <c r="I67" s="17"/>
      <c r="J67" s="17"/>
      <c r="K67" s="17"/>
      <c r="L67" s="16"/>
      <c r="M67" s="16"/>
      <c r="N67" s="16"/>
      <c r="O67" s="16"/>
      <c r="P67" s="16"/>
      <c r="U67" s="4"/>
      <c r="V67" s="4"/>
      <c r="W67" s="4"/>
      <c r="X67" s="4"/>
    </row>
    <row r="68">
      <c r="E68" s="23"/>
      <c r="F68" s="17"/>
      <c r="G68" s="17"/>
      <c r="H68" s="17"/>
      <c r="I68" s="17"/>
      <c r="J68" s="17"/>
      <c r="K68" s="17"/>
      <c r="L68" s="16"/>
      <c r="M68" s="16"/>
      <c r="N68" s="16"/>
      <c r="O68" s="16"/>
      <c r="P68" s="16"/>
      <c r="U68" s="4"/>
      <c r="V68" s="4"/>
      <c r="W68" s="4"/>
      <c r="X68" s="4"/>
    </row>
    <row r="69">
      <c r="E69" s="23"/>
      <c r="F69" s="17"/>
      <c r="G69" s="17"/>
      <c r="H69" s="17"/>
      <c r="I69" s="17"/>
      <c r="J69" s="17"/>
      <c r="K69" s="17"/>
      <c r="L69" s="16"/>
      <c r="M69" s="16"/>
      <c r="N69" s="16"/>
      <c r="O69" s="16"/>
      <c r="P69" s="16"/>
      <c r="U69" s="4"/>
      <c r="V69" s="4"/>
      <c r="W69" s="4"/>
      <c r="X69" s="4"/>
    </row>
    <row r="70">
      <c r="E70" s="23"/>
      <c r="F70" s="17"/>
      <c r="G70" s="17"/>
      <c r="H70" s="17"/>
      <c r="I70" s="17"/>
      <c r="J70" s="17"/>
      <c r="K70" s="17"/>
      <c r="L70" s="16"/>
      <c r="M70" s="16"/>
      <c r="N70" s="16"/>
      <c r="O70" s="16"/>
      <c r="P70" s="16"/>
      <c r="U70" s="4"/>
      <c r="V70" s="4"/>
      <c r="W70" s="4"/>
      <c r="X70" s="4"/>
    </row>
    <row r="71">
      <c r="E71" s="23"/>
      <c r="F71" s="17"/>
      <c r="G71" s="17"/>
      <c r="H71" s="17"/>
      <c r="I71" s="17"/>
      <c r="J71" s="17"/>
      <c r="K71" s="17"/>
      <c r="L71" s="16"/>
      <c r="M71" s="16"/>
      <c r="N71" s="16"/>
      <c r="O71" s="16"/>
      <c r="P71" s="16"/>
      <c r="U71" s="4"/>
      <c r="V71" s="4"/>
      <c r="W71" s="4"/>
      <c r="X71" s="4"/>
    </row>
    <row r="72">
      <c r="E72" s="23"/>
      <c r="F72" s="17"/>
      <c r="G72" s="17"/>
      <c r="H72" s="17"/>
      <c r="I72" s="17"/>
      <c r="J72" s="17"/>
      <c r="K72" s="17"/>
      <c r="L72" s="16"/>
      <c r="M72" s="16"/>
      <c r="N72" s="16"/>
      <c r="O72" s="16"/>
      <c r="P72" s="16"/>
      <c r="U72" s="4"/>
      <c r="V72" s="4"/>
      <c r="W72" s="4"/>
      <c r="X72" s="4"/>
    </row>
    <row r="73">
      <c r="E73" s="23"/>
      <c r="F73" s="17"/>
      <c r="G73" s="17"/>
      <c r="H73" s="17"/>
      <c r="I73" s="17"/>
      <c r="J73" s="17"/>
      <c r="K73" s="17"/>
      <c r="L73" s="16"/>
      <c r="M73" s="16"/>
      <c r="N73" s="16"/>
      <c r="O73" s="16"/>
      <c r="P73" s="16"/>
      <c r="U73" s="4"/>
      <c r="V73" s="4"/>
      <c r="W73" s="4"/>
      <c r="X73" s="4"/>
    </row>
    <row r="74">
      <c r="E74" s="23"/>
      <c r="F74" s="17"/>
      <c r="G74" s="17"/>
      <c r="H74" s="17"/>
      <c r="I74" s="17"/>
      <c r="J74" s="17"/>
      <c r="K74" s="17"/>
      <c r="L74" s="16"/>
      <c r="M74" s="16"/>
      <c r="N74" s="16"/>
      <c r="O74" s="16"/>
      <c r="P74" s="16"/>
      <c r="U74" s="4"/>
      <c r="V74" s="4"/>
      <c r="W74" s="4"/>
      <c r="X74" s="4"/>
    </row>
    <row r="75">
      <c r="E75" s="23"/>
      <c r="F75" s="17"/>
      <c r="G75" s="17"/>
      <c r="H75" s="17"/>
      <c r="I75" s="17"/>
      <c r="J75" s="17"/>
      <c r="K75" s="17"/>
      <c r="L75" s="16"/>
      <c r="M75" s="16"/>
      <c r="N75" s="16"/>
      <c r="O75" s="16"/>
      <c r="P75" s="16"/>
      <c r="U75" s="4"/>
      <c r="V75" s="4"/>
      <c r="W75" s="4"/>
      <c r="X75" s="4"/>
    </row>
    <row r="76">
      <c r="E76" s="23"/>
      <c r="F76" s="17"/>
      <c r="G76" s="17"/>
      <c r="H76" s="17"/>
      <c r="I76" s="17"/>
      <c r="J76" s="17"/>
      <c r="K76" s="17"/>
      <c r="L76" s="16"/>
      <c r="M76" s="16"/>
      <c r="N76" s="16"/>
      <c r="O76" s="16"/>
      <c r="P76" s="16"/>
      <c r="U76" s="4"/>
      <c r="V76" s="4"/>
      <c r="W76" s="4"/>
      <c r="X76" s="4"/>
    </row>
    <row r="77">
      <c r="E77" s="23"/>
      <c r="F77" s="17"/>
      <c r="G77" s="17"/>
      <c r="H77" s="17"/>
      <c r="I77" s="17"/>
      <c r="J77" s="17"/>
      <c r="K77" s="17"/>
      <c r="L77" s="16"/>
      <c r="M77" s="16"/>
      <c r="N77" s="16"/>
      <c r="O77" s="16"/>
      <c r="P77" s="16"/>
      <c r="U77" s="4"/>
      <c r="V77" s="4"/>
      <c r="W77" s="4"/>
      <c r="X77" s="4"/>
    </row>
    <row r="78">
      <c r="E78" s="23"/>
      <c r="F78" s="17"/>
      <c r="G78" s="17"/>
      <c r="H78" s="17"/>
      <c r="I78" s="17"/>
      <c r="J78" s="17"/>
      <c r="K78" s="17"/>
      <c r="L78" s="16"/>
      <c r="M78" s="16"/>
      <c r="N78" s="16"/>
      <c r="O78" s="16"/>
      <c r="P78" s="16"/>
      <c r="U78" s="4"/>
      <c r="V78" s="4"/>
      <c r="W78" s="4"/>
      <c r="X78" s="4"/>
    </row>
    <row r="79">
      <c r="E79" s="23"/>
      <c r="F79" s="17"/>
      <c r="G79" s="17"/>
      <c r="H79" s="17"/>
      <c r="I79" s="17"/>
      <c r="J79" s="17"/>
      <c r="K79" s="17"/>
      <c r="L79" s="16"/>
      <c r="M79" s="16"/>
      <c r="N79" s="16"/>
      <c r="O79" s="16"/>
      <c r="P79" s="16"/>
      <c r="U79" s="4"/>
      <c r="V79" s="4"/>
      <c r="W79" s="4"/>
      <c r="X79" s="4"/>
    </row>
    <row r="80">
      <c r="E80" s="23"/>
      <c r="F80" s="17"/>
      <c r="G80" s="17"/>
      <c r="H80" s="17"/>
      <c r="I80" s="17"/>
      <c r="J80" s="17"/>
      <c r="K80" s="17"/>
      <c r="L80" s="16"/>
      <c r="M80" s="16"/>
      <c r="N80" s="16"/>
      <c r="O80" s="16"/>
      <c r="P80" s="16"/>
      <c r="U80" s="4"/>
      <c r="V80" s="4"/>
      <c r="W80" s="4"/>
      <c r="X80" s="4"/>
    </row>
    <row r="81">
      <c r="E81" s="23"/>
      <c r="F81" s="17"/>
      <c r="G81" s="17"/>
      <c r="H81" s="17"/>
      <c r="I81" s="17"/>
      <c r="J81" s="17"/>
      <c r="K81" s="17"/>
      <c r="L81" s="16"/>
      <c r="M81" s="16"/>
      <c r="N81" s="16"/>
      <c r="O81" s="16"/>
      <c r="P81" s="16"/>
      <c r="U81" s="4"/>
      <c r="V81" s="4"/>
      <c r="W81" s="4"/>
      <c r="X81" s="4"/>
    </row>
    <row r="82">
      <c r="E82" s="23"/>
      <c r="F82" s="17"/>
      <c r="G82" s="17"/>
      <c r="H82" s="17"/>
      <c r="I82" s="17"/>
      <c r="J82" s="17"/>
      <c r="K82" s="17"/>
      <c r="L82" s="16"/>
      <c r="M82" s="16"/>
      <c r="N82" s="16"/>
      <c r="O82" s="16"/>
      <c r="P82" s="16"/>
      <c r="U82" s="4"/>
      <c r="V82" s="4"/>
      <c r="W82" s="4"/>
      <c r="X82" s="4"/>
    </row>
    <row r="83">
      <c r="E83" s="23"/>
      <c r="F83" s="17"/>
      <c r="G83" s="17"/>
      <c r="H83" s="17"/>
      <c r="I83" s="17"/>
      <c r="J83" s="17"/>
      <c r="K83" s="17"/>
      <c r="L83" s="16"/>
      <c r="M83" s="16"/>
      <c r="N83" s="16"/>
      <c r="O83" s="16"/>
      <c r="P83" s="16"/>
      <c r="U83" s="4"/>
      <c r="V83" s="4"/>
      <c r="W83" s="4"/>
      <c r="X83" s="4"/>
    </row>
    <row r="84">
      <c r="E84" s="23"/>
      <c r="F84" s="17"/>
      <c r="G84" s="17"/>
      <c r="H84" s="17"/>
      <c r="I84" s="17"/>
      <c r="J84" s="17"/>
      <c r="K84" s="17"/>
      <c r="L84" s="16"/>
      <c r="M84" s="16"/>
      <c r="N84" s="16"/>
      <c r="O84" s="16"/>
      <c r="P84" s="16"/>
      <c r="U84" s="4"/>
      <c r="V84" s="4"/>
      <c r="W84" s="4"/>
      <c r="X84" s="4"/>
    </row>
    <row r="85">
      <c r="E85" s="23"/>
      <c r="F85" s="17"/>
      <c r="G85" s="17"/>
      <c r="H85" s="17"/>
      <c r="I85" s="17"/>
      <c r="J85" s="17"/>
      <c r="K85" s="17"/>
      <c r="L85" s="16"/>
      <c r="M85" s="16"/>
      <c r="N85" s="16"/>
      <c r="O85" s="16"/>
      <c r="P85" s="16"/>
      <c r="U85" s="4"/>
      <c r="V85" s="4"/>
      <c r="W85" s="4"/>
      <c r="X85" s="4"/>
    </row>
    <row r="86">
      <c r="E86" s="23"/>
      <c r="F86" s="17"/>
      <c r="G86" s="17"/>
      <c r="H86" s="17"/>
      <c r="I86" s="17"/>
      <c r="J86" s="17"/>
      <c r="K86" s="17"/>
      <c r="L86" s="16"/>
      <c r="M86" s="16"/>
      <c r="N86" s="16"/>
      <c r="O86" s="16"/>
      <c r="P86" s="16"/>
      <c r="U86" s="4"/>
      <c r="V86" s="4"/>
      <c r="W86" s="4"/>
      <c r="X86" s="4"/>
    </row>
    <row r="87">
      <c r="E87" s="23"/>
      <c r="F87" s="17"/>
      <c r="G87" s="17"/>
      <c r="H87" s="17"/>
      <c r="I87" s="17"/>
      <c r="J87" s="17"/>
      <c r="K87" s="17"/>
      <c r="L87" s="16"/>
      <c r="M87" s="16"/>
      <c r="N87" s="16"/>
      <c r="O87" s="16"/>
      <c r="P87" s="16"/>
      <c r="U87" s="4"/>
      <c r="V87" s="4"/>
      <c r="W87" s="4"/>
      <c r="X87" s="4"/>
    </row>
    <row r="88">
      <c r="E88" s="23"/>
      <c r="F88" s="17"/>
      <c r="G88" s="17"/>
      <c r="H88" s="17"/>
      <c r="I88" s="17"/>
      <c r="J88" s="17"/>
      <c r="K88" s="17"/>
      <c r="L88" s="16"/>
      <c r="M88" s="16"/>
      <c r="N88" s="16"/>
      <c r="O88" s="16"/>
      <c r="P88" s="16"/>
      <c r="U88" s="4"/>
      <c r="V88" s="4"/>
      <c r="W88" s="4"/>
      <c r="X88" s="4"/>
    </row>
    <row r="89">
      <c r="E89" s="23"/>
      <c r="F89" s="17"/>
      <c r="G89" s="17"/>
      <c r="H89" s="17"/>
      <c r="I89" s="17"/>
      <c r="J89" s="17"/>
      <c r="K89" s="17"/>
      <c r="L89" s="16"/>
      <c r="M89" s="16"/>
      <c r="N89" s="16"/>
      <c r="O89" s="16"/>
      <c r="P89" s="16"/>
      <c r="U89" s="4"/>
      <c r="V89" s="4"/>
      <c r="W89" s="4"/>
      <c r="X89" s="4"/>
    </row>
    <row r="90">
      <c r="E90" s="23"/>
      <c r="F90" s="17"/>
      <c r="G90" s="17"/>
      <c r="H90" s="17"/>
      <c r="I90" s="17"/>
      <c r="J90" s="17"/>
      <c r="K90" s="17"/>
      <c r="L90" s="16"/>
      <c r="M90" s="16"/>
      <c r="N90" s="16"/>
      <c r="O90" s="16"/>
      <c r="P90" s="16"/>
      <c r="U90" s="4"/>
      <c r="V90" s="4"/>
      <c r="W90" s="4"/>
      <c r="X90" s="4"/>
    </row>
    <row r="91">
      <c r="E91" s="23"/>
      <c r="F91" s="17"/>
      <c r="G91" s="17"/>
      <c r="H91" s="17"/>
      <c r="I91" s="17"/>
      <c r="J91" s="17"/>
      <c r="K91" s="17"/>
      <c r="L91" s="16"/>
      <c r="M91" s="16"/>
      <c r="N91" s="16"/>
      <c r="O91" s="16"/>
      <c r="P91" s="16"/>
      <c r="U91" s="4"/>
      <c r="V91" s="4"/>
      <c r="W91" s="4"/>
      <c r="X91" s="4"/>
    </row>
    <row r="92">
      <c r="E92" s="23"/>
      <c r="F92" s="17"/>
      <c r="G92" s="17"/>
      <c r="H92" s="17"/>
      <c r="I92" s="17"/>
      <c r="J92" s="17"/>
      <c r="K92" s="17"/>
      <c r="L92" s="16"/>
      <c r="M92" s="16"/>
      <c r="N92" s="16"/>
      <c r="O92" s="16"/>
      <c r="P92" s="16"/>
      <c r="U92" s="4"/>
      <c r="V92" s="4"/>
      <c r="W92" s="4"/>
      <c r="X92" s="4"/>
    </row>
    <row r="93">
      <c r="E93" s="23"/>
      <c r="F93" s="17"/>
      <c r="G93" s="17"/>
      <c r="H93" s="17"/>
      <c r="I93" s="17"/>
      <c r="J93" s="17"/>
      <c r="K93" s="17"/>
      <c r="L93" s="16"/>
      <c r="M93" s="16"/>
      <c r="N93" s="16"/>
      <c r="O93" s="16"/>
      <c r="P93" s="16"/>
      <c r="U93" s="4"/>
      <c r="V93" s="4"/>
      <c r="W93" s="4"/>
      <c r="X93" s="4"/>
    </row>
    <row r="94">
      <c r="E94" s="23"/>
      <c r="F94" s="17"/>
      <c r="G94" s="17"/>
      <c r="H94" s="17"/>
      <c r="I94" s="17"/>
      <c r="J94" s="17"/>
      <c r="K94" s="17"/>
      <c r="L94" s="16"/>
      <c r="M94" s="16"/>
      <c r="N94" s="16"/>
      <c r="O94" s="16"/>
      <c r="P94" s="16"/>
      <c r="U94" s="4"/>
      <c r="V94" s="4"/>
      <c r="W94" s="4"/>
      <c r="X94" s="4"/>
    </row>
    <row r="95">
      <c r="E95" s="23"/>
      <c r="F95" s="17"/>
      <c r="G95" s="17"/>
      <c r="H95" s="17"/>
      <c r="I95" s="17"/>
      <c r="J95" s="17"/>
      <c r="K95" s="17"/>
      <c r="L95" s="16"/>
      <c r="M95" s="16"/>
      <c r="N95" s="16"/>
      <c r="O95" s="16"/>
      <c r="P95" s="16"/>
      <c r="U95" s="4"/>
      <c r="V95" s="4"/>
      <c r="W95" s="4"/>
      <c r="X95" s="4"/>
    </row>
    <row r="96">
      <c r="E96" s="23"/>
      <c r="F96" s="17"/>
      <c r="G96" s="17"/>
      <c r="H96" s="17"/>
      <c r="I96" s="17"/>
      <c r="J96" s="17"/>
      <c r="K96" s="17"/>
      <c r="L96" s="16"/>
      <c r="M96" s="16"/>
      <c r="N96" s="16"/>
      <c r="O96" s="16"/>
      <c r="P96" s="16"/>
      <c r="U96" s="4"/>
      <c r="V96" s="4"/>
      <c r="W96" s="4"/>
      <c r="X96" s="4"/>
    </row>
    <row r="97">
      <c r="E97" s="23"/>
      <c r="F97" s="17"/>
      <c r="G97" s="17"/>
      <c r="H97" s="17"/>
      <c r="I97" s="17"/>
      <c r="J97" s="17"/>
      <c r="K97" s="17"/>
      <c r="L97" s="16"/>
      <c r="M97" s="16"/>
      <c r="N97" s="16"/>
      <c r="O97" s="16"/>
      <c r="P97" s="16"/>
      <c r="U97" s="4"/>
      <c r="V97" s="4"/>
      <c r="W97" s="4"/>
      <c r="X97" s="4"/>
    </row>
    <row r="98">
      <c r="E98" s="23"/>
      <c r="F98" s="17"/>
      <c r="G98" s="17"/>
      <c r="H98" s="17"/>
      <c r="I98" s="17"/>
      <c r="J98" s="17"/>
      <c r="K98" s="17"/>
      <c r="L98" s="16"/>
      <c r="M98" s="16"/>
      <c r="N98" s="16"/>
      <c r="O98" s="16"/>
      <c r="P98" s="16"/>
      <c r="U98" s="4"/>
      <c r="V98" s="4"/>
      <c r="W98" s="4"/>
      <c r="X98" s="4"/>
    </row>
    <row r="99">
      <c r="E99" s="23"/>
      <c r="F99" s="17"/>
      <c r="G99" s="17"/>
      <c r="H99" s="17"/>
      <c r="I99" s="17"/>
      <c r="J99" s="17"/>
      <c r="K99" s="17"/>
      <c r="L99" s="16"/>
      <c r="M99" s="16"/>
      <c r="N99" s="16"/>
      <c r="O99" s="16"/>
      <c r="P99" s="16"/>
      <c r="U99" s="4"/>
      <c r="V99" s="4"/>
      <c r="W99" s="4"/>
      <c r="X99" s="4"/>
    </row>
    <row r="100">
      <c r="E100" s="23"/>
      <c r="F100" s="17"/>
      <c r="G100" s="17"/>
      <c r="H100" s="17"/>
      <c r="I100" s="17"/>
      <c r="J100" s="17"/>
      <c r="K100" s="17"/>
      <c r="L100" s="16"/>
      <c r="M100" s="16"/>
      <c r="N100" s="16"/>
      <c r="O100" s="16"/>
      <c r="P100" s="16"/>
      <c r="U100" s="4"/>
      <c r="V100" s="4"/>
      <c r="W100" s="4"/>
      <c r="X100" s="4"/>
    </row>
    <row r="101">
      <c r="E101" s="23"/>
      <c r="F101" s="17"/>
      <c r="G101" s="17"/>
      <c r="H101" s="17"/>
      <c r="I101" s="17"/>
      <c r="J101" s="17"/>
      <c r="K101" s="17"/>
      <c r="L101" s="16"/>
      <c r="M101" s="16"/>
      <c r="N101" s="16"/>
      <c r="O101" s="16"/>
      <c r="P101" s="16"/>
      <c r="U101" s="4"/>
      <c r="V101" s="4"/>
      <c r="W101" s="4"/>
      <c r="X101" s="4"/>
    </row>
    <row r="102">
      <c r="E102" s="23"/>
      <c r="F102" s="17"/>
      <c r="G102" s="17"/>
      <c r="H102" s="17"/>
      <c r="I102" s="17"/>
      <c r="J102" s="17"/>
      <c r="K102" s="17"/>
      <c r="L102" s="16"/>
      <c r="M102" s="16"/>
      <c r="N102" s="16"/>
      <c r="O102" s="16"/>
      <c r="P102" s="16"/>
      <c r="U102" s="4"/>
      <c r="V102" s="4"/>
      <c r="W102" s="4"/>
      <c r="X102" s="4"/>
    </row>
    <row r="103">
      <c r="E103" s="23"/>
      <c r="F103" s="17"/>
      <c r="G103" s="17"/>
      <c r="H103" s="17"/>
      <c r="I103" s="17"/>
      <c r="J103" s="17"/>
      <c r="K103" s="17"/>
      <c r="L103" s="16"/>
      <c r="M103" s="16"/>
      <c r="N103" s="16"/>
      <c r="O103" s="16"/>
      <c r="P103" s="16"/>
      <c r="U103" s="4"/>
      <c r="V103" s="4"/>
      <c r="W103" s="4"/>
      <c r="X103" s="4"/>
    </row>
    <row r="104">
      <c r="E104" s="23"/>
      <c r="F104" s="17"/>
      <c r="G104" s="17"/>
      <c r="H104" s="17"/>
      <c r="I104" s="17"/>
      <c r="J104" s="17"/>
      <c r="K104" s="17"/>
      <c r="L104" s="16"/>
      <c r="M104" s="16"/>
      <c r="N104" s="16"/>
      <c r="O104" s="16"/>
      <c r="P104" s="16"/>
      <c r="U104" s="4"/>
      <c r="V104" s="4"/>
      <c r="W104" s="4"/>
      <c r="X104" s="4"/>
    </row>
    <row r="105">
      <c r="E105" s="23"/>
      <c r="F105" s="17"/>
      <c r="G105" s="17"/>
      <c r="H105" s="17"/>
      <c r="I105" s="17"/>
      <c r="J105" s="17"/>
      <c r="K105" s="17"/>
      <c r="L105" s="16"/>
      <c r="M105" s="16"/>
      <c r="N105" s="16"/>
      <c r="O105" s="16"/>
      <c r="P105" s="16"/>
      <c r="U105" s="4"/>
      <c r="V105" s="4"/>
      <c r="W105" s="4"/>
      <c r="X105" s="4"/>
    </row>
    <row r="106">
      <c r="E106" s="23"/>
      <c r="F106" s="17"/>
      <c r="G106" s="17"/>
      <c r="H106" s="17"/>
      <c r="I106" s="17"/>
      <c r="J106" s="17"/>
      <c r="K106" s="17"/>
      <c r="L106" s="16"/>
      <c r="M106" s="16"/>
      <c r="N106" s="16"/>
      <c r="O106" s="16"/>
      <c r="P106" s="16"/>
      <c r="U106" s="4"/>
      <c r="V106" s="4"/>
      <c r="W106" s="4"/>
      <c r="X106" s="4"/>
    </row>
    <row r="107">
      <c r="E107" s="23"/>
      <c r="F107" s="17"/>
      <c r="G107" s="17"/>
      <c r="H107" s="17"/>
      <c r="I107" s="17"/>
      <c r="J107" s="17"/>
      <c r="K107" s="17"/>
      <c r="L107" s="16"/>
      <c r="M107" s="16"/>
      <c r="N107" s="16"/>
      <c r="O107" s="16"/>
      <c r="P107" s="16"/>
      <c r="U107" s="4"/>
      <c r="V107" s="4"/>
      <c r="W107" s="4"/>
      <c r="X107" s="4"/>
    </row>
    <row r="108">
      <c r="E108" s="23"/>
      <c r="F108" s="17"/>
      <c r="G108" s="17"/>
      <c r="H108" s="17"/>
      <c r="I108" s="17"/>
      <c r="J108" s="17"/>
      <c r="K108" s="17"/>
      <c r="L108" s="16"/>
      <c r="M108" s="16"/>
      <c r="N108" s="16"/>
      <c r="O108" s="16"/>
      <c r="P108" s="16"/>
      <c r="U108" s="4"/>
      <c r="V108" s="4"/>
      <c r="W108" s="4"/>
      <c r="X108" s="4"/>
    </row>
    <row r="109">
      <c r="E109" s="23"/>
      <c r="F109" s="17"/>
      <c r="G109" s="17"/>
      <c r="H109" s="17"/>
      <c r="I109" s="17"/>
      <c r="J109" s="17"/>
      <c r="K109" s="17"/>
      <c r="L109" s="16"/>
      <c r="M109" s="16"/>
      <c r="N109" s="16"/>
      <c r="O109" s="16"/>
      <c r="P109" s="16"/>
      <c r="U109" s="4"/>
      <c r="V109" s="4"/>
      <c r="W109" s="4"/>
      <c r="X109" s="4"/>
    </row>
    <row r="110">
      <c r="E110" s="23"/>
      <c r="F110" s="17"/>
      <c r="G110" s="17"/>
      <c r="H110" s="17"/>
      <c r="I110" s="17"/>
      <c r="J110" s="17"/>
      <c r="K110" s="17"/>
      <c r="L110" s="16"/>
      <c r="M110" s="16"/>
      <c r="N110" s="16"/>
      <c r="O110" s="16"/>
      <c r="P110" s="16"/>
      <c r="U110" s="4"/>
      <c r="V110" s="4"/>
      <c r="W110" s="4"/>
      <c r="X110" s="4"/>
    </row>
    <row r="111">
      <c r="E111" s="23"/>
      <c r="F111" s="17"/>
      <c r="G111" s="17"/>
      <c r="H111" s="17"/>
      <c r="I111" s="17"/>
      <c r="J111" s="17"/>
      <c r="K111" s="17"/>
      <c r="L111" s="16"/>
      <c r="M111" s="16"/>
      <c r="N111" s="16"/>
      <c r="O111" s="16"/>
      <c r="P111" s="16"/>
      <c r="U111" s="4"/>
      <c r="V111" s="4"/>
      <c r="W111" s="4"/>
      <c r="X111" s="4"/>
    </row>
    <row r="112">
      <c r="E112" s="23"/>
      <c r="F112" s="17"/>
      <c r="G112" s="17"/>
      <c r="H112" s="17"/>
      <c r="I112" s="17"/>
      <c r="J112" s="17"/>
      <c r="K112" s="17"/>
      <c r="L112" s="16"/>
      <c r="M112" s="16"/>
      <c r="N112" s="16"/>
      <c r="O112" s="16"/>
      <c r="P112" s="16"/>
      <c r="U112" s="4"/>
      <c r="V112" s="4"/>
      <c r="W112" s="4"/>
      <c r="X112" s="4"/>
    </row>
    <row r="113">
      <c r="E113" s="23"/>
      <c r="F113" s="17"/>
      <c r="G113" s="17"/>
      <c r="H113" s="17"/>
      <c r="I113" s="17"/>
      <c r="J113" s="17"/>
      <c r="K113" s="17"/>
      <c r="L113" s="16"/>
      <c r="M113" s="16"/>
      <c r="N113" s="16"/>
      <c r="O113" s="16"/>
      <c r="P113" s="16"/>
      <c r="U113" s="4"/>
      <c r="V113" s="4"/>
      <c r="W113" s="4"/>
      <c r="X113" s="4"/>
    </row>
    <row r="114">
      <c r="E114" s="23"/>
      <c r="F114" s="17"/>
      <c r="G114" s="17"/>
      <c r="H114" s="17"/>
      <c r="I114" s="17"/>
      <c r="J114" s="17"/>
      <c r="K114" s="17"/>
      <c r="L114" s="16"/>
      <c r="M114" s="16"/>
      <c r="N114" s="16"/>
      <c r="O114" s="16"/>
      <c r="P114" s="16"/>
      <c r="U114" s="4"/>
      <c r="V114" s="4"/>
      <c r="W114" s="4"/>
      <c r="X114" s="4"/>
    </row>
    <row r="115">
      <c r="E115" s="23"/>
      <c r="F115" s="17"/>
      <c r="G115" s="17"/>
      <c r="H115" s="17"/>
      <c r="I115" s="17"/>
      <c r="J115" s="17"/>
      <c r="K115" s="17"/>
      <c r="L115" s="16"/>
      <c r="M115" s="16"/>
      <c r="N115" s="16"/>
      <c r="O115" s="16"/>
      <c r="P115" s="16"/>
      <c r="U115" s="4"/>
      <c r="V115" s="4"/>
      <c r="W115" s="4"/>
      <c r="X115" s="4"/>
    </row>
    <row r="116">
      <c r="E116" s="23"/>
      <c r="F116" s="17"/>
      <c r="G116" s="17"/>
      <c r="H116" s="17"/>
      <c r="I116" s="17"/>
      <c r="J116" s="17"/>
      <c r="K116" s="17"/>
      <c r="L116" s="16"/>
      <c r="M116" s="16"/>
      <c r="N116" s="16"/>
      <c r="O116" s="16"/>
      <c r="P116" s="16"/>
      <c r="U116" s="4"/>
      <c r="V116" s="4"/>
      <c r="W116" s="4"/>
      <c r="X116" s="4"/>
    </row>
    <row r="117">
      <c r="E117" s="23"/>
      <c r="F117" s="17"/>
      <c r="G117" s="17"/>
      <c r="H117" s="17"/>
      <c r="I117" s="17"/>
      <c r="J117" s="17"/>
      <c r="K117" s="17"/>
      <c r="L117" s="16"/>
      <c r="M117" s="16"/>
      <c r="N117" s="16"/>
      <c r="O117" s="16"/>
      <c r="P117" s="16"/>
      <c r="U117" s="4"/>
      <c r="V117" s="4"/>
      <c r="W117" s="4"/>
      <c r="X117" s="4"/>
    </row>
    <row r="118">
      <c r="E118" s="23"/>
      <c r="F118" s="17"/>
      <c r="G118" s="17"/>
      <c r="H118" s="17"/>
      <c r="I118" s="17"/>
      <c r="J118" s="17"/>
      <c r="K118" s="17"/>
      <c r="L118" s="16"/>
      <c r="M118" s="16"/>
      <c r="N118" s="16"/>
      <c r="O118" s="16"/>
      <c r="P118" s="16"/>
      <c r="U118" s="4"/>
      <c r="V118" s="4"/>
      <c r="W118" s="4"/>
      <c r="X118" s="4"/>
    </row>
    <row r="119">
      <c r="E119" s="23"/>
      <c r="F119" s="17"/>
      <c r="G119" s="17"/>
      <c r="H119" s="17"/>
      <c r="I119" s="17"/>
      <c r="J119" s="17"/>
      <c r="K119" s="17"/>
      <c r="L119" s="16"/>
      <c r="M119" s="16"/>
      <c r="N119" s="16"/>
      <c r="O119" s="16"/>
      <c r="P119" s="16"/>
      <c r="U119" s="4"/>
      <c r="V119" s="4"/>
      <c r="W119" s="4"/>
      <c r="X119" s="4"/>
    </row>
    <row r="120">
      <c r="E120" s="23"/>
      <c r="F120" s="17"/>
      <c r="G120" s="17"/>
      <c r="H120" s="17"/>
      <c r="I120" s="17"/>
      <c r="J120" s="17"/>
      <c r="K120" s="17"/>
      <c r="L120" s="16"/>
      <c r="M120" s="16"/>
      <c r="N120" s="16"/>
      <c r="O120" s="16"/>
      <c r="P120" s="16"/>
      <c r="U120" s="4"/>
      <c r="V120" s="4"/>
      <c r="W120" s="4"/>
      <c r="X120" s="4"/>
    </row>
    <row r="121">
      <c r="E121" s="23"/>
      <c r="F121" s="17"/>
      <c r="G121" s="17"/>
      <c r="H121" s="17"/>
      <c r="I121" s="17"/>
      <c r="J121" s="17"/>
      <c r="K121" s="17"/>
      <c r="L121" s="16"/>
      <c r="M121" s="16"/>
      <c r="N121" s="16"/>
      <c r="O121" s="16"/>
      <c r="P121" s="16"/>
      <c r="U121" s="4"/>
      <c r="V121" s="4"/>
      <c r="W121" s="4"/>
      <c r="X121" s="4"/>
    </row>
    <row r="122">
      <c r="E122" s="23"/>
      <c r="F122" s="17"/>
      <c r="G122" s="17"/>
      <c r="H122" s="17"/>
      <c r="I122" s="17"/>
      <c r="J122" s="17"/>
      <c r="K122" s="17"/>
      <c r="L122" s="16"/>
      <c r="M122" s="16"/>
      <c r="N122" s="16"/>
      <c r="O122" s="16"/>
      <c r="P122" s="16"/>
      <c r="U122" s="4"/>
      <c r="V122" s="4"/>
      <c r="W122" s="4"/>
      <c r="X122" s="4"/>
    </row>
    <row r="123">
      <c r="E123" s="23"/>
      <c r="F123" s="17"/>
      <c r="G123" s="17"/>
      <c r="H123" s="17"/>
      <c r="I123" s="17"/>
      <c r="J123" s="17"/>
      <c r="K123" s="17"/>
      <c r="L123" s="16"/>
      <c r="M123" s="16"/>
      <c r="N123" s="16"/>
      <c r="O123" s="16"/>
      <c r="P123" s="16"/>
      <c r="U123" s="4"/>
      <c r="V123" s="4"/>
      <c r="W123" s="4"/>
      <c r="X123" s="4"/>
    </row>
    <row r="124">
      <c r="E124" s="23"/>
      <c r="F124" s="17"/>
      <c r="G124" s="17"/>
      <c r="H124" s="17"/>
      <c r="I124" s="17"/>
      <c r="J124" s="17"/>
      <c r="K124" s="17"/>
      <c r="L124" s="16"/>
      <c r="M124" s="16"/>
      <c r="N124" s="16"/>
      <c r="O124" s="16"/>
      <c r="P124" s="16"/>
      <c r="U124" s="4"/>
      <c r="V124" s="4"/>
      <c r="W124" s="4"/>
      <c r="X124" s="4"/>
    </row>
    <row r="125">
      <c r="E125" s="23"/>
      <c r="F125" s="17"/>
      <c r="G125" s="17"/>
      <c r="H125" s="17"/>
      <c r="I125" s="17"/>
      <c r="J125" s="17"/>
      <c r="K125" s="17"/>
      <c r="L125" s="16"/>
      <c r="M125" s="16"/>
      <c r="N125" s="16"/>
      <c r="O125" s="16"/>
      <c r="P125" s="16"/>
      <c r="U125" s="4"/>
      <c r="V125" s="4"/>
      <c r="W125" s="4"/>
      <c r="X125" s="4"/>
    </row>
    <row r="126">
      <c r="E126" s="23"/>
      <c r="F126" s="17"/>
      <c r="G126" s="17"/>
      <c r="H126" s="17"/>
      <c r="I126" s="17"/>
      <c r="J126" s="17"/>
      <c r="K126" s="17"/>
      <c r="L126" s="16"/>
      <c r="M126" s="16"/>
      <c r="N126" s="16"/>
      <c r="O126" s="16"/>
      <c r="P126" s="16"/>
      <c r="U126" s="4"/>
      <c r="V126" s="4"/>
      <c r="W126" s="4"/>
      <c r="X126" s="4"/>
    </row>
    <row r="127">
      <c r="E127" s="23"/>
      <c r="F127" s="17"/>
      <c r="G127" s="17"/>
      <c r="H127" s="17"/>
      <c r="I127" s="17"/>
      <c r="J127" s="17"/>
      <c r="K127" s="17"/>
      <c r="L127" s="16"/>
      <c r="M127" s="16"/>
      <c r="N127" s="16"/>
      <c r="O127" s="16"/>
      <c r="P127" s="16"/>
      <c r="U127" s="4"/>
      <c r="V127" s="4"/>
      <c r="W127" s="4"/>
      <c r="X127" s="4"/>
    </row>
    <row r="128">
      <c r="E128" s="23"/>
      <c r="F128" s="17"/>
      <c r="G128" s="17"/>
      <c r="H128" s="17"/>
      <c r="I128" s="17"/>
      <c r="J128" s="17"/>
      <c r="K128" s="17"/>
      <c r="L128" s="16"/>
      <c r="M128" s="16"/>
      <c r="N128" s="16"/>
      <c r="O128" s="16"/>
      <c r="P128" s="16"/>
      <c r="U128" s="4"/>
      <c r="V128" s="4"/>
      <c r="W128" s="4"/>
      <c r="X128" s="4"/>
    </row>
    <row r="129">
      <c r="E129" s="23"/>
      <c r="F129" s="17"/>
      <c r="G129" s="17"/>
      <c r="H129" s="17"/>
      <c r="I129" s="17"/>
      <c r="J129" s="17"/>
      <c r="K129" s="17"/>
      <c r="L129" s="16"/>
      <c r="M129" s="16"/>
      <c r="N129" s="16"/>
      <c r="O129" s="16"/>
      <c r="P129" s="16"/>
      <c r="U129" s="4"/>
      <c r="V129" s="4"/>
      <c r="W129" s="4"/>
      <c r="X129" s="4"/>
    </row>
    <row r="130">
      <c r="E130" s="23"/>
      <c r="F130" s="17"/>
      <c r="G130" s="17"/>
      <c r="H130" s="17"/>
      <c r="I130" s="17"/>
      <c r="J130" s="17"/>
      <c r="K130" s="17"/>
      <c r="L130" s="16"/>
      <c r="M130" s="16"/>
      <c r="N130" s="16"/>
      <c r="O130" s="16"/>
      <c r="P130" s="16"/>
      <c r="U130" s="4"/>
      <c r="V130" s="4"/>
      <c r="W130" s="4"/>
      <c r="X130" s="4"/>
    </row>
    <row r="131">
      <c r="E131" s="23"/>
      <c r="F131" s="17"/>
      <c r="G131" s="17"/>
      <c r="H131" s="17"/>
      <c r="I131" s="17"/>
      <c r="J131" s="17"/>
      <c r="K131" s="17"/>
      <c r="L131" s="16"/>
      <c r="M131" s="16"/>
      <c r="N131" s="16"/>
      <c r="O131" s="16"/>
      <c r="P131" s="16"/>
      <c r="U131" s="4"/>
      <c r="V131" s="4"/>
      <c r="W131" s="4"/>
      <c r="X131" s="4"/>
    </row>
    <row r="132">
      <c r="E132" s="23"/>
      <c r="F132" s="17"/>
      <c r="G132" s="17"/>
      <c r="H132" s="17"/>
      <c r="I132" s="17"/>
      <c r="J132" s="17"/>
      <c r="K132" s="17"/>
      <c r="L132" s="16"/>
      <c r="M132" s="16"/>
      <c r="N132" s="16"/>
      <c r="O132" s="16"/>
      <c r="P132" s="16"/>
      <c r="U132" s="4"/>
      <c r="V132" s="4"/>
      <c r="W132" s="4"/>
      <c r="X132" s="4"/>
    </row>
    <row r="133">
      <c r="E133" s="23"/>
      <c r="F133" s="17"/>
      <c r="G133" s="17"/>
      <c r="H133" s="17"/>
      <c r="I133" s="17"/>
      <c r="J133" s="17"/>
      <c r="K133" s="17"/>
      <c r="L133" s="16"/>
      <c r="M133" s="16"/>
      <c r="N133" s="16"/>
      <c r="O133" s="16"/>
      <c r="P133" s="16"/>
      <c r="U133" s="4"/>
      <c r="V133" s="4"/>
      <c r="W133" s="4"/>
      <c r="X133" s="4"/>
    </row>
    <row r="134">
      <c r="E134" s="23"/>
      <c r="F134" s="17"/>
      <c r="G134" s="17"/>
      <c r="H134" s="17"/>
      <c r="I134" s="17"/>
      <c r="J134" s="17"/>
      <c r="K134" s="17"/>
      <c r="L134" s="16"/>
      <c r="M134" s="16"/>
      <c r="N134" s="16"/>
      <c r="O134" s="16"/>
      <c r="P134" s="16"/>
      <c r="U134" s="4"/>
      <c r="V134" s="4"/>
      <c r="W134" s="4"/>
      <c r="X134" s="4"/>
    </row>
    <row r="135">
      <c r="E135" s="23"/>
      <c r="F135" s="17"/>
      <c r="G135" s="17"/>
      <c r="H135" s="17"/>
      <c r="I135" s="17"/>
      <c r="J135" s="17"/>
      <c r="K135" s="17"/>
      <c r="L135" s="16"/>
      <c r="M135" s="16"/>
      <c r="N135" s="16"/>
      <c r="O135" s="16"/>
      <c r="P135" s="16"/>
      <c r="U135" s="4"/>
      <c r="V135" s="4"/>
      <c r="W135" s="4"/>
      <c r="X135" s="4"/>
    </row>
    <row r="136">
      <c r="E136" s="23"/>
      <c r="F136" s="17"/>
      <c r="G136" s="17"/>
      <c r="H136" s="17"/>
      <c r="I136" s="17"/>
      <c r="J136" s="17"/>
      <c r="K136" s="17"/>
      <c r="L136" s="16"/>
      <c r="M136" s="16"/>
      <c r="N136" s="16"/>
      <c r="O136" s="16"/>
      <c r="P136" s="16"/>
      <c r="U136" s="4"/>
      <c r="V136" s="4"/>
      <c r="W136" s="4"/>
      <c r="X136" s="4"/>
    </row>
    <row r="137">
      <c r="E137" s="23"/>
      <c r="F137" s="17"/>
      <c r="G137" s="17"/>
      <c r="H137" s="17"/>
      <c r="I137" s="17"/>
      <c r="J137" s="17"/>
      <c r="K137" s="17"/>
      <c r="L137" s="16"/>
      <c r="M137" s="16"/>
      <c r="N137" s="16"/>
      <c r="O137" s="16"/>
      <c r="P137" s="16"/>
      <c r="U137" s="4"/>
      <c r="V137" s="4"/>
      <c r="W137" s="4"/>
      <c r="X137" s="4"/>
    </row>
    <row r="138">
      <c r="E138" s="23"/>
      <c r="F138" s="17"/>
      <c r="G138" s="17"/>
      <c r="H138" s="17"/>
      <c r="I138" s="17"/>
      <c r="J138" s="17"/>
      <c r="K138" s="17"/>
      <c r="L138" s="16"/>
      <c r="M138" s="16"/>
      <c r="N138" s="16"/>
      <c r="O138" s="16"/>
      <c r="P138" s="16"/>
      <c r="U138" s="4"/>
      <c r="V138" s="4"/>
      <c r="W138" s="4"/>
      <c r="X138" s="4"/>
    </row>
    <row r="139">
      <c r="E139" s="23"/>
      <c r="F139" s="17"/>
      <c r="G139" s="17"/>
      <c r="H139" s="17"/>
      <c r="I139" s="17"/>
      <c r="J139" s="17"/>
      <c r="K139" s="17"/>
      <c r="L139" s="16"/>
      <c r="M139" s="16"/>
      <c r="N139" s="16"/>
      <c r="O139" s="16"/>
      <c r="P139" s="16"/>
      <c r="U139" s="4"/>
      <c r="V139" s="4"/>
      <c r="W139" s="4"/>
      <c r="X139" s="4"/>
    </row>
    <row r="140">
      <c r="E140" s="23"/>
      <c r="F140" s="17"/>
      <c r="G140" s="17"/>
      <c r="H140" s="17"/>
      <c r="I140" s="17"/>
      <c r="J140" s="17"/>
      <c r="K140" s="17"/>
      <c r="L140" s="16"/>
      <c r="M140" s="16"/>
      <c r="N140" s="16"/>
      <c r="O140" s="16"/>
      <c r="P140" s="16"/>
      <c r="U140" s="4"/>
      <c r="V140" s="4"/>
      <c r="W140" s="4"/>
      <c r="X140" s="4"/>
    </row>
    <row r="141">
      <c r="E141" s="23"/>
      <c r="F141" s="17"/>
      <c r="G141" s="17"/>
      <c r="H141" s="17"/>
      <c r="I141" s="17"/>
      <c r="J141" s="17"/>
      <c r="K141" s="17"/>
      <c r="L141" s="16"/>
      <c r="M141" s="16"/>
      <c r="N141" s="16"/>
      <c r="O141" s="16"/>
      <c r="P141" s="16"/>
      <c r="U141" s="4"/>
      <c r="V141" s="4"/>
      <c r="W141" s="4"/>
      <c r="X141" s="4"/>
    </row>
    <row r="142">
      <c r="E142" s="23"/>
      <c r="F142" s="17"/>
      <c r="G142" s="17"/>
      <c r="H142" s="17"/>
      <c r="I142" s="17"/>
      <c r="J142" s="17"/>
      <c r="K142" s="17"/>
      <c r="L142" s="16"/>
      <c r="M142" s="16"/>
      <c r="N142" s="16"/>
      <c r="O142" s="16"/>
      <c r="P142" s="16"/>
      <c r="U142" s="4"/>
      <c r="V142" s="4"/>
      <c r="W142" s="4"/>
      <c r="X142" s="4"/>
    </row>
    <row r="143">
      <c r="E143" s="23"/>
      <c r="F143" s="17"/>
      <c r="G143" s="17"/>
      <c r="H143" s="17"/>
      <c r="I143" s="17"/>
      <c r="J143" s="17"/>
      <c r="K143" s="17"/>
      <c r="L143" s="16"/>
      <c r="M143" s="16"/>
      <c r="N143" s="16"/>
      <c r="O143" s="16"/>
      <c r="P143" s="16"/>
      <c r="U143" s="4"/>
      <c r="V143" s="4"/>
      <c r="W143" s="4"/>
      <c r="X143" s="4"/>
    </row>
    <row r="144">
      <c r="E144" s="23"/>
      <c r="F144" s="17"/>
      <c r="G144" s="17"/>
      <c r="H144" s="17"/>
      <c r="I144" s="17"/>
      <c r="J144" s="17"/>
      <c r="K144" s="17"/>
      <c r="L144" s="16"/>
      <c r="M144" s="16"/>
      <c r="N144" s="16"/>
      <c r="O144" s="16"/>
      <c r="P144" s="16"/>
      <c r="U144" s="4"/>
      <c r="V144" s="4"/>
      <c r="W144" s="4"/>
      <c r="X144" s="4"/>
    </row>
    <row r="145">
      <c r="E145" s="23"/>
      <c r="F145" s="17"/>
      <c r="G145" s="17"/>
      <c r="H145" s="17"/>
      <c r="I145" s="17"/>
      <c r="J145" s="17"/>
      <c r="K145" s="17"/>
      <c r="L145" s="16"/>
      <c r="M145" s="16"/>
      <c r="N145" s="16"/>
      <c r="O145" s="16"/>
      <c r="P145" s="16"/>
      <c r="U145" s="4"/>
      <c r="V145" s="4"/>
      <c r="W145" s="4"/>
      <c r="X145" s="4"/>
    </row>
    <row r="146">
      <c r="E146" s="23"/>
      <c r="F146" s="17"/>
      <c r="G146" s="17"/>
      <c r="H146" s="17"/>
      <c r="I146" s="17"/>
      <c r="J146" s="17"/>
      <c r="K146" s="17"/>
      <c r="L146" s="16"/>
      <c r="M146" s="16"/>
      <c r="N146" s="16"/>
      <c r="O146" s="16"/>
      <c r="P146" s="16"/>
      <c r="U146" s="4"/>
      <c r="V146" s="4"/>
      <c r="W146" s="4"/>
      <c r="X146" s="4"/>
    </row>
    <row r="147">
      <c r="E147" s="23"/>
      <c r="F147" s="17"/>
      <c r="G147" s="17"/>
      <c r="H147" s="17"/>
      <c r="I147" s="17"/>
      <c r="J147" s="17"/>
      <c r="K147" s="17"/>
      <c r="L147" s="16"/>
      <c r="M147" s="16"/>
      <c r="N147" s="16"/>
      <c r="O147" s="16"/>
      <c r="P147" s="16"/>
      <c r="U147" s="4"/>
      <c r="V147" s="4"/>
      <c r="W147" s="4"/>
      <c r="X147" s="4"/>
    </row>
    <row r="148">
      <c r="E148" s="23"/>
      <c r="F148" s="17"/>
      <c r="G148" s="17"/>
      <c r="H148" s="17"/>
      <c r="I148" s="17"/>
      <c r="J148" s="17"/>
      <c r="K148" s="17"/>
      <c r="L148" s="16"/>
      <c r="M148" s="16"/>
      <c r="N148" s="16"/>
      <c r="O148" s="16"/>
      <c r="P148" s="16"/>
      <c r="U148" s="4"/>
      <c r="V148" s="4"/>
      <c r="W148" s="4"/>
      <c r="X148" s="4"/>
    </row>
    <row r="149">
      <c r="E149" s="23"/>
      <c r="F149" s="17"/>
      <c r="G149" s="17"/>
      <c r="H149" s="17"/>
      <c r="I149" s="17"/>
      <c r="J149" s="17"/>
      <c r="K149" s="17"/>
      <c r="L149" s="16"/>
      <c r="M149" s="16"/>
      <c r="N149" s="16"/>
      <c r="O149" s="16"/>
      <c r="P149" s="16"/>
      <c r="U149" s="4"/>
      <c r="V149" s="4"/>
      <c r="W149" s="4"/>
      <c r="X149" s="4"/>
    </row>
    <row r="150">
      <c r="E150" s="23"/>
      <c r="F150" s="17"/>
      <c r="G150" s="17"/>
      <c r="H150" s="17"/>
      <c r="I150" s="17"/>
      <c r="J150" s="17"/>
      <c r="K150" s="17"/>
      <c r="L150" s="16"/>
      <c r="M150" s="16"/>
      <c r="N150" s="16"/>
      <c r="O150" s="16"/>
      <c r="P150" s="16"/>
      <c r="U150" s="4"/>
      <c r="V150" s="4"/>
      <c r="W150" s="4"/>
      <c r="X150" s="4"/>
    </row>
    <row r="151">
      <c r="E151" s="23"/>
      <c r="F151" s="17"/>
      <c r="G151" s="17"/>
      <c r="H151" s="17"/>
      <c r="I151" s="17"/>
      <c r="J151" s="17"/>
      <c r="K151" s="17"/>
      <c r="L151" s="16"/>
      <c r="M151" s="16"/>
      <c r="N151" s="16"/>
      <c r="O151" s="16"/>
      <c r="P151" s="16"/>
      <c r="U151" s="4"/>
      <c r="V151" s="4"/>
      <c r="W151" s="4"/>
      <c r="X151" s="4"/>
    </row>
    <row r="152">
      <c r="E152" s="23"/>
      <c r="F152" s="17"/>
      <c r="G152" s="17"/>
      <c r="H152" s="17"/>
      <c r="I152" s="17"/>
      <c r="J152" s="17"/>
      <c r="K152" s="17"/>
      <c r="L152" s="16"/>
      <c r="M152" s="16"/>
      <c r="N152" s="16"/>
      <c r="O152" s="16"/>
      <c r="P152" s="16"/>
      <c r="U152" s="4"/>
      <c r="V152" s="4"/>
      <c r="W152" s="4"/>
      <c r="X152" s="4"/>
    </row>
    <row r="153">
      <c r="E153" s="23"/>
      <c r="F153" s="17"/>
      <c r="G153" s="17"/>
      <c r="H153" s="17"/>
      <c r="I153" s="17"/>
      <c r="J153" s="17"/>
      <c r="K153" s="17"/>
      <c r="L153" s="16"/>
      <c r="M153" s="16"/>
      <c r="N153" s="16"/>
      <c r="O153" s="16"/>
      <c r="P153" s="16"/>
      <c r="U153" s="4"/>
      <c r="V153" s="4"/>
      <c r="W153" s="4"/>
      <c r="X153" s="4"/>
    </row>
    <row r="154">
      <c r="E154" s="23"/>
      <c r="F154" s="17"/>
      <c r="G154" s="17"/>
      <c r="H154" s="17"/>
      <c r="I154" s="17"/>
      <c r="J154" s="17"/>
      <c r="K154" s="17"/>
      <c r="L154" s="16"/>
      <c r="M154" s="16"/>
      <c r="N154" s="16"/>
      <c r="O154" s="16"/>
      <c r="P154" s="16"/>
      <c r="U154" s="4"/>
      <c r="V154" s="4"/>
      <c r="W154" s="4"/>
      <c r="X154" s="4"/>
    </row>
    <row r="155">
      <c r="E155" s="23"/>
      <c r="F155" s="17"/>
      <c r="G155" s="17"/>
      <c r="H155" s="17"/>
      <c r="I155" s="17"/>
      <c r="J155" s="17"/>
      <c r="K155" s="17"/>
      <c r="L155" s="16"/>
      <c r="M155" s="16"/>
      <c r="N155" s="16"/>
      <c r="O155" s="16"/>
      <c r="P155" s="16"/>
      <c r="U155" s="4"/>
      <c r="V155" s="4"/>
      <c r="W155" s="4"/>
      <c r="X155" s="4"/>
    </row>
    <row r="156">
      <c r="E156" s="23"/>
      <c r="F156" s="17"/>
      <c r="G156" s="17"/>
      <c r="H156" s="17"/>
      <c r="I156" s="17"/>
      <c r="J156" s="17"/>
      <c r="K156" s="17"/>
      <c r="L156" s="16"/>
      <c r="M156" s="16"/>
      <c r="N156" s="16"/>
      <c r="O156" s="16"/>
      <c r="P156" s="16"/>
      <c r="U156" s="4"/>
      <c r="V156" s="4"/>
      <c r="W156" s="4"/>
      <c r="X156" s="4"/>
    </row>
    <row r="157">
      <c r="E157" s="23"/>
      <c r="F157" s="17"/>
      <c r="G157" s="17"/>
      <c r="H157" s="17"/>
      <c r="I157" s="17"/>
      <c r="J157" s="17"/>
      <c r="K157" s="17"/>
      <c r="L157" s="16"/>
      <c r="M157" s="16"/>
      <c r="N157" s="16"/>
      <c r="O157" s="16"/>
      <c r="P157" s="16"/>
      <c r="U157" s="4"/>
      <c r="V157" s="4"/>
      <c r="W157" s="4"/>
      <c r="X157" s="4"/>
    </row>
    <row r="158">
      <c r="E158" s="23"/>
      <c r="F158" s="17"/>
      <c r="G158" s="17"/>
      <c r="H158" s="17"/>
      <c r="I158" s="17"/>
      <c r="J158" s="17"/>
      <c r="K158" s="17"/>
      <c r="L158" s="16"/>
      <c r="M158" s="16"/>
      <c r="N158" s="16"/>
      <c r="O158" s="16"/>
      <c r="P158" s="16"/>
      <c r="U158" s="4"/>
      <c r="V158" s="4"/>
      <c r="W158" s="4"/>
      <c r="X158" s="4"/>
    </row>
    <row r="159">
      <c r="E159" s="23"/>
      <c r="F159" s="17"/>
      <c r="G159" s="17"/>
      <c r="H159" s="17"/>
      <c r="I159" s="17"/>
      <c r="J159" s="17"/>
      <c r="K159" s="17"/>
      <c r="L159" s="16"/>
      <c r="M159" s="16"/>
      <c r="N159" s="16"/>
      <c r="O159" s="16"/>
      <c r="P159" s="16"/>
      <c r="U159" s="4"/>
      <c r="V159" s="4"/>
      <c r="W159" s="4"/>
      <c r="X159" s="4"/>
    </row>
    <row r="160">
      <c r="E160" s="23"/>
      <c r="F160" s="17"/>
      <c r="G160" s="17"/>
      <c r="H160" s="17"/>
      <c r="I160" s="17"/>
      <c r="J160" s="17"/>
      <c r="K160" s="17"/>
      <c r="L160" s="16"/>
      <c r="M160" s="16"/>
      <c r="N160" s="16"/>
      <c r="O160" s="16"/>
      <c r="P160" s="16"/>
      <c r="U160" s="4"/>
      <c r="V160" s="4"/>
      <c r="W160" s="4"/>
      <c r="X160" s="4"/>
    </row>
    <row r="161">
      <c r="E161" s="23"/>
      <c r="F161" s="17"/>
      <c r="G161" s="17"/>
      <c r="H161" s="17"/>
      <c r="I161" s="17"/>
      <c r="J161" s="17"/>
      <c r="K161" s="17"/>
      <c r="L161" s="16"/>
      <c r="M161" s="16"/>
      <c r="N161" s="16"/>
      <c r="O161" s="16"/>
      <c r="P161" s="16"/>
      <c r="U161" s="4"/>
      <c r="V161" s="4"/>
      <c r="W161" s="4"/>
      <c r="X161" s="4"/>
    </row>
    <row r="162">
      <c r="E162" s="23"/>
      <c r="F162" s="17"/>
      <c r="G162" s="17"/>
      <c r="H162" s="17"/>
      <c r="I162" s="17"/>
      <c r="J162" s="17"/>
      <c r="K162" s="17"/>
      <c r="L162" s="16"/>
      <c r="M162" s="16"/>
      <c r="N162" s="16"/>
      <c r="O162" s="16"/>
      <c r="P162" s="16"/>
      <c r="U162" s="4"/>
      <c r="V162" s="4"/>
      <c r="W162" s="4"/>
      <c r="X162" s="4"/>
    </row>
    <row r="163">
      <c r="E163" s="23"/>
      <c r="F163" s="17"/>
      <c r="G163" s="17"/>
      <c r="H163" s="17"/>
      <c r="I163" s="17"/>
      <c r="J163" s="17"/>
      <c r="K163" s="17"/>
      <c r="L163" s="16"/>
      <c r="M163" s="16"/>
      <c r="N163" s="16"/>
      <c r="O163" s="16"/>
      <c r="P163" s="16"/>
      <c r="U163" s="4"/>
      <c r="V163" s="4"/>
      <c r="W163" s="4"/>
      <c r="X163" s="4"/>
    </row>
    <row r="164">
      <c r="E164" s="23"/>
      <c r="F164" s="17"/>
      <c r="G164" s="17"/>
      <c r="H164" s="17"/>
      <c r="I164" s="17"/>
      <c r="J164" s="17"/>
      <c r="K164" s="17"/>
      <c r="L164" s="16"/>
      <c r="M164" s="16"/>
      <c r="N164" s="16"/>
      <c r="O164" s="16"/>
      <c r="P164" s="16"/>
      <c r="U164" s="4"/>
      <c r="V164" s="4"/>
      <c r="W164" s="4"/>
      <c r="X164" s="4"/>
    </row>
    <row r="165">
      <c r="E165" s="23"/>
      <c r="F165" s="17"/>
      <c r="G165" s="17"/>
      <c r="H165" s="17"/>
      <c r="I165" s="17"/>
      <c r="J165" s="17"/>
      <c r="K165" s="17"/>
      <c r="L165" s="16"/>
      <c r="M165" s="16"/>
      <c r="N165" s="16"/>
      <c r="O165" s="16"/>
      <c r="P165" s="16"/>
      <c r="U165" s="4"/>
      <c r="V165" s="4"/>
      <c r="W165" s="4"/>
      <c r="X165" s="4"/>
    </row>
    <row r="166">
      <c r="E166" s="23"/>
      <c r="F166" s="17"/>
      <c r="G166" s="17"/>
      <c r="H166" s="17"/>
      <c r="I166" s="17"/>
      <c r="J166" s="17"/>
      <c r="K166" s="17"/>
      <c r="L166" s="16"/>
      <c r="M166" s="16"/>
      <c r="N166" s="16"/>
      <c r="O166" s="16"/>
      <c r="P166" s="16"/>
      <c r="U166" s="4"/>
      <c r="V166" s="4"/>
      <c r="W166" s="4"/>
      <c r="X166" s="4"/>
    </row>
    <row r="167">
      <c r="E167" s="23"/>
      <c r="F167" s="17"/>
      <c r="G167" s="17"/>
      <c r="H167" s="17"/>
      <c r="I167" s="17"/>
      <c r="J167" s="17"/>
      <c r="K167" s="17"/>
      <c r="L167" s="16"/>
      <c r="M167" s="16"/>
      <c r="N167" s="16"/>
      <c r="O167" s="16"/>
      <c r="P167" s="16"/>
      <c r="U167" s="4"/>
      <c r="V167" s="4"/>
      <c r="W167" s="4"/>
      <c r="X167" s="4"/>
    </row>
    <row r="168">
      <c r="E168" s="23"/>
      <c r="F168" s="17"/>
      <c r="G168" s="17"/>
      <c r="H168" s="17"/>
      <c r="I168" s="17"/>
      <c r="J168" s="17"/>
      <c r="K168" s="17"/>
      <c r="L168" s="16"/>
      <c r="M168" s="16"/>
      <c r="N168" s="16"/>
      <c r="O168" s="16"/>
      <c r="P168" s="16"/>
      <c r="U168" s="4"/>
      <c r="V168" s="4"/>
      <c r="W168" s="4"/>
      <c r="X168" s="4"/>
    </row>
    <row r="169">
      <c r="E169" s="23"/>
      <c r="F169" s="17"/>
      <c r="G169" s="17"/>
      <c r="H169" s="17"/>
      <c r="I169" s="17"/>
      <c r="J169" s="17"/>
      <c r="K169" s="17"/>
      <c r="L169" s="16"/>
      <c r="M169" s="16"/>
      <c r="N169" s="16"/>
      <c r="O169" s="16"/>
      <c r="P169" s="16"/>
      <c r="U169" s="4"/>
      <c r="V169" s="4"/>
      <c r="W169" s="4"/>
      <c r="X169" s="4"/>
    </row>
    <row r="170">
      <c r="E170" s="23"/>
      <c r="F170" s="17"/>
      <c r="G170" s="17"/>
      <c r="H170" s="17"/>
      <c r="I170" s="17"/>
      <c r="J170" s="17"/>
      <c r="K170" s="17"/>
      <c r="L170" s="16"/>
      <c r="M170" s="16"/>
      <c r="N170" s="16"/>
      <c r="O170" s="16"/>
      <c r="P170" s="16"/>
      <c r="U170" s="4"/>
      <c r="V170" s="4"/>
      <c r="W170" s="4"/>
      <c r="X170" s="4"/>
    </row>
    <row r="171">
      <c r="E171" s="23"/>
      <c r="F171" s="17"/>
      <c r="G171" s="17"/>
      <c r="H171" s="17"/>
      <c r="I171" s="17"/>
      <c r="J171" s="17"/>
      <c r="K171" s="17"/>
      <c r="L171" s="16"/>
      <c r="M171" s="16"/>
      <c r="N171" s="16"/>
      <c r="O171" s="16"/>
      <c r="P171" s="16"/>
      <c r="U171" s="4"/>
      <c r="V171" s="4"/>
      <c r="W171" s="4"/>
      <c r="X171" s="4"/>
    </row>
    <row r="172">
      <c r="E172" s="23"/>
      <c r="F172" s="17"/>
      <c r="G172" s="17"/>
      <c r="H172" s="17"/>
      <c r="I172" s="17"/>
      <c r="J172" s="17"/>
      <c r="K172" s="17"/>
      <c r="L172" s="16"/>
      <c r="M172" s="16"/>
      <c r="N172" s="16"/>
      <c r="O172" s="16"/>
      <c r="P172" s="16"/>
      <c r="U172" s="4"/>
      <c r="V172" s="4"/>
      <c r="W172" s="4"/>
      <c r="X172" s="4"/>
    </row>
    <row r="173">
      <c r="E173" s="23"/>
      <c r="F173" s="17"/>
      <c r="G173" s="17"/>
      <c r="H173" s="17"/>
      <c r="I173" s="17"/>
      <c r="J173" s="17"/>
      <c r="K173" s="17"/>
      <c r="L173" s="16"/>
      <c r="M173" s="16"/>
      <c r="N173" s="16"/>
      <c r="O173" s="16"/>
      <c r="P173" s="16"/>
      <c r="U173" s="4"/>
      <c r="V173" s="4"/>
      <c r="W173" s="4"/>
      <c r="X173" s="4"/>
    </row>
    <row r="174">
      <c r="E174" s="23"/>
      <c r="F174" s="17"/>
      <c r="G174" s="17"/>
      <c r="H174" s="17"/>
      <c r="I174" s="17"/>
      <c r="J174" s="17"/>
      <c r="K174" s="17"/>
      <c r="L174" s="16"/>
      <c r="M174" s="16"/>
      <c r="N174" s="16"/>
      <c r="O174" s="16"/>
      <c r="P174" s="16"/>
      <c r="U174" s="4"/>
      <c r="V174" s="4"/>
      <c r="W174" s="4"/>
      <c r="X174" s="4"/>
    </row>
    <row r="175">
      <c r="E175" s="23"/>
      <c r="F175" s="17"/>
      <c r="G175" s="17"/>
      <c r="H175" s="17"/>
      <c r="I175" s="17"/>
      <c r="J175" s="17"/>
      <c r="K175" s="17"/>
      <c r="L175" s="16"/>
      <c r="M175" s="16"/>
      <c r="N175" s="16"/>
      <c r="O175" s="16"/>
      <c r="P175" s="16"/>
      <c r="U175" s="4"/>
      <c r="V175" s="4"/>
      <c r="W175" s="4"/>
      <c r="X175" s="4"/>
    </row>
    <row r="176">
      <c r="E176" s="23"/>
      <c r="F176" s="17"/>
      <c r="G176" s="17"/>
      <c r="H176" s="17"/>
      <c r="I176" s="17"/>
      <c r="J176" s="17"/>
      <c r="K176" s="17"/>
      <c r="L176" s="16"/>
      <c r="M176" s="16"/>
      <c r="N176" s="16"/>
      <c r="O176" s="16"/>
      <c r="P176" s="16"/>
      <c r="U176" s="4"/>
      <c r="V176" s="4"/>
      <c r="W176" s="4"/>
      <c r="X176" s="4"/>
    </row>
    <row r="177">
      <c r="E177" s="23"/>
      <c r="F177" s="17"/>
      <c r="G177" s="17"/>
      <c r="H177" s="17"/>
      <c r="I177" s="17"/>
      <c r="J177" s="17"/>
      <c r="K177" s="17"/>
      <c r="L177" s="16"/>
      <c r="M177" s="16"/>
      <c r="N177" s="16"/>
      <c r="O177" s="16"/>
      <c r="P177" s="16"/>
      <c r="U177" s="4"/>
      <c r="V177" s="4"/>
      <c r="W177" s="4"/>
      <c r="X177" s="4"/>
    </row>
    <row r="178">
      <c r="E178" s="23"/>
      <c r="F178" s="17"/>
      <c r="G178" s="17"/>
      <c r="H178" s="17"/>
      <c r="I178" s="17"/>
      <c r="J178" s="17"/>
      <c r="K178" s="17"/>
      <c r="L178" s="16"/>
      <c r="M178" s="16"/>
      <c r="N178" s="16"/>
      <c r="O178" s="16"/>
      <c r="P178" s="16"/>
      <c r="U178" s="4"/>
      <c r="V178" s="4"/>
      <c r="W178" s="4"/>
      <c r="X178" s="4"/>
    </row>
    <row r="179">
      <c r="E179" s="23"/>
      <c r="F179" s="17"/>
      <c r="G179" s="17"/>
      <c r="H179" s="17"/>
      <c r="I179" s="17"/>
      <c r="J179" s="17"/>
      <c r="K179" s="17"/>
      <c r="L179" s="16"/>
      <c r="M179" s="16"/>
      <c r="N179" s="16"/>
      <c r="O179" s="16"/>
      <c r="P179" s="16"/>
      <c r="U179" s="4"/>
      <c r="V179" s="4"/>
      <c r="W179" s="4"/>
      <c r="X179" s="4"/>
    </row>
    <row r="180">
      <c r="E180" s="23"/>
      <c r="F180" s="17"/>
      <c r="G180" s="17"/>
      <c r="H180" s="17"/>
      <c r="I180" s="17"/>
      <c r="J180" s="17"/>
      <c r="K180" s="17"/>
      <c r="L180" s="16"/>
      <c r="M180" s="16"/>
      <c r="N180" s="16"/>
      <c r="O180" s="16"/>
      <c r="P180" s="16"/>
      <c r="U180" s="4"/>
      <c r="V180" s="4"/>
      <c r="W180" s="4"/>
      <c r="X180" s="4"/>
    </row>
    <row r="181">
      <c r="E181" s="23"/>
      <c r="F181" s="17"/>
      <c r="G181" s="17"/>
      <c r="H181" s="17"/>
      <c r="I181" s="17"/>
      <c r="J181" s="17"/>
      <c r="K181" s="17"/>
      <c r="L181" s="16"/>
      <c r="M181" s="16"/>
      <c r="N181" s="16"/>
      <c r="O181" s="16"/>
      <c r="P181" s="16"/>
      <c r="U181" s="4"/>
      <c r="V181" s="4"/>
      <c r="W181" s="4"/>
      <c r="X181" s="4"/>
    </row>
    <row r="182">
      <c r="E182" s="23"/>
      <c r="F182" s="17"/>
      <c r="G182" s="17"/>
      <c r="H182" s="17"/>
      <c r="I182" s="17"/>
      <c r="J182" s="17"/>
      <c r="K182" s="17"/>
      <c r="L182" s="16"/>
      <c r="M182" s="16"/>
      <c r="N182" s="16"/>
      <c r="O182" s="16"/>
      <c r="P182" s="16"/>
      <c r="U182" s="4"/>
      <c r="V182" s="4"/>
      <c r="W182" s="4"/>
      <c r="X182" s="4"/>
    </row>
    <row r="183">
      <c r="E183" s="23"/>
      <c r="F183" s="17"/>
      <c r="G183" s="17"/>
      <c r="H183" s="17"/>
      <c r="I183" s="17"/>
      <c r="J183" s="17"/>
      <c r="K183" s="17"/>
      <c r="L183" s="16"/>
      <c r="M183" s="16"/>
      <c r="N183" s="16"/>
      <c r="O183" s="16"/>
      <c r="P183" s="16"/>
      <c r="U183" s="4"/>
      <c r="V183" s="4"/>
      <c r="W183" s="4"/>
      <c r="X183" s="4"/>
    </row>
    <row r="184">
      <c r="E184" s="23"/>
      <c r="F184" s="17"/>
      <c r="G184" s="17"/>
      <c r="H184" s="17"/>
      <c r="I184" s="17"/>
      <c r="J184" s="17"/>
      <c r="K184" s="17"/>
      <c r="L184" s="16"/>
      <c r="M184" s="16"/>
      <c r="N184" s="16"/>
      <c r="O184" s="16"/>
      <c r="P184" s="16"/>
      <c r="U184" s="4"/>
      <c r="V184" s="4"/>
      <c r="W184" s="4"/>
      <c r="X184" s="4"/>
    </row>
    <row r="185">
      <c r="E185" s="23"/>
      <c r="F185" s="17"/>
      <c r="G185" s="17"/>
      <c r="H185" s="17"/>
      <c r="I185" s="17"/>
      <c r="J185" s="17"/>
      <c r="K185" s="17"/>
      <c r="L185" s="16"/>
      <c r="M185" s="16"/>
      <c r="N185" s="16"/>
      <c r="O185" s="16"/>
      <c r="P185" s="16"/>
      <c r="U185" s="4"/>
      <c r="V185" s="4"/>
      <c r="W185" s="4"/>
      <c r="X185" s="4"/>
    </row>
    <row r="186">
      <c r="E186" s="23"/>
      <c r="F186" s="17"/>
      <c r="G186" s="17"/>
      <c r="H186" s="17"/>
      <c r="I186" s="17"/>
      <c r="J186" s="17"/>
      <c r="K186" s="17"/>
      <c r="L186" s="16"/>
      <c r="M186" s="16"/>
      <c r="N186" s="16"/>
      <c r="O186" s="16"/>
      <c r="P186" s="16"/>
      <c r="U186" s="4"/>
      <c r="V186" s="4"/>
      <c r="W186" s="4"/>
      <c r="X186" s="4"/>
    </row>
    <row r="187">
      <c r="E187" s="23"/>
      <c r="F187" s="17"/>
      <c r="G187" s="17"/>
      <c r="H187" s="17"/>
      <c r="I187" s="17"/>
      <c r="J187" s="17"/>
      <c r="K187" s="17"/>
      <c r="L187" s="16"/>
      <c r="M187" s="16"/>
      <c r="N187" s="16"/>
      <c r="O187" s="16"/>
      <c r="P187" s="16"/>
      <c r="U187" s="4"/>
      <c r="V187" s="4"/>
      <c r="W187" s="4"/>
      <c r="X187" s="4"/>
    </row>
    <row r="188">
      <c r="E188" s="23"/>
      <c r="F188" s="17"/>
      <c r="G188" s="17"/>
      <c r="H188" s="17"/>
      <c r="I188" s="17"/>
      <c r="J188" s="17"/>
      <c r="K188" s="17"/>
      <c r="L188" s="16"/>
      <c r="M188" s="16"/>
      <c r="N188" s="16"/>
      <c r="O188" s="16"/>
      <c r="P188" s="16"/>
      <c r="U188" s="4"/>
      <c r="V188" s="4"/>
      <c r="W188" s="4"/>
      <c r="X188" s="4"/>
    </row>
    <row r="189">
      <c r="E189" s="23"/>
      <c r="F189" s="17"/>
      <c r="G189" s="17"/>
      <c r="H189" s="17"/>
      <c r="I189" s="17"/>
      <c r="J189" s="17"/>
      <c r="K189" s="17"/>
      <c r="L189" s="16"/>
      <c r="M189" s="16"/>
      <c r="N189" s="16"/>
      <c r="O189" s="16"/>
      <c r="P189" s="16"/>
      <c r="U189" s="4"/>
      <c r="V189" s="4"/>
      <c r="W189" s="4"/>
      <c r="X189" s="4"/>
    </row>
    <row r="190">
      <c r="E190" s="23"/>
      <c r="F190" s="17"/>
      <c r="G190" s="17"/>
      <c r="H190" s="17"/>
      <c r="I190" s="17"/>
      <c r="J190" s="17"/>
      <c r="K190" s="17"/>
      <c r="L190" s="16"/>
      <c r="M190" s="16"/>
      <c r="N190" s="16"/>
      <c r="O190" s="16"/>
      <c r="P190" s="16"/>
      <c r="U190" s="4"/>
      <c r="V190" s="4"/>
      <c r="W190" s="4"/>
      <c r="X190" s="4"/>
    </row>
    <row r="191">
      <c r="E191" s="23"/>
      <c r="F191" s="17"/>
      <c r="G191" s="17"/>
      <c r="H191" s="17"/>
      <c r="I191" s="17"/>
      <c r="J191" s="17"/>
      <c r="K191" s="17"/>
      <c r="L191" s="16"/>
      <c r="M191" s="16"/>
      <c r="N191" s="16"/>
      <c r="O191" s="16"/>
      <c r="P191" s="16"/>
      <c r="U191" s="4"/>
      <c r="V191" s="4"/>
      <c r="W191" s="4"/>
      <c r="X191" s="4"/>
    </row>
    <row r="192">
      <c r="E192" s="23"/>
      <c r="F192" s="17"/>
      <c r="G192" s="17"/>
      <c r="H192" s="17"/>
      <c r="I192" s="17"/>
      <c r="J192" s="17"/>
      <c r="K192" s="17"/>
      <c r="L192" s="16"/>
      <c r="M192" s="16"/>
      <c r="N192" s="16"/>
      <c r="O192" s="16"/>
      <c r="P192" s="16"/>
      <c r="U192" s="4"/>
      <c r="V192" s="4"/>
      <c r="W192" s="4"/>
      <c r="X192" s="4"/>
    </row>
    <row r="193">
      <c r="E193" s="23"/>
      <c r="F193" s="17"/>
      <c r="G193" s="17"/>
      <c r="H193" s="17"/>
      <c r="I193" s="17"/>
      <c r="J193" s="17"/>
      <c r="K193" s="17"/>
      <c r="L193" s="16"/>
      <c r="M193" s="16"/>
      <c r="N193" s="16"/>
      <c r="O193" s="16"/>
      <c r="P193" s="16"/>
      <c r="U193" s="4"/>
      <c r="V193" s="4"/>
      <c r="W193" s="4"/>
      <c r="X193" s="4"/>
    </row>
    <row r="194">
      <c r="E194" s="23"/>
      <c r="F194" s="17"/>
      <c r="G194" s="17"/>
      <c r="H194" s="17"/>
      <c r="I194" s="17"/>
      <c r="J194" s="17"/>
      <c r="K194" s="17"/>
      <c r="L194" s="16"/>
      <c r="M194" s="16"/>
      <c r="N194" s="16"/>
      <c r="O194" s="16"/>
      <c r="P194" s="16"/>
      <c r="U194" s="4"/>
      <c r="V194" s="4"/>
      <c r="W194" s="4"/>
      <c r="X194" s="4"/>
    </row>
    <row r="195">
      <c r="E195" s="23"/>
      <c r="F195" s="17"/>
      <c r="G195" s="17"/>
      <c r="H195" s="17"/>
      <c r="I195" s="17"/>
      <c r="J195" s="17"/>
      <c r="K195" s="17"/>
      <c r="L195" s="16"/>
      <c r="M195" s="16"/>
      <c r="N195" s="16"/>
      <c r="O195" s="16"/>
      <c r="P195" s="16"/>
      <c r="U195" s="4"/>
      <c r="V195" s="4"/>
      <c r="W195" s="4"/>
      <c r="X195" s="4"/>
    </row>
    <row r="196">
      <c r="E196" s="23"/>
      <c r="F196" s="17"/>
      <c r="G196" s="17"/>
      <c r="H196" s="17"/>
      <c r="I196" s="17"/>
      <c r="J196" s="17"/>
      <c r="K196" s="17"/>
      <c r="L196" s="16"/>
      <c r="M196" s="16"/>
      <c r="N196" s="16"/>
      <c r="O196" s="16"/>
      <c r="P196" s="16"/>
      <c r="U196" s="4"/>
      <c r="V196" s="4"/>
      <c r="W196" s="4"/>
      <c r="X196" s="4"/>
    </row>
    <row r="197">
      <c r="E197" s="23"/>
      <c r="F197" s="17"/>
      <c r="G197" s="17"/>
      <c r="H197" s="17"/>
      <c r="I197" s="17"/>
      <c r="J197" s="17"/>
      <c r="K197" s="17"/>
      <c r="L197" s="16"/>
      <c r="M197" s="16"/>
      <c r="N197" s="16"/>
      <c r="O197" s="16"/>
      <c r="P197" s="16"/>
      <c r="U197" s="4"/>
      <c r="V197" s="4"/>
      <c r="W197" s="4"/>
      <c r="X197" s="4"/>
    </row>
    <row r="198">
      <c r="E198" s="23"/>
      <c r="F198" s="17"/>
      <c r="G198" s="17"/>
      <c r="H198" s="17"/>
      <c r="I198" s="17"/>
      <c r="J198" s="17"/>
      <c r="K198" s="17"/>
      <c r="L198" s="16"/>
      <c r="M198" s="16"/>
      <c r="N198" s="16"/>
      <c r="O198" s="16"/>
      <c r="P198" s="16"/>
      <c r="U198" s="4"/>
      <c r="V198" s="4"/>
      <c r="W198" s="4"/>
      <c r="X198" s="4"/>
    </row>
    <row r="199">
      <c r="E199" s="23"/>
      <c r="F199" s="17"/>
      <c r="G199" s="17"/>
      <c r="H199" s="17"/>
      <c r="I199" s="17"/>
      <c r="J199" s="17"/>
      <c r="K199" s="17"/>
      <c r="L199" s="16"/>
      <c r="M199" s="16"/>
      <c r="N199" s="16"/>
      <c r="O199" s="16"/>
      <c r="P199" s="16"/>
      <c r="U199" s="4"/>
      <c r="V199" s="4"/>
      <c r="W199" s="4"/>
      <c r="X199" s="4"/>
    </row>
    <row r="200">
      <c r="E200" s="23"/>
      <c r="F200" s="17"/>
      <c r="G200" s="17"/>
      <c r="H200" s="17"/>
      <c r="I200" s="17"/>
      <c r="J200" s="17"/>
      <c r="K200" s="17"/>
      <c r="L200" s="16"/>
      <c r="M200" s="16"/>
      <c r="N200" s="16"/>
      <c r="O200" s="16"/>
      <c r="P200" s="16"/>
      <c r="U200" s="4"/>
      <c r="V200" s="4"/>
      <c r="W200" s="4"/>
      <c r="X200" s="4"/>
    </row>
    <row r="201">
      <c r="E201" s="23"/>
      <c r="F201" s="17"/>
      <c r="G201" s="17"/>
      <c r="H201" s="17"/>
      <c r="I201" s="17"/>
      <c r="J201" s="17"/>
      <c r="K201" s="17"/>
      <c r="L201" s="16"/>
      <c r="M201" s="16"/>
      <c r="N201" s="16"/>
      <c r="O201" s="16"/>
      <c r="P201" s="16"/>
      <c r="U201" s="4"/>
      <c r="V201" s="4"/>
      <c r="W201" s="4"/>
      <c r="X201" s="4"/>
    </row>
    <row r="202">
      <c r="E202" s="23"/>
      <c r="F202" s="17"/>
      <c r="G202" s="17"/>
      <c r="H202" s="17"/>
      <c r="I202" s="17"/>
      <c r="J202" s="17"/>
      <c r="K202" s="17"/>
      <c r="L202" s="16"/>
      <c r="M202" s="16"/>
      <c r="N202" s="16"/>
      <c r="O202" s="16"/>
      <c r="P202" s="16"/>
      <c r="U202" s="4"/>
      <c r="V202" s="4"/>
      <c r="W202" s="4"/>
      <c r="X202" s="4"/>
    </row>
    <row r="203">
      <c r="E203" s="23"/>
      <c r="F203" s="17"/>
      <c r="G203" s="17"/>
      <c r="H203" s="17"/>
      <c r="I203" s="17"/>
      <c r="J203" s="17"/>
      <c r="K203" s="17"/>
      <c r="L203" s="16"/>
      <c r="M203" s="16"/>
      <c r="N203" s="16"/>
      <c r="O203" s="16"/>
      <c r="P203" s="16"/>
      <c r="U203" s="4"/>
      <c r="V203" s="4"/>
      <c r="W203" s="4"/>
      <c r="X203" s="4"/>
    </row>
    <row r="204">
      <c r="E204" s="23"/>
      <c r="F204" s="17"/>
      <c r="G204" s="17"/>
      <c r="H204" s="17"/>
      <c r="I204" s="17"/>
      <c r="J204" s="17"/>
      <c r="K204" s="17"/>
      <c r="L204" s="16"/>
      <c r="M204" s="16"/>
      <c r="N204" s="16"/>
      <c r="O204" s="16"/>
      <c r="P204" s="16"/>
      <c r="U204" s="4"/>
      <c r="V204" s="4"/>
      <c r="W204" s="4"/>
      <c r="X204" s="4"/>
    </row>
    <row r="205">
      <c r="E205" s="23"/>
      <c r="F205" s="17"/>
      <c r="G205" s="17"/>
      <c r="H205" s="17"/>
      <c r="I205" s="17"/>
      <c r="J205" s="17"/>
      <c r="K205" s="17"/>
      <c r="L205" s="16"/>
      <c r="M205" s="16"/>
      <c r="N205" s="16"/>
      <c r="O205" s="16"/>
      <c r="P205" s="16"/>
      <c r="U205" s="4"/>
      <c r="V205" s="4"/>
      <c r="W205" s="4"/>
      <c r="X205" s="4"/>
    </row>
    <row r="206">
      <c r="E206" s="23"/>
      <c r="F206" s="17"/>
      <c r="G206" s="17"/>
      <c r="H206" s="17"/>
      <c r="I206" s="17"/>
      <c r="J206" s="17"/>
      <c r="K206" s="17"/>
      <c r="L206" s="16"/>
      <c r="M206" s="16"/>
      <c r="N206" s="16"/>
      <c r="O206" s="16"/>
      <c r="P206" s="16"/>
      <c r="U206" s="4"/>
      <c r="V206" s="4"/>
      <c r="W206" s="4"/>
      <c r="X206" s="4"/>
    </row>
    <row r="207">
      <c r="E207" s="23"/>
      <c r="F207" s="17"/>
      <c r="G207" s="17"/>
      <c r="H207" s="17"/>
      <c r="I207" s="17"/>
      <c r="J207" s="17"/>
      <c r="K207" s="17"/>
      <c r="L207" s="16"/>
      <c r="M207" s="16"/>
      <c r="N207" s="16"/>
      <c r="O207" s="16"/>
      <c r="P207" s="16"/>
      <c r="U207" s="4"/>
      <c r="V207" s="4"/>
      <c r="W207" s="4"/>
      <c r="X207" s="4"/>
    </row>
    <row r="208">
      <c r="E208" s="23"/>
      <c r="F208" s="17"/>
      <c r="G208" s="17"/>
      <c r="H208" s="17"/>
      <c r="I208" s="17"/>
      <c r="J208" s="17"/>
      <c r="K208" s="17"/>
      <c r="L208" s="16"/>
      <c r="M208" s="16"/>
      <c r="N208" s="16"/>
      <c r="O208" s="16"/>
      <c r="P208" s="16"/>
      <c r="U208" s="4"/>
      <c r="V208" s="4"/>
      <c r="W208" s="4"/>
      <c r="X208" s="4"/>
    </row>
    <row r="209">
      <c r="E209" s="23"/>
      <c r="F209" s="17"/>
      <c r="G209" s="17"/>
      <c r="H209" s="17"/>
      <c r="I209" s="17"/>
      <c r="J209" s="17"/>
      <c r="K209" s="17"/>
      <c r="L209" s="16"/>
      <c r="M209" s="16"/>
      <c r="N209" s="16"/>
      <c r="O209" s="16"/>
      <c r="P209" s="16"/>
      <c r="U209" s="4"/>
      <c r="V209" s="4"/>
      <c r="W209" s="4"/>
      <c r="X209" s="4"/>
    </row>
    <row r="210">
      <c r="E210" s="23"/>
      <c r="F210" s="17"/>
      <c r="G210" s="17"/>
      <c r="H210" s="17"/>
      <c r="I210" s="17"/>
      <c r="J210" s="17"/>
      <c r="K210" s="17"/>
      <c r="L210" s="16"/>
      <c r="M210" s="16"/>
      <c r="N210" s="16"/>
      <c r="O210" s="16"/>
      <c r="P210" s="16"/>
      <c r="U210" s="4"/>
      <c r="V210" s="4"/>
      <c r="W210" s="4"/>
      <c r="X210" s="4"/>
    </row>
    <row r="211">
      <c r="E211" s="23"/>
      <c r="F211" s="17"/>
      <c r="G211" s="17"/>
      <c r="H211" s="17"/>
      <c r="I211" s="17"/>
      <c r="J211" s="17"/>
      <c r="K211" s="17"/>
      <c r="L211" s="16"/>
      <c r="M211" s="16"/>
      <c r="N211" s="16"/>
      <c r="O211" s="16"/>
      <c r="P211" s="16"/>
      <c r="U211" s="4"/>
      <c r="V211" s="4"/>
      <c r="W211" s="4"/>
      <c r="X211" s="4"/>
    </row>
    <row r="212">
      <c r="E212" s="23"/>
      <c r="F212" s="17"/>
      <c r="G212" s="17"/>
      <c r="H212" s="17"/>
      <c r="I212" s="17"/>
      <c r="J212" s="17"/>
      <c r="K212" s="17"/>
      <c r="L212" s="16"/>
      <c r="M212" s="16"/>
      <c r="N212" s="16"/>
      <c r="O212" s="16"/>
      <c r="P212" s="16"/>
      <c r="U212" s="4"/>
      <c r="V212" s="4"/>
      <c r="W212" s="4"/>
      <c r="X212" s="4"/>
    </row>
    <row r="213">
      <c r="E213" s="23"/>
      <c r="F213" s="17"/>
      <c r="G213" s="17"/>
      <c r="H213" s="17"/>
      <c r="I213" s="17"/>
      <c r="J213" s="17"/>
      <c r="K213" s="17"/>
      <c r="L213" s="16"/>
      <c r="M213" s="16"/>
      <c r="N213" s="16"/>
      <c r="O213" s="16"/>
      <c r="P213" s="16"/>
      <c r="U213" s="4"/>
      <c r="V213" s="4"/>
      <c r="W213" s="4"/>
      <c r="X213" s="4"/>
    </row>
    <row r="214">
      <c r="E214" s="23"/>
      <c r="F214" s="17"/>
      <c r="G214" s="17"/>
      <c r="H214" s="17"/>
      <c r="I214" s="17"/>
      <c r="J214" s="17"/>
      <c r="K214" s="17"/>
      <c r="L214" s="16"/>
      <c r="M214" s="16"/>
      <c r="N214" s="16"/>
      <c r="O214" s="16"/>
      <c r="P214" s="16"/>
      <c r="U214" s="4"/>
      <c r="V214" s="4"/>
      <c r="W214" s="4"/>
      <c r="X214" s="4"/>
    </row>
    <row r="215">
      <c r="E215" s="23"/>
      <c r="F215" s="17"/>
      <c r="G215" s="17"/>
      <c r="H215" s="17"/>
      <c r="I215" s="17"/>
      <c r="J215" s="17"/>
      <c r="K215" s="17"/>
      <c r="L215" s="16"/>
      <c r="M215" s="16"/>
      <c r="N215" s="16"/>
      <c r="O215" s="16"/>
      <c r="P215" s="16"/>
      <c r="U215" s="4"/>
      <c r="V215" s="4"/>
      <c r="W215" s="4"/>
      <c r="X215" s="4"/>
    </row>
    <row r="216">
      <c r="E216" s="23"/>
      <c r="F216" s="17"/>
      <c r="G216" s="17"/>
      <c r="H216" s="17"/>
      <c r="I216" s="17"/>
      <c r="J216" s="17"/>
      <c r="K216" s="17"/>
      <c r="L216" s="16"/>
      <c r="M216" s="16"/>
      <c r="N216" s="16"/>
      <c r="O216" s="16"/>
      <c r="P216" s="16"/>
      <c r="U216" s="4"/>
      <c r="V216" s="4"/>
      <c r="W216" s="4"/>
      <c r="X216" s="4"/>
    </row>
    <row r="217">
      <c r="E217" s="23"/>
      <c r="F217" s="17"/>
      <c r="G217" s="17"/>
      <c r="H217" s="17"/>
      <c r="I217" s="17"/>
      <c r="J217" s="17"/>
      <c r="K217" s="17"/>
      <c r="L217" s="16"/>
      <c r="M217" s="16"/>
      <c r="N217" s="16"/>
      <c r="O217" s="16"/>
      <c r="P217" s="16"/>
      <c r="U217" s="4"/>
      <c r="V217" s="4"/>
      <c r="W217" s="4"/>
      <c r="X217" s="4"/>
    </row>
    <row r="218">
      <c r="E218" s="23"/>
      <c r="F218" s="17"/>
      <c r="G218" s="17"/>
      <c r="H218" s="17"/>
      <c r="I218" s="17"/>
      <c r="J218" s="17"/>
      <c r="K218" s="17"/>
      <c r="L218" s="16"/>
      <c r="M218" s="16"/>
      <c r="N218" s="16"/>
      <c r="O218" s="16"/>
      <c r="P218" s="16"/>
      <c r="U218" s="4"/>
      <c r="V218" s="4"/>
      <c r="W218" s="4"/>
      <c r="X218" s="4"/>
    </row>
    <row r="219">
      <c r="E219" s="23"/>
      <c r="F219" s="17"/>
      <c r="G219" s="17"/>
      <c r="H219" s="17"/>
      <c r="I219" s="17"/>
      <c r="J219" s="17"/>
      <c r="K219" s="17"/>
      <c r="L219" s="16"/>
      <c r="M219" s="16"/>
      <c r="N219" s="16"/>
      <c r="O219" s="16"/>
      <c r="P219" s="16"/>
      <c r="U219" s="4"/>
      <c r="V219" s="4"/>
      <c r="W219" s="4"/>
      <c r="X219" s="4"/>
    </row>
    <row r="220">
      <c r="E220" s="23"/>
      <c r="F220" s="17"/>
      <c r="G220" s="17"/>
      <c r="H220" s="17"/>
      <c r="I220" s="17"/>
      <c r="J220" s="17"/>
      <c r="K220" s="17"/>
      <c r="L220" s="16"/>
      <c r="M220" s="16"/>
      <c r="N220" s="16"/>
      <c r="O220" s="16"/>
      <c r="P220" s="16"/>
      <c r="U220" s="4"/>
      <c r="V220" s="4"/>
      <c r="W220" s="4"/>
      <c r="X220" s="4"/>
    </row>
    <row r="221">
      <c r="E221" s="23"/>
      <c r="F221" s="17"/>
      <c r="G221" s="17"/>
      <c r="H221" s="17"/>
      <c r="I221" s="17"/>
      <c r="J221" s="17"/>
      <c r="K221" s="17"/>
      <c r="L221" s="16"/>
      <c r="M221" s="16"/>
      <c r="N221" s="16"/>
      <c r="O221" s="16"/>
      <c r="P221" s="16"/>
      <c r="U221" s="4"/>
      <c r="V221" s="4"/>
      <c r="W221" s="4"/>
      <c r="X221" s="4"/>
    </row>
    <row r="222">
      <c r="E222" s="23"/>
      <c r="F222" s="17"/>
      <c r="G222" s="17"/>
      <c r="H222" s="17"/>
      <c r="I222" s="17"/>
      <c r="J222" s="17"/>
      <c r="K222" s="17"/>
      <c r="L222" s="16"/>
      <c r="M222" s="16"/>
      <c r="N222" s="16"/>
      <c r="O222" s="16"/>
      <c r="P222" s="16"/>
      <c r="U222" s="4"/>
      <c r="V222" s="4"/>
      <c r="W222" s="4"/>
      <c r="X222" s="4"/>
    </row>
    <row r="223">
      <c r="E223" s="23"/>
      <c r="F223" s="17"/>
      <c r="G223" s="17"/>
      <c r="H223" s="17"/>
      <c r="I223" s="17"/>
      <c r="J223" s="17"/>
      <c r="K223" s="17"/>
      <c r="L223" s="16"/>
      <c r="M223" s="16"/>
      <c r="N223" s="16"/>
      <c r="O223" s="16"/>
      <c r="P223" s="16"/>
      <c r="U223" s="4"/>
      <c r="V223" s="4"/>
      <c r="W223" s="4"/>
      <c r="X223" s="4"/>
    </row>
    <row r="224">
      <c r="E224" s="23"/>
      <c r="F224" s="17"/>
      <c r="G224" s="17"/>
      <c r="H224" s="17"/>
      <c r="I224" s="17"/>
      <c r="J224" s="17"/>
      <c r="K224" s="17"/>
      <c r="L224" s="16"/>
      <c r="M224" s="16"/>
      <c r="N224" s="16"/>
      <c r="O224" s="16"/>
      <c r="P224" s="16"/>
      <c r="U224" s="4"/>
      <c r="V224" s="4"/>
      <c r="W224" s="4"/>
      <c r="X224" s="4"/>
    </row>
    <row r="225">
      <c r="E225" s="23"/>
      <c r="F225" s="17"/>
      <c r="G225" s="17"/>
      <c r="H225" s="17"/>
      <c r="I225" s="17"/>
      <c r="J225" s="17"/>
      <c r="K225" s="17"/>
      <c r="L225" s="16"/>
      <c r="M225" s="16"/>
      <c r="N225" s="16"/>
      <c r="O225" s="16"/>
      <c r="P225" s="16"/>
      <c r="U225" s="4"/>
      <c r="V225" s="4"/>
      <c r="W225" s="4"/>
      <c r="X225" s="4"/>
    </row>
    <row r="226">
      <c r="E226" s="23"/>
      <c r="F226" s="17"/>
      <c r="G226" s="17"/>
      <c r="H226" s="17"/>
      <c r="I226" s="17"/>
      <c r="J226" s="17"/>
      <c r="K226" s="17"/>
      <c r="L226" s="16"/>
      <c r="M226" s="16"/>
      <c r="N226" s="16"/>
      <c r="O226" s="16"/>
      <c r="P226" s="16"/>
      <c r="U226" s="4"/>
      <c r="V226" s="4"/>
      <c r="W226" s="4"/>
      <c r="X226" s="4"/>
    </row>
    <row r="227">
      <c r="E227" s="23"/>
      <c r="F227" s="17"/>
      <c r="G227" s="17"/>
      <c r="H227" s="17"/>
      <c r="I227" s="17"/>
      <c r="J227" s="17"/>
      <c r="K227" s="17"/>
      <c r="L227" s="16"/>
      <c r="M227" s="16"/>
      <c r="N227" s="16"/>
      <c r="O227" s="16"/>
      <c r="P227" s="16"/>
      <c r="U227" s="4"/>
      <c r="V227" s="4"/>
      <c r="W227" s="4"/>
      <c r="X227" s="4"/>
    </row>
    <row r="228">
      <c r="E228" s="23"/>
      <c r="F228" s="17"/>
      <c r="G228" s="17"/>
      <c r="H228" s="17"/>
      <c r="I228" s="17"/>
      <c r="J228" s="17"/>
      <c r="K228" s="17"/>
      <c r="L228" s="16"/>
      <c r="M228" s="16"/>
      <c r="N228" s="16"/>
      <c r="O228" s="16"/>
      <c r="P228" s="16"/>
      <c r="U228" s="4"/>
      <c r="V228" s="4"/>
      <c r="W228" s="4"/>
      <c r="X228" s="4"/>
    </row>
    <row r="229">
      <c r="E229" s="23"/>
      <c r="F229" s="17"/>
      <c r="G229" s="17"/>
      <c r="H229" s="17"/>
      <c r="I229" s="17"/>
      <c r="J229" s="17"/>
      <c r="K229" s="17"/>
      <c r="L229" s="16"/>
      <c r="M229" s="16"/>
      <c r="N229" s="16"/>
      <c r="O229" s="16"/>
      <c r="P229" s="16"/>
      <c r="U229" s="4"/>
      <c r="V229" s="4"/>
      <c r="W229" s="4"/>
      <c r="X229" s="4"/>
    </row>
    <row r="230">
      <c r="E230" s="23"/>
      <c r="F230" s="17"/>
      <c r="G230" s="17"/>
      <c r="H230" s="17"/>
      <c r="I230" s="17"/>
      <c r="J230" s="17"/>
      <c r="K230" s="17"/>
      <c r="L230" s="16"/>
      <c r="M230" s="16"/>
      <c r="N230" s="16"/>
      <c r="O230" s="16"/>
      <c r="P230" s="16"/>
      <c r="U230" s="4"/>
      <c r="V230" s="4"/>
      <c r="W230" s="4"/>
      <c r="X230" s="4"/>
    </row>
    <row r="231">
      <c r="E231" s="23"/>
      <c r="F231" s="17"/>
      <c r="G231" s="17"/>
      <c r="H231" s="17"/>
      <c r="I231" s="17"/>
      <c r="J231" s="17"/>
      <c r="K231" s="17"/>
      <c r="L231" s="16"/>
      <c r="M231" s="16"/>
      <c r="N231" s="16"/>
      <c r="O231" s="16"/>
      <c r="P231" s="16"/>
      <c r="U231" s="4"/>
      <c r="V231" s="4"/>
      <c r="W231" s="4"/>
      <c r="X231" s="4"/>
    </row>
    <row r="232">
      <c r="E232" s="23"/>
      <c r="F232" s="17"/>
      <c r="G232" s="17"/>
      <c r="H232" s="17"/>
      <c r="I232" s="17"/>
      <c r="J232" s="17"/>
      <c r="K232" s="17"/>
      <c r="L232" s="16"/>
      <c r="M232" s="16"/>
      <c r="N232" s="16"/>
      <c r="O232" s="16"/>
      <c r="P232" s="16"/>
      <c r="U232" s="4"/>
      <c r="V232" s="4"/>
      <c r="W232" s="4"/>
      <c r="X232" s="4"/>
    </row>
    <row r="233">
      <c r="E233" s="23"/>
      <c r="F233" s="17"/>
      <c r="G233" s="17"/>
      <c r="H233" s="17"/>
      <c r="I233" s="17"/>
      <c r="J233" s="17"/>
      <c r="K233" s="17"/>
      <c r="L233" s="16"/>
      <c r="M233" s="16"/>
      <c r="N233" s="16"/>
      <c r="O233" s="16"/>
      <c r="P233" s="16"/>
      <c r="U233" s="4"/>
      <c r="V233" s="4"/>
      <c r="W233" s="4"/>
      <c r="X233" s="4"/>
    </row>
    <row r="234">
      <c r="E234" s="23"/>
      <c r="F234" s="17"/>
      <c r="G234" s="17"/>
      <c r="H234" s="17"/>
      <c r="I234" s="17"/>
      <c r="J234" s="17"/>
      <c r="K234" s="17"/>
      <c r="L234" s="16"/>
      <c r="M234" s="16"/>
      <c r="N234" s="16"/>
      <c r="O234" s="16"/>
      <c r="P234" s="16"/>
      <c r="U234" s="4"/>
      <c r="V234" s="4"/>
      <c r="W234" s="4"/>
      <c r="X234" s="4"/>
    </row>
    <row r="235">
      <c r="E235" s="23"/>
      <c r="F235" s="17"/>
      <c r="G235" s="17"/>
      <c r="H235" s="17"/>
      <c r="I235" s="17"/>
      <c r="J235" s="17"/>
      <c r="K235" s="17"/>
      <c r="L235" s="16"/>
      <c r="M235" s="16"/>
      <c r="N235" s="16"/>
      <c r="O235" s="16"/>
      <c r="P235" s="16"/>
      <c r="U235" s="4"/>
      <c r="V235" s="4"/>
      <c r="W235" s="4"/>
      <c r="X235" s="4"/>
    </row>
    <row r="236">
      <c r="E236" s="23"/>
      <c r="F236" s="17"/>
      <c r="G236" s="17"/>
      <c r="H236" s="17"/>
      <c r="I236" s="17"/>
      <c r="J236" s="17"/>
      <c r="K236" s="17"/>
      <c r="L236" s="16"/>
      <c r="M236" s="16"/>
      <c r="N236" s="16"/>
      <c r="O236" s="16"/>
      <c r="P236" s="16"/>
      <c r="U236" s="4"/>
      <c r="V236" s="4"/>
      <c r="W236" s="4"/>
      <c r="X236" s="4"/>
    </row>
    <row r="237">
      <c r="E237" s="23"/>
      <c r="F237" s="17"/>
      <c r="G237" s="17"/>
      <c r="H237" s="17"/>
      <c r="I237" s="17"/>
      <c r="J237" s="17"/>
      <c r="K237" s="17"/>
      <c r="L237" s="16"/>
      <c r="M237" s="16"/>
      <c r="N237" s="16"/>
      <c r="O237" s="16"/>
      <c r="P237" s="16"/>
      <c r="U237" s="4"/>
      <c r="V237" s="4"/>
      <c r="W237" s="4"/>
      <c r="X237" s="4"/>
    </row>
    <row r="238">
      <c r="E238" s="23"/>
      <c r="F238" s="17"/>
      <c r="G238" s="17"/>
      <c r="H238" s="17"/>
      <c r="I238" s="17"/>
      <c r="J238" s="17"/>
      <c r="K238" s="17"/>
      <c r="L238" s="16"/>
      <c r="M238" s="16"/>
      <c r="N238" s="16"/>
      <c r="O238" s="16"/>
      <c r="P238" s="16"/>
      <c r="U238" s="4"/>
      <c r="V238" s="4"/>
      <c r="W238" s="4"/>
      <c r="X238" s="4"/>
    </row>
    <row r="239">
      <c r="E239" s="23"/>
      <c r="F239" s="17"/>
      <c r="G239" s="17"/>
      <c r="H239" s="17"/>
      <c r="I239" s="17"/>
      <c r="J239" s="17"/>
      <c r="K239" s="17"/>
      <c r="L239" s="16"/>
      <c r="M239" s="16"/>
      <c r="N239" s="16"/>
      <c r="O239" s="16"/>
      <c r="P239" s="16"/>
      <c r="U239" s="4"/>
      <c r="V239" s="4"/>
      <c r="W239" s="4"/>
      <c r="X239" s="4"/>
    </row>
    <row r="240">
      <c r="E240" s="23"/>
      <c r="F240" s="17"/>
      <c r="G240" s="17"/>
      <c r="H240" s="17"/>
      <c r="I240" s="17"/>
      <c r="J240" s="17"/>
      <c r="K240" s="17"/>
      <c r="L240" s="16"/>
      <c r="M240" s="16"/>
      <c r="N240" s="16"/>
      <c r="O240" s="16"/>
      <c r="P240" s="16"/>
      <c r="U240" s="4"/>
      <c r="V240" s="4"/>
      <c r="W240" s="4"/>
      <c r="X240" s="4"/>
    </row>
    <row r="241">
      <c r="E241" s="23"/>
      <c r="F241" s="17"/>
      <c r="G241" s="17"/>
      <c r="H241" s="17"/>
      <c r="I241" s="17"/>
      <c r="J241" s="17"/>
      <c r="K241" s="17"/>
      <c r="L241" s="16"/>
      <c r="M241" s="16"/>
      <c r="N241" s="16"/>
      <c r="O241" s="16"/>
      <c r="P241" s="16"/>
      <c r="U241" s="4"/>
      <c r="V241" s="4"/>
      <c r="W241" s="4"/>
      <c r="X241" s="4"/>
    </row>
    <row r="242">
      <c r="E242" s="23"/>
      <c r="F242" s="17"/>
      <c r="G242" s="17"/>
      <c r="H242" s="17"/>
      <c r="I242" s="17"/>
      <c r="J242" s="17"/>
      <c r="K242" s="17"/>
      <c r="L242" s="16"/>
      <c r="M242" s="16"/>
      <c r="N242" s="16"/>
      <c r="O242" s="16"/>
      <c r="P242" s="16"/>
      <c r="U242" s="4"/>
      <c r="V242" s="4"/>
      <c r="W242" s="4"/>
      <c r="X242" s="4"/>
    </row>
    <row r="243">
      <c r="E243" s="23"/>
      <c r="F243" s="17"/>
      <c r="G243" s="17"/>
      <c r="H243" s="17"/>
      <c r="I243" s="17"/>
      <c r="J243" s="17"/>
      <c r="K243" s="17"/>
      <c r="L243" s="16"/>
      <c r="M243" s="16"/>
      <c r="N243" s="16"/>
      <c r="O243" s="16"/>
      <c r="P243" s="16"/>
      <c r="U243" s="4"/>
      <c r="V243" s="4"/>
      <c r="W243" s="4"/>
      <c r="X243" s="4"/>
    </row>
    <row r="244">
      <c r="E244" s="23"/>
      <c r="F244" s="17"/>
      <c r="G244" s="17"/>
      <c r="H244" s="17"/>
      <c r="I244" s="17"/>
      <c r="J244" s="17"/>
      <c r="K244" s="17"/>
      <c r="L244" s="16"/>
      <c r="M244" s="16"/>
      <c r="N244" s="16"/>
      <c r="O244" s="16"/>
      <c r="P244" s="16"/>
      <c r="U244" s="4"/>
      <c r="V244" s="4"/>
      <c r="W244" s="4"/>
      <c r="X244" s="4"/>
    </row>
    <row r="245">
      <c r="E245" s="23"/>
      <c r="F245" s="17"/>
      <c r="G245" s="17"/>
      <c r="H245" s="17"/>
      <c r="I245" s="17"/>
      <c r="J245" s="17"/>
      <c r="K245" s="17"/>
      <c r="L245" s="16"/>
      <c r="M245" s="16"/>
      <c r="N245" s="16"/>
      <c r="O245" s="16"/>
      <c r="P245" s="16"/>
      <c r="U245" s="4"/>
      <c r="V245" s="4"/>
      <c r="W245" s="4"/>
      <c r="X245" s="4"/>
    </row>
    <row r="246">
      <c r="E246" s="23"/>
      <c r="F246" s="17"/>
      <c r="G246" s="17"/>
      <c r="H246" s="17"/>
      <c r="I246" s="17"/>
      <c r="J246" s="17"/>
      <c r="K246" s="17"/>
      <c r="L246" s="16"/>
      <c r="M246" s="16"/>
      <c r="N246" s="16"/>
      <c r="O246" s="16"/>
      <c r="P246" s="16"/>
      <c r="U246" s="4"/>
      <c r="V246" s="4"/>
      <c r="W246" s="4"/>
      <c r="X246" s="4"/>
    </row>
    <row r="247">
      <c r="E247" s="23"/>
      <c r="F247" s="17"/>
      <c r="G247" s="17"/>
      <c r="H247" s="17"/>
      <c r="I247" s="17"/>
      <c r="J247" s="17"/>
      <c r="K247" s="17"/>
      <c r="L247" s="16"/>
      <c r="M247" s="16"/>
      <c r="N247" s="16"/>
      <c r="O247" s="16"/>
      <c r="P247" s="16"/>
      <c r="U247" s="4"/>
      <c r="V247" s="4"/>
      <c r="W247" s="4"/>
      <c r="X247" s="4"/>
    </row>
    <row r="248">
      <c r="E248" s="23"/>
      <c r="F248" s="17"/>
      <c r="G248" s="17"/>
      <c r="H248" s="17"/>
      <c r="I248" s="17"/>
      <c r="J248" s="17"/>
      <c r="K248" s="17"/>
      <c r="L248" s="16"/>
      <c r="M248" s="16"/>
      <c r="N248" s="16"/>
      <c r="O248" s="16"/>
      <c r="P248" s="16"/>
      <c r="U248" s="4"/>
      <c r="V248" s="4"/>
      <c r="W248" s="4"/>
      <c r="X248" s="4"/>
    </row>
    <row r="249">
      <c r="E249" s="23"/>
      <c r="F249" s="17"/>
      <c r="G249" s="17"/>
      <c r="H249" s="17"/>
      <c r="I249" s="17"/>
      <c r="J249" s="17"/>
      <c r="K249" s="17"/>
      <c r="L249" s="16"/>
      <c r="M249" s="16"/>
      <c r="N249" s="16"/>
      <c r="O249" s="16"/>
      <c r="P249" s="16"/>
      <c r="U249" s="4"/>
      <c r="V249" s="4"/>
      <c r="W249" s="4"/>
      <c r="X249" s="4"/>
    </row>
    <row r="250">
      <c r="E250" s="23"/>
      <c r="F250" s="17"/>
      <c r="G250" s="17"/>
      <c r="H250" s="17"/>
      <c r="I250" s="17"/>
      <c r="J250" s="17"/>
      <c r="K250" s="17"/>
      <c r="L250" s="16"/>
      <c r="M250" s="16"/>
      <c r="N250" s="16"/>
      <c r="O250" s="16"/>
      <c r="P250" s="16"/>
      <c r="U250" s="4"/>
      <c r="V250" s="4"/>
      <c r="W250" s="4"/>
      <c r="X250" s="4"/>
    </row>
    <row r="251">
      <c r="E251" s="23"/>
      <c r="F251" s="17"/>
      <c r="G251" s="17"/>
      <c r="H251" s="17"/>
      <c r="I251" s="17"/>
      <c r="J251" s="17"/>
      <c r="K251" s="17"/>
      <c r="L251" s="16"/>
      <c r="M251" s="16"/>
      <c r="N251" s="16"/>
      <c r="O251" s="16"/>
      <c r="P251" s="16"/>
      <c r="U251" s="4"/>
      <c r="V251" s="4"/>
      <c r="W251" s="4"/>
      <c r="X251" s="4"/>
    </row>
    <row r="252">
      <c r="E252" s="23"/>
      <c r="F252" s="17"/>
      <c r="G252" s="17"/>
      <c r="H252" s="17"/>
      <c r="I252" s="17"/>
      <c r="J252" s="17"/>
      <c r="K252" s="17"/>
      <c r="L252" s="16"/>
      <c r="M252" s="16"/>
      <c r="N252" s="16"/>
      <c r="O252" s="16"/>
      <c r="P252" s="16"/>
      <c r="U252" s="4"/>
      <c r="V252" s="4"/>
      <c r="W252" s="4"/>
      <c r="X252" s="4"/>
    </row>
    <row r="253">
      <c r="E253" s="23"/>
      <c r="F253" s="17"/>
      <c r="G253" s="17"/>
      <c r="H253" s="17"/>
      <c r="I253" s="17"/>
      <c r="J253" s="17"/>
      <c r="K253" s="17"/>
      <c r="L253" s="16"/>
      <c r="M253" s="16"/>
      <c r="N253" s="16"/>
      <c r="O253" s="16"/>
      <c r="P253" s="16"/>
      <c r="U253" s="4"/>
      <c r="V253" s="4"/>
      <c r="W253" s="4"/>
      <c r="X253" s="4"/>
    </row>
    <row r="254">
      <c r="E254" s="23"/>
      <c r="F254" s="17"/>
      <c r="G254" s="17"/>
      <c r="H254" s="17"/>
      <c r="I254" s="17"/>
      <c r="J254" s="17"/>
      <c r="K254" s="17"/>
      <c r="L254" s="16"/>
      <c r="M254" s="16"/>
      <c r="N254" s="16"/>
      <c r="O254" s="16"/>
      <c r="P254" s="16"/>
      <c r="U254" s="4"/>
      <c r="V254" s="4"/>
      <c r="W254" s="4"/>
      <c r="X254" s="4"/>
    </row>
    <row r="255">
      <c r="E255" s="23"/>
      <c r="F255" s="17"/>
      <c r="G255" s="17"/>
      <c r="H255" s="17"/>
      <c r="I255" s="17"/>
      <c r="J255" s="17"/>
      <c r="K255" s="17"/>
      <c r="L255" s="16"/>
      <c r="M255" s="16"/>
      <c r="N255" s="16"/>
      <c r="O255" s="16"/>
      <c r="P255" s="16"/>
      <c r="U255" s="4"/>
      <c r="V255" s="4"/>
      <c r="W255" s="4"/>
      <c r="X255" s="4"/>
    </row>
    <row r="256">
      <c r="E256" s="23"/>
      <c r="F256" s="17"/>
      <c r="G256" s="17"/>
      <c r="H256" s="17"/>
      <c r="I256" s="17"/>
      <c r="J256" s="17"/>
      <c r="K256" s="17"/>
      <c r="L256" s="16"/>
      <c r="M256" s="16"/>
      <c r="N256" s="16"/>
      <c r="O256" s="16"/>
      <c r="P256" s="16"/>
      <c r="U256" s="4"/>
      <c r="V256" s="4"/>
      <c r="W256" s="4"/>
      <c r="X256" s="4"/>
    </row>
    <row r="257">
      <c r="E257" s="23"/>
      <c r="F257" s="17"/>
      <c r="G257" s="17"/>
      <c r="H257" s="17"/>
      <c r="I257" s="17"/>
      <c r="J257" s="17"/>
      <c r="K257" s="17"/>
      <c r="L257" s="16"/>
      <c r="M257" s="16"/>
      <c r="N257" s="16"/>
      <c r="O257" s="16"/>
      <c r="P257" s="16"/>
      <c r="U257" s="4"/>
      <c r="V257" s="4"/>
      <c r="W257" s="4"/>
      <c r="X257" s="4"/>
    </row>
    <row r="258">
      <c r="E258" s="23"/>
      <c r="F258" s="17"/>
      <c r="G258" s="17"/>
      <c r="H258" s="17"/>
      <c r="I258" s="17"/>
      <c r="J258" s="17"/>
      <c r="K258" s="17"/>
      <c r="L258" s="16"/>
      <c r="M258" s="16"/>
      <c r="N258" s="16"/>
      <c r="O258" s="16"/>
      <c r="P258" s="16"/>
      <c r="U258" s="4"/>
      <c r="V258" s="4"/>
      <c r="W258" s="4"/>
      <c r="X258" s="4"/>
    </row>
    <row r="259">
      <c r="E259" s="23"/>
      <c r="F259" s="17"/>
      <c r="G259" s="17"/>
      <c r="H259" s="17"/>
      <c r="I259" s="17"/>
      <c r="J259" s="17"/>
      <c r="K259" s="17"/>
      <c r="L259" s="16"/>
      <c r="M259" s="16"/>
      <c r="N259" s="16"/>
      <c r="O259" s="16"/>
      <c r="P259" s="16"/>
      <c r="U259" s="4"/>
      <c r="V259" s="4"/>
      <c r="W259" s="4"/>
      <c r="X259" s="4"/>
    </row>
    <row r="260">
      <c r="E260" s="23"/>
      <c r="F260" s="17"/>
      <c r="G260" s="17"/>
      <c r="H260" s="17"/>
      <c r="I260" s="17"/>
      <c r="J260" s="17"/>
      <c r="K260" s="17"/>
      <c r="L260" s="16"/>
      <c r="M260" s="16"/>
      <c r="N260" s="16"/>
      <c r="O260" s="16"/>
      <c r="P260" s="16"/>
      <c r="U260" s="4"/>
      <c r="V260" s="4"/>
      <c r="W260" s="4"/>
      <c r="X260" s="4"/>
    </row>
    <row r="261">
      <c r="E261" s="23"/>
      <c r="F261" s="17"/>
      <c r="G261" s="17"/>
      <c r="H261" s="17"/>
      <c r="I261" s="17"/>
      <c r="J261" s="17"/>
      <c r="K261" s="17"/>
      <c r="L261" s="16"/>
      <c r="M261" s="16"/>
      <c r="N261" s="16"/>
      <c r="O261" s="16"/>
      <c r="P261" s="16"/>
      <c r="U261" s="4"/>
      <c r="V261" s="4"/>
      <c r="W261" s="4"/>
      <c r="X261" s="4"/>
    </row>
    <row r="262">
      <c r="E262" s="23"/>
      <c r="F262" s="17"/>
      <c r="G262" s="17"/>
      <c r="H262" s="17"/>
      <c r="I262" s="17"/>
      <c r="J262" s="17"/>
      <c r="K262" s="17"/>
      <c r="L262" s="16"/>
      <c r="M262" s="16"/>
      <c r="N262" s="16"/>
      <c r="O262" s="16"/>
      <c r="P262" s="16"/>
      <c r="U262" s="4"/>
      <c r="V262" s="4"/>
      <c r="W262" s="4"/>
      <c r="X262" s="4"/>
    </row>
    <row r="263">
      <c r="E263" s="23"/>
      <c r="F263" s="17"/>
      <c r="G263" s="17"/>
      <c r="H263" s="17"/>
      <c r="I263" s="17"/>
      <c r="J263" s="17"/>
      <c r="K263" s="17"/>
      <c r="L263" s="16"/>
      <c r="M263" s="16"/>
      <c r="N263" s="16"/>
      <c r="O263" s="16"/>
      <c r="P263" s="16"/>
      <c r="U263" s="4"/>
      <c r="V263" s="4"/>
      <c r="W263" s="4"/>
      <c r="X263" s="4"/>
    </row>
    <row r="264">
      <c r="E264" s="23"/>
      <c r="F264" s="17"/>
      <c r="G264" s="17"/>
      <c r="H264" s="17"/>
      <c r="I264" s="17"/>
      <c r="J264" s="17"/>
      <c r="K264" s="17"/>
      <c r="L264" s="16"/>
      <c r="M264" s="16"/>
      <c r="N264" s="16"/>
      <c r="O264" s="16"/>
      <c r="P264" s="16"/>
      <c r="U264" s="4"/>
      <c r="V264" s="4"/>
      <c r="W264" s="4"/>
      <c r="X264" s="4"/>
    </row>
    <row r="265">
      <c r="E265" s="23"/>
      <c r="F265" s="17"/>
      <c r="G265" s="17"/>
      <c r="H265" s="17"/>
      <c r="I265" s="17"/>
      <c r="J265" s="17"/>
      <c r="K265" s="17"/>
      <c r="L265" s="16"/>
      <c r="M265" s="16"/>
      <c r="N265" s="16"/>
      <c r="O265" s="16"/>
      <c r="P265" s="16"/>
      <c r="U265" s="4"/>
      <c r="V265" s="4"/>
      <c r="W265" s="4"/>
      <c r="X265" s="4"/>
    </row>
    <row r="266">
      <c r="E266" s="23"/>
      <c r="F266" s="17"/>
      <c r="G266" s="17"/>
      <c r="H266" s="17"/>
      <c r="I266" s="17"/>
      <c r="J266" s="17"/>
      <c r="K266" s="17"/>
      <c r="L266" s="16"/>
      <c r="M266" s="16"/>
      <c r="N266" s="16"/>
      <c r="O266" s="16"/>
      <c r="P266" s="16"/>
      <c r="U266" s="4"/>
      <c r="V266" s="4"/>
      <c r="W266" s="4"/>
      <c r="X266" s="4"/>
    </row>
    <row r="267">
      <c r="E267" s="23"/>
      <c r="F267" s="17"/>
      <c r="G267" s="17"/>
      <c r="H267" s="17"/>
      <c r="I267" s="17"/>
      <c r="J267" s="17"/>
      <c r="K267" s="17"/>
      <c r="L267" s="16"/>
      <c r="M267" s="16"/>
      <c r="N267" s="16"/>
      <c r="O267" s="16"/>
      <c r="P267" s="16"/>
      <c r="U267" s="4"/>
      <c r="V267" s="4"/>
      <c r="W267" s="4"/>
      <c r="X267" s="4"/>
    </row>
    <row r="268">
      <c r="E268" s="23"/>
      <c r="F268" s="17"/>
      <c r="G268" s="17"/>
      <c r="H268" s="17"/>
      <c r="I268" s="17"/>
      <c r="J268" s="17"/>
      <c r="K268" s="17"/>
      <c r="L268" s="16"/>
      <c r="M268" s="16"/>
      <c r="N268" s="16"/>
      <c r="O268" s="16"/>
      <c r="P268" s="16"/>
      <c r="U268" s="4"/>
      <c r="V268" s="4"/>
      <c r="W268" s="4"/>
      <c r="X268" s="4"/>
    </row>
    <row r="269">
      <c r="E269" s="23"/>
      <c r="F269" s="17"/>
      <c r="G269" s="17"/>
      <c r="H269" s="17"/>
      <c r="I269" s="17"/>
      <c r="J269" s="17"/>
      <c r="K269" s="17"/>
      <c r="L269" s="16"/>
      <c r="M269" s="16"/>
      <c r="N269" s="16"/>
      <c r="O269" s="16"/>
      <c r="P269" s="16"/>
      <c r="U269" s="4"/>
      <c r="V269" s="4"/>
      <c r="W269" s="4"/>
      <c r="X269" s="4"/>
    </row>
    <row r="270">
      <c r="E270" s="23"/>
      <c r="F270" s="17"/>
      <c r="G270" s="17"/>
      <c r="H270" s="17"/>
      <c r="I270" s="17"/>
      <c r="J270" s="17"/>
      <c r="K270" s="17"/>
      <c r="L270" s="16"/>
      <c r="M270" s="16"/>
      <c r="N270" s="16"/>
      <c r="O270" s="16"/>
      <c r="P270" s="16"/>
      <c r="U270" s="4"/>
      <c r="V270" s="4"/>
      <c r="W270" s="4"/>
      <c r="X270" s="4"/>
    </row>
    <row r="271">
      <c r="E271" s="23"/>
      <c r="F271" s="17"/>
      <c r="G271" s="17"/>
      <c r="H271" s="17"/>
      <c r="I271" s="17"/>
      <c r="J271" s="17"/>
      <c r="K271" s="17"/>
      <c r="L271" s="16"/>
      <c r="M271" s="16"/>
      <c r="N271" s="16"/>
      <c r="O271" s="16"/>
      <c r="P271" s="16"/>
      <c r="U271" s="4"/>
      <c r="V271" s="4"/>
      <c r="W271" s="4"/>
      <c r="X271" s="4"/>
    </row>
    <row r="272">
      <c r="E272" s="23"/>
      <c r="F272" s="17"/>
      <c r="G272" s="17"/>
      <c r="H272" s="17"/>
      <c r="I272" s="17"/>
      <c r="J272" s="17"/>
      <c r="K272" s="17"/>
      <c r="L272" s="16"/>
      <c r="M272" s="16"/>
      <c r="N272" s="16"/>
      <c r="O272" s="16"/>
      <c r="P272" s="16"/>
      <c r="U272" s="4"/>
      <c r="V272" s="4"/>
      <c r="W272" s="4"/>
      <c r="X272" s="4"/>
    </row>
    <row r="273">
      <c r="E273" s="23"/>
      <c r="F273" s="17"/>
      <c r="G273" s="17"/>
      <c r="H273" s="17"/>
      <c r="I273" s="17"/>
      <c r="J273" s="17"/>
      <c r="K273" s="17"/>
      <c r="L273" s="16"/>
      <c r="M273" s="16"/>
      <c r="N273" s="16"/>
      <c r="O273" s="16"/>
      <c r="P273" s="16"/>
      <c r="U273" s="4"/>
      <c r="V273" s="4"/>
      <c r="W273" s="4"/>
      <c r="X273" s="4"/>
    </row>
    <row r="274">
      <c r="E274" s="23"/>
      <c r="F274" s="17"/>
      <c r="G274" s="17"/>
      <c r="H274" s="17"/>
      <c r="I274" s="17"/>
      <c r="J274" s="17"/>
      <c r="K274" s="17"/>
      <c r="L274" s="16"/>
      <c r="M274" s="16"/>
      <c r="N274" s="16"/>
      <c r="O274" s="16"/>
      <c r="P274" s="16"/>
      <c r="U274" s="4"/>
      <c r="V274" s="4"/>
      <c r="W274" s="4"/>
      <c r="X274" s="4"/>
    </row>
    <row r="275">
      <c r="E275" s="23"/>
      <c r="F275" s="17"/>
      <c r="G275" s="17"/>
      <c r="H275" s="17"/>
      <c r="I275" s="17"/>
      <c r="J275" s="17"/>
      <c r="K275" s="17"/>
      <c r="L275" s="16"/>
      <c r="M275" s="16"/>
      <c r="N275" s="16"/>
      <c r="O275" s="16"/>
      <c r="P275" s="16"/>
      <c r="U275" s="4"/>
      <c r="V275" s="4"/>
      <c r="W275" s="4"/>
      <c r="X275" s="4"/>
    </row>
    <row r="276">
      <c r="E276" s="23"/>
      <c r="F276" s="17"/>
      <c r="G276" s="17"/>
      <c r="H276" s="17"/>
      <c r="I276" s="17"/>
      <c r="J276" s="17"/>
      <c r="K276" s="17"/>
      <c r="L276" s="16"/>
      <c r="M276" s="16"/>
      <c r="N276" s="16"/>
      <c r="O276" s="16"/>
      <c r="P276" s="16"/>
      <c r="U276" s="4"/>
      <c r="V276" s="4"/>
      <c r="W276" s="4"/>
      <c r="X276" s="4"/>
    </row>
    <row r="277">
      <c r="E277" s="23"/>
      <c r="F277" s="17"/>
      <c r="G277" s="17"/>
      <c r="H277" s="17"/>
      <c r="I277" s="17"/>
      <c r="J277" s="17"/>
      <c r="K277" s="17"/>
      <c r="L277" s="16"/>
      <c r="M277" s="16"/>
      <c r="N277" s="16"/>
      <c r="O277" s="16"/>
      <c r="P277" s="16"/>
      <c r="U277" s="4"/>
      <c r="V277" s="4"/>
      <c r="W277" s="4"/>
      <c r="X277" s="4"/>
    </row>
    <row r="278">
      <c r="E278" s="23"/>
      <c r="F278" s="17"/>
      <c r="G278" s="17"/>
      <c r="H278" s="17"/>
      <c r="I278" s="17"/>
      <c r="J278" s="17"/>
      <c r="K278" s="17"/>
      <c r="L278" s="16"/>
      <c r="M278" s="16"/>
      <c r="N278" s="16"/>
      <c r="O278" s="16"/>
      <c r="P278" s="16"/>
      <c r="U278" s="4"/>
      <c r="V278" s="4"/>
      <c r="W278" s="4"/>
      <c r="X278" s="4"/>
    </row>
    <row r="279">
      <c r="E279" s="23"/>
      <c r="F279" s="17"/>
      <c r="G279" s="17"/>
      <c r="H279" s="17"/>
      <c r="I279" s="17"/>
      <c r="J279" s="17"/>
      <c r="K279" s="17"/>
      <c r="L279" s="16"/>
      <c r="M279" s="16"/>
      <c r="N279" s="16"/>
      <c r="O279" s="16"/>
      <c r="P279" s="16"/>
      <c r="U279" s="4"/>
      <c r="V279" s="4"/>
      <c r="W279" s="4"/>
      <c r="X279" s="4"/>
    </row>
    <row r="280">
      <c r="E280" s="23"/>
      <c r="F280" s="17"/>
      <c r="G280" s="17"/>
      <c r="H280" s="17"/>
      <c r="I280" s="17"/>
      <c r="J280" s="17"/>
      <c r="K280" s="17"/>
      <c r="L280" s="16"/>
      <c r="M280" s="16"/>
      <c r="N280" s="16"/>
      <c r="O280" s="16"/>
      <c r="P280" s="16"/>
      <c r="U280" s="4"/>
      <c r="V280" s="4"/>
      <c r="W280" s="4"/>
      <c r="X280" s="4"/>
    </row>
    <row r="281">
      <c r="E281" s="23"/>
      <c r="F281" s="17"/>
      <c r="G281" s="17"/>
      <c r="H281" s="17"/>
      <c r="I281" s="17"/>
      <c r="J281" s="17"/>
      <c r="K281" s="17"/>
      <c r="L281" s="16"/>
      <c r="M281" s="16"/>
      <c r="N281" s="16"/>
      <c r="O281" s="16"/>
      <c r="P281" s="16"/>
      <c r="U281" s="4"/>
      <c r="V281" s="4"/>
      <c r="W281" s="4"/>
      <c r="X281" s="4"/>
    </row>
    <row r="282">
      <c r="E282" s="23"/>
      <c r="F282" s="17"/>
      <c r="G282" s="17"/>
      <c r="H282" s="17"/>
      <c r="I282" s="17"/>
      <c r="J282" s="17"/>
      <c r="K282" s="17"/>
      <c r="L282" s="16"/>
      <c r="M282" s="16"/>
      <c r="N282" s="16"/>
      <c r="O282" s="16"/>
      <c r="P282" s="16"/>
      <c r="U282" s="4"/>
      <c r="V282" s="4"/>
      <c r="W282" s="4"/>
      <c r="X282" s="4"/>
    </row>
    <row r="283">
      <c r="E283" s="23"/>
      <c r="F283" s="17"/>
      <c r="G283" s="17"/>
      <c r="H283" s="17"/>
      <c r="I283" s="17"/>
      <c r="J283" s="17"/>
      <c r="K283" s="17"/>
      <c r="L283" s="16"/>
      <c r="M283" s="16"/>
      <c r="N283" s="16"/>
      <c r="O283" s="16"/>
      <c r="P283" s="16"/>
      <c r="U283" s="4"/>
      <c r="V283" s="4"/>
      <c r="W283" s="4"/>
      <c r="X283" s="4"/>
    </row>
    <row r="284">
      <c r="E284" s="23"/>
      <c r="F284" s="17"/>
      <c r="G284" s="17"/>
      <c r="H284" s="17"/>
      <c r="I284" s="17"/>
      <c r="J284" s="17"/>
      <c r="K284" s="17"/>
      <c r="L284" s="16"/>
      <c r="M284" s="16"/>
      <c r="N284" s="16"/>
      <c r="O284" s="16"/>
      <c r="P284" s="16"/>
      <c r="U284" s="4"/>
      <c r="V284" s="4"/>
      <c r="W284" s="4"/>
      <c r="X284" s="4"/>
    </row>
    <row r="285">
      <c r="E285" s="23"/>
      <c r="F285" s="17"/>
      <c r="G285" s="17"/>
      <c r="H285" s="17"/>
      <c r="I285" s="17"/>
      <c r="J285" s="17"/>
      <c r="K285" s="17"/>
      <c r="L285" s="16"/>
      <c r="M285" s="16"/>
      <c r="N285" s="16"/>
      <c r="O285" s="16"/>
      <c r="P285" s="16"/>
      <c r="U285" s="4"/>
      <c r="V285" s="4"/>
      <c r="W285" s="4"/>
      <c r="X285" s="4"/>
    </row>
    <row r="286">
      <c r="E286" s="23"/>
      <c r="F286" s="17"/>
      <c r="G286" s="17"/>
      <c r="H286" s="17"/>
      <c r="I286" s="17"/>
      <c r="J286" s="17"/>
      <c r="K286" s="17"/>
      <c r="L286" s="16"/>
      <c r="M286" s="16"/>
      <c r="N286" s="16"/>
      <c r="O286" s="16"/>
      <c r="P286" s="16"/>
      <c r="U286" s="4"/>
      <c r="V286" s="4"/>
      <c r="W286" s="4"/>
      <c r="X286" s="4"/>
    </row>
    <row r="287">
      <c r="E287" s="23"/>
      <c r="F287" s="17"/>
      <c r="G287" s="17"/>
      <c r="H287" s="17"/>
      <c r="I287" s="17"/>
      <c r="J287" s="17"/>
      <c r="K287" s="17"/>
      <c r="L287" s="16"/>
      <c r="M287" s="16"/>
      <c r="N287" s="16"/>
      <c r="O287" s="16"/>
      <c r="P287" s="16"/>
      <c r="U287" s="4"/>
      <c r="V287" s="4"/>
      <c r="W287" s="4"/>
      <c r="X287" s="4"/>
    </row>
    <row r="288">
      <c r="E288" s="23"/>
      <c r="F288" s="17"/>
      <c r="G288" s="17"/>
      <c r="H288" s="17"/>
      <c r="I288" s="17"/>
      <c r="J288" s="17"/>
      <c r="K288" s="17"/>
      <c r="L288" s="16"/>
      <c r="M288" s="16"/>
      <c r="N288" s="16"/>
      <c r="O288" s="16"/>
      <c r="P288" s="16"/>
      <c r="U288" s="4"/>
      <c r="V288" s="4"/>
      <c r="W288" s="4"/>
      <c r="X288" s="4"/>
    </row>
    <row r="289">
      <c r="E289" s="23"/>
      <c r="F289" s="17"/>
      <c r="G289" s="17"/>
      <c r="H289" s="17"/>
      <c r="I289" s="17"/>
      <c r="J289" s="17"/>
      <c r="K289" s="17"/>
      <c r="L289" s="16"/>
      <c r="M289" s="16"/>
      <c r="N289" s="16"/>
      <c r="O289" s="16"/>
      <c r="P289" s="16"/>
      <c r="U289" s="4"/>
      <c r="V289" s="4"/>
      <c r="W289" s="4"/>
      <c r="X289" s="4"/>
    </row>
    <row r="290">
      <c r="E290" s="23"/>
      <c r="F290" s="17"/>
      <c r="G290" s="17"/>
      <c r="H290" s="17"/>
      <c r="I290" s="17"/>
      <c r="J290" s="17"/>
      <c r="K290" s="17"/>
      <c r="L290" s="16"/>
      <c r="M290" s="16"/>
      <c r="N290" s="16"/>
      <c r="O290" s="16"/>
      <c r="P290" s="16"/>
      <c r="U290" s="4"/>
      <c r="V290" s="4"/>
      <c r="W290" s="4"/>
      <c r="X290" s="4"/>
    </row>
    <row r="291">
      <c r="E291" s="23"/>
      <c r="F291" s="17"/>
      <c r="G291" s="17"/>
      <c r="H291" s="17"/>
      <c r="I291" s="17"/>
      <c r="J291" s="17"/>
      <c r="K291" s="17"/>
      <c r="L291" s="16"/>
      <c r="M291" s="16"/>
      <c r="N291" s="16"/>
      <c r="O291" s="16"/>
      <c r="P291" s="16"/>
      <c r="U291" s="4"/>
      <c r="V291" s="4"/>
      <c r="W291" s="4"/>
      <c r="X291" s="4"/>
    </row>
    <row r="292">
      <c r="E292" s="23"/>
      <c r="F292" s="17"/>
      <c r="G292" s="17"/>
      <c r="H292" s="17"/>
      <c r="I292" s="17"/>
      <c r="J292" s="17"/>
      <c r="K292" s="17"/>
      <c r="L292" s="16"/>
      <c r="M292" s="16"/>
      <c r="N292" s="16"/>
      <c r="O292" s="16"/>
      <c r="P292" s="16"/>
      <c r="U292" s="4"/>
      <c r="V292" s="4"/>
      <c r="W292" s="4"/>
      <c r="X292" s="4"/>
    </row>
    <row r="293">
      <c r="E293" s="23"/>
      <c r="F293" s="17"/>
      <c r="G293" s="17"/>
      <c r="H293" s="17"/>
      <c r="I293" s="17"/>
      <c r="J293" s="17"/>
      <c r="K293" s="17"/>
      <c r="L293" s="16"/>
      <c r="M293" s="16"/>
      <c r="N293" s="16"/>
      <c r="O293" s="16"/>
      <c r="P293" s="16"/>
      <c r="U293" s="4"/>
      <c r="V293" s="4"/>
      <c r="W293" s="4"/>
      <c r="X293" s="4"/>
    </row>
    <row r="294">
      <c r="E294" s="23"/>
      <c r="F294" s="17"/>
      <c r="G294" s="17"/>
      <c r="H294" s="17"/>
      <c r="I294" s="17"/>
      <c r="J294" s="17"/>
      <c r="K294" s="17"/>
      <c r="L294" s="16"/>
      <c r="M294" s="16"/>
      <c r="N294" s="16"/>
      <c r="O294" s="16"/>
      <c r="P294" s="16"/>
      <c r="U294" s="4"/>
      <c r="V294" s="4"/>
      <c r="W294" s="4"/>
      <c r="X294" s="4"/>
    </row>
    <row r="295">
      <c r="E295" s="23"/>
      <c r="F295" s="17"/>
      <c r="G295" s="17"/>
      <c r="H295" s="17"/>
      <c r="I295" s="17"/>
      <c r="J295" s="17"/>
      <c r="K295" s="17"/>
      <c r="L295" s="16"/>
      <c r="M295" s="16"/>
      <c r="N295" s="16"/>
      <c r="O295" s="16"/>
      <c r="P295" s="16"/>
      <c r="U295" s="4"/>
      <c r="V295" s="4"/>
      <c r="W295" s="4"/>
      <c r="X295" s="4"/>
    </row>
    <row r="296">
      <c r="E296" s="23"/>
      <c r="F296" s="17"/>
      <c r="G296" s="17"/>
      <c r="H296" s="17"/>
      <c r="I296" s="17"/>
      <c r="J296" s="17"/>
      <c r="K296" s="17"/>
      <c r="L296" s="16"/>
      <c r="M296" s="16"/>
      <c r="N296" s="16"/>
      <c r="O296" s="16"/>
      <c r="P296" s="16"/>
      <c r="U296" s="4"/>
      <c r="V296" s="4"/>
      <c r="W296" s="4"/>
      <c r="X296" s="4"/>
    </row>
    <row r="297">
      <c r="E297" s="23"/>
      <c r="F297" s="17"/>
      <c r="G297" s="17"/>
      <c r="H297" s="17"/>
      <c r="I297" s="17"/>
      <c r="J297" s="17"/>
      <c r="K297" s="17"/>
      <c r="L297" s="16"/>
      <c r="M297" s="16"/>
      <c r="N297" s="16"/>
      <c r="O297" s="16"/>
      <c r="P297" s="16"/>
      <c r="U297" s="4"/>
      <c r="V297" s="4"/>
      <c r="W297" s="4"/>
      <c r="X297" s="4"/>
    </row>
    <row r="298">
      <c r="E298" s="23"/>
      <c r="F298" s="17"/>
      <c r="G298" s="17"/>
      <c r="H298" s="17"/>
      <c r="I298" s="17"/>
      <c r="J298" s="17"/>
      <c r="K298" s="17"/>
      <c r="L298" s="16"/>
      <c r="M298" s="16"/>
      <c r="N298" s="16"/>
      <c r="O298" s="16"/>
      <c r="P298" s="16"/>
      <c r="U298" s="4"/>
      <c r="V298" s="4"/>
      <c r="W298" s="4"/>
      <c r="X298" s="4"/>
    </row>
    <row r="299">
      <c r="E299" s="23"/>
      <c r="F299" s="17"/>
      <c r="G299" s="17"/>
      <c r="H299" s="17"/>
      <c r="I299" s="17"/>
      <c r="J299" s="17"/>
      <c r="K299" s="17"/>
      <c r="L299" s="16"/>
      <c r="M299" s="16"/>
      <c r="N299" s="16"/>
      <c r="O299" s="16"/>
      <c r="P299" s="16"/>
      <c r="U299" s="4"/>
      <c r="V299" s="4"/>
      <c r="W299" s="4"/>
      <c r="X299" s="4"/>
    </row>
    <row r="300">
      <c r="E300" s="23"/>
      <c r="F300" s="17"/>
      <c r="G300" s="17"/>
      <c r="H300" s="17"/>
      <c r="I300" s="17"/>
      <c r="J300" s="17"/>
      <c r="K300" s="17"/>
      <c r="L300" s="16"/>
      <c r="M300" s="16"/>
      <c r="N300" s="16"/>
      <c r="O300" s="16"/>
      <c r="P300" s="16"/>
      <c r="U300" s="4"/>
      <c r="V300" s="4"/>
      <c r="W300" s="4"/>
      <c r="X300" s="4"/>
    </row>
    <row r="301">
      <c r="E301" s="23"/>
      <c r="F301" s="17"/>
      <c r="G301" s="17"/>
      <c r="H301" s="17"/>
      <c r="I301" s="17"/>
      <c r="J301" s="17"/>
      <c r="K301" s="17"/>
      <c r="L301" s="16"/>
      <c r="M301" s="16"/>
      <c r="N301" s="16"/>
      <c r="O301" s="16"/>
      <c r="P301" s="16"/>
      <c r="U301" s="4"/>
      <c r="V301" s="4"/>
      <c r="W301" s="4"/>
      <c r="X301" s="4"/>
    </row>
    <row r="302">
      <c r="E302" s="23"/>
      <c r="F302" s="17"/>
      <c r="G302" s="17"/>
      <c r="H302" s="17"/>
      <c r="I302" s="17"/>
      <c r="J302" s="17"/>
      <c r="K302" s="17"/>
      <c r="L302" s="16"/>
      <c r="M302" s="16"/>
      <c r="N302" s="16"/>
      <c r="O302" s="16"/>
      <c r="P302" s="16"/>
      <c r="U302" s="4"/>
      <c r="V302" s="4"/>
      <c r="W302" s="4"/>
      <c r="X302" s="4"/>
    </row>
    <row r="303">
      <c r="E303" s="23"/>
      <c r="F303" s="17"/>
      <c r="G303" s="17"/>
      <c r="H303" s="17"/>
      <c r="I303" s="17"/>
      <c r="J303" s="17"/>
      <c r="K303" s="17"/>
      <c r="L303" s="16"/>
      <c r="M303" s="16"/>
      <c r="N303" s="16"/>
      <c r="O303" s="16"/>
      <c r="P303" s="16"/>
      <c r="U303" s="4"/>
      <c r="V303" s="4"/>
      <c r="W303" s="4"/>
      <c r="X303" s="4"/>
    </row>
    <row r="304">
      <c r="E304" s="23"/>
      <c r="F304" s="17"/>
      <c r="G304" s="17"/>
      <c r="H304" s="17"/>
      <c r="I304" s="17"/>
      <c r="J304" s="17"/>
      <c r="K304" s="17"/>
      <c r="L304" s="16"/>
      <c r="M304" s="16"/>
      <c r="N304" s="16"/>
      <c r="O304" s="16"/>
      <c r="P304" s="16"/>
      <c r="U304" s="4"/>
      <c r="V304" s="4"/>
      <c r="W304" s="4"/>
      <c r="X304" s="4"/>
    </row>
    <row r="305">
      <c r="E305" s="23"/>
      <c r="F305" s="17"/>
      <c r="G305" s="17"/>
      <c r="H305" s="17"/>
      <c r="I305" s="17"/>
      <c r="J305" s="17"/>
      <c r="K305" s="17"/>
      <c r="L305" s="16"/>
      <c r="M305" s="16"/>
      <c r="N305" s="16"/>
      <c r="O305" s="16"/>
      <c r="P305" s="16"/>
      <c r="U305" s="4"/>
      <c r="V305" s="4"/>
      <c r="W305" s="4"/>
      <c r="X305" s="4"/>
    </row>
    <row r="306">
      <c r="E306" s="23"/>
      <c r="F306" s="17"/>
      <c r="G306" s="17"/>
      <c r="H306" s="17"/>
      <c r="I306" s="17"/>
      <c r="J306" s="17"/>
      <c r="K306" s="17"/>
      <c r="L306" s="16"/>
      <c r="M306" s="16"/>
      <c r="N306" s="16"/>
      <c r="O306" s="16"/>
      <c r="P306" s="16"/>
      <c r="U306" s="4"/>
      <c r="V306" s="4"/>
      <c r="W306" s="4"/>
      <c r="X306" s="4"/>
    </row>
    <row r="307">
      <c r="E307" s="23"/>
      <c r="F307" s="17"/>
      <c r="G307" s="17"/>
      <c r="H307" s="17"/>
      <c r="I307" s="17"/>
      <c r="J307" s="17"/>
      <c r="K307" s="17"/>
      <c r="L307" s="16"/>
      <c r="M307" s="16"/>
      <c r="N307" s="16"/>
      <c r="O307" s="16"/>
      <c r="P307" s="16"/>
      <c r="U307" s="4"/>
      <c r="V307" s="4"/>
      <c r="W307" s="4"/>
      <c r="X307" s="4"/>
    </row>
    <row r="308">
      <c r="E308" s="23"/>
      <c r="F308" s="17"/>
      <c r="G308" s="17"/>
      <c r="H308" s="17"/>
      <c r="I308" s="17"/>
      <c r="J308" s="17"/>
      <c r="K308" s="17"/>
      <c r="L308" s="16"/>
      <c r="M308" s="16"/>
      <c r="N308" s="16"/>
      <c r="O308" s="16"/>
      <c r="P308" s="16"/>
      <c r="U308" s="4"/>
      <c r="V308" s="4"/>
      <c r="W308" s="4"/>
      <c r="X308" s="4"/>
    </row>
    <row r="309">
      <c r="E309" s="23"/>
      <c r="F309" s="17"/>
      <c r="G309" s="17"/>
      <c r="H309" s="17"/>
      <c r="I309" s="17"/>
      <c r="J309" s="17"/>
      <c r="K309" s="17"/>
      <c r="L309" s="16"/>
      <c r="M309" s="16"/>
      <c r="N309" s="16"/>
      <c r="O309" s="16"/>
      <c r="P309" s="16"/>
      <c r="U309" s="4"/>
      <c r="V309" s="4"/>
      <c r="W309" s="4"/>
      <c r="X309" s="4"/>
    </row>
    <row r="310">
      <c r="E310" s="23"/>
      <c r="F310" s="17"/>
      <c r="G310" s="17"/>
      <c r="H310" s="17"/>
      <c r="I310" s="17"/>
      <c r="J310" s="17"/>
      <c r="K310" s="17"/>
      <c r="L310" s="16"/>
      <c r="M310" s="16"/>
      <c r="N310" s="16"/>
      <c r="O310" s="16"/>
      <c r="P310" s="16"/>
      <c r="U310" s="4"/>
      <c r="V310" s="4"/>
      <c r="W310" s="4"/>
      <c r="X310" s="4"/>
    </row>
    <row r="311">
      <c r="E311" s="23"/>
      <c r="F311" s="17"/>
      <c r="G311" s="17"/>
      <c r="H311" s="17"/>
      <c r="I311" s="17"/>
      <c r="J311" s="17"/>
      <c r="K311" s="17"/>
      <c r="L311" s="16"/>
      <c r="M311" s="16"/>
      <c r="N311" s="16"/>
      <c r="O311" s="16"/>
      <c r="P311" s="16"/>
      <c r="U311" s="4"/>
      <c r="V311" s="4"/>
      <c r="W311" s="4"/>
      <c r="X311" s="4"/>
    </row>
    <row r="312">
      <c r="E312" s="23"/>
      <c r="F312" s="17"/>
      <c r="G312" s="17"/>
      <c r="H312" s="17"/>
      <c r="I312" s="17"/>
      <c r="J312" s="17"/>
      <c r="K312" s="17"/>
      <c r="L312" s="16"/>
      <c r="M312" s="16"/>
      <c r="N312" s="16"/>
      <c r="O312" s="16"/>
      <c r="P312" s="16"/>
      <c r="U312" s="4"/>
      <c r="V312" s="4"/>
      <c r="W312" s="4"/>
      <c r="X312" s="4"/>
    </row>
    <row r="313">
      <c r="E313" s="23"/>
      <c r="F313" s="17"/>
      <c r="G313" s="17"/>
      <c r="H313" s="17"/>
      <c r="I313" s="17"/>
      <c r="J313" s="17"/>
      <c r="K313" s="17"/>
      <c r="L313" s="16"/>
      <c r="M313" s="16"/>
      <c r="N313" s="16"/>
      <c r="O313" s="16"/>
      <c r="P313" s="16"/>
      <c r="U313" s="4"/>
      <c r="V313" s="4"/>
      <c r="W313" s="4"/>
      <c r="X313" s="4"/>
    </row>
    <row r="314">
      <c r="E314" s="23"/>
      <c r="F314" s="17"/>
      <c r="G314" s="17"/>
      <c r="H314" s="17"/>
      <c r="I314" s="17"/>
      <c r="J314" s="17"/>
      <c r="K314" s="17"/>
      <c r="L314" s="16"/>
      <c r="M314" s="16"/>
      <c r="N314" s="16"/>
      <c r="O314" s="16"/>
      <c r="P314" s="16"/>
      <c r="U314" s="4"/>
      <c r="V314" s="4"/>
      <c r="W314" s="4"/>
      <c r="X314" s="4"/>
    </row>
    <row r="315">
      <c r="E315" s="23"/>
      <c r="F315" s="17"/>
      <c r="G315" s="17"/>
      <c r="H315" s="17"/>
      <c r="I315" s="17"/>
      <c r="J315" s="17"/>
      <c r="K315" s="17"/>
      <c r="L315" s="16"/>
      <c r="M315" s="16"/>
      <c r="N315" s="16"/>
      <c r="O315" s="16"/>
      <c r="P315" s="16"/>
      <c r="U315" s="4"/>
      <c r="V315" s="4"/>
      <c r="W315" s="4"/>
      <c r="X315" s="4"/>
    </row>
    <row r="316">
      <c r="E316" s="23"/>
      <c r="F316" s="17"/>
      <c r="G316" s="17"/>
      <c r="H316" s="17"/>
      <c r="I316" s="17"/>
      <c r="J316" s="17"/>
      <c r="K316" s="17"/>
      <c r="L316" s="16"/>
      <c r="M316" s="16"/>
      <c r="N316" s="16"/>
      <c r="O316" s="16"/>
      <c r="P316" s="16"/>
      <c r="U316" s="4"/>
      <c r="V316" s="4"/>
      <c r="W316" s="4"/>
      <c r="X316" s="4"/>
    </row>
    <row r="317">
      <c r="E317" s="23"/>
      <c r="F317" s="17"/>
      <c r="G317" s="17"/>
      <c r="H317" s="17"/>
      <c r="I317" s="17"/>
      <c r="J317" s="17"/>
      <c r="K317" s="17"/>
      <c r="L317" s="16"/>
      <c r="M317" s="16"/>
      <c r="N317" s="16"/>
      <c r="O317" s="16"/>
      <c r="P317" s="16"/>
      <c r="U317" s="4"/>
      <c r="V317" s="4"/>
      <c r="W317" s="4"/>
      <c r="X317" s="4"/>
    </row>
    <row r="318">
      <c r="E318" s="23"/>
      <c r="F318" s="17"/>
      <c r="G318" s="17"/>
      <c r="H318" s="17"/>
      <c r="I318" s="17"/>
      <c r="J318" s="17"/>
      <c r="K318" s="17"/>
      <c r="L318" s="16"/>
      <c r="M318" s="16"/>
      <c r="N318" s="16"/>
      <c r="O318" s="16"/>
      <c r="P318" s="16"/>
      <c r="U318" s="4"/>
      <c r="V318" s="4"/>
      <c r="W318" s="4"/>
      <c r="X318" s="4"/>
    </row>
    <row r="319">
      <c r="E319" s="23"/>
      <c r="F319" s="17"/>
      <c r="G319" s="17"/>
      <c r="H319" s="17"/>
      <c r="I319" s="17"/>
      <c r="J319" s="17"/>
      <c r="K319" s="17"/>
      <c r="L319" s="16"/>
      <c r="M319" s="16"/>
      <c r="N319" s="16"/>
      <c r="O319" s="16"/>
      <c r="P319" s="16"/>
      <c r="U319" s="4"/>
      <c r="V319" s="4"/>
      <c r="W319" s="4"/>
      <c r="X319" s="4"/>
    </row>
    <row r="320">
      <c r="E320" s="23"/>
      <c r="F320" s="17"/>
      <c r="G320" s="17"/>
      <c r="H320" s="17"/>
      <c r="I320" s="17"/>
      <c r="J320" s="17"/>
      <c r="K320" s="17"/>
      <c r="L320" s="16"/>
      <c r="M320" s="16"/>
      <c r="N320" s="16"/>
      <c r="O320" s="16"/>
      <c r="P320" s="16"/>
      <c r="U320" s="4"/>
      <c r="V320" s="4"/>
      <c r="W320" s="4"/>
      <c r="X320" s="4"/>
    </row>
    <row r="321">
      <c r="E321" s="23"/>
      <c r="F321" s="17"/>
      <c r="G321" s="17"/>
      <c r="H321" s="17"/>
      <c r="I321" s="17"/>
      <c r="J321" s="17"/>
      <c r="K321" s="17"/>
      <c r="L321" s="16"/>
      <c r="M321" s="16"/>
      <c r="N321" s="16"/>
      <c r="O321" s="16"/>
      <c r="P321" s="16"/>
      <c r="U321" s="4"/>
      <c r="V321" s="4"/>
      <c r="W321" s="4"/>
      <c r="X321" s="4"/>
    </row>
    <row r="322">
      <c r="E322" s="23"/>
      <c r="F322" s="17"/>
      <c r="G322" s="17"/>
      <c r="H322" s="17"/>
      <c r="I322" s="17"/>
      <c r="J322" s="17"/>
      <c r="K322" s="17"/>
      <c r="L322" s="16"/>
      <c r="M322" s="16"/>
      <c r="N322" s="16"/>
      <c r="O322" s="16"/>
      <c r="P322" s="16"/>
      <c r="U322" s="4"/>
      <c r="V322" s="4"/>
      <c r="W322" s="4"/>
      <c r="X322" s="4"/>
    </row>
    <row r="323">
      <c r="E323" s="23"/>
      <c r="F323" s="17"/>
      <c r="G323" s="17"/>
      <c r="H323" s="17"/>
      <c r="I323" s="17"/>
      <c r="J323" s="17"/>
      <c r="K323" s="17"/>
      <c r="L323" s="16"/>
      <c r="M323" s="16"/>
      <c r="N323" s="16"/>
      <c r="O323" s="16"/>
      <c r="P323" s="16"/>
      <c r="U323" s="4"/>
      <c r="V323" s="4"/>
      <c r="W323" s="4"/>
      <c r="X323" s="4"/>
    </row>
    <row r="324">
      <c r="E324" s="23"/>
      <c r="F324" s="17"/>
      <c r="G324" s="17"/>
      <c r="H324" s="17"/>
      <c r="I324" s="17"/>
      <c r="J324" s="17"/>
      <c r="K324" s="17"/>
      <c r="L324" s="16"/>
      <c r="M324" s="16"/>
      <c r="N324" s="16"/>
      <c r="O324" s="16"/>
      <c r="P324" s="16"/>
      <c r="U324" s="4"/>
      <c r="V324" s="4"/>
      <c r="W324" s="4"/>
      <c r="X324" s="4"/>
    </row>
    <row r="325">
      <c r="E325" s="23"/>
      <c r="F325" s="17"/>
      <c r="G325" s="17"/>
      <c r="H325" s="17"/>
      <c r="I325" s="17"/>
      <c r="J325" s="17"/>
      <c r="K325" s="17"/>
      <c r="L325" s="16"/>
      <c r="M325" s="16"/>
      <c r="N325" s="16"/>
      <c r="O325" s="16"/>
      <c r="P325" s="16"/>
      <c r="U325" s="4"/>
      <c r="V325" s="4"/>
      <c r="W325" s="4"/>
      <c r="X325" s="4"/>
    </row>
    <row r="326">
      <c r="E326" s="23"/>
      <c r="F326" s="17"/>
      <c r="G326" s="17"/>
      <c r="H326" s="17"/>
      <c r="I326" s="17"/>
      <c r="J326" s="17"/>
      <c r="K326" s="17"/>
      <c r="L326" s="16"/>
      <c r="M326" s="16"/>
      <c r="N326" s="16"/>
      <c r="O326" s="16"/>
      <c r="P326" s="16"/>
      <c r="U326" s="4"/>
      <c r="V326" s="4"/>
      <c r="W326" s="4"/>
      <c r="X326" s="4"/>
    </row>
    <row r="327">
      <c r="E327" s="23"/>
      <c r="F327" s="17"/>
      <c r="G327" s="17"/>
      <c r="H327" s="17"/>
      <c r="I327" s="17"/>
      <c r="J327" s="17"/>
      <c r="K327" s="17"/>
      <c r="L327" s="16"/>
      <c r="M327" s="16"/>
      <c r="N327" s="16"/>
      <c r="O327" s="16"/>
      <c r="P327" s="16"/>
      <c r="U327" s="4"/>
      <c r="V327" s="4"/>
      <c r="W327" s="4"/>
      <c r="X327" s="4"/>
    </row>
    <row r="328">
      <c r="E328" s="23"/>
      <c r="F328" s="17"/>
      <c r="G328" s="17"/>
      <c r="H328" s="17"/>
      <c r="I328" s="17"/>
      <c r="J328" s="17"/>
      <c r="K328" s="17"/>
      <c r="L328" s="16"/>
      <c r="M328" s="16"/>
      <c r="N328" s="16"/>
      <c r="O328" s="16"/>
      <c r="P328" s="16"/>
      <c r="U328" s="4"/>
      <c r="V328" s="4"/>
      <c r="W328" s="4"/>
      <c r="X328" s="4"/>
    </row>
    <row r="329">
      <c r="E329" s="23"/>
      <c r="F329" s="17"/>
      <c r="G329" s="17"/>
      <c r="H329" s="17"/>
      <c r="I329" s="17"/>
      <c r="J329" s="17"/>
      <c r="K329" s="17"/>
      <c r="L329" s="16"/>
      <c r="M329" s="16"/>
      <c r="N329" s="16"/>
      <c r="O329" s="16"/>
      <c r="P329" s="16"/>
      <c r="U329" s="4"/>
      <c r="V329" s="4"/>
      <c r="W329" s="4"/>
      <c r="X329" s="4"/>
    </row>
    <row r="330">
      <c r="E330" s="23"/>
      <c r="F330" s="17"/>
      <c r="G330" s="17"/>
      <c r="H330" s="17"/>
      <c r="I330" s="17"/>
      <c r="J330" s="17"/>
      <c r="K330" s="17"/>
      <c r="L330" s="16"/>
      <c r="M330" s="16"/>
      <c r="N330" s="16"/>
      <c r="O330" s="16"/>
      <c r="P330" s="16"/>
      <c r="U330" s="4"/>
      <c r="V330" s="4"/>
      <c r="W330" s="4"/>
      <c r="X330" s="4"/>
    </row>
    <row r="331">
      <c r="E331" s="23"/>
      <c r="F331" s="17"/>
      <c r="G331" s="17"/>
      <c r="H331" s="17"/>
      <c r="I331" s="17"/>
      <c r="J331" s="17"/>
      <c r="K331" s="17"/>
      <c r="L331" s="16"/>
      <c r="M331" s="16"/>
      <c r="N331" s="16"/>
      <c r="O331" s="16"/>
      <c r="P331" s="16"/>
      <c r="U331" s="4"/>
      <c r="V331" s="4"/>
      <c r="W331" s="4"/>
      <c r="X331" s="4"/>
    </row>
    <row r="332">
      <c r="E332" s="23"/>
      <c r="F332" s="17"/>
      <c r="G332" s="17"/>
      <c r="H332" s="17"/>
      <c r="I332" s="17"/>
      <c r="J332" s="17"/>
      <c r="K332" s="17"/>
      <c r="L332" s="16"/>
      <c r="M332" s="16"/>
      <c r="N332" s="16"/>
      <c r="O332" s="16"/>
      <c r="P332" s="16"/>
      <c r="U332" s="4"/>
      <c r="V332" s="4"/>
      <c r="W332" s="4"/>
      <c r="X332" s="4"/>
    </row>
    <row r="333">
      <c r="E333" s="23"/>
      <c r="F333" s="17"/>
      <c r="G333" s="17"/>
      <c r="H333" s="17"/>
      <c r="I333" s="17"/>
      <c r="J333" s="17"/>
      <c r="K333" s="17"/>
      <c r="L333" s="16"/>
      <c r="M333" s="16"/>
      <c r="N333" s="16"/>
      <c r="O333" s="16"/>
      <c r="P333" s="16"/>
      <c r="U333" s="4"/>
      <c r="V333" s="4"/>
      <c r="W333" s="4"/>
      <c r="X333" s="4"/>
    </row>
    <row r="334">
      <c r="E334" s="23"/>
      <c r="F334" s="17"/>
      <c r="G334" s="17"/>
      <c r="H334" s="17"/>
      <c r="I334" s="17"/>
      <c r="J334" s="17"/>
      <c r="K334" s="17"/>
      <c r="L334" s="16"/>
      <c r="M334" s="16"/>
      <c r="N334" s="16"/>
      <c r="O334" s="16"/>
      <c r="P334" s="16"/>
      <c r="U334" s="4"/>
      <c r="V334" s="4"/>
      <c r="W334" s="4"/>
      <c r="X334" s="4"/>
    </row>
    <row r="335">
      <c r="E335" s="23"/>
      <c r="F335" s="17"/>
      <c r="G335" s="17"/>
      <c r="H335" s="17"/>
      <c r="I335" s="17"/>
      <c r="J335" s="17"/>
      <c r="K335" s="17"/>
      <c r="L335" s="16"/>
      <c r="M335" s="16"/>
      <c r="N335" s="16"/>
      <c r="O335" s="16"/>
      <c r="P335" s="16"/>
      <c r="U335" s="4"/>
      <c r="V335" s="4"/>
      <c r="W335" s="4"/>
      <c r="X335" s="4"/>
    </row>
    <row r="336">
      <c r="E336" s="23"/>
      <c r="F336" s="17"/>
      <c r="G336" s="17"/>
      <c r="H336" s="17"/>
      <c r="I336" s="17"/>
      <c r="J336" s="17"/>
      <c r="K336" s="17"/>
      <c r="L336" s="16"/>
      <c r="M336" s="16"/>
      <c r="N336" s="16"/>
      <c r="O336" s="16"/>
      <c r="P336" s="16"/>
      <c r="U336" s="4"/>
      <c r="V336" s="4"/>
      <c r="W336" s="4"/>
      <c r="X336" s="4"/>
    </row>
    <row r="337">
      <c r="E337" s="23"/>
      <c r="F337" s="17"/>
      <c r="G337" s="17"/>
      <c r="H337" s="17"/>
      <c r="I337" s="17"/>
      <c r="J337" s="17"/>
      <c r="K337" s="17"/>
      <c r="L337" s="16"/>
      <c r="M337" s="16"/>
      <c r="N337" s="16"/>
      <c r="O337" s="16"/>
      <c r="P337" s="16"/>
      <c r="U337" s="4"/>
      <c r="V337" s="4"/>
      <c r="W337" s="4"/>
      <c r="X337" s="4"/>
    </row>
    <row r="338">
      <c r="E338" s="23"/>
      <c r="F338" s="17"/>
      <c r="G338" s="17"/>
      <c r="H338" s="17"/>
      <c r="I338" s="17"/>
      <c r="J338" s="17"/>
      <c r="K338" s="17"/>
      <c r="L338" s="16"/>
      <c r="M338" s="16"/>
      <c r="N338" s="16"/>
      <c r="O338" s="16"/>
      <c r="P338" s="16"/>
      <c r="U338" s="4"/>
      <c r="V338" s="4"/>
      <c r="W338" s="4"/>
      <c r="X338" s="4"/>
    </row>
    <row r="339">
      <c r="E339" s="23"/>
      <c r="F339" s="17"/>
      <c r="G339" s="17"/>
      <c r="H339" s="17"/>
      <c r="I339" s="17"/>
      <c r="J339" s="17"/>
      <c r="K339" s="17"/>
      <c r="L339" s="16"/>
      <c r="M339" s="16"/>
      <c r="N339" s="16"/>
      <c r="O339" s="16"/>
      <c r="P339" s="16"/>
      <c r="U339" s="4"/>
      <c r="V339" s="4"/>
      <c r="W339" s="4"/>
      <c r="X339" s="4"/>
    </row>
    <row r="340">
      <c r="E340" s="23"/>
      <c r="F340" s="17"/>
      <c r="G340" s="17"/>
      <c r="H340" s="17"/>
      <c r="I340" s="17"/>
      <c r="J340" s="17"/>
      <c r="K340" s="17"/>
      <c r="L340" s="16"/>
      <c r="M340" s="16"/>
      <c r="N340" s="16"/>
      <c r="O340" s="16"/>
      <c r="P340" s="16"/>
      <c r="U340" s="4"/>
      <c r="V340" s="4"/>
      <c r="W340" s="4"/>
      <c r="X340" s="4"/>
    </row>
    <row r="341">
      <c r="E341" s="23"/>
      <c r="F341" s="17"/>
      <c r="G341" s="17"/>
      <c r="H341" s="17"/>
      <c r="I341" s="17"/>
      <c r="J341" s="17"/>
      <c r="K341" s="17"/>
      <c r="L341" s="16"/>
      <c r="M341" s="16"/>
      <c r="N341" s="16"/>
      <c r="O341" s="16"/>
      <c r="P341" s="16"/>
      <c r="U341" s="4"/>
      <c r="V341" s="4"/>
      <c r="W341" s="4"/>
      <c r="X341" s="4"/>
    </row>
    <row r="342">
      <c r="E342" s="23"/>
      <c r="F342" s="17"/>
      <c r="G342" s="17"/>
      <c r="H342" s="17"/>
      <c r="I342" s="17"/>
      <c r="J342" s="17"/>
      <c r="K342" s="17"/>
      <c r="L342" s="16"/>
      <c r="M342" s="16"/>
      <c r="N342" s="16"/>
      <c r="O342" s="16"/>
      <c r="P342" s="16"/>
      <c r="U342" s="4"/>
      <c r="V342" s="4"/>
      <c r="W342" s="4"/>
      <c r="X342" s="4"/>
    </row>
    <row r="343">
      <c r="E343" s="23"/>
      <c r="F343" s="17"/>
      <c r="G343" s="17"/>
      <c r="H343" s="17"/>
      <c r="I343" s="17"/>
      <c r="J343" s="17"/>
      <c r="K343" s="17"/>
      <c r="L343" s="16"/>
      <c r="M343" s="16"/>
      <c r="N343" s="16"/>
      <c r="O343" s="16"/>
      <c r="P343" s="16"/>
      <c r="U343" s="4"/>
      <c r="V343" s="4"/>
      <c r="W343" s="4"/>
      <c r="X343" s="4"/>
    </row>
    <row r="344">
      <c r="E344" s="23"/>
      <c r="F344" s="17"/>
      <c r="G344" s="17"/>
      <c r="H344" s="17"/>
      <c r="I344" s="17"/>
      <c r="J344" s="17"/>
      <c r="K344" s="17"/>
      <c r="L344" s="16"/>
      <c r="M344" s="16"/>
      <c r="N344" s="16"/>
      <c r="O344" s="16"/>
      <c r="P344" s="16"/>
      <c r="U344" s="4"/>
      <c r="V344" s="4"/>
      <c r="W344" s="4"/>
      <c r="X344" s="4"/>
    </row>
    <row r="345">
      <c r="E345" s="23"/>
      <c r="F345" s="17"/>
      <c r="G345" s="17"/>
      <c r="H345" s="17"/>
      <c r="I345" s="17"/>
      <c r="J345" s="17"/>
      <c r="K345" s="17"/>
      <c r="L345" s="16"/>
      <c r="M345" s="16"/>
      <c r="N345" s="16"/>
      <c r="O345" s="16"/>
      <c r="P345" s="16"/>
      <c r="U345" s="4"/>
      <c r="V345" s="4"/>
      <c r="W345" s="4"/>
      <c r="X345" s="4"/>
    </row>
    <row r="346">
      <c r="E346" s="23"/>
      <c r="F346" s="17"/>
      <c r="G346" s="17"/>
      <c r="H346" s="17"/>
      <c r="I346" s="17"/>
      <c r="J346" s="17"/>
      <c r="K346" s="17"/>
      <c r="L346" s="16"/>
      <c r="M346" s="16"/>
      <c r="N346" s="16"/>
      <c r="O346" s="16"/>
      <c r="P346" s="16"/>
      <c r="U346" s="4"/>
      <c r="V346" s="4"/>
      <c r="W346" s="4"/>
      <c r="X346" s="4"/>
    </row>
    <row r="347">
      <c r="E347" s="23"/>
      <c r="F347" s="17"/>
      <c r="G347" s="17"/>
      <c r="H347" s="17"/>
      <c r="I347" s="17"/>
      <c r="J347" s="17"/>
      <c r="K347" s="17"/>
      <c r="L347" s="16"/>
      <c r="M347" s="16"/>
      <c r="N347" s="16"/>
      <c r="O347" s="16"/>
      <c r="P347" s="16"/>
      <c r="U347" s="4"/>
      <c r="V347" s="4"/>
      <c r="W347" s="4"/>
      <c r="X347" s="4"/>
    </row>
    <row r="348">
      <c r="E348" s="23"/>
      <c r="F348" s="17"/>
      <c r="G348" s="17"/>
      <c r="H348" s="17"/>
      <c r="I348" s="17"/>
      <c r="J348" s="17"/>
      <c r="K348" s="17"/>
      <c r="L348" s="16"/>
      <c r="M348" s="16"/>
      <c r="N348" s="16"/>
      <c r="O348" s="16"/>
      <c r="P348" s="16"/>
      <c r="U348" s="4"/>
      <c r="V348" s="4"/>
      <c r="W348" s="4"/>
      <c r="X348" s="4"/>
    </row>
    <row r="349">
      <c r="E349" s="23"/>
      <c r="F349" s="17"/>
      <c r="G349" s="17"/>
      <c r="H349" s="17"/>
      <c r="I349" s="17"/>
      <c r="J349" s="17"/>
      <c r="K349" s="17"/>
      <c r="L349" s="16"/>
      <c r="M349" s="16"/>
      <c r="N349" s="16"/>
      <c r="O349" s="16"/>
      <c r="P349" s="16"/>
      <c r="U349" s="4"/>
      <c r="V349" s="4"/>
      <c r="W349" s="4"/>
      <c r="X349" s="4"/>
    </row>
    <row r="350">
      <c r="E350" s="23"/>
      <c r="F350" s="17"/>
      <c r="G350" s="17"/>
      <c r="H350" s="17"/>
      <c r="I350" s="17"/>
      <c r="J350" s="17"/>
      <c r="K350" s="17"/>
      <c r="L350" s="16"/>
      <c r="M350" s="16"/>
      <c r="N350" s="16"/>
      <c r="O350" s="16"/>
      <c r="P350" s="16"/>
      <c r="U350" s="4"/>
      <c r="V350" s="4"/>
      <c r="W350" s="4"/>
      <c r="X350" s="4"/>
    </row>
    <row r="351">
      <c r="E351" s="23"/>
      <c r="F351" s="17"/>
      <c r="G351" s="17"/>
      <c r="H351" s="17"/>
      <c r="I351" s="17"/>
      <c r="J351" s="17"/>
      <c r="K351" s="17"/>
      <c r="L351" s="16"/>
      <c r="M351" s="16"/>
      <c r="N351" s="16"/>
      <c r="O351" s="16"/>
      <c r="P351" s="16"/>
      <c r="U351" s="4"/>
      <c r="V351" s="4"/>
      <c r="W351" s="4"/>
      <c r="X351" s="4"/>
    </row>
    <row r="352">
      <c r="E352" s="23"/>
      <c r="F352" s="17"/>
      <c r="G352" s="17"/>
      <c r="H352" s="17"/>
      <c r="I352" s="17"/>
      <c r="J352" s="17"/>
      <c r="K352" s="17"/>
      <c r="L352" s="16"/>
      <c r="M352" s="16"/>
      <c r="N352" s="16"/>
      <c r="O352" s="16"/>
      <c r="P352" s="16"/>
      <c r="U352" s="4"/>
      <c r="V352" s="4"/>
      <c r="W352" s="4"/>
      <c r="X352" s="4"/>
    </row>
    <row r="353">
      <c r="E353" s="23"/>
      <c r="F353" s="17"/>
      <c r="G353" s="17"/>
      <c r="H353" s="17"/>
      <c r="I353" s="17"/>
      <c r="J353" s="17"/>
      <c r="K353" s="17"/>
      <c r="L353" s="16"/>
      <c r="M353" s="16"/>
      <c r="N353" s="16"/>
      <c r="O353" s="16"/>
      <c r="P353" s="16"/>
      <c r="U353" s="4"/>
      <c r="V353" s="4"/>
      <c r="W353" s="4"/>
      <c r="X353" s="4"/>
    </row>
    <row r="354">
      <c r="E354" s="23"/>
      <c r="F354" s="17"/>
      <c r="G354" s="17"/>
      <c r="H354" s="17"/>
      <c r="I354" s="17"/>
      <c r="J354" s="17"/>
      <c r="K354" s="17"/>
      <c r="L354" s="16"/>
      <c r="M354" s="16"/>
      <c r="N354" s="16"/>
      <c r="O354" s="16"/>
      <c r="P354" s="16"/>
      <c r="U354" s="4"/>
      <c r="V354" s="4"/>
      <c r="W354" s="4"/>
      <c r="X354" s="4"/>
    </row>
    <row r="355">
      <c r="E355" s="23"/>
      <c r="F355" s="17"/>
      <c r="G355" s="17"/>
      <c r="H355" s="17"/>
      <c r="I355" s="17"/>
      <c r="J355" s="17"/>
      <c r="K355" s="17"/>
      <c r="L355" s="16"/>
      <c r="M355" s="16"/>
      <c r="N355" s="16"/>
      <c r="O355" s="16"/>
      <c r="P355" s="16"/>
      <c r="U355" s="4"/>
      <c r="V355" s="4"/>
      <c r="W355" s="4"/>
      <c r="X355" s="4"/>
    </row>
    <row r="356">
      <c r="E356" s="23"/>
      <c r="F356" s="17"/>
      <c r="G356" s="17"/>
      <c r="H356" s="17"/>
      <c r="I356" s="17"/>
      <c r="J356" s="17"/>
      <c r="K356" s="17"/>
      <c r="L356" s="16"/>
      <c r="M356" s="16"/>
      <c r="N356" s="16"/>
      <c r="O356" s="16"/>
      <c r="P356" s="16"/>
      <c r="U356" s="4"/>
      <c r="V356" s="4"/>
      <c r="W356" s="4"/>
      <c r="X356" s="4"/>
    </row>
    <row r="357">
      <c r="E357" s="23"/>
      <c r="F357" s="17"/>
      <c r="G357" s="17"/>
      <c r="H357" s="17"/>
      <c r="I357" s="17"/>
      <c r="J357" s="17"/>
      <c r="K357" s="17"/>
      <c r="L357" s="16"/>
      <c r="M357" s="16"/>
      <c r="N357" s="16"/>
      <c r="O357" s="16"/>
      <c r="P357" s="16"/>
      <c r="U357" s="4"/>
      <c r="V357" s="4"/>
      <c r="W357" s="4"/>
      <c r="X357" s="4"/>
    </row>
    <row r="358">
      <c r="E358" s="23"/>
      <c r="F358" s="17"/>
      <c r="G358" s="17"/>
      <c r="H358" s="17"/>
      <c r="I358" s="17"/>
      <c r="J358" s="17"/>
      <c r="K358" s="17"/>
      <c r="L358" s="16"/>
      <c r="M358" s="16"/>
      <c r="N358" s="16"/>
      <c r="O358" s="16"/>
      <c r="P358" s="16"/>
      <c r="U358" s="4"/>
      <c r="V358" s="4"/>
      <c r="W358" s="4"/>
      <c r="X358" s="4"/>
    </row>
    <row r="359">
      <c r="E359" s="23"/>
      <c r="F359" s="17"/>
      <c r="G359" s="17"/>
      <c r="H359" s="17"/>
      <c r="I359" s="17"/>
      <c r="J359" s="17"/>
      <c r="K359" s="17"/>
      <c r="L359" s="16"/>
      <c r="M359" s="16"/>
      <c r="N359" s="16"/>
      <c r="O359" s="16"/>
      <c r="P359" s="16"/>
      <c r="U359" s="4"/>
      <c r="V359" s="4"/>
      <c r="W359" s="4"/>
      <c r="X359" s="4"/>
    </row>
    <row r="360">
      <c r="E360" s="23"/>
      <c r="F360" s="17"/>
      <c r="G360" s="17"/>
      <c r="H360" s="17"/>
      <c r="I360" s="17"/>
      <c r="J360" s="17"/>
      <c r="K360" s="17"/>
      <c r="L360" s="16"/>
      <c r="M360" s="16"/>
      <c r="N360" s="16"/>
      <c r="O360" s="16"/>
      <c r="P360" s="16"/>
      <c r="U360" s="4"/>
      <c r="V360" s="4"/>
      <c r="W360" s="4"/>
      <c r="X360" s="4"/>
    </row>
    <row r="361">
      <c r="E361" s="23"/>
      <c r="F361" s="17"/>
      <c r="G361" s="17"/>
      <c r="H361" s="17"/>
      <c r="I361" s="17"/>
      <c r="J361" s="17"/>
      <c r="K361" s="17"/>
      <c r="L361" s="16"/>
      <c r="M361" s="16"/>
      <c r="N361" s="16"/>
      <c r="O361" s="16"/>
      <c r="P361" s="16"/>
      <c r="U361" s="4"/>
      <c r="V361" s="4"/>
      <c r="W361" s="4"/>
      <c r="X361" s="4"/>
    </row>
    <row r="362">
      <c r="E362" s="23"/>
      <c r="F362" s="17"/>
      <c r="G362" s="17"/>
      <c r="H362" s="17"/>
      <c r="I362" s="17"/>
      <c r="J362" s="17"/>
      <c r="K362" s="17"/>
      <c r="L362" s="16"/>
      <c r="M362" s="16"/>
      <c r="N362" s="16"/>
      <c r="O362" s="16"/>
      <c r="P362" s="16"/>
      <c r="U362" s="4"/>
      <c r="V362" s="4"/>
      <c r="W362" s="4"/>
      <c r="X362" s="4"/>
    </row>
    <row r="363">
      <c r="E363" s="23"/>
      <c r="F363" s="17"/>
      <c r="G363" s="17"/>
      <c r="H363" s="17"/>
      <c r="I363" s="17"/>
      <c r="J363" s="17"/>
      <c r="K363" s="17"/>
      <c r="L363" s="16"/>
      <c r="M363" s="16"/>
      <c r="N363" s="16"/>
      <c r="O363" s="16"/>
      <c r="P363" s="16"/>
      <c r="U363" s="4"/>
      <c r="V363" s="4"/>
      <c r="W363" s="4"/>
      <c r="X363" s="4"/>
    </row>
    <row r="364">
      <c r="E364" s="23"/>
      <c r="F364" s="17"/>
      <c r="G364" s="17"/>
      <c r="H364" s="17"/>
      <c r="I364" s="17"/>
      <c r="J364" s="17"/>
      <c r="K364" s="17"/>
      <c r="L364" s="16"/>
      <c r="M364" s="16"/>
      <c r="N364" s="16"/>
      <c r="O364" s="16"/>
      <c r="P364" s="16"/>
      <c r="U364" s="4"/>
      <c r="V364" s="4"/>
      <c r="W364" s="4"/>
      <c r="X364" s="4"/>
    </row>
    <row r="365">
      <c r="E365" s="23"/>
      <c r="F365" s="17"/>
      <c r="G365" s="17"/>
      <c r="H365" s="17"/>
      <c r="I365" s="17"/>
      <c r="J365" s="17"/>
      <c r="K365" s="17"/>
      <c r="L365" s="16"/>
      <c r="M365" s="16"/>
      <c r="N365" s="16"/>
      <c r="O365" s="16"/>
      <c r="P365" s="16"/>
      <c r="U365" s="4"/>
      <c r="V365" s="4"/>
      <c r="W365" s="4"/>
      <c r="X365" s="4"/>
    </row>
    <row r="366">
      <c r="E366" s="23"/>
      <c r="F366" s="17"/>
      <c r="G366" s="17"/>
      <c r="H366" s="17"/>
      <c r="I366" s="17"/>
      <c r="J366" s="17"/>
      <c r="K366" s="17"/>
      <c r="L366" s="16"/>
      <c r="M366" s="16"/>
      <c r="N366" s="16"/>
      <c r="O366" s="16"/>
      <c r="P366" s="16"/>
      <c r="U366" s="4"/>
      <c r="V366" s="4"/>
      <c r="W366" s="4"/>
      <c r="X366" s="4"/>
    </row>
    <row r="367">
      <c r="E367" s="23"/>
      <c r="F367" s="17"/>
      <c r="G367" s="17"/>
      <c r="H367" s="17"/>
      <c r="I367" s="17"/>
      <c r="J367" s="17"/>
      <c r="K367" s="17"/>
      <c r="L367" s="16"/>
      <c r="M367" s="16"/>
      <c r="N367" s="16"/>
      <c r="O367" s="16"/>
      <c r="P367" s="16"/>
      <c r="U367" s="4"/>
      <c r="V367" s="4"/>
      <c r="W367" s="4"/>
      <c r="X367" s="4"/>
    </row>
    <row r="368">
      <c r="E368" s="23"/>
      <c r="F368" s="17"/>
      <c r="G368" s="17"/>
      <c r="H368" s="17"/>
      <c r="I368" s="17"/>
      <c r="J368" s="17"/>
      <c r="K368" s="17"/>
      <c r="L368" s="16"/>
      <c r="M368" s="16"/>
      <c r="N368" s="16"/>
      <c r="O368" s="16"/>
      <c r="P368" s="16"/>
      <c r="U368" s="4"/>
      <c r="V368" s="4"/>
      <c r="W368" s="4"/>
      <c r="X368" s="4"/>
    </row>
    <row r="369">
      <c r="E369" s="23"/>
      <c r="F369" s="17"/>
      <c r="G369" s="17"/>
      <c r="H369" s="17"/>
      <c r="I369" s="17"/>
      <c r="J369" s="17"/>
      <c r="K369" s="17"/>
      <c r="L369" s="16"/>
      <c r="M369" s="16"/>
      <c r="N369" s="16"/>
      <c r="O369" s="16"/>
      <c r="P369" s="16"/>
      <c r="U369" s="4"/>
      <c r="V369" s="4"/>
      <c r="W369" s="4"/>
      <c r="X369" s="4"/>
    </row>
    <row r="370">
      <c r="E370" s="23"/>
      <c r="F370" s="17"/>
      <c r="G370" s="17"/>
      <c r="H370" s="17"/>
      <c r="I370" s="17"/>
      <c r="J370" s="17"/>
      <c r="K370" s="17"/>
      <c r="L370" s="16"/>
      <c r="M370" s="16"/>
      <c r="N370" s="16"/>
      <c r="O370" s="16"/>
      <c r="P370" s="16"/>
      <c r="U370" s="4"/>
      <c r="V370" s="4"/>
      <c r="W370" s="4"/>
      <c r="X370" s="4"/>
    </row>
    <row r="371">
      <c r="E371" s="23"/>
      <c r="F371" s="17"/>
      <c r="G371" s="17"/>
      <c r="H371" s="17"/>
      <c r="I371" s="17"/>
      <c r="J371" s="17"/>
      <c r="K371" s="17"/>
      <c r="L371" s="16"/>
      <c r="M371" s="16"/>
      <c r="N371" s="16"/>
      <c r="O371" s="16"/>
      <c r="P371" s="16"/>
      <c r="U371" s="4"/>
      <c r="V371" s="4"/>
      <c r="W371" s="4"/>
      <c r="X371" s="4"/>
    </row>
    <row r="372">
      <c r="E372" s="23"/>
      <c r="F372" s="17"/>
      <c r="G372" s="17"/>
      <c r="H372" s="17"/>
      <c r="I372" s="17"/>
      <c r="J372" s="17"/>
      <c r="K372" s="17"/>
      <c r="L372" s="16"/>
      <c r="M372" s="16"/>
      <c r="N372" s="16"/>
      <c r="O372" s="16"/>
      <c r="P372" s="16"/>
      <c r="U372" s="4"/>
      <c r="V372" s="4"/>
      <c r="W372" s="4"/>
      <c r="X372" s="4"/>
    </row>
    <row r="373">
      <c r="E373" s="23"/>
      <c r="F373" s="17"/>
      <c r="G373" s="17"/>
      <c r="H373" s="17"/>
      <c r="I373" s="17"/>
      <c r="J373" s="17"/>
      <c r="K373" s="17"/>
      <c r="L373" s="16"/>
      <c r="M373" s="16"/>
      <c r="N373" s="16"/>
      <c r="O373" s="16"/>
      <c r="P373" s="16"/>
      <c r="U373" s="4"/>
      <c r="V373" s="4"/>
      <c r="W373" s="4"/>
      <c r="X373" s="4"/>
    </row>
    <row r="374">
      <c r="E374" s="23"/>
      <c r="F374" s="17"/>
      <c r="G374" s="17"/>
      <c r="H374" s="17"/>
      <c r="I374" s="17"/>
      <c r="J374" s="17"/>
      <c r="K374" s="17"/>
      <c r="L374" s="16"/>
      <c r="M374" s="16"/>
      <c r="N374" s="16"/>
      <c r="O374" s="16"/>
      <c r="P374" s="16"/>
      <c r="U374" s="4"/>
      <c r="V374" s="4"/>
      <c r="W374" s="4"/>
      <c r="X374" s="4"/>
    </row>
    <row r="375">
      <c r="E375" s="23"/>
      <c r="F375" s="17"/>
      <c r="G375" s="17"/>
      <c r="H375" s="17"/>
      <c r="I375" s="17"/>
      <c r="J375" s="17"/>
      <c r="K375" s="17"/>
      <c r="L375" s="16"/>
      <c r="M375" s="16"/>
      <c r="N375" s="16"/>
      <c r="O375" s="16"/>
      <c r="P375" s="16"/>
      <c r="U375" s="4"/>
      <c r="V375" s="4"/>
      <c r="W375" s="4"/>
      <c r="X375" s="4"/>
    </row>
    <row r="376">
      <c r="E376" s="23"/>
      <c r="F376" s="17"/>
      <c r="G376" s="17"/>
      <c r="H376" s="17"/>
      <c r="I376" s="17"/>
      <c r="J376" s="17"/>
      <c r="K376" s="17"/>
      <c r="L376" s="16"/>
      <c r="M376" s="16"/>
      <c r="N376" s="16"/>
      <c r="O376" s="16"/>
      <c r="P376" s="16"/>
      <c r="U376" s="4"/>
      <c r="V376" s="4"/>
      <c r="W376" s="4"/>
      <c r="X376" s="4"/>
    </row>
    <row r="377">
      <c r="E377" s="23"/>
      <c r="F377" s="17"/>
      <c r="G377" s="17"/>
      <c r="H377" s="17"/>
      <c r="I377" s="17"/>
      <c r="J377" s="17"/>
      <c r="K377" s="17"/>
      <c r="L377" s="16"/>
      <c r="M377" s="16"/>
      <c r="N377" s="16"/>
      <c r="O377" s="16"/>
      <c r="P377" s="16"/>
      <c r="U377" s="4"/>
      <c r="V377" s="4"/>
      <c r="W377" s="4"/>
      <c r="X377" s="4"/>
    </row>
    <row r="378">
      <c r="E378" s="23"/>
      <c r="F378" s="17"/>
      <c r="G378" s="17"/>
      <c r="H378" s="17"/>
      <c r="I378" s="17"/>
      <c r="J378" s="17"/>
      <c r="K378" s="17"/>
      <c r="L378" s="16"/>
      <c r="M378" s="16"/>
      <c r="N378" s="16"/>
      <c r="O378" s="16"/>
      <c r="P378" s="16"/>
      <c r="U378" s="4"/>
      <c r="V378" s="4"/>
      <c r="W378" s="4"/>
      <c r="X378" s="4"/>
    </row>
    <row r="379">
      <c r="E379" s="23"/>
      <c r="F379" s="17"/>
      <c r="G379" s="17"/>
      <c r="H379" s="17"/>
      <c r="I379" s="17"/>
      <c r="J379" s="17"/>
      <c r="K379" s="17"/>
      <c r="L379" s="16"/>
      <c r="M379" s="16"/>
      <c r="N379" s="16"/>
      <c r="O379" s="16"/>
      <c r="P379" s="16"/>
      <c r="U379" s="4"/>
      <c r="V379" s="4"/>
      <c r="W379" s="4"/>
      <c r="X379" s="4"/>
    </row>
    <row r="380">
      <c r="E380" s="23"/>
      <c r="F380" s="17"/>
      <c r="G380" s="17"/>
      <c r="H380" s="17"/>
      <c r="I380" s="17"/>
      <c r="J380" s="17"/>
      <c r="K380" s="17"/>
      <c r="L380" s="16"/>
      <c r="M380" s="16"/>
      <c r="N380" s="16"/>
      <c r="O380" s="16"/>
      <c r="P380" s="16"/>
      <c r="U380" s="4"/>
      <c r="V380" s="4"/>
      <c r="W380" s="4"/>
      <c r="X380" s="4"/>
    </row>
    <row r="381">
      <c r="E381" s="23"/>
      <c r="F381" s="17"/>
      <c r="G381" s="17"/>
      <c r="H381" s="17"/>
      <c r="I381" s="17"/>
      <c r="J381" s="17"/>
      <c r="K381" s="17"/>
      <c r="L381" s="16"/>
      <c r="M381" s="16"/>
      <c r="N381" s="16"/>
      <c r="O381" s="16"/>
      <c r="P381" s="16"/>
      <c r="U381" s="4"/>
      <c r="V381" s="4"/>
      <c r="W381" s="4"/>
      <c r="X381" s="4"/>
    </row>
    <row r="382">
      <c r="E382" s="23"/>
      <c r="F382" s="17"/>
      <c r="G382" s="17"/>
      <c r="H382" s="17"/>
      <c r="I382" s="17"/>
      <c r="J382" s="17"/>
      <c r="K382" s="17"/>
      <c r="L382" s="16"/>
      <c r="M382" s="16"/>
      <c r="N382" s="16"/>
      <c r="O382" s="16"/>
      <c r="P382" s="16"/>
      <c r="U382" s="4"/>
      <c r="V382" s="4"/>
      <c r="W382" s="4"/>
      <c r="X382" s="4"/>
    </row>
    <row r="383">
      <c r="E383" s="23"/>
      <c r="F383" s="17"/>
      <c r="G383" s="17"/>
      <c r="H383" s="17"/>
      <c r="I383" s="17"/>
      <c r="J383" s="17"/>
      <c r="K383" s="17"/>
      <c r="L383" s="16"/>
      <c r="M383" s="16"/>
      <c r="N383" s="16"/>
      <c r="O383" s="16"/>
      <c r="P383" s="16"/>
      <c r="U383" s="4"/>
      <c r="V383" s="4"/>
      <c r="W383" s="4"/>
      <c r="X383" s="4"/>
    </row>
    <row r="384">
      <c r="E384" s="23"/>
      <c r="F384" s="17"/>
      <c r="G384" s="17"/>
      <c r="H384" s="17"/>
      <c r="I384" s="17"/>
      <c r="J384" s="17"/>
      <c r="K384" s="17"/>
      <c r="L384" s="16"/>
      <c r="M384" s="16"/>
      <c r="N384" s="16"/>
      <c r="O384" s="16"/>
      <c r="P384" s="16"/>
      <c r="U384" s="4"/>
      <c r="V384" s="4"/>
      <c r="W384" s="4"/>
      <c r="X384" s="4"/>
    </row>
    <row r="385">
      <c r="E385" s="23"/>
      <c r="F385" s="17"/>
      <c r="G385" s="17"/>
      <c r="H385" s="17"/>
      <c r="I385" s="17"/>
      <c r="J385" s="17"/>
      <c r="K385" s="17"/>
      <c r="L385" s="16"/>
      <c r="M385" s="16"/>
      <c r="N385" s="16"/>
      <c r="O385" s="16"/>
      <c r="P385" s="16"/>
      <c r="U385" s="4"/>
      <c r="V385" s="4"/>
      <c r="W385" s="4"/>
      <c r="X385" s="4"/>
    </row>
    <row r="386">
      <c r="E386" s="23"/>
      <c r="F386" s="17"/>
      <c r="G386" s="17"/>
      <c r="H386" s="17"/>
      <c r="I386" s="17"/>
      <c r="J386" s="17"/>
      <c r="K386" s="17"/>
      <c r="L386" s="16"/>
      <c r="M386" s="16"/>
      <c r="N386" s="16"/>
      <c r="O386" s="16"/>
      <c r="P386" s="16"/>
      <c r="U386" s="4"/>
      <c r="V386" s="4"/>
      <c r="W386" s="4"/>
      <c r="X386" s="4"/>
    </row>
    <row r="387">
      <c r="E387" s="23"/>
      <c r="F387" s="17"/>
      <c r="G387" s="17"/>
      <c r="H387" s="17"/>
      <c r="I387" s="17"/>
      <c r="J387" s="17"/>
      <c r="K387" s="17"/>
      <c r="L387" s="16"/>
      <c r="M387" s="16"/>
      <c r="N387" s="16"/>
      <c r="O387" s="16"/>
      <c r="P387" s="16"/>
      <c r="U387" s="4"/>
      <c r="V387" s="4"/>
      <c r="W387" s="4"/>
      <c r="X387" s="4"/>
    </row>
    <row r="388">
      <c r="E388" s="23"/>
      <c r="F388" s="17"/>
      <c r="G388" s="17"/>
      <c r="H388" s="17"/>
      <c r="I388" s="17"/>
      <c r="J388" s="17"/>
      <c r="K388" s="17"/>
      <c r="L388" s="16"/>
      <c r="M388" s="16"/>
      <c r="N388" s="16"/>
      <c r="O388" s="16"/>
      <c r="P388" s="16"/>
      <c r="U388" s="4"/>
      <c r="V388" s="4"/>
      <c r="W388" s="4"/>
      <c r="X388" s="4"/>
    </row>
    <row r="389">
      <c r="E389" s="23"/>
      <c r="F389" s="17"/>
      <c r="G389" s="17"/>
      <c r="H389" s="17"/>
      <c r="I389" s="17"/>
      <c r="J389" s="17"/>
      <c r="K389" s="17"/>
      <c r="L389" s="16"/>
      <c r="M389" s="16"/>
      <c r="N389" s="16"/>
      <c r="O389" s="16"/>
      <c r="P389" s="16"/>
      <c r="U389" s="4"/>
      <c r="V389" s="4"/>
      <c r="W389" s="4"/>
      <c r="X389" s="4"/>
    </row>
    <row r="390">
      <c r="E390" s="23"/>
      <c r="F390" s="17"/>
      <c r="G390" s="17"/>
      <c r="H390" s="17"/>
      <c r="I390" s="17"/>
      <c r="J390" s="17"/>
      <c r="K390" s="17"/>
      <c r="L390" s="16"/>
      <c r="M390" s="16"/>
      <c r="N390" s="16"/>
      <c r="O390" s="16"/>
      <c r="P390" s="16"/>
      <c r="U390" s="4"/>
      <c r="V390" s="4"/>
      <c r="W390" s="4"/>
      <c r="X390" s="4"/>
    </row>
    <row r="391">
      <c r="E391" s="23"/>
      <c r="F391" s="17"/>
      <c r="G391" s="17"/>
      <c r="H391" s="17"/>
      <c r="I391" s="17"/>
      <c r="J391" s="17"/>
      <c r="K391" s="17"/>
      <c r="L391" s="16"/>
      <c r="M391" s="16"/>
      <c r="N391" s="16"/>
      <c r="O391" s="16"/>
      <c r="P391" s="16"/>
      <c r="U391" s="4"/>
      <c r="V391" s="4"/>
      <c r="W391" s="4"/>
      <c r="X391" s="4"/>
    </row>
    <row r="392">
      <c r="E392" s="23"/>
      <c r="F392" s="17"/>
      <c r="G392" s="17"/>
      <c r="H392" s="17"/>
      <c r="I392" s="17"/>
      <c r="J392" s="17"/>
      <c r="K392" s="17"/>
      <c r="L392" s="16"/>
      <c r="M392" s="16"/>
      <c r="N392" s="16"/>
      <c r="O392" s="16"/>
      <c r="P392" s="16"/>
      <c r="U392" s="4"/>
      <c r="V392" s="4"/>
      <c r="W392" s="4"/>
      <c r="X392" s="4"/>
    </row>
    <row r="393">
      <c r="E393" s="23"/>
      <c r="F393" s="17"/>
      <c r="G393" s="17"/>
      <c r="H393" s="17"/>
      <c r="I393" s="17"/>
      <c r="J393" s="17"/>
      <c r="K393" s="17"/>
      <c r="L393" s="16"/>
      <c r="M393" s="16"/>
      <c r="N393" s="16"/>
      <c r="O393" s="16"/>
      <c r="P393" s="16"/>
      <c r="U393" s="4"/>
      <c r="V393" s="4"/>
      <c r="W393" s="4"/>
      <c r="X393" s="4"/>
    </row>
    <row r="394">
      <c r="E394" s="23"/>
      <c r="F394" s="17"/>
      <c r="G394" s="17"/>
      <c r="H394" s="17"/>
      <c r="I394" s="17"/>
      <c r="J394" s="17"/>
      <c r="K394" s="17"/>
      <c r="L394" s="16"/>
      <c r="M394" s="16"/>
      <c r="N394" s="16"/>
      <c r="O394" s="16"/>
      <c r="P394" s="16"/>
      <c r="U394" s="4"/>
      <c r="V394" s="4"/>
      <c r="W394" s="4"/>
      <c r="X394" s="4"/>
    </row>
    <row r="395">
      <c r="E395" s="23"/>
      <c r="F395" s="17"/>
      <c r="G395" s="17"/>
      <c r="H395" s="17"/>
      <c r="I395" s="17"/>
      <c r="J395" s="17"/>
      <c r="K395" s="17"/>
      <c r="L395" s="16"/>
      <c r="M395" s="16"/>
      <c r="N395" s="16"/>
      <c r="O395" s="16"/>
      <c r="P395" s="16"/>
      <c r="U395" s="4"/>
      <c r="V395" s="4"/>
      <c r="W395" s="4"/>
      <c r="X395" s="4"/>
    </row>
    <row r="396">
      <c r="E396" s="23"/>
      <c r="F396" s="17"/>
      <c r="G396" s="17"/>
      <c r="H396" s="17"/>
      <c r="I396" s="17"/>
      <c r="J396" s="17"/>
      <c r="K396" s="17"/>
      <c r="L396" s="16"/>
      <c r="M396" s="16"/>
      <c r="N396" s="16"/>
      <c r="O396" s="16"/>
      <c r="P396" s="16"/>
      <c r="U396" s="4"/>
      <c r="V396" s="4"/>
      <c r="W396" s="4"/>
      <c r="X396" s="4"/>
    </row>
    <row r="397">
      <c r="E397" s="23"/>
      <c r="F397" s="17"/>
      <c r="G397" s="17"/>
      <c r="H397" s="17"/>
      <c r="I397" s="17"/>
      <c r="J397" s="17"/>
      <c r="K397" s="17"/>
      <c r="L397" s="16"/>
      <c r="M397" s="16"/>
      <c r="N397" s="16"/>
      <c r="O397" s="16"/>
      <c r="P397" s="16"/>
      <c r="U397" s="4"/>
      <c r="V397" s="4"/>
      <c r="W397" s="4"/>
      <c r="X397" s="4"/>
    </row>
    <row r="398">
      <c r="E398" s="23"/>
      <c r="F398" s="17"/>
      <c r="G398" s="17"/>
      <c r="H398" s="17"/>
      <c r="I398" s="17"/>
      <c r="J398" s="17"/>
      <c r="K398" s="17"/>
      <c r="L398" s="16"/>
      <c r="M398" s="16"/>
      <c r="N398" s="16"/>
      <c r="O398" s="16"/>
      <c r="P398" s="16"/>
      <c r="U398" s="4"/>
      <c r="V398" s="4"/>
      <c r="W398" s="4"/>
      <c r="X398" s="4"/>
    </row>
    <row r="399">
      <c r="E399" s="23"/>
      <c r="F399" s="17"/>
      <c r="G399" s="17"/>
      <c r="H399" s="17"/>
      <c r="I399" s="17"/>
      <c r="J399" s="17"/>
      <c r="K399" s="17"/>
      <c r="L399" s="16"/>
      <c r="M399" s="16"/>
      <c r="N399" s="16"/>
      <c r="O399" s="16"/>
      <c r="P399" s="16"/>
      <c r="U399" s="4"/>
      <c r="V399" s="4"/>
      <c r="W399" s="4"/>
      <c r="X399" s="4"/>
    </row>
    <row r="400">
      <c r="E400" s="23"/>
      <c r="F400" s="17"/>
      <c r="G400" s="17"/>
      <c r="H400" s="17"/>
      <c r="I400" s="17"/>
      <c r="J400" s="17"/>
      <c r="K400" s="17"/>
      <c r="L400" s="16"/>
      <c r="M400" s="16"/>
      <c r="N400" s="16"/>
      <c r="O400" s="16"/>
      <c r="P400" s="16"/>
      <c r="U400" s="4"/>
      <c r="V400" s="4"/>
      <c r="W400" s="4"/>
      <c r="X400" s="4"/>
    </row>
    <row r="401">
      <c r="E401" s="23"/>
      <c r="F401" s="17"/>
      <c r="G401" s="17"/>
      <c r="H401" s="17"/>
      <c r="I401" s="17"/>
      <c r="J401" s="17"/>
      <c r="K401" s="17"/>
      <c r="L401" s="16"/>
      <c r="M401" s="16"/>
      <c r="N401" s="16"/>
      <c r="O401" s="16"/>
      <c r="P401" s="16"/>
      <c r="U401" s="4"/>
      <c r="V401" s="4"/>
      <c r="W401" s="4"/>
      <c r="X401" s="4"/>
    </row>
    <row r="402">
      <c r="E402" s="23"/>
      <c r="F402" s="17"/>
      <c r="G402" s="17"/>
      <c r="H402" s="17"/>
      <c r="I402" s="17"/>
      <c r="J402" s="17"/>
      <c r="K402" s="17"/>
      <c r="L402" s="16"/>
      <c r="M402" s="16"/>
      <c r="N402" s="16"/>
      <c r="O402" s="16"/>
      <c r="P402" s="16"/>
      <c r="U402" s="4"/>
      <c r="V402" s="4"/>
      <c r="W402" s="4"/>
      <c r="X402" s="4"/>
    </row>
    <row r="403">
      <c r="E403" s="23"/>
      <c r="F403" s="17"/>
      <c r="G403" s="17"/>
      <c r="H403" s="17"/>
      <c r="I403" s="17"/>
      <c r="J403" s="17"/>
      <c r="K403" s="17"/>
      <c r="L403" s="16"/>
      <c r="M403" s="16"/>
      <c r="N403" s="16"/>
      <c r="O403" s="16"/>
      <c r="P403" s="16"/>
      <c r="U403" s="4"/>
      <c r="V403" s="4"/>
      <c r="W403" s="4"/>
      <c r="X403" s="4"/>
    </row>
    <row r="404">
      <c r="E404" s="23"/>
      <c r="F404" s="17"/>
      <c r="G404" s="17"/>
      <c r="H404" s="17"/>
      <c r="I404" s="17"/>
      <c r="J404" s="17"/>
      <c r="K404" s="17"/>
      <c r="L404" s="16"/>
      <c r="M404" s="16"/>
      <c r="N404" s="16"/>
      <c r="O404" s="16"/>
      <c r="P404" s="16"/>
      <c r="U404" s="4"/>
      <c r="V404" s="4"/>
      <c r="W404" s="4"/>
      <c r="X404" s="4"/>
    </row>
    <row r="405">
      <c r="E405" s="23"/>
      <c r="F405" s="17"/>
      <c r="G405" s="17"/>
      <c r="H405" s="17"/>
      <c r="I405" s="17"/>
      <c r="J405" s="17"/>
      <c r="K405" s="17"/>
      <c r="L405" s="16"/>
      <c r="M405" s="16"/>
      <c r="N405" s="16"/>
      <c r="O405" s="16"/>
      <c r="P405" s="16"/>
      <c r="U405" s="4"/>
      <c r="V405" s="4"/>
      <c r="W405" s="4"/>
      <c r="X405" s="4"/>
    </row>
    <row r="406">
      <c r="E406" s="23"/>
      <c r="F406" s="17"/>
      <c r="G406" s="17"/>
      <c r="H406" s="17"/>
      <c r="I406" s="17"/>
      <c r="J406" s="17"/>
      <c r="K406" s="17"/>
      <c r="L406" s="16"/>
      <c r="M406" s="16"/>
      <c r="N406" s="16"/>
      <c r="O406" s="16"/>
      <c r="P406" s="16"/>
      <c r="U406" s="4"/>
      <c r="V406" s="4"/>
      <c r="W406" s="4"/>
      <c r="X406" s="4"/>
    </row>
    <row r="407">
      <c r="E407" s="23"/>
      <c r="F407" s="17"/>
      <c r="G407" s="17"/>
      <c r="H407" s="17"/>
      <c r="I407" s="17"/>
      <c r="J407" s="17"/>
      <c r="K407" s="17"/>
      <c r="L407" s="16"/>
      <c r="M407" s="16"/>
      <c r="N407" s="16"/>
      <c r="O407" s="16"/>
      <c r="P407" s="16"/>
      <c r="U407" s="4"/>
      <c r="V407" s="4"/>
      <c r="W407" s="4"/>
      <c r="X407" s="4"/>
    </row>
    <row r="408">
      <c r="E408" s="23"/>
      <c r="F408" s="17"/>
      <c r="G408" s="17"/>
      <c r="H408" s="17"/>
      <c r="I408" s="17"/>
      <c r="J408" s="17"/>
      <c r="K408" s="17"/>
      <c r="L408" s="16"/>
      <c r="M408" s="16"/>
      <c r="N408" s="16"/>
      <c r="O408" s="16"/>
      <c r="P408" s="16"/>
      <c r="U408" s="4"/>
      <c r="V408" s="4"/>
      <c r="W408" s="4"/>
      <c r="X408" s="4"/>
    </row>
    <row r="409">
      <c r="E409" s="23"/>
      <c r="F409" s="17"/>
      <c r="G409" s="17"/>
      <c r="H409" s="17"/>
      <c r="I409" s="17"/>
      <c r="J409" s="17"/>
      <c r="K409" s="17"/>
      <c r="L409" s="16"/>
      <c r="M409" s="16"/>
      <c r="N409" s="16"/>
      <c r="O409" s="16"/>
      <c r="P409" s="16"/>
      <c r="U409" s="4"/>
      <c r="V409" s="4"/>
      <c r="W409" s="4"/>
      <c r="X409" s="4"/>
    </row>
    <row r="410">
      <c r="E410" s="23"/>
      <c r="F410" s="17"/>
      <c r="G410" s="17"/>
      <c r="H410" s="17"/>
      <c r="I410" s="17"/>
      <c r="J410" s="17"/>
      <c r="K410" s="17"/>
      <c r="L410" s="16"/>
      <c r="M410" s="16"/>
      <c r="N410" s="16"/>
      <c r="O410" s="16"/>
      <c r="P410" s="16"/>
      <c r="U410" s="4"/>
      <c r="V410" s="4"/>
      <c r="W410" s="4"/>
      <c r="X410" s="4"/>
    </row>
    <row r="411">
      <c r="E411" s="23"/>
      <c r="F411" s="17"/>
      <c r="G411" s="17"/>
      <c r="H411" s="17"/>
      <c r="I411" s="17"/>
      <c r="J411" s="17"/>
      <c r="K411" s="17"/>
      <c r="L411" s="16"/>
      <c r="M411" s="16"/>
      <c r="N411" s="16"/>
      <c r="O411" s="16"/>
      <c r="P411" s="16"/>
      <c r="U411" s="4"/>
      <c r="V411" s="4"/>
      <c r="W411" s="4"/>
      <c r="X411" s="4"/>
    </row>
    <row r="412">
      <c r="E412" s="23"/>
      <c r="F412" s="17"/>
      <c r="G412" s="17"/>
      <c r="H412" s="17"/>
      <c r="I412" s="17"/>
      <c r="J412" s="17"/>
      <c r="K412" s="17"/>
      <c r="L412" s="16"/>
      <c r="M412" s="16"/>
      <c r="N412" s="16"/>
      <c r="O412" s="16"/>
      <c r="P412" s="16"/>
      <c r="U412" s="4"/>
      <c r="V412" s="4"/>
      <c r="W412" s="4"/>
      <c r="X412" s="4"/>
    </row>
    <row r="413">
      <c r="E413" s="23"/>
      <c r="F413" s="17"/>
      <c r="G413" s="17"/>
      <c r="H413" s="17"/>
      <c r="I413" s="17"/>
      <c r="J413" s="17"/>
      <c r="K413" s="17"/>
      <c r="L413" s="16"/>
      <c r="M413" s="16"/>
      <c r="N413" s="16"/>
      <c r="O413" s="16"/>
      <c r="P413" s="16"/>
      <c r="U413" s="4"/>
      <c r="V413" s="4"/>
      <c r="W413" s="4"/>
      <c r="X413" s="4"/>
    </row>
    <row r="414">
      <c r="E414" s="23"/>
      <c r="F414" s="17"/>
      <c r="G414" s="17"/>
      <c r="H414" s="17"/>
      <c r="I414" s="17"/>
      <c r="J414" s="17"/>
      <c r="K414" s="17"/>
      <c r="L414" s="16"/>
      <c r="M414" s="16"/>
      <c r="N414" s="16"/>
      <c r="O414" s="16"/>
      <c r="P414" s="16"/>
      <c r="U414" s="4"/>
      <c r="V414" s="4"/>
      <c r="W414" s="4"/>
      <c r="X414" s="4"/>
    </row>
    <row r="415">
      <c r="E415" s="23"/>
      <c r="F415" s="17"/>
      <c r="G415" s="17"/>
      <c r="H415" s="17"/>
      <c r="I415" s="17"/>
      <c r="J415" s="17"/>
      <c r="K415" s="17"/>
      <c r="L415" s="16"/>
      <c r="M415" s="16"/>
      <c r="N415" s="16"/>
      <c r="O415" s="16"/>
      <c r="P415" s="16"/>
      <c r="U415" s="4"/>
      <c r="V415" s="4"/>
      <c r="W415" s="4"/>
      <c r="X415" s="4"/>
    </row>
    <row r="416">
      <c r="E416" s="23"/>
      <c r="F416" s="17"/>
      <c r="G416" s="17"/>
      <c r="H416" s="17"/>
      <c r="I416" s="17"/>
      <c r="J416" s="17"/>
      <c r="K416" s="17"/>
      <c r="L416" s="16"/>
      <c r="M416" s="16"/>
      <c r="N416" s="16"/>
      <c r="O416" s="16"/>
      <c r="P416" s="16"/>
      <c r="U416" s="4"/>
      <c r="V416" s="4"/>
      <c r="W416" s="4"/>
      <c r="X416" s="4"/>
    </row>
    <row r="417">
      <c r="E417" s="23"/>
      <c r="F417" s="17"/>
      <c r="G417" s="17"/>
      <c r="H417" s="17"/>
      <c r="I417" s="17"/>
      <c r="J417" s="17"/>
      <c r="K417" s="17"/>
      <c r="L417" s="16"/>
      <c r="M417" s="16"/>
      <c r="N417" s="16"/>
      <c r="O417" s="16"/>
      <c r="P417" s="16"/>
      <c r="U417" s="4"/>
      <c r="V417" s="4"/>
      <c r="W417" s="4"/>
      <c r="X417" s="4"/>
    </row>
    <row r="418">
      <c r="E418" s="23"/>
      <c r="F418" s="17"/>
      <c r="G418" s="17"/>
      <c r="H418" s="17"/>
      <c r="I418" s="17"/>
      <c r="J418" s="17"/>
      <c r="K418" s="17"/>
      <c r="L418" s="16"/>
      <c r="M418" s="16"/>
      <c r="N418" s="16"/>
      <c r="O418" s="16"/>
      <c r="P418" s="16"/>
      <c r="U418" s="4"/>
      <c r="V418" s="4"/>
      <c r="W418" s="4"/>
      <c r="X418" s="4"/>
    </row>
    <row r="419">
      <c r="E419" s="23"/>
      <c r="F419" s="17"/>
      <c r="G419" s="17"/>
      <c r="H419" s="17"/>
      <c r="I419" s="17"/>
      <c r="J419" s="17"/>
      <c r="K419" s="17"/>
      <c r="L419" s="16"/>
      <c r="M419" s="16"/>
      <c r="N419" s="16"/>
      <c r="O419" s="16"/>
      <c r="P419" s="16"/>
      <c r="U419" s="4"/>
      <c r="V419" s="4"/>
      <c r="W419" s="4"/>
      <c r="X419" s="4"/>
    </row>
    <row r="420">
      <c r="E420" s="23"/>
      <c r="F420" s="17"/>
      <c r="G420" s="17"/>
      <c r="H420" s="17"/>
      <c r="I420" s="17"/>
      <c r="J420" s="17"/>
      <c r="K420" s="17"/>
      <c r="L420" s="16"/>
      <c r="M420" s="16"/>
      <c r="N420" s="16"/>
      <c r="O420" s="16"/>
      <c r="P420" s="16"/>
      <c r="U420" s="4"/>
      <c r="V420" s="4"/>
      <c r="W420" s="4"/>
      <c r="X420" s="4"/>
    </row>
    <row r="421">
      <c r="E421" s="23"/>
      <c r="F421" s="17"/>
      <c r="G421" s="17"/>
      <c r="H421" s="17"/>
      <c r="I421" s="17"/>
      <c r="J421" s="17"/>
      <c r="K421" s="17"/>
      <c r="L421" s="16"/>
      <c r="M421" s="16"/>
      <c r="N421" s="16"/>
      <c r="O421" s="16"/>
      <c r="P421" s="16"/>
      <c r="U421" s="4"/>
      <c r="V421" s="4"/>
      <c r="W421" s="4"/>
      <c r="X421" s="4"/>
    </row>
    <row r="422">
      <c r="E422" s="23"/>
      <c r="F422" s="17"/>
      <c r="G422" s="17"/>
      <c r="H422" s="17"/>
      <c r="I422" s="17"/>
      <c r="J422" s="17"/>
      <c r="K422" s="17"/>
      <c r="L422" s="16"/>
      <c r="M422" s="16"/>
      <c r="N422" s="16"/>
      <c r="O422" s="16"/>
      <c r="P422" s="16"/>
      <c r="U422" s="4"/>
      <c r="V422" s="4"/>
      <c r="W422" s="4"/>
      <c r="X422" s="4"/>
    </row>
    <row r="423">
      <c r="E423" s="23"/>
      <c r="F423" s="17"/>
      <c r="G423" s="17"/>
      <c r="H423" s="17"/>
      <c r="I423" s="17"/>
      <c r="J423" s="17"/>
      <c r="K423" s="17"/>
      <c r="L423" s="16"/>
      <c r="M423" s="16"/>
      <c r="N423" s="16"/>
      <c r="O423" s="16"/>
      <c r="P423" s="16"/>
      <c r="U423" s="4"/>
      <c r="V423" s="4"/>
      <c r="W423" s="4"/>
      <c r="X423" s="4"/>
    </row>
    <row r="424">
      <c r="E424" s="23"/>
      <c r="F424" s="17"/>
      <c r="G424" s="17"/>
      <c r="H424" s="17"/>
      <c r="I424" s="17"/>
      <c r="J424" s="17"/>
      <c r="K424" s="17"/>
      <c r="L424" s="16"/>
      <c r="M424" s="16"/>
      <c r="N424" s="16"/>
      <c r="O424" s="16"/>
      <c r="P424" s="16"/>
      <c r="U424" s="4"/>
      <c r="V424" s="4"/>
      <c r="W424" s="4"/>
      <c r="X424" s="4"/>
    </row>
    <row r="425">
      <c r="E425" s="23"/>
      <c r="F425" s="17"/>
      <c r="G425" s="17"/>
      <c r="H425" s="17"/>
      <c r="I425" s="17"/>
      <c r="J425" s="17"/>
      <c r="K425" s="17"/>
      <c r="L425" s="16"/>
      <c r="M425" s="16"/>
      <c r="N425" s="16"/>
      <c r="O425" s="16"/>
      <c r="P425" s="16"/>
      <c r="U425" s="4"/>
      <c r="V425" s="4"/>
      <c r="W425" s="4"/>
      <c r="X425" s="4"/>
    </row>
    <row r="426">
      <c r="E426" s="23"/>
      <c r="F426" s="17"/>
      <c r="G426" s="17"/>
      <c r="H426" s="17"/>
      <c r="I426" s="17"/>
      <c r="J426" s="17"/>
      <c r="K426" s="17"/>
      <c r="L426" s="16"/>
      <c r="M426" s="16"/>
      <c r="N426" s="16"/>
      <c r="O426" s="16"/>
      <c r="P426" s="16"/>
      <c r="U426" s="4"/>
      <c r="V426" s="4"/>
      <c r="W426" s="4"/>
      <c r="X426" s="4"/>
    </row>
    <row r="427">
      <c r="E427" s="23"/>
      <c r="F427" s="17"/>
      <c r="G427" s="17"/>
      <c r="H427" s="17"/>
      <c r="I427" s="17"/>
      <c r="J427" s="17"/>
      <c r="K427" s="17"/>
      <c r="L427" s="16"/>
      <c r="M427" s="16"/>
      <c r="N427" s="16"/>
      <c r="O427" s="16"/>
      <c r="P427" s="16"/>
      <c r="U427" s="4"/>
      <c r="V427" s="4"/>
      <c r="W427" s="4"/>
      <c r="X427" s="4"/>
    </row>
    <row r="428">
      <c r="E428" s="23"/>
      <c r="F428" s="17"/>
      <c r="G428" s="17"/>
      <c r="H428" s="17"/>
      <c r="I428" s="17"/>
      <c r="J428" s="17"/>
      <c r="K428" s="17"/>
      <c r="L428" s="16"/>
      <c r="M428" s="16"/>
      <c r="N428" s="16"/>
      <c r="O428" s="16"/>
      <c r="P428" s="16"/>
      <c r="U428" s="4"/>
      <c r="V428" s="4"/>
      <c r="W428" s="4"/>
      <c r="X428" s="4"/>
    </row>
    <row r="429">
      <c r="E429" s="23"/>
      <c r="F429" s="17"/>
      <c r="G429" s="17"/>
      <c r="H429" s="17"/>
      <c r="I429" s="17"/>
      <c r="J429" s="17"/>
      <c r="K429" s="17"/>
      <c r="L429" s="16"/>
      <c r="M429" s="16"/>
      <c r="N429" s="16"/>
      <c r="O429" s="16"/>
      <c r="P429" s="16"/>
      <c r="U429" s="4"/>
      <c r="V429" s="4"/>
      <c r="W429" s="4"/>
      <c r="X429" s="4"/>
    </row>
    <row r="430">
      <c r="E430" s="23"/>
      <c r="F430" s="17"/>
      <c r="G430" s="17"/>
      <c r="H430" s="17"/>
      <c r="I430" s="17"/>
      <c r="J430" s="17"/>
      <c r="K430" s="17"/>
      <c r="L430" s="16"/>
      <c r="M430" s="16"/>
      <c r="N430" s="16"/>
      <c r="O430" s="16"/>
      <c r="P430" s="16"/>
      <c r="U430" s="4"/>
      <c r="V430" s="4"/>
      <c r="W430" s="4"/>
      <c r="X430" s="4"/>
    </row>
    <row r="431">
      <c r="E431" s="23"/>
      <c r="F431" s="17"/>
      <c r="G431" s="17"/>
      <c r="H431" s="17"/>
      <c r="I431" s="17"/>
      <c r="J431" s="17"/>
      <c r="K431" s="17"/>
      <c r="L431" s="16"/>
      <c r="M431" s="16"/>
      <c r="N431" s="16"/>
      <c r="O431" s="16"/>
      <c r="P431" s="16"/>
      <c r="U431" s="4"/>
      <c r="V431" s="4"/>
      <c r="W431" s="4"/>
      <c r="X431" s="4"/>
    </row>
    <row r="432">
      <c r="E432" s="23"/>
      <c r="F432" s="17"/>
      <c r="G432" s="17"/>
      <c r="H432" s="17"/>
      <c r="I432" s="17"/>
      <c r="J432" s="17"/>
      <c r="K432" s="17"/>
      <c r="L432" s="16"/>
      <c r="M432" s="16"/>
      <c r="N432" s="16"/>
      <c r="O432" s="16"/>
      <c r="P432" s="16"/>
      <c r="U432" s="4"/>
      <c r="V432" s="4"/>
      <c r="W432" s="4"/>
      <c r="X432" s="4"/>
    </row>
    <row r="433">
      <c r="E433" s="23"/>
      <c r="F433" s="17"/>
      <c r="G433" s="17"/>
      <c r="H433" s="17"/>
      <c r="I433" s="17"/>
      <c r="J433" s="17"/>
      <c r="K433" s="17"/>
      <c r="L433" s="16"/>
      <c r="M433" s="16"/>
      <c r="N433" s="16"/>
      <c r="O433" s="16"/>
      <c r="P433" s="16"/>
      <c r="U433" s="4"/>
      <c r="V433" s="4"/>
      <c r="W433" s="4"/>
      <c r="X433" s="4"/>
    </row>
    <row r="434">
      <c r="E434" s="23"/>
      <c r="F434" s="17"/>
      <c r="G434" s="17"/>
      <c r="H434" s="17"/>
      <c r="I434" s="17"/>
      <c r="J434" s="17"/>
      <c r="K434" s="17"/>
      <c r="L434" s="16"/>
      <c r="M434" s="16"/>
      <c r="N434" s="16"/>
      <c r="O434" s="16"/>
      <c r="P434" s="16"/>
      <c r="U434" s="4"/>
      <c r="V434" s="4"/>
      <c r="W434" s="4"/>
      <c r="X434" s="4"/>
    </row>
    <row r="435">
      <c r="E435" s="23"/>
      <c r="F435" s="17"/>
      <c r="G435" s="17"/>
      <c r="H435" s="17"/>
      <c r="I435" s="17"/>
      <c r="J435" s="17"/>
      <c r="K435" s="17"/>
      <c r="L435" s="16"/>
      <c r="M435" s="16"/>
      <c r="N435" s="16"/>
      <c r="O435" s="16"/>
      <c r="P435" s="16"/>
      <c r="U435" s="4"/>
      <c r="V435" s="4"/>
      <c r="W435" s="4"/>
      <c r="X435" s="4"/>
    </row>
    <row r="436">
      <c r="E436" s="23"/>
      <c r="F436" s="17"/>
      <c r="G436" s="17"/>
      <c r="H436" s="17"/>
      <c r="I436" s="17"/>
      <c r="J436" s="17"/>
      <c r="K436" s="17"/>
      <c r="L436" s="16"/>
      <c r="M436" s="16"/>
      <c r="N436" s="16"/>
      <c r="O436" s="16"/>
      <c r="P436" s="16"/>
      <c r="U436" s="4"/>
      <c r="V436" s="4"/>
      <c r="W436" s="4"/>
      <c r="X436" s="4"/>
    </row>
    <row r="437">
      <c r="E437" s="23"/>
      <c r="F437" s="17"/>
      <c r="G437" s="17"/>
      <c r="H437" s="17"/>
      <c r="I437" s="17"/>
      <c r="J437" s="17"/>
      <c r="K437" s="17"/>
      <c r="L437" s="16"/>
      <c r="M437" s="16"/>
      <c r="N437" s="16"/>
      <c r="O437" s="16"/>
      <c r="P437" s="16"/>
      <c r="U437" s="4"/>
      <c r="V437" s="4"/>
      <c r="W437" s="4"/>
      <c r="X437" s="4"/>
    </row>
    <row r="438">
      <c r="E438" s="23"/>
      <c r="F438" s="17"/>
      <c r="G438" s="17"/>
      <c r="H438" s="17"/>
      <c r="I438" s="17"/>
      <c r="J438" s="17"/>
      <c r="K438" s="17"/>
      <c r="L438" s="16"/>
      <c r="M438" s="16"/>
      <c r="N438" s="16"/>
      <c r="O438" s="16"/>
      <c r="P438" s="16"/>
      <c r="U438" s="4"/>
      <c r="V438" s="4"/>
      <c r="W438" s="4"/>
      <c r="X438" s="4"/>
    </row>
    <row r="439">
      <c r="E439" s="23"/>
      <c r="F439" s="17"/>
      <c r="G439" s="17"/>
      <c r="H439" s="17"/>
      <c r="I439" s="17"/>
      <c r="J439" s="17"/>
      <c r="K439" s="17"/>
      <c r="L439" s="16"/>
      <c r="M439" s="16"/>
      <c r="N439" s="16"/>
      <c r="O439" s="16"/>
      <c r="P439" s="16"/>
      <c r="U439" s="4"/>
      <c r="V439" s="4"/>
      <c r="W439" s="4"/>
      <c r="X439" s="4"/>
    </row>
    <row r="440">
      <c r="E440" s="23"/>
      <c r="F440" s="17"/>
      <c r="G440" s="17"/>
      <c r="H440" s="17"/>
      <c r="I440" s="17"/>
      <c r="J440" s="17"/>
      <c r="K440" s="17"/>
      <c r="L440" s="16"/>
      <c r="M440" s="16"/>
      <c r="N440" s="16"/>
      <c r="O440" s="16"/>
      <c r="P440" s="16"/>
      <c r="U440" s="4"/>
      <c r="V440" s="4"/>
      <c r="W440" s="4"/>
      <c r="X440" s="4"/>
    </row>
    <row r="441">
      <c r="E441" s="23"/>
      <c r="F441" s="17"/>
      <c r="G441" s="17"/>
      <c r="H441" s="17"/>
      <c r="I441" s="17"/>
      <c r="J441" s="17"/>
      <c r="K441" s="17"/>
      <c r="L441" s="16"/>
      <c r="M441" s="16"/>
      <c r="N441" s="16"/>
      <c r="O441" s="16"/>
      <c r="P441" s="16"/>
      <c r="U441" s="4"/>
      <c r="V441" s="4"/>
      <c r="W441" s="4"/>
      <c r="X441" s="4"/>
    </row>
    <row r="442">
      <c r="E442" s="23"/>
      <c r="F442" s="17"/>
      <c r="G442" s="17"/>
      <c r="H442" s="17"/>
      <c r="I442" s="17"/>
      <c r="J442" s="17"/>
      <c r="K442" s="17"/>
      <c r="L442" s="16"/>
      <c r="M442" s="16"/>
      <c r="N442" s="16"/>
      <c r="O442" s="16"/>
      <c r="P442" s="16"/>
      <c r="U442" s="4"/>
      <c r="V442" s="4"/>
      <c r="W442" s="4"/>
      <c r="X442" s="4"/>
    </row>
    <row r="443">
      <c r="E443" s="23"/>
      <c r="F443" s="17"/>
      <c r="G443" s="17"/>
      <c r="H443" s="17"/>
      <c r="I443" s="17"/>
      <c r="J443" s="17"/>
      <c r="K443" s="17"/>
      <c r="L443" s="16"/>
      <c r="M443" s="16"/>
      <c r="N443" s="16"/>
      <c r="O443" s="16"/>
      <c r="P443" s="16"/>
      <c r="U443" s="4"/>
      <c r="V443" s="4"/>
      <c r="W443" s="4"/>
      <c r="X443" s="4"/>
    </row>
    <row r="444">
      <c r="E444" s="23"/>
      <c r="F444" s="17"/>
      <c r="G444" s="17"/>
      <c r="H444" s="17"/>
      <c r="I444" s="17"/>
      <c r="J444" s="17"/>
      <c r="K444" s="17"/>
      <c r="L444" s="16"/>
      <c r="M444" s="16"/>
      <c r="N444" s="16"/>
      <c r="O444" s="16"/>
      <c r="P444" s="16"/>
      <c r="U444" s="4"/>
      <c r="V444" s="4"/>
      <c r="W444" s="4"/>
      <c r="X444" s="4"/>
    </row>
    <row r="445">
      <c r="E445" s="23"/>
      <c r="F445" s="17"/>
      <c r="G445" s="17"/>
      <c r="H445" s="17"/>
      <c r="I445" s="17"/>
      <c r="J445" s="17"/>
      <c r="K445" s="17"/>
      <c r="L445" s="16"/>
      <c r="M445" s="16"/>
      <c r="N445" s="16"/>
      <c r="O445" s="16"/>
      <c r="P445" s="16"/>
      <c r="U445" s="4"/>
      <c r="V445" s="4"/>
      <c r="W445" s="4"/>
      <c r="X445" s="4"/>
    </row>
    <row r="446">
      <c r="E446" s="23"/>
      <c r="F446" s="17"/>
      <c r="G446" s="17"/>
      <c r="H446" s="17"/>
      <c r="I446" s="17"/>
      <c r="J446" s="17"/>
      <c r="K446" s="17"/>
      <c r="L446" s="16"/>
      <c r="M446" s="16"/>
      <c r="N446" s="16"/>
      <c r="O446" s="16"/>
      <c r="P446" s="16"/>
      <c r="U446" s="4"/>
      <c r="V446" s="4"/>
      <c r="W446" s="4"/>
      <c r="X446" s="4"/>
    </row>
    <row r="447">
      <c r="E447" s="23"/>
      <c r="F447" s="17"/>
      <c r="G447" s="17"/>
      <c r="H447" s="17"/>
      <c r="I447" s="17"/>
      <c r="J447" s="17"/>
      <c r="K447" s="17"/>
      <c r="L447" s="16"/>
      <c r="M447" s="16"/>
      <c r="N447" s="16"/>
      <c r="O447" s="16"/>
      <c r="P447" s="16"/>
      <c r="U447" s="4"/>
      <c r="V447" s="4"/>
      <c r="W447" s="4"/>
      <c r="X447" s="4"/>
    </row>
    <row r="448">
      <c r="E448" s="23"/>
      <c r="F448" s="17"/>
      <c r="G448" s="17"/>
      <c r="H448" s="17"/>
      <c r="I448" s="17"/>
      <c r="J448" s="17"/>
      <c r="K448" s="17"/>
      <c r="L448" s="16"/>
      <c r="M448" s="16"/>
      <c r="N448" s="16"/>
      <c r="O448" s="16"/>
      <c r="P448" s="16"/>
      <c r="U448" s="4"/>
      <c r="V448" s="4"/>
      <c r="W448" s="4"/>
      <c r="X448" s="4"/>
    </row>
    <row r="449">
      <c r="E449" s="23"/>
      <c r="F449" s="17"/>
      <c r="G449" s="17"/>
      <c r="H449" s="17"/>
      <c r="I449" s="17"/>
      <c r="J449" s="17"/>
      <c r="K449" s="17"/>
      <c r="L449" s="16"/>
      <c r="M449" s="16"/>
      <c r="N449" s="16"/>
      <c r="O449" s="16"/>
      <c r="P449" s="16"/>
      <c r="U449" s="4"/>
      <c r="V449" s="4"/>
      <c r="W449" s="4"/>
      <c r="X449" s="4"/>
    </row>
    <row r="450">
      <c r="E450" s="23"/>
      <c r="F450" s="17"/>
      <c r="G450" s="17"/>
      <c r="H450" s="17"/>
      <c r="I450" s="17"/>
      <c r="J450" s="17"/>
      <c r="K450" s="17"/>
      <c r="L450" s="16"/>
      <c r="M450" s="16"/>
      <c r="N450" s="16"/>
      <c r="O450" s="16"/>
      <c r="P450" s="16"/>
      <c r="U450" s="4"/>
      <c r="V450" s="4"/>
      <c r="W450" s="4"/>
      <c r="X450" s="4"/>
    </row>
    <row r="451">
      <c r="E451" s="23"/>
      <c r="F451" s="17"/>
      <c r="G451" s="17"/>
      <c r="H451" s="17"/>
      <c r="I451" s="17"/>
      <c r="J451" s="17"/>
      <c r="K451" s="17"/>
      <c r="L451" s="16"/>
      <c r="M451" s="16"/>
      <c r="N451" s="16"/>
      <c r="O451" s="16"/>
      <c r="P451" s="16"/>
      <c r="U451" s="4"/>
      <c r="V451" s="4"/>
      <c r="W451" s="4"/>
      <c r="X451" s="4"/>
    </row>
    <row r="452">
      <c r="E452" s="23"/>
      <c r="F452" s="17"/>
      <c r="G452" s="17"/>
      <c r="H452" s="17"/>
      <c r="I452" s="17"/>
      <c r="J452" s="17"/>
      <c r="K452" s="17"/>
      <c r="L452" s="16"/>
      <c r="M452" s="16"/>
      <c r="N452" s="16"/>
      <c r="O452" s="16"/>
      <c r="P452" s="16"/>
      <c r="U452" s="4"/>
      <c r="V452" s="4"/>
      <c r="W452" s="4"/>
      <c r="X452" s="4"/>
    </row>
    <row r="453">
      <c r="E453" s="23"/>
      <c r="F453" s="17"/>
      <c r="G453" s="17"/>
      <c r="H453" s="17"/>
      <c r="I453" s="17"/>
      <c r="J453" s="17"/>
      <c r="K453" s="17"/>
      <c r="L453" s="16"/>
      <c r="M453" s="16"/>
      <c r="N453" s="16"/>
      <c r="O453" s="16"/>
      <c r="P453" s="16"/>
      <c r="U453" s="4"/>
      <c r="V453" s="4"/>
      <c r="W453" s="4"/>
      <c r="X453" s="4"/>
    </row>
    <row r="454">
      <c r="E454" s="23"/>
      <c r="F454" s="17"/>
      <c r="G454" s="17"/>
      <c r="H454" s="17"/>
      <c r="I454" s="17"/>
      <c r="J454" s="17"/>
      <c r="K454" s="17"/>
      <c r="L454" s="16"/>
      <c r="M454" s="16"/>
      <c r="N454" s="16"/>
      <c r="O454" s="16"/>
      <c r="P454" s="16"/>
      <c r="U454" s="4"/>
      <c r="V454" s="4"/>
      <c r="W454" s="4"/>
      <c r="X454" s="4"/>
    </row>
    <row r="455">
      <c r="E455" s="23"/>
      <c r="F455" s="17"/>
      <c r="G455" s="17"/>
      <c r="H455" s="17"/>
      <c r="I455" s="17"/>
      <c r="J455" s="17"/>
      <c r="K455" s="17"/>
      <c r="L455" s="16"/>
      <c r="M455" s="16"/>
      <c r="N455" s="16"/>
      <c r="O455" s="16"/>
      <c r="P455" s="16"/>
      <c r="U455" s="4"/>
      <c r="V455" s="4"/>
      <c r="W455" s="4"/>
      <c r="X455" s="4"/>
    </row>
    <row r="456">
      <c r="E456" s="23"/>
      <c r="F456" s="17"/>
      <c r="G456" s="17"/>
      <c r="H456" s="17"/>
      <c r="I456" s="17"/>
      <c r="J456" s="17"/>
      <c r="K456" s="17"/>
      <c r="L456" s="16"/>
      <c r="M456" s="16"/>
      <c r="N456" s="16"/>
      <c r="O456" s="16"/>
      <c r="P456" s="16"/>
      <c r="U456" s="4"/>
      <c r="V456" s="4"/>
      <c r="W456" s="4"/>
      <c r="X456" s="4"/>
    </row>
    <row r="457">
      <c r="E457" s="23"/>
      <c r="F457" s="17"/>
      <c r="G457" s="17"/>
      <c r="H457" s="17"/>
      <c r="I457" s="17"/>
      <c r="J457" s="17"/>
      <c r="K457" s="17"/>
      <c r="L457" s="16"/>
      <c r="M457" s="16"/>
      <c r="N457" s="16"/>
      <c r="O457" s="16"/>
      <c r="P457" s="16"/>
      <c r="U457" s="4"/>
      <c r="V457" s="4"/>
      <c r="W457" s="4"/>
      <c r="X457" s="4"/>
    </row>
    <row r="458">
      <c r="E458" s="23"/>
      <c r="F458" s="17"/>
      <c r="G458" s="17"/>
      <c r="H458" s="17"/>
      <c r="I458" s="17"/>
      <c r="J458" s="17"/>
      <c r="K458" s="17"/>
      <c r="L458" s="16"/>
      <c r="M458" s="16"/>
      <c r="N458" s="16"/>
      <c r="O458" s="16"/>
      <c r="P458" s="16"/>
      <c r="U458" s="4"/>
      <c r="V458" s="4"/>
      <c r="W458" s="4"/>
      <c r="X458" s="4"/>
    </row>
    <row r="459">
      <c r="E459" s="23"/>
      <c r="F459" s="17"/>
      <c r="G459" s="17"/>
      <c r="H459" s="17"/>
      <c r="I459" s="17"/>
      <c r="J459" s="17"/>
      <c r="K459" s="17"/>
      <c r="L459" s="16"/>
      <c r="M459" s="16"/>
      <c r="N459" s="16"/>
      <c r="O459" s="16"/>
      <c r="P459" s="16"/>
      <c r="U459" s="4"/>
      <c r="V459" s="4"/>
      <c r="W459" s="4"/>
      <c r="X459" s="4"/>
    </row>
    <row r="460">
      <c r="E460" s="23"/>
      <c r="F460" s="17"/>
      <c r="G460" s="17"/>
      <c r="H460" s="17"/>
      <c r="I460" s="17"/>
      <c r="J460" s="17"/>
      <c r="K460" s="17"/>
      <c r="L460" s="16"/>
      <c r="M460" s="16"/>
      <c r="N460" s="16"/>
      <c r="O460" s="16"/>
      <c r="P460" s="16"/>
      <c r="U460" s="4"/>
      <c r="V460" s="4"/>
      <c r="W460" s="4"/>
      <c r="X460" s="4"/>
    </row>
    <row r="461">
      <c r="E461" s="23"/>
      <c r="F461" s="17"/>
      <c r="G461" s="17"/>
      <c r="H461" s="17"/>
      <c r="I461" s="17"/>
      <c r="J461" s="17"/>
      <c r="K461" s="17"/>
      <c r="L461" s="16"/>
      <c r="M461" s="16"/>
      <c r="N461" s="16"/>
      <c r="O461" s="16"/>
      <c r="P461" s="16"/>
      <c r="U461" s="4"/>
      <c r="V461" s="4"/>
      <c r="W461" s="4"/>
      <c r="X461" s="4"/>
    </row>
    <row r="462">
      <c r="E462" s="23"/>
      <c r="F462" s="17"/>
      <c r="G462" s="17"/>
      <c r="H462" s="17"/>
      <c r="I462" s="17"/>
      <c r="J462" s="17"/>
      <c r="K462" s="17"/>
      <c r="L462" s="16"/>
      <c r="M462" s="16"/>
      <c r="N462" s="16"/>
      <c r="O462" s="16"/>
      <c r="P462" s="16"/>
      <c r="U462" s="4"/>
      <c r="V462" s="4"/>
      <c r="W462" s="4"/>
      <c r="X462" s="4"/>
    </row>
    <row r="463">
      <c r="E463" s="23"/>
      <c r="F463" s="17"/>
      <c r="G463" s="17"/>
      <c r="H463" s="17"/>
      <c r="I463" s="17"/>
      <c r="J463" s="17"/>
      <c r="K463" s="17"/>
      <c r="L463" s="16"/>
      <c r="M463" s="16"/>
      <c r="N463" s="16"/>
      <c r="O463" s="16"/>
      <c r="P463" s="16"/>
      <c r="U463" s="4"/>
      <c r="V463" s="4"/>
      <c r="W463" s="4"/>
      <c r="X463" s="4"/>
    </row>
    <row r="464">
      <c r="E464" s="23"/>
      <c r="F464" s="17"/>
      <c r="G464" s="17"/>
      <c r="H464" s="17"/>
      <c r="I464" s="17"/>
      <c r="J464" s="17"/>
      <c r="K464" s="17"/>
      <c r="L464" s="16"/>
      <c r="M464" s="16"/>
      <c r="N464" s="16"/>
      <c r="O464" s="16"/>
      <c r="P464" s="16"/>
      <c r="U464" s="4"/>
      <c r="V464" s="4"/>
      <c r="W464" s="4"/>
      <c r="X464" s="4"/>
    </row>
    <row r="465">
      <c r="E465" s="23"/>
      <c r="F465" s="17"/>
      <c r="G465" s="17"/>
      <c r="H465" s="17"/>
      <c r="I465" s="17"/>
      <c r="J465" s="17"/>
      <c r="K465" s="17"/>
      <c r="L465" s="16"/>
      <c r="M465" s="16"/>
      <c r="N465" s="16"/>
      <c r="O465" s="16"/>
      <c r="P465" s="16"/>
      <c r="U465" s="4"/>
      <c r="V465" s="4"/>
      <c r="W465" s="4"/>
      <c r="X465" s="4"/>
    </row>
    <row r="466">
      <c r="E466" s="23"/>
      <c r="F466" s="17"/>
      <c r="G466" s="17"/>
      <c r="H466" s="17"/>
      <c r="I466" s="17"/>
      <c r="J466" s="17"/>
      <c r="K466" s="17"/>
      <c r="L466" s="16"/>
      <c r="M466" s="16"/>
      <c r="N466" s="16"/>
      <c r="O466" s="16"/>
      <c r="P466" s="16"/>
      <c r="U466" s="4"/>
      <c r="V466" s="4"/>
      <c r="W466" s="4"/>
      <c r="X466" s="4"/>
    </row>
    <row r="467">
      <c r="E467" s="23"/>
      <c r="F467" s="17"/>
      <c r="G467" s="17"/>
      <c r="H467" s="17"/>
      <c r="I467" s="17"/>
      <c r="J467" s="17"/>
      <c r="K467" s="17"/>
      <c r="L467" s="16"/>
      <c r="M467" s="16"/>
      <c r="N467" s="16"/>
      <c r="O467" s="16"/>
      <c r="P467" s="16"/>
      <c r="U467" s="4"/>
      <c r="V467" s="4"/>
      <c r="W467" s="4"/>
      <c r="X467" s="4"/>
    </row>
    <row r="468">
      <c r="E468" s="23"/>
      <c r="F468" s="17"/>
      <c r="G468" s="17"/>
      <c r="H468" s="17"/>
      <c r="I468" s="17"/>
      <c r="J468" s="17"/>
      <c r="K468" s="17"/>
      <c r="L468" s="16"/>
      <c r="M468" s="16"/>
      <c r="N468" s="16"/>
      <c r="O468" s="16"/>
      <c r="P468" s="16"/>
      <c r="U468" s="4"/>
      <c r="V468" s="4"/>
      <c r="W468" s="4"/>
      <c r="X468" s="4"/>
    </row>
    <row r="469">
      <c r="E469" s="23"/>
      <c r="F469" s="17"/>
      <c r="G469" s="17"/>
      <c r="H469" s="17"/>
      <c r="I469" s="17"/>
      <c r="J469" s="17"/>
      <c r="K469" s="17"/>
      <c r="L469" s="16"/>
      <c r="M469" s="16"/>
      <c r="N469" s="16"/>
      <c r="O469" s="16"/>
      <c r="P469" s="16"/>
      <c r="U469" s="4"/>
      <c r="V469" s="4"/>
      <c r="W469" s="4"/>
      <c r="X469" s="4"/>
    </row>
    <row r="470">
      <c r="E470" s="23"/>
      <c r="F470" s="17"/>
      <c r="G470" s="17"/>
      <c r="H470" s="17"/>
      <c r="I470" s="17"/>
      <c r="J470" s="17"/>
      <c r="K470" s="17"/>
      <c r="L470" s="16"/>
      <c r="M470" s="16"/>
      <c r="N470" s="16"/>
      <c r="O470" s="16"/>
      <c r="P470" s="16"/>
      <c r="U470" s="4"/>
      <c r="V470" s="4"/>
      <c r="W470" s="4"/>
      <c r="X470" s="4"/>
    </row>
    <row r="471">
      <c r="E471" s="23"/>
      <c r="F471" s="17"/>
      <c r="G471" s="17"/>
      <c r="H471" s="17"/>
      <c r="I471" s="17"/>
      <c r="J471" s="17"/>
      <c r="K471" s="17"/>
      <c r="L471" s="16"/>
      <c r="M471" s="16"/>
      <c r="N471" s="16"/>
      <c r="O471" s="16"/>
      <c r="P471" s="16"/>
      <c r="U471" s="4"/>
      <c r="V471" s="4"/>
      <c r="W471" s="4"/>
      <c r="X471" s="4"/>
    </row>
    <row r="472">
      <c r="E472" s="23"/>
      <c r="F472" s="17"/>
      <c r="G472" s="17"/>
      <c r="H472" s="17"/>
      <c r="I472" s="17"/>
      <c r="J472" s="17"/>
      <c r="K472" s="17"/>
      <c r="L472" s="16"/>
      <c r="M472" s="16"/>
      <c r="N472" s="16"/>
      <c r="O472" s="16"/>
      <c r="P472" s="16"/>
      <c r="U472" s="4"/>
      <c r="V472" s="4"/>
      <c r="W472" s="4"/>
      <c r="X472" s="4"/>
    </row>
    <row r="473">
      <c r="E473" s="23"/>
      <c r="F473" s="17"/>
      <c r="G473" s="17"/>
      <c r="H473" s="17"/>
      <c r="I473" s="17"/>
      <c r="J473" s="17"/>
      <c r="K473" s="17"/>
      <c r="L473" s="16"/>
      <c r="M473" s="16"/>
      <c r="N473" s="16"/>
      <c r="O473" s="16"/>
      <c r="P473" s="16"/>
      <c r="U473" s="4"/>
      <c r="V473" s="4"/>
      <c r="W473" s="4"/>
      <c r="X473" s="4"/>
    </row>
    <row r="474">
      <c r="E474" s="23"/>
      <c r="F474" s="17"/>
      <c r="G474" s="17"/>
      <c r="H474" s="17"/>
      <c r="I474" s="17"/>
      <c r="J474" s="17"/>
      <c r="K474" s="17"/>
      <c r="L474" s="16"/>
      <c r="M474" s="16"/>
      <c r="N474" s="16"/>
      <c r="O474" s="16"/>
      <c r="P474" s="16"/>
      <c r="U474" s="4"/>
      <c r="V474" s="4"/>
      <c r="W474" s="4"/>
      <c r="X474" s="4"/>
    </row>
    <row r="475">
      <c r="E475" s="23"/>
      <c r="F475" s="17"/>
      <c r="G475" s="17"/>
      <c r="H475" s="17"/>
      <c r="I475" s="17"/>
      <c r="J475" s="17"/>
      <c r="K475" s="17"/>
      <c r="L475" s="16"/>
      <c r="M475" s="16"/>
      <c r="N475" s="16"/>
      <c r="O475" s="16"/>
      <c r="P475" s="16"/>
      <c r="U475" s="4"/>
      <c r="V475" s="4"/>
      <c r="W475" s="4"/>
      <c r="X475" s="4"/>
    </row>
    <row r="476">
      <c r="E476" s="23"/>
      <c r="F476" s="17"/>
      <c r="G476" s="17"/>
      <c r="H476" s="17"/>
      <c r="I476" s="17"/>
      <c r="J476" s="17"/>
      <c r="K476" s="17"/>
      <c r="L476" s="16"/>
      <c r="M476" s="16"/>
      <c r="N476" s="16"/>
      <c r="O476" s="16"/>
      <c r="P476" s="16"/>
      <c r="U476" s="4"/>
      <c r="V476" s="4"/>
      <c r="W476" s="4"/>
      <c r="X476" s="4"/>
    </row>
    <row r="477">
      <c r="E477" s="23"/>
      <c r="F477" s="17"/>
      <c r="G477" s="17"/>
      <c r="H477" s="17"/>
      <c r="I477" s="17"/>
      <c r="J477" s="17"/>
      <c r="K477" s="17"/>
      <c r="L477" s="16"/>
      <c r="M477" s="16"/>
      <c r="N477" s="16"/>
      <c r="O477" s="16"/>
      <c r="P477" s="16"/>
      <c r="U477" s="4"/>
      <c r="V477" s="4"/>
      <c r="W477" s="4"/>
      <c r="X477" s="4"/>
    </row>
    <row r="478">
      <c r="E478" s="23"/>
      <c r="F478" s="17"/>
      <c r="G478" s="17"/>
      <c r="H478" s="17"/>
      <c r="I478" s="17"/>
      <c r="J478" s="17"/>
      <c r="K478" s="17"/>
      <c r="L478" s="16"/>
      <c r="M478" s="16"/>
      <c r="N478" s="16"/>
      <c r="O478" s="16"/>
      <c r="P478" s="16"/>
      <c r="U478" s="4"/>
      <c r="V478" s="4"/>
      <c r="W478" s="4"/>
      <c r="X478" s="4"/>
    </row>
    <row r="479">
      <c r="E479" s="23"/>
      <c r="F479" s="17"/>
      <c r="G479" s="17"/>
      <c r="H479" s="17"/>
      <c r="I479" s="17"/>
      <c r="J479" s="17"/>
      <c r="K479" s="17"/>
      <c r="L479" s="16"/>
      <c r="M479" s="16"/>
      <c r="N479" s="16"/>
      <c r="O479" s="16"/>
      <c r="P479" s="16"/>
      <c r="U479" s="4"/>
      <c r="V479" s="4"/>
      <c r="W479" s="4"/>
      <c r="X479" s="4"/>
    </row>
    <row r="480">
      <c r="E480" s="23"/>
      <c r="F480" s="17"/>
      <c r="G480" s="17"/>
      <c r="H480" s="17"/>
      <c r="I480" s="17"/>
      <c r="J480" s="17"/>
      <c r="K480" s="17"/>
      <c r="L480" s="16"/>
      <c r="M480" s="16"/>
      <c r="N480" s="16"/>
      <c r="O480" s="16"/>
      <c r="P480" s="16"/>
      <c r="U480" s="4"/>
      <c r="V480" s="4"/>
      <c r="W480" s="4"/>
      <c r="X480" s="4"/>
    </row>
    <row r="481">
      <c r="E481" s="23"/>
      <c r="F481" s="17"/>
      <c r="G481" s="17"/>
      <c r="H481" s="17"/>
      <c r="I481" s="17"/>
      <c r="J481" s="17"/>
      <c r="K481" s="17"/>
      <c r="L481" s="16"/>
      <c r="M481" s="16"/>
      <c r="N481" s="16"/>
      <c r="O481" s="16"/>
      <c r="P481" s="16"/>
      <c r="U481" s="4"/>
      <c r="V481" s="4"/>
      <c r="W481" s="4"/>
      <c r="X481" s="4"/>
    </row>
    <row r="482">
      <c r="E482" s="23"/>
      <c r="F482" s="17"/>
      <c r="G482" s="17"/>
      <c r="H482" s="17"/>
      <c r="I482" s="17"/>
      <c r="J482" s="17"/>
      <c r="K482" s="17"/>
      <c r="L482" s="16"/>
      <c r="M482" s="16"/>
      <c r="N482" s="16"/>
      <c r="O482" s="16"/>
      <c r="P482" s="16"/>
      <c r="U482" s="4"/>
      <c r="V482" s="4"/>
      <c r="W482" s="4"/>
      <c r="X482" s="4"/>
    </row>
    <row r="483">
      <c r="E483" s="23"/>
      <c r="F483" s="17"/>
      <c r="G483" s="17"/>
      <c r="H483" s="17"/>
      <c r="I483" s="17"/>
      <c r="J483" s="17"/>
      <c r="K483" s="17"/>
      <c r="L483" s="16"/>
      <c r="M483" s="16"/>
      <c r="N483" s="16"/>
      <c r="O483" s="16"/>
      <c r="P483" s="16"/>
      <c r="U483" s="4"/>
      <c r="V483" s="4"/>
      <c r="W483" s="4"/>
      <c r="X483" s="4"/>
    </row>
    <row r="484">
      <c r="E484" s="23"/>
      <c r="F484" s="17"/>
      <c r="G484" s="17"/>
      <c r="H484" s="17"/>
      <c r="I484" s="17"/>
      <c r="J484" s="17"/>
      <c r="K484" s="17"/>
      <c r="L484" s="16"/>
      <c r="M484" s="16"/>
      <c r="N484" s="16"/>
      <c r="O484" s="16"/>
      <c r="P484" s="16"/>
      <c r="U484" s="4"/>
      <c r="V484" s="4"/>
      <c r="W484" s="4"/>
      <c r="X484" s="4"/>
    </row>
    <row r="485">
      <c r="E485" s="23"/>
      <c r="F485" s="17"/>
      <c r="G485" s="17"/>
      <c r="H485" s="17"/>
      <c r="I485" s="17"/>
      <c r="J485" s="17"/>
      <c r="K485" s="17"/>
      <c r="L485" s="16"/>
      <c r="M485" s="16"/>
      <c r="N485" s="16"/>
      <c r="O485" s="16"/>
      <c r="P485" s="16"/>
      <c r="U485" s="4"/>
      <c r="V485" s="4"/>
      <c r="W485" s="4"/>
      <c r="X485" s="4"/>
    </row>
    <row r="486">
      <c r="E486" s="23"/>
      <c r="F486" s="17"/>
      <c r="G486" s="17"/>
      <c r="H486" s="17"/>
      <c r="I486" s="17"/>
      <c r="J486" s="17"/>
      <c r="K486" s="17"/>
      <c r="L486" s="16"/>
      <c r="M486" s="16"/>
      <c r="N486" s="16"/>
      <c r="O486" s="16"/>
      <c r="P486" s="16"/>
      <c r="U486" s="4"/>
      <c r="V486" s="4"/>
      <c r="W486" s="4"/>
      <c r="X486" s="4"/>
    </row>
    <row r="487">
      <c r="E487" s="23"/>
      <c r="F487" s="17"/>
      <c r="G487" s="17"/>
      <c r="H487" s="17"/>
      <c r="I487" s="17"/>
      <c r="J487" s="17"/>
      <c r="K487" s="17"/>
      <c r="L487" s="16"/>
      <c r="M487" s="16"/>
      <c r="N487" s="16"/>
      <c r="O487" s="16"/>
      <c r="P487" s="16"/>
      <c r="U487" s="4"/>
      <c r="V487" s="4"/>
      <c r="W487" s="4"/>
      <c r="X487" s="4"/>
    </row>
    <row r="488">
      <c r="E488" s="23"/>
      <c r="F488" s="17"/>
      <c r="G488" s="17"/>
      <c r="H488" s="17"/>
      <c r="I488" s="17"/>
      <c r="J488" s="17"/>
      <c r="K488" s="17"/>
      <c r="L488" s="16"/>
      <c r="M488" s="16"/>
      <c r="N488" s="16"/>
      <c r="O488" s="16"/>
      <c r="P488" s="16"/>
      <c r="U488" s="4"/>
      <c r="V488" s="4"/>
      <c r="W488" s="4"/>
      <c r="X488" s="4"/>
    </row>
    <row r="489">
      <c r="E489" s="23"/>
      <c r="F489" s="17"/>
      <c r="G489" s="17"/>
      <c r="H489" s="17"/>
      <c r="I489" s="17"/>
      <c r="J489" s="17"/>
      <c r="K489" s="17"/>
      <c r="L489" s="16"/>
      <c r="M489" s="16"/>
      <c r="N489" s="16"/>
      <c r="O489" s="16"/>
      <c r="P489" s="16"/>
      <c r="U489" s="4"/>
      <c r="V489" s="4"/>
      <c r="W489" s="4"/>
      <c r="X489" s="4"/>
    </row>
    <row r="490">
      <c r="E490" s="23"/>
      <c r="F490" s="17"/>
      <c r="G490" s="17"/>
      <c r="H490" s="17"/>
      <c r="I490" s="17"/>
      <c r="J490" s="17"/>
      <c r="K490" s="17"/>
      <c r="L490" s="16"/>
      <c r="M490" s="16"/>
      <c r="N490" s="16"/>
      <c r="O490" s="16"/>
      <c r="P490" s="16"/>
      <c r="U490" s="4"/>
      <c r="V490" s="4"/>
      <c r="W490" s="4"/>
      <c r="X490" s="4"/>
    </row>
    <row r="491">
      <c r="E491" s="23"/>
      <c r="F491" s="17"/>
      <c r="G491" s="17"/>
      <c r="H491" s="17"/>
      <c r="I491" s="17"/>
      <c r="J491" s="17"/>
      <c r="K491" s="17"/>
      <c r="L491" s="16"/>
      <c r="M491" s="16"/>
      <c r="N491" s="16"/>
      <c r="O491" s="16"/>
      <c r="P491" s="16"/>
      <c r="U491" s="4"/>
      <c r="V491" s="4"/>
      <c r="W491" s="4"/>
      <c r="X491" s="4"/>
    </row>
    <row r="492">
      <c r="E492" s="23"/>
      <c r="F492" s="17"/>
      <c r="G492" s="17"/>
      <c r="H492" s="17"/>
      <c r="I492" s="17"/>
      <c r="J492" s="17"/>
      <c r="K492" s="17"/>
      <c r="L492" s="16"/>
      <c r="M492" s="16"/>
      <c r="N492" s="16"/>
      <c r="O492" s="16"/>
      <c r="P492" s="16"/>
      <c r="U492" s="4"/>
      <c r="V492" s="4"/>
      <c r="W492" s="4"/>
      <c r="X492" s="4"/>
    </row>
    <row r="493">
      <c r="E493" s="23"/>
      <c r="F493" s="17"/>
      <c r="G493" s="17"/>
      <c r="H493" s="17"/>
      <c r="I493" s="17"/>
      <c r="J493" s="17"/>
      <c r="K493" s="17"/>
      <c r="L493" s="16"/>
      <c r="M493" s="16"/>
      <c r="N493" s="16"/>
      <c r="O493" s="16"/>
      <c r="P493" s="16"/>
      <c r="U493" s="4"/>
      <c r="V493" s="4"/>
      <c r="W493" s="4"/>
      <c r="X493" s="4"/>
    </row>
    <row r="494">
      <c r="E494" s="23"/>
      <c r="F494" s="17"/>
      <c r="G494" s="17"/>
      <c r="H494" s="17"/>
      <c r="I494" s="17"/>
      <c r="J494" s="17"/>
      <c r="K494" s="17"/>
      <c r="L494" s="16"/>
      <c r="M494" s="16"/>
      <c r="N494" s="16"/>
      <c r="O494" s="16"/>
      <c r="P494" s="16"/>
      <c r="U494" s="4"/>
      <c r="V494" s="4"/>
      <c r="W494" s="4"/>
      <c r="X494" s="4"/>
    </row>
    <row r="495">
      <c r="E495" s="23"/>
      <c r="F495" s="17"/>
      <c r="G495" s="17"/>
      <c r="H495" s="17"/>
      <c r="I495" s="17"/>
      <c r="J495" s="17"/>
      <c r="K495" s="17"/>
      <c r="L495" s="16"/>
      <c r="M495" s="16"/>
      <c r="N495" s="16"/>
      <c r="O495" s="16"/>
      <c r="P495" s="16"/>
      <c r="U495" s="4"/>
      <c r="V495" s="4"/>
      <c r="W495" s="4"/>
      <c r="X495" s="4"/>
    </row>
    <row r="496">
      <c r="E496" s="23"/>
      <c r="F496" s="17"/>
      <c r="G496" s="17"/>
      <c r="H496" s="17"/>
      <c r="I496" s="17"/>
      <c r="J496" s="17"/>
      <c r="K496" s="17"/>
      <c r="L496" s="16"/>
      <c r="M496" s="16"/>
      <c r="N496" s="16"/>
      <c r="O496" s="16"/>
      <c r="P496" s="16"/>
      <c r="U496" s="4"/>
      <c r="V496" s="4"/>
      <c r="W496" s="4"/>
      <c r="X496" s="4"/>
    </row>
    <row r="497">
      <c r="E497" s="23"/>
      <c r="F497" s="17"/>
      <c r="G497" s="17"/>
      <c r="H497" s="17"/>
      <c r="I497" s="17"/>
      <c r="J497" s="17"/>
      <c r="K497" s="17"/>
      <c r="L497" s="16"/>
      <c r="M497" s="16"/>
      <c r="N497" s="16"/>
      <c r="O497" s="16"/>
      <c r="P497" s="16"/>
      <c r="U497" s="4"/>
      <c r="V497" s="4"/>
      <c r="W497" s="4"/>
      <c r="X497" s="4"/>
    </row>
    <row r="498">
      <c r="E498" s="23"/>
      <c r="F498" s="17"/>
      <c r="G498" s="17"/>
      <c r="H498" s="17"/>
      <c r="I498" s="17"/>
      <c r="J498" s="17"/>
      <c r="K498" s="17"/>
      <c r="L498" s="16"/>
      <c r="M498" s="16"/>
      <c r="N498" s="16"/>
      <c r="O498" s="16"/>
      <c r="P498" s="16"/>
      <c r="U498" s="4"/>
      <c r="V498" s="4"/>
      <c r="W498" s="4"/>
      <c r="X498" s="4"/>
    </row>
    <row r="499">
      <c r="E499" s="23"/>
      <c r="F499" s="17"/>
      <c r="G499" s="17"/>
      <c r="H499" s="17"/>
      <c r="I499" s="17"/>
      <c r="J499" s="17"/>
      <c r="K499" s="17"/>
      <c r="L499" s="16"/>
      <c r="M499" s="16"/>
      <c r="N499" s="16"/>
      <c r="O499" s="16"/>
      <c r="P499" s="16"/>
      <c r="U499" s="4"/>
      <c r="V499" s="4"/>
      <c r="W499" s="4"/>
      <c r="X499" s="4"/>
    </row>
    <row r="500">
      <c r="E500" s="23"/>
      <c r="F500" s="17"/>
      <c r="G500" s="17"/>
      <c r="H500" s="17"/>
      <c r="I500" s="17"/>
      <c r="J500" s="17"/>
      <c r="K500" s="17"/>
      <c r="L500" s="16"/>
      <c r="M500" s="16"/>
      <c r="N500" s="16"/>
      <c r="O500" s="16"/>
      <c r="P500" s="16"/>
      <c r="U500" s="4"/>
      <c r="V500" s="4"/>
      <c r="W500" s="4"/>
      <c r="X500" s="4"/>
    </row>
    <row r="501">
      <c r="E501" s="23"/>
      <c r="F501" s="17"/>
      <c r="G501" s="17"/>
      <c r="H501" s="17"/>
      <c r="I501" s="17"/>
      <c r="J501" s="17"/>
      <c r="K501" s="17"/>
      <c r="L501" s="16"/>
      <c r="M501" s="16"/>
      <c r="N501" s="16"/>
      <c r="O501" s="16"/>
      <c r="P501" s="16"/>
      <c r="U501" s="4"/>
      <c r="V501" s="4"/>
      <c r="W501" s="4"/>
      <c r="X501" s="4"/>
    </row>
    <row r="502">
      <c r="E502" s="23"/>
      <c r="F502" s="17"/>
      <c r="G502" s="17"/>
      <c r="H502" s="17"/>
      <c r="I502" s="17"/>
      <c r="J502" s="17"/>
      <c r="K502" s="17"/>
      <c r="L502" s="16"/>
      <c r="M502" s="16"/>
      <c r="N502" s="16"/>
      <c r="O502" s="16"/>
      <c r="P502" s="16"/>
      <c r="U502" s="4"/>
      <c r="V502" s="4"/>
      <c r="W502" s="4"/>
      <c r="X502" s="4"/>
    </row>
    <row r="503">
      <c r="E503" s="23"/>
      <c r="F503" s="17"/>
      <c r="G503" s="17"/>
      <c r="H503" s="17"/>
      <c r="I503" s="17"/>
      <c r="J503" s="17"/>
      <c r="K503" s="17"/>
      <c r="L503" s="16"/>
      <c r="M503" s="16"/>
      <c r="N503" s="16"/>
      <c r="O503" s="16"/>
      <c r="P503" s="16"/>
      <c r="U503" s="4"/>
      <c r="V503" s="4"/>
      <c r="W503" s="4"/>
      <c r="X503" s="4"/>
    </row>
    <row r="504">
      <c r="E504" s="23"/>
      <c r="F504" s="17"/>
      <c r="G504" s="17"/>
      <c r="H504" s="17"/>
      <c r="I504" s="17"/>
      <c r="J504" s="17"/>
      <c r="K504" s="17"/>
      <c r="L504" s="16"/>
      <c r="M504" s="16"/>
      <c r="N504" s="16"/>
      <c r="O504" s="16"/>
      <c r="P504" s="16"/>
      <c r="U504" s="4"/>
      <c r="V504" s="4"/>
      <c r="W504" s="4"/>
      <c r="X504" s="4"/>
    </row>
    <row r="505">
      <c r="E505" s="23"/>
      <c r="F505" s="17"/>
      <c r="G505" s="17"/>
      <c r="H505" s="17"/>
      <c r="I505" s="17"/>
      <c r="J505" s="17"/>
      <c r="K505" s="17"/>
      <c r="L505" s="16"/>
      <c r="M505" s="16"/>
      <c r="N505" s="16"/>
      <c r="O505" s="16"/>
      <c r="P505" s="16"/>
      <c r="U505" s="4"/>
      <c r="V505" s="4"/>
      <c r="W505" s="4"/>
      <c r="X505" s="4"/>
    </row>
    <row r="506">
      <c r="E506" s="23"/>
      <c r="F506" s="17"/>
      <c r="G506" s="17"/>
      <c r="H506" s="17"/>
      <c r="I506" s="17"/>
      <c r="J506" s="17"/>
      <c r="K506" s="17"/>
      <c r="L506" s="16"/>
      <c r="M506" s="16"/>
      <c r="N506" s="16"/>
      <c r="O506" s="16"/>
      <c r="P506" s="16"/>
      <c r="U506" s="4"/>
      <c r="V506" s="4"/>
      <c r="W506" s="4"/>
      <c r="X506" s="4"/>
    </row>
    <row r="507">
      <c r="E507" s="23"/>
      <c r="F507" s="17"/>
      <c r="G507" s="17"/>
      <c r="H507" s="17"/>
      <c r="I507" s="17"/>
      <c r="J507" s="17"/>
      <c r="K507" s="17"/>
      <c r="L507" s="16"/>
      <c r="M507" s="16"/>
      <c r="N507" s="16"/>
      <c r="O507" s="16"/>
      <c r="P507" s="16"/>
      <c r="U507" s="4"/>
      <c r="V507" s="4"/>
      <c r="W507" s="4"/>
      <c r="X507" s="4"/>
    </row>
    <row r="508">
      <c r="E508" s="23"/>
      <c r="F508" s="17"/>
      <c r="G508" s="17"/>
      <c r="H508" s="17"/>
      <c r="I508" s="17"/>
      <c r="J508" s="17"/>
      <c r="K508" s="17"/>
      <c r="L508" s="16"/>
      <c r="M508" s="16"/>
      <c r="N508" s="16"/>
      <c r="O508" s="16"/>
      <c r="P508" s="16"/>
      <c r="U508" s="4"/>
      <c r="V508" s="4"/>
      <c r="W508" s="4"/>
      <c r="X508" s="4"/>
    </row>
    <row r="509">
      <c r="E509" s="23"/>
      <c r="F509" s="17"/>
      <c r="G509" s="17"/>
      <c r="H509" s="17"/>
      <c r="I509" s="17"/>
      <c r="J509" s="17"/>
      <c r="K509" s="17"/>
      <c r="L509" s="16"/>
      <c r="M509" s="16"/>
      <c r="N509" s="16"/>
      <c r="O509" s="16"/>
      <c r="P509" s="16"/>
      <c r="U509" s="4"/>
      <c r="V509" s="4"/>
      <c r="W509" s="4"/>
      <c r="X509" s="4"/>
    </row>
    <row r="510">
      <c r="E510" s="23"/>
      <c r="F510" s="17"/>
      <c r="G510" s="17"/>
      <c r="H510" s="17"/>
      <c r="I510" s="17"/>
      <c r="J510" s="17"/>
      <c r="K510" s="17"/>
      <c r="L510" s="16"/>
      <c r="M510" s="16"/>
      <c r="N510" s="16"/>
      <c r="O510" s="16"/>
      <c r="P510" s="16"/>
      <c r="U510" s="4"/>
      <c r="V510" s="4"/>
      <c r="W510" s="4"/>
      <c r="X510" s="4"/>
    </row>
    <row r="511">
      <c r="E511" s="23"/>
      <c r="F511" s="17"/>
      <c r="G511" s="17"/>
      <c r="H511" s="17"/>
      <c r="I511" s="17"/>
      <c r="J511" s="17"/>
      <c r="K511" s="17"/>
      <c r="L511" s="16"/>
      <c r="M511" s="16"/>
      <c r="N511" s="16"/>
      <c r="O511" s="16"/>
      <c r="P511" s="16"/>
      <c r="U511" s="4"/>
      <c r="V511" s="4"/>
      <c r="W511" s="4"/>
      <c r="X511" s="4"/>
    </row>
    <row r="512">
      <c r="E512" s="23"/>
      <c r="F512" s="17"/>
      <c r="G512" s="17"/>
      <c r="H512" s="17"/>
      <c r="I512" s="17"/>
      <c r="J512" s="17"/>
      <c r="K512" s="17"/>
      <c r="L512" s="16"/>
      <c r="M512" s="16"/>
      <c r="N512" s="16"/>
      <c r="O512" s="16"/>
      <c r="P512" s="16"/>
      <c r="U512" s="4"/>
      <c r="V512" s="4"/>
      <c r="W512" s="4"/>
      <c r="X512" s="4"/>
    </row>
    <row r="513">
      <c r="E513" s="23"/>
      <c r="F513" s="17"/>
      <c r="G513" s="17"/>
      <c r="H513" s="17"/>
      <c r="I513" s="17"/>
      <c r="J513" s="17"/>
      <c r="K513" s="17"/>
      <c r="L513" s="16"/>
      <c r="M513" s="16"/>
      <c r="N513" s="16"/>
      <c r="O513" s="16"/>
      <c r="P513" s="16"/>
      <c r="U513" s="4"/>
      <c r="V513" s="4"/>
      <c r="W513" s="4"/>
      <c r="X513" s="4"/>
    </row>
    <row r="514">
      <c r="E514" s="23"/>
      <c r="F514" s="17"/>
      <c r="G514" s="17"/>
      <c r="H514" s="17"/>
      <c r="I514" s="17"/>
      <c r="J514" s="17"/>
      <c r="K514" s="17"/>
      <c r="L514" s="16"/>
      <c r="M514" s="16"/>
      <c r="N514" s="16"/>
      <c r="O514" s="16"/>
      <c r="P514" s="16"/>
      <c r="U514" s="4"/>
      <c r="V514" s="4"/>
      <c r="W514" s="4"/>
      <c r="X514" s="4"/>
    </row>
    <row r="515">
      <c r="E515" s="23"/>
      <c r="F515" s="17"/>
      <c r="G515" s="17"/>
      <c r="H515" s="17"/>
      <c r="I515" s="17"/>
      <c r="J515" s="17"/>
      <c r="K515" s="17"/>
      <c r="L515" s="16"/>
      <c r="M515" s="16"/>
      <c r="N515" s="16"/>
      <c r="O515" s="16"/>
      <c r="P515" s="16"/>
      <c r="U515" s="4"/>
      <c r="V515" s="4"/>
      <c r="W515" s="4"/>
      <c r="X515" s="4"/>
    </row>
    <row r="516">
      <c r="E516" s="23"/>
      <c r="F516" s="17"/>
      <c r="G516" s="17"/>
      <c r="H516" s="17"/>
      <c r="I516" s="17"/>
      <c r="J516" s="17"/>
      <c r="K516" s="17"/>
      <c r="L516" s="16"/>
      <c r="M516" s="16"/>
      <c r="N516" s="16"/>
      <c r="O516" s="16"/>
      <c r="P516" s="16"/>
      <c r="U516" s="4"/>
      <c r="V516" s="4"/>
      <c r="W516" s="4"/>
      <c r="X516" s="4"/>
    </row>
    <row r="517">
      <c r="E517" s="23"/>
      <c r="F517" s="17"/>
      <c r="G517" s="17"/>
      <c r="H517" s="17"/>
      <c r="I517" s="17"/>
      <c r="J517" s="17"/>
      <c r="K517" s="17"/>
      <c r="L517" s="16"/>
      <c r="M517" s="16"/>
      <c r="N517" s="16"/>
      <c r="O517" s="16"/>
      <c r="P517" s="16"/>
      <c r="U517" s="4"/>
      <c r="V517" s="4"/>
      <c r="W517" s="4"/>
      <c r="X517" s="4"/>
    </row>
    <row r="518">
      <c r="E518" s="23"/>
      <c r="F518" s="17"/>
      <c r="G518" s="17"/>
      <c r="H518" s="17"/>
      <c r="I518" s="17"/>
      <c r="J518" s="17"/>
      <c r="K518" s="17"/>
      <c r="L518" s="16"/>
      <c r="M518" s="16"/>
      <c r="N518" s="16"/>
      <c r="O518" s="16"/>
      <c r="P518" s="16"/>
      <c r="U518" s="4"/>
      <c r="V518" s="4"/>
      <c r="W518" s="4"/>
      <c r="X518" s="4"/>
    </row>
    <row r="519">
      <c r="E519" s="23"/>
      <c r="F519" s="17"/>
      <c r="G519" s="17"/>
      <c r="H519" s="17"/>
      <c r="I519" s="17"/>
      <c r="J519" s="17"/>
      <c r="K519" s="17"/>
      <c r="L519" s="16"/>
      <c r="M519" s="16"/>
      <c r="N519" s="16"/>
      <c r="O519" s="16"/>
      <c r="P519" s="16"/>
      <c r="U519" s="4"/>
      <c r="V519" s="4"/>
      <c r="W519" s="4"/>
      <c r="X519" s="4"/>
    </row>
    <row r="520">
      <c r="E520" s="23"/>
      <c r="F520" s="17"/>
      <c r="G520" s="17"/>
      <c r="H520" s="17"/>
      <c r="I520" s="17"/>
      <c r="J520" s="17"/>
      <c r="K520" s="17"/>
      <c r="L520" s="16"/>
      <c r="M520" s="16"/>
      <c r="N520" s="16"/>
      <c r="O520" s="16"/>
      <c r="P520" s="16"/>
      <c r="U520" s="4"/>
      <c r="V520" s="4"/>
      <c r="W520" s="4"/>
      <c r="X520" s="4"/>
    </row>
    <row r="521">
      <c r="E521" s="23"/>
      <c r="F521" s="17"/>
      <c r="G521" s="17"/>
      <c r="H521" s="17"/>
      <c r="I521" s="17"/>
      <c r="J521" s="17"/>
      <c r="K521" s="17"/>
      <c r="L521" s="16"/>
      <c r="M521" s="16"/>
      <c r="N521" s="16"/>
      <c r="O521" s="16"/>
      <c r="P521" s="16"/>
      <c r="U521" s="4"/>
      <c r="V521" s="4"/>
      <c r="W521" s="4"/>
      <c r="X521" s="4"/>
    </row>
    <row r="522">
      <c r="E522" s="23"/>
      <c r="F522" s="17"/>
      <c r="G522" s="17"/>
      <c r="H522" s="17"/>
      <c r="I522" s="17"/>
      <c r="J522" s="17"/>
      <c r="K522" s="17"/>
      <c r="L522" s="16"/>
      <c r="M522" s="16"/>
      <c r="N522" s="16"/>
      <c r="O522" s="16"/>
      <c r="P522" s="16"/>
      <c r="U522" s="4"/>
      <c r="V522" s="4"/>
      <c r="W522" s="4"/>
      <c r="X522" s="4"/>
    </row>
    <row r="523">
      <c r="E523" s="23"/>
      <c r="F523" s="17"/>
      <c r="G523" s="17"/>
      <c r="H523" s="17"/>
      <c r="I523" s="17"/>
      <c r="J523" s="17"/>
      <c r="K523" s="17"/>
      <c r="L523" s="16"/>
      <c r="M523" s="16"/>
      <c r="N523" s="16"/>
      <c r="O523" s="16"/>
      <c r="P523" s="16"/>
      <c r="U523" s="4"/>
      <c r="V523" s="4"/>
      <c r="W523" s="4"/>
      <c r="X523" s="4"/>
    </row>
    <row r="524">
      <c r="E524" s="23"/>
      <c r="F524" s="17"/>
      <c r="G524" s="17"/>
      <c r="H524" s="17"/>
      <c r="I524" s="17"/>
      <c r="J524" s="17"/>
      <c r="K524" s="17"/>
      <c r="L524" s="16"/>
      <c r="M524" s="16"/>
      <c r="N524" s="16"/>
      <c r="O524" s="16"/>
      <c r="P524" s="16"/>
      <c r="U524" s="4"/>
      <c r="V524" s="4"/>
      <c r="W524" s="4"/>
      <c r="X524" s="4"/>
    </row>
    <row r="525">
      <c r="E525" s="23"/>
      <c r="F525" s="17"/>
      <c r="G525" s="17"/>
      <c r="H525" s="17"/>
      <c r="I525" s="17"/>
      <c r="J525" s="17"/>
      <c r="K525" s="17"/>
      <c r="L525" s="16"/>
      <c r="M525" s="16"/>
      <c r="N525" s="16"/>
      <c r="O525" s="16"/>
      <c r="P525" s="16"/>
      <c r="U525" s="4"/>
      <c r="V525" s="4"/>
      <c r="W525" s="4"/>
      <c r="X525" s="4"/>
    </row>
    <row r="526">
      <c r="E526" s="23"/>
      <c r="F526" s="17"/>
      <c r="G526" s="17"/>
      <c r="H526" s="17"/>
      <c r="I526" s="17"/>
      <c r="J526" s="17"/>
      <c r="K526" s="17"/>
      <c r="L526" s="16"/>
      <c r="M526" s="16"/>
      <c r="N526" s="16"/>
      <c r="O526" s="16"/>
      <c r="P526" s="16"/>
      <c r="U526" s="4"/>
      <c r="V526" s="4"/>
      <c r="W526" s="4"/>
      <c r="X526" s="4"/>
    </row>
    <row r="527">
      <c r="E527" s="23"/>
      <c r="F527" s="17"/>
      <c r="G527" s="17"/>
      <c r="H527" s="17"/>
      <c r="I527" s="17"/>
      <c r="J527" s="17"/>
      <c r="K527" s="17"/>
      <c r="L527" s="16"/>
      <c r="M527" s="16"/>
      <c r="N527" s="16"/>
      <c r="O527" s="16"/>
      <c r="P527" s="16"/>
      <c r="U527" s="4"/>
      <c r="V527" s="4"/>
      <c r="W527" s="4"/>
      <c r="X527" s="4"/>
    </row>
    <row r="528">
      <c r="E528" s="23"/>
      <c r="F528" s="17"/>
      <c r="G528" s="17"/>
      <c r="H528" s="17"/>
      <c r="I528" s="17"/>
      <c r="J528" s="17"/>
      <c r="K528" s="17"/>
      <c r="L528" s="16"/>
      <c r="M528" s="16"/>
      <c r="N528" s="16"/>
      <c r="O528" s="16"/>
      <c r="P528" s="16"/>
      <c r="U528" s="4"/>
      <c r="V528" s="4"/>
      <c r="W528" s="4"/>
      <c r="X528" s="4"/>
    </row>
    <row r="529">
      <c r="E529" s="23"/>
      <c r="F529" s="17"/>
      <c r="G529" s="17"/>
      <c r="H529" s="17"/>
      <c r="I529" s="17"/>
      <c r="J529" s="17"/>
      <c r="K529" s="17"/>
      <c r="L529" s="16"/>
      <c r="M529" s="16"/>
      <c r="N529" s="16"/>
      <c r="O529" s="16"/>
      <c r="P529" s="16"/>
      <c r="U529" s="4"/>
      <c r="V529" s="4"/>
      <c r="W529" s="4"/>
      <c r="X529" s="4"/>
    </row>
    <row r="530">
      <c r="E530" s="23"/>
      <c r="F530" s="17"/>
      <c r="G530" s="17"/>
      <c r="H530" s="17"/>
      <c r="I530" s="17"/>
      <c r="J530" s="17"/>
      <c r="K530" s="17"/>
      <c r="L530" s="16"/>
      <c r="M530" s="16"/>
      <c r="N530" s="16"/>
      <c r="O530" s="16"/>
      <c r="P530" s="16"/>
      <c r="U530" s="4"/>
      <c r="V530" s="4"/>
      <c r="W530" s="4"/>
      <c r="X530" s="4"/>
    </row>
    <row r="531">
      <c r="E531" s="23"/>
      <c r="F531" s="17"/>
      <c r="G531" s="17"/>
      <c r="H531" s="17"/>
      <c r="I531" s="17"/>
      <c r="J531" s="17"/>
      <c r="K531" s="17"/>
      <c r="L531" s="16"/>
      <c r="M531" s="16"/>
      <c r="N531" s="16"/>
      <c r="O531" s="16"/>
      <c r="P531" s="16"/>
      <c r="U531" s="4"/>
      <c r="V531" s="4"/>
      <c r="W531" s="4"/>
      <c r="X531" s="4"/>
    </row>
    <row r="532">
      <c r="E532" s="23"/>
      <c r="F532" s="17"/>
      <c r="G532" s="17"/>
      <c r="H532" s="17"/>
      <c r="I532" s="17"/>
      <c r="J532" s="17"/>
      <c r="K532" s="17"/>
      <c r="L532" s="16"/>
      <c r="M532" s="16"/>
      <c r="N532" s="16"/>
      <c r="O532" s="16"/>
      <c r="P532" s="16"/>
      <c r="U532" s="4"/>
      <c r="V532" s="4"/>
      <c r="W532" s="4"/>
      <c r="X532" s="4"/>
    </row>
    <row r="533">
      <c r="E533" s="23"/>
      <c r="F533" s="17"/>
      <c r="G533" s="17"/>
      <c r="H533" s="17"/>
      <c r="I533" s="17"/>
      <c r="J533" s="17"/>
      <c r="K533" s="17"/>
      <c r="L533" s="16"/>
      <c r="M533" s="16"/>
      <c r="N533" s="16"/>
      <c r="O533" s="16"/>
      <c r="P533" s="16"/>
      <c r="U533" s="4"/>
      <c r="V533" s="4"/>
      <c r="W533" s="4"/>
      <c r="X533" s="4"/>
    </row>
    <row r="534">
      <c r="E534" s="23"/>
      <c r="F534" s="17"/>
      <c r="G534" s="17"/>
      <c r="H534" s="17"/>
      <c r="I534" s="17"/>
      <c r="J534" s="17"/>
      <c r="K534" s="17"/>
      <c r="L534" s="16"/>
      <c r="M534" s="16"/>
      <c r="N534" s="16"/>
      <c r="O534" s="16"/>
      <c r="P534" s="16"/>
      <c r="U534" s="4"/>
      <c r="V534" s="4"/>
      <c r="W534" s="4"/>
      <c r="X534" s="4"/>
    </row>
    <row r="535">
      <c r="E535" s="23"/>
      <c r="F535" s="17"/>
      <c r="G535" s="17"/>
      <c r="H535" s="17"/>
      <c r="I535" s="17"/>
      <c r="J535" s="17"/>
      <c r="K535" s="17"/>
      <c r="L535" s="16"/>
      <c r="M535" s="16"/>
      <c r="N535" s="16"/>
      <c r="O535" s="16"/>
      <c r="P535" s="16"/>
      <c r="U535" s="4"/>
      <c r="V535" s="4"/>
      <c r="W535" s="4"/>
      <c r="X535" s="4"/>
    </row>
    <row r="536">
      <c r="E536" s="23"/>
      <c r="F536" s="17"/>
      <c r="G536" s="17"/>
      <c r="H536" s="17"/>
      <c r="I536" s="17"/>
      <c r="J536" s="17"/>
      <c r="K536" s="17"/>
      <c r="L536" s="16"/>
      <c r="M536" s="16"/>
      <c r="N536" s="16"/>
      <c r="O536" s="16"/>
      <c r="P536" s="16"/>
      <c r="U536" s="4"/>
      <c r="V536" s="4"/>
      <c r="W536" s="4"/>
      <c r="X536" s="4"/>
    </row>
    <row r="537">
      <c r="E537" s="23"/>
      <c r="F537" s="17"/>
      <c r="G537" s="17"/>
      <c r="H537" s="17"/>
      <c r="I537" s="17"/>
      <c r="J537" s="17"/>
      <c r="K537" s="17"/>
      <c r="L537" s="16"/>
      <c r="M537" s="16"/>
      <c r="N537" s="16"/>
      <c r="O537" s="16"/>
      <c r="P537" s="16"/>
      <c r="U537" s="4"/>
      <c r="V537" s="4"/>
      <c r="W537" s="4"/>
      <c r="X537" s="4"/>
    </row>
    <row r="538">
      <c r="E538" s="23"/>
      <c r="F538" s="17"/>
      <c r="G538" s="17"/>
      <c r="H538" s="17"/>
      <c r="I538" s="17"/>
      <c r="J538" s="17"/>
      <c r="K538" s="17"/>
      <c r="L538" s="16"/>
      <c r="M538" s="16"/>
      <c r="N538" s="16"/>
      <c r="O538" s="16"/>
      <c r="P538" s="16"/>
      <c r="U538" s="4"/>
      <c r="V538" s="4"/>
      <c r="W538" s="4"/>
      <c r="X538" s="4"/>
    </row>
    <row r="539">
      <c r="E539" s="23"/>
      <c r="F539" s="17"/>
      <c r="G539" s="17"/>
      <c r="H539" s="17"/>
      <c r="I539" s="17"/>
      <c r="J539" s="17"/>
      <c r="K539" s="17"/>
      <c r="L539" s="16"/>
      <c r="M539" s="16"/>
      <c r="N539" s="16"/>
      <c r="O539" s="16"/>
      <c r="P539" s="16"/>
      <c r="U539" s="4"/>
      <c r="V539" s="4"/>
      <c r="W539" s="4"/>
      <c r="X539" s="4"/>
    </row>
    <row r="540">
      <c r="E540" s="23"/>
      <c r="F540" s="17"/>
      <c r="G540" s="17"/>
      <c r="H540" s="17"/>
      <c r="I540" s="17"/>
      <c r="J540" s="17"/>
      <c r="K540" s="17"/>
      <c r="L540" s="16"/>
      <c r="M540" s="16"/>
      <c r="N540" s="16"/>
      <c r="O540" s="16"/>
      <c r="P540" s="16"/>
      <c r="U540" s="4"/>
      <c r="V540" s="4"/>
      <c r="W540" s="4"/>
      <c r="X540" s="4"/>
    </row>
    <row r="541">
      <c r="E541" s="23"/>
      <c r="F541" s="17"/>
      <c r="G541" s="17"/>
      <c r="H541" s="17"/>
      <c r="I541" s="17"/>
      <c r="J541" s="17"/>
      <c r="K541" s="17"/>
      <c r="L541" s="16"/>
      <c r="M541" s="16"/>
      <c r="N541" s="16"/>
      <c r="O541" s="16"/>
      <c r="P541" s="16"/>
      <c r="U541" s="4"/>
      <c r="V541" s="4"/>
      <c r="W541" s="4"/>
      <c r="X541" s="4"/>
    </row>
    <row r="542">
      <c r="E542" s="23"/>
      <c r="F542" s="17"/>
      <c r="G542" s="17"/>
      <c r="H542" s="17"/>
      <c r="I542" s="17"/>
      <c r="J542" s="17"/>
      <c r="K542" s="17"/>
      <c r="L542" s="16"/>
      <c r="M542" s="16"/>
      <c r="N542" s="16"/>
      <c r="O542" s="16"/>
      <c r="P542" s="16"/>
      <c r="U542" s="4"/>
      <c r="V542" s="4"/>
      <c r="W542" s="4"/>
      <c r="X542" s="4"/>
    </row>
    <row r="543">
      <c r="E543" s="23"/>
      <c r="F543" s="17"/>
      <c r="G543" s="17"/>
      <c r="H543" s="17"/>
      <c r="I543" s="17"/>
      <c r="J543" s="17"/>
      <c r="K543" s="17"/>
      <c r="L543" s="16"/>
      <c r="M543" s="16"/>
      <c r="N543" s="16"/>
      <c r="O543" s="16"/>
      <c r="P543" s="16"/>
      <c r="U543" s="4"/>
      <c r="V543" s="4"/>
      <c r="W543" s="4"/>
      <c r="X543" s="4"/>
    </row>
    <row r="544">
      <c r="E544" s="23"/>
      <c r="F544" s="17"/>
      <c r="G544" s="17"/>
      <c r="H544" s="17"/>
      <c r="I544" s="17"/>
      <c r="J544" s="17"/>
      <c r="K544" s="17"/>
      <c r="L544" s="16"/>
      <c r="M544" s="16"/>
      <c r="N544" s="16"/>
      <c r="O544" s="16"/>
      <c r="P544" s="16"/>
      <c r="U544" s="4"/>
      <c r="V544" s="4"/>
      <c r="W544" s="4"/>
      <c r="X544" s="4"/>
    </row>
    <row r="545">
      <c r="E545" s="23"/>
      <c r="F545" s="17"/>
      <c r="G545" s="17"/>
      <c r="H545" s="17"/>
      <c r="I545" s="17"/>
      <c r="J545" s="17"/>
      <c r="K545" s="17"/>
      <c r="L545" s="16"/>
      <c r="M545" s="16"/>
      <c r="N545" s="16"/>
      <c r="O545" s="16"/>
      <c r="P545" s="16"/>
      <c r="U545" s="4"/>
      <c r="V545" s="4"/>
      <c r="W545" s="4"/>
      <c r="X545" s="4"/>
    </row>
    <row r="546">
      <c r="E546" s="23"/>
      <c r="F546" s="17"/>
      <c r="G546" s="17"/>
      <c r="H546" s="17"/>
      <c r="I546" s="17"/>
      <c r="J546" s="17"/>
      <c r="K546" s="17"/>
      <c r="L546" s="16"/>
      <c r="M546" s="16"/>
      <c r="N546" s="16"/>
      <c r="O546" s="16"/>
      <c r="P546" s="16"/>
      <c r="U546" s="4"/>
      <c r="V546" s="4"/>
      <c r="W546" s="4"/>
      <c r="X546" s="4"/>
    </row>
    <row r="547">
      <c r="E547" s="23"/>
      <c r="F547" s="17"/>
      <c r="G547" s="17"/>
      <c r="H547" s="17"/>
      <c r="I547" s="17"/>
      <c r="J547" s="17"/>
      <c r="K547" s="17"/>
      <c r="L547" s="16"/>
      <c r="M547" s="16"/>
      <c r="N547" s="16"/>
      <c r="O547" s="16"/>
      <c r="P547" s="16"/>
      <c r="U547" s="4"/>
      <c r="V547" s="4"/>
      <c r="W547" s="4"/>
      <c r="X547" s="4"/>
    </row>
    <row r="548">
      <c r="E548" s="23"/>
      <c r="F548" s="17"/>
      <c r="G548" s="17"/>
      <c r="H548" s="17"/>
      <c r="I548" s="17"/>
      <c r="J548" s="17"/>
      <c r="K548" s="17"/>
      <c r="L548" s="16"/>
      <c r="M548" s="16"/>
      <c r="N548" s="16"/>
      <c r="O548" s="16"/>
      <c r="P548" s="16"/>
      <c r="U548" s="4"/>
      <c r="V548" s="4"/>
      <c r="W548" s="4"/>
      <c r="X548" s="4"/>
    </row>
    <row r="549">
      <c r="E549" s="23"/>
      <c r="F549" s="17"/>
      <c r="G549" s="17"/>
      <c r="H549" s="17"/>
      <c r="I549" s="17"/>
      <c r="J549" s="17"/>
      <c r="K549" s="17"/>
      <c r="L549" s="16"/>
      <c r="M549" s="16"/>
      <c r="N549" s="16"/>
      <c r="O549" s="16"/>
      <c r="P549" s="16"/>
      <c r="U549" s="4"/>
      <c r="V549" s="4"/>
      <c r="W549" s="4"/>
      <c r="X549" s="4"/>
    </row>
    <row r="550">
      <c r="E550" s="23"/>
      <c r="F550" s="17"/>
      <c r="G550" s="17"/>
      <c r="H550" s="17"/>
      <c r="I550" s="17"/>
      <c r="J550" s="17"/>
      <c r="K550" s="17"/>
      <c r="L550" s="16"/>
      <c r="M550" s="16"/>
      <c r="N550" s="16"/>
      <c r="O550" s="16"/>
      <c r="P550" s="16"/>
      <c r="U550" s="4"/>
      <c r="V550" s="4"/>
      <c r="W550" s="4"/>
      <c r="X550" s="4"/>
    </row>
    <row r="551">
      <c r="E551" s="23"/>
      <c r="F551" s="17"/>
      <c r="G551" s="17"/>
      <c r="H551" s="17"/>
      <c r="I551" s="17"/>
      <c r="J551" s="17"/>
      <c r="K551" s="17"/>
      <c r="L551" s="16"/>
      <c r="M551" s="16"/>
      <c r="N551" s="16"/>
      <c r="O551" s="16"/>
      <c r="P551" s="16"/>
      <c r="U551" s="4"/>
      <c r="V551" s="4"/>
      <c r="W551" s="4"/>
      <c r="X551" s="4"/>
    </row>
    <row r="552">
      <c r="E552" s="23"/>
      <c r="F552" s="17"/>
      <c r="G552" s="17"/>
      <c r="H552" s="17"/>
      <c r="I552" s="17"/>
      <c r="J552" s="17"/>
      <c r="K552" s="17"/>
      <c r="L552" s="16"/>
      <c r="M552" s="16"/>
      <c r="N552" s="16"/>
      <c r="O552" s="16"/>
      <c r="P552" s="16"/>
      <c r="U552" s="4"/>
      <c r="V552" s="4"/>
      <c r="W552" s="4"/>
      <c r="X552" s="4"/>
    </row>
    <row r="553">
      <c r="E553" s="23"/>
      <c r="F553" s="17"/>
      <c r="G553" s="17"/>
      <c r="H553" s="17"/>
      <c r="I553" s="17"/>
      <c r="J553" s="17"/>
      <c r="K553" s="17"/>
      <c r="L553" s="16"/>
      <c r="M553" s="16"/>
      <c r="N553" s="16"/>
      <c r="O553" s="16"/>
      <c r="P553" s="16"/>
      <c r="U553" s="4"/>
      <c r="V553" s="4"/>
      <c r="W553" s="4"/>
      <c r="X553" s="4"/>
    </row>
    <row r="554">
      <c r="E554" s="23"/>
      <c r="F554" s="17"/>
      <c r="G554" s="17"/>
      <c r="H554" s="17"/>
      <c r="I554" s="17"/>
      <c r="J554" s="17"/>
      <c r="K554" s="17"/>
      <c r="L554" s="16"/>
      <c r="M554" s="16"/>
      <c r="N554" s="16"/>
      <c r="O554" s="16"/>
      <c r="P554" s="16"/>
      <c r="U554" s="4"/>
      <c r="V554" s="4"/>
      <c r="W554" s="4"/>
      <c r="X554" s="4"/>
    </row>
    <row r="555">
      <c r="E555" s="23"/>
      <c r="F555" s="17"/>
      <c r="G555" s="17"/>
      <c r="H555" s="17"/>
      <c r="I555" s="17"/>
      <c r="J555" s="17"/>
      <c r="K555" s="17"/>
      <c r="L555" s="16"/>
      <c r="M555" s="16"/>
      <c r="N555" s="16"/>
      <c r="O555" s="16"/>
      <c r="P555" s="16"/>
      <c r="U555" s="4"/>
      <c r="V555" s="4"/>
      <c r="W555" s="4"/>
      <c r="X555" s="4"/>
    </row>
    <row r="556">
      <c r="E556" s="23"/>
      <c r="F556" s="17"/>
      <c r="G556" s="17"/>
      <c r="H556" s="17"/>
      <c r="I556" s="17"/>
      <c r="J556" s="17"/>
      <c r="K556" s="17"/>
      <c r="L556" s="16"/>
      <c r="M556" s="16"/>
      <c r="N556" s="16"/>
      <c r="O556" s="16"/>
      <c r="P556" s="16"/>
      <c r="U556" s="4"/>
      <c r="V556" s="4"/>
      <c r="W556" s="4"/>
      <c r="X556" s="4"/>
    </row>
    <row r="557">
      <c r="E557" s="23"/>
      <c r="F557" s="17"/>
      <c r="G557" s="17"/>
      <c r="H557" s="17"/>
      <c r="I557" s="17"/>
      <c r="J557" s="17"/>
      <c r="K557" s="17"/>
      <c r="L557" s="16"/>
      <c r="M557" s="16"/>
      <c r="N557" s="16"/>
      <c r="O557" s="16"/>
      <c r="P557" s="16"/>
      <c r="U557" s="4"/>
      <c r="V557" s="4"/>
      <c r="W557" s="4"/>
      <c r="X557" s="4"/>
    </row>
    <row r="558">
      <c r="E558" s="23"/>
      <c r="F558" s="17"/>
      <c r="G558" s="17"/>
      <c r="H558" s="17"/>
      <c r="I558" s="17"/>
      <c r="J558" s="17"/>
      <c r="K558" s="17"/>
      <c r="L558" s="16"/>
      <c r="M558" s="16"/>
      <c r="N558" s="16"/>
      <c r="O558" s="16"/>
      <c r="P558" s="16"/>
      <c r="U558" s="4"/>
      <c r="V558" s="4"/>
      <c r="W558" s="4"/>
      <c r="X558" s="4"/>
    </row>
    <row r="559">
      <c r="E559" s="23"/>
      <c r="F559" s="17"/>
      <c r="G559" s="17"/>
      <c r="H559" s="17"/>
      <c r="I559" s="17"/>
      <c r="J559" s="17"/>
      <c r="K559" s="17"/>
      <c r="L559" s="16"/>
      <c r="M559" s="16"/>
      <c r="N559" s="16"/>
      <c r="O559" s="16"/>
      <c r="P559" s="16"/>
      <c r="U559" s="4"/>
      <c r="V559" s="4"/>
      <c r="W559" s="4"/>
      <c r="X559" s="4"/>
    </row>
    <row r="560">
      <c r="E560" s="23"/>
      <c r="F560" s="17"/>
      <c r="G560" s="17"/>
      <c r="H560" s="17"/>
      <c r="I560" s="17"/>
      <c r="J560" s="17"/>
      <c r="K560" s="17"/>
      <c r="L560" s="16"/>
      <c r="M560" s="16"/>
      <c r="N560" s="16"/>
      <c r="O560" s="16"/>
      <c r="P560" s="16"/>
      <c r="U560" s="4"/>
      <c r="V560" s="4"/>
      <c r="W560" s="4"/>
      <c r="X560" s="4"/>
    </row>
    <row r="561">
      <c r="E561" s="23"/>
      <c r="F561" s="17"/>
      <c r="G561" s="17"/>
      <c r="H561" s="17"/>
      <c r="I561" s="17"/>
      <c r="J561" s="17"/>
      <c r="K561" s="17"/>
      <c r="L561" s="16"/>
      <c r="M561" s="16"/>
      <c r="N561" s="16"/>
      <c r="O561" s="16"/>
      <c r="P561" s="16"/>
      <c r="U561" s="4"/>
      <c r="V561" s="4"/>
      <c r="W561" s="4"/>
      <c r="X561" s="4"/>
    </row>
    <row r="562">
      <c r="E562" s="23"/>
      <c r="F562" s="17"/>
      <c r="G562" s="17"/>
      <c r="H562" s="17"/>
      <c r="I562" s="17"/>
      <c r="J562" s="17"/>
      <c r="K562" s="17"/>
      <c r="L562" s="16"/>
      <c r="M562" s="16"/>
      <c r="N562" s="16"/>
      <c r="O562" s="16"/>
      <c r="P562" s="16"/>
      <c r="U562" s="4"/>
      <c r="V562" s="4"/>
      <c r="W562" s="4"/>
      <c r="X562" s="4"/>
    </row>
    <row r="563">
      <c r="E563" s="23"/>
      <c r="F563" s="17"/>
      <c r="G563" s="17"/>
      <c r="H563" s="17"/>
      <c r="I563" s="17"/>
      <c r="J563" s="17"/>
      <c r="K563" s="17"/>
      <c r="L563" s="16"/>
      <c r="M563" s="16"/>
      <c r="N563" s="16"/>
      <c r="O563" s="16"/>
      <c r="P563" s="16"/>
      <c r="U563" s="4"/>
      <c r="V563" s="4"/>
      <c r="W563" s="4"/>
      <c r="X563" s="4"/>
    </row>
    <row r="564">
      <c r="E564" s="23"/>
      <c r="F564" s="17"/>
      <c r="G564" s="17"/>
      <c r="H564" s="17"/>
      <c r="I564" s="17"/>
      <c r="J564" s="17"/>
      <c r="K564" s="17"/>
      <c r="L564" s="16"/>
      <c r="M564" s="16"/>
      <c r="N564" s="16"/>
      <c r="O564" s="16"/>
      <c r="P564" s="16"/>
      <c r="U564" s="4"/>
      <c r="V564" s="4"/>
      <c r="W564" s="4"/>
      <c r="X564" s="4"/>
    </row>
    <row r="565">
      <c r="E565" s="23"/>
      <c r="F565" s="17"/>
      <c r="G565" s="17"/>
      <c r="H565" s="17"/>
      <c r="I565" s="17"/>
      <c r="J565" s="17"/>
      <c r="K565" s="17"/>
      <c r="L565" s="16"/>
      <c r="M565" s="16"/>
      <c r="N565" s="16"/>
      <c r="O565" s="16"/>
      <c r="P565" s="16"/>
      <c r="U565" s="4"/>
      <c r="V565" s="4"/>
      <c r="W565" s="4"/>
      <c r="X565" s="4"/>
    </row>
    <row r="566">
      <c r="E566" s="23"/>
      <c r="F566" s="17"/>
      <c r="G566" s="17"/>
      <c r="H566" s="17"/>
      <c r="I566" s="17"/>
      <c r="J566" s="17"/>
      <c r="K566" s="17"/>
      <c r="L566" s="16"/>
      <c r="M566" s="16"/>
      <c r="N566" s="16"/>
      <c r="O566" s="16"/>
      <c r="P566" s="16"/>
      <c r="U566" s="4"/>
      <c r="V566" s="4"/>
      <c r="W566" s="4"/>
      <c r="X566" s="4"/>
    </row>
    <row r="567">
      <c r="E567" s="23"/>
      <c r="F567" s="17"/>
      <c r="G567" s="17"/>
      <c r="H567" s="17"/>
      <c r="I567" s="17"/>
      <c r="J567" s="17"/>
      <c r="K567" s="17"/>
      <c r="L567" s="16"/>
      <c r="M567" s="16"/>
      <c r="N567" s="16"/>
      <c r="O567" s="16"/>
      <c r="P567" s="16"/>
      <c r="U567" s="4"/>
      <c r="V567" s="4"/>
      <c r="W567" s="4"/>
      <c r="X567" s="4"/>
    </row>
    <row r="568">
      <c r="E568" s="23"/>
      <c r="F568" s="17"/>
      <c r="G568" s="17"/>
      <c r="H568" s="17"/>
      <c r="I568" s="17"/>
      <c r="J568" s="17"/>
      <c r="K568" s="17"/>
      <c r="L568" s="16"/>
      <c r="M568" s="16"/>
      <c r="N568" s="16"/>
      <c r="O568" s="16"/>
      <c r="P568" s="16"/>
      <c r="U568" s="4"/>
      <c r="V568" s="4"/>
      <c r="W568" s="4"/>
      <c r="X568" s="4"/>
    </row>
    <row r="569">
      <c r="E569" s="23"/>
      <c r="F569" s="17"/>
      <c r="G569" s="17"/>
      <c r="H569" s="17"/>
      <c r="I569" s="17"/>
      <c r="J569" s="17"/>
      <c r="K569" s="17"/>
      <c r="L569" s="16"/>
      <c r="M569" s="16"/>
      <c r="N569" s="16"/>
      <c r="O569" s="16"/>
      <c r="P569" s="16"/>
      <c r="U569" s="4"/>
      <c r="V569" s="4"/>
      <c r="W569" s="4"/>
      <c r="X569" s="4"/>
    </row>
    <row r="570">
      <c r="E570" s="23"/>
      <c r="F570" s="17"/>
      <c r="G570" s="17"/>
      <c r="H570" s="17"/>
      <c r="I570" s="17"/>
      <c r="J570" s="17"/>
      <c r="K570" s="17"/>
      <c r="L570" s="16"/>
      <c r="M570" s="16"/>
      <c r="N570" s="16"/>
      <c r="O570" s="16"/>
      <c r="P570" s="16"/>
      <c r="U570" s="4"/>
      <c r="V570" s="4"/>
      <c r="W570" s="4"/>
      <c r="X570" s="4"/>
    </row>
    <row r="571">
      <c r="E571" s="23"/>
      <c r="F571" s="17"/>
      <c r="G571" s="17"/>
      <c r="H571" s="17"/>
      <c r="I571" s="17"/>
      <c r="J571" s="17"/>
      <c r="K571" s="17"/>
      <c r="L571" s="16"/>
      <c r="M571" s="16"/>
      <c r="N571" s="16"/>
      <c r="O571" s="16"/>
      <c r="P571" s="16"/>
      <c r="U571" s="4"/>
      <c r="V571" s="4"/>
      <c r="W571" s="4"/>
      <c r="X571" s="4"/>
    </row>
    <row r="572">
      <c r="E572" s="23"/>
      <c r="F572" s="17"/>
      <c r="G572" s="17"/>
      <c r="H572" s="17"/>
      <c r="I572" s="17"/>
      <c r="J572" s="17"/>
      <c r="K572" s="17"/>
      <c r="L572" s="16"/>
      <c r="M572" s="16"/>
      <c r="N572" s="16"/>
      <c r="O572" s="16"/>
      <c r="P572" s="16"/>
      <c r="U572" s="4"/>
      <c r="V572" s="4"/>
      <c r="W572" s="4"/>
      <c r="X572" s="4"/>
    </row>
    <row r="573">
      <c r="E573" s="23"/>
      <c r="F573" s="17"/>
      <c r="G573" s="17"/>
      <c r="H573" s="17"/>
      <c r="I573" s="17"/>
      <c r="J573" s="17"/>
      <c r="K573" s="17"/>
      <c r="L573" s="16"/>
      <c r="M573" s="16"/>
      <c r="N573" s="16"/>
      <c r="O573" s="16"/>
      <c r="P573" s="16"/>
      <c r="U573" s="4"/>
      <c r="V573" s="4"/>
      <c r="W573" s="4"/>
      <c r="X573" s="4"/>
    </row>
    <row r="574">
      <c r="E574" s="23"/>
      <c r="F574" s="17"/>
      <c r="G574" s="17"/>
      <c r="H574" s="17"/>
      <c r="I574" s="17"/>
      <c r="J574" s="17"/>
      <c r="K574" s="17"/>
      <c r="L574" s="16"/>
      <c r="M574" s="16"/>
      <c r="N574" s="16"/>
      <c r="O574" s="16"/>
      <c r="P574" s="16"/>
      <c r="U574" s="4"/>
      <c r="V574" s="4"/>
      <c r="W574" s="4"/>
      <c r="X574" s="4"/>
    </row>
    <row r="575">
      <c r="E575" s="23"/>
      <c r="F575" s="17"/>
      <c r="G575" s="17"/>
      <c r="H575" s="17"/>
      <c r="I575" s="17"/>
      <c r="J575" s="17"/>
      <c r="K575" s="17"/>
      <c r="L575" s="16"/>
      <c r="M575" s="16"/>
      <c r="N575" s="16"/>
      <c r="O575" s="16"/>
      <c r="P575" s="16"/>
      <c r="U575" s="4"/>
      <c r="V575" s="4"/>
      <c r="W575" s="4"/>
      <c r="X575" s="4"/>
    </row>
    <row r="576">
      <c r="E576" s="23"/>
      <c r="F576" s="17"/>
      <c r="G576" s="17"/>
      <c r="H576" s="17"/>
      <c r="I576" s="17"/>
      <c r="J576" s="17"/>
      <c r="K576" s="17"/>
      <c r="L576" s="16"/>
      <c r="M576" s="16"/>
      <c r="N576" s="16"/>
      <c r="O576" s="16"/>
      <c r="P576" s="16"/>
      <c r="U576" s="4"/>
      <c r="V576" s="4"/>
      <c r="W576" s="4"/>
      <c r="X576" s="4"/>
    </row>
    <row r="577">
      <c r="E577" s="23"/>
      <c r="F577" s="17"/>
      <c r="G577" s="17"/>
      <c r="H577" s="17"/>
      <c r="I577" s="17"/>
      <c r="J577" s="17"/>
      <c r="K577" s="17"/>
      <c r="L577" s="16"/>
      <c r="M577" s="16"/>
      <c r="N577" s="16"/>
      <c r="O577" s="16"/>
      <c r="P577" s="16"/>
      <c r="U577" s="4"/>
      <c r="V577" s="4"/>
      <c r="W577" s="4"/>
      <c r="X577" s="4"/>
    </row>
    <row r="578">
      <c r="E578" s="23"/>
      <c r="F578" s="17"/>
      <c r="G578" s="17"/>
      <c r="H578" s="17"/>
      <c r="I578" s="17"/>
      <c r="J578" s="17"/>
      <c r="K578" s="17"/>
      <c r="L578" s="16"/>
      <c r="M578" s="16"/>
      <c r="N578" s="16"/>
      <c r="O578" s="16"/>
      <c r="P578" s="16"/>
      <c r="U578" s="4"/>
      <c r="V578" s="4"/>
      <c r="W578" s="4"/>
      <c r="X578" s="4"/>
    </row>
    <row r="579">
      <c r="E579" s="23"/>
      <c r="F579" s="17"/>
      <c r="G579" s="17"/>
      <c r="H579" s="17"/>
      <c r="I579" s="17"/>
      <c r="J579" s="17"/>
      <c r="K579" s="17"/>
      <c r="L579" s="16"/>
      <c r="M579" s="16"/>
      <c r="N579" s="16"/>
      <c r="O579" s="16"/>
      <c r="P579" s="16"/>
      <c r="U579" s="4"/>
      <c r="V579" s="4"/>
      <c r="W579" s="4"/>
      <c r="X579" s="4"/>
    </row>
    <row r="580">
      <c r="E580" s="23"/>
      <c r="F580" s="17"/>
      <c r="G580" s="17"/>
      <c r="H580" s="17"/>
      <c r="I580" s="17"/>
      <c r="J580" s="17"/>
      <c r="K580" s="17"/>
      <c r="L580" s="16"/>
      <c r="M580" s="16"/>
      <c r="N580" s="16"/>
      <c r="O580" s="16"/>
      <c r="P580" s="16"/>
      <c r="U580" s="4"/>
      <c r="V580" s="4"/>
      <c r="W580" s="4"/>
      <c r="X580" s="4"/>
    </row>
    <row r="581">
      <c r="E581" s="23"/>
      <c r="F581" s="17"/>
      <c r="G581" s="17"/>
      <c r="H581" s="17"/>
      <c r="I581" s="17"/>
      <c r="J581" s="17"/>
      <c r="K581" s="17"/>
      <c r="L581" s="16"/>
      <c r="M581" s="16"/>
      <c r="N581" s="16"/>
      <c r="O581" s="16"/>
      <c r="P581" s="16"/>
      <c r="U581" s="4"/>
      <c r="V581" s="4"/>
      <c r="W581" s="4"/>
      <c r="X581" s="4"/>
    </row>
    <row r="582">
      <c r="E582" s="23"/>
      <c r="F582" s="17"/>
      <c r="G582" s="17"/>
      <c r="H582" s="17"/>
      <c r="I582" s="17"/>
      <c r="J582" s="17"/>
      <c r="K582" s="17"/>
      <c r="L582" s="16"/>
      <c r="M582" s="16"/>
      <c r="N582" s="16"/>
      <c r="O582" s="16"/>
      <c r="P582" s="16"/>
      <c r="U582" s="4"/>
      <c r="V582" s="4"/>
      <c r="W582" s="4"/>
      <c r="X582" s="4"/>
    </row>
    <row r="583">
      <c r="E583" s="23"/>
      <c r="F583" s="17"/>
      <c r="G583" s="17"/>
      <c r="H583" s="17"/>
      <c r="I583" s="17"/>
      <c r="J583" s="17"/>
      <c r="K583" s="17"/>
      <c r="L583" s="16"/>
      <c r="M583" s="16"/>
      <c r="N583" s="16"/>
      <c r="O583" s="16"/>
      <c r="P583" s="16"/>
      <c r="U583" s="4"/>
      <c r="V583" s="4"/>
      <c r="W583" s="4"/>
      <c r="X583" s="4"/>
    </row>
    <row r="584">
      <c r="E584" s="23"/>
      <c r="F584" s="17"/>
      <c r="G584" s="17"/>
      <c r="H584" s="17"/>
      <c r="I584" s="17"/>
      <c r="J584" s="17"/>
      <c r="K584" s="17"/>
      <c r="L584" s="16"/>
      <c r="M584" s="16"/>
      <c r="N584" s="16"/>
      <c r="O584" s="16"/>
      <c r="P584" s="16"/>
      <c r="U584" s="4"/>
      <c r="V584" s="4"/>
      <c r="W584" s="4"/>
      <c r="X584" s="4"/>
    </row>
    <row r="585">
      <c r="E585" s="23"/>
      <c r="F585" s="17"/>
      <c r="G585" s="17"/>
      <c r="H585" s="17"/>
      <c r="I585" s="17"/>
      <c r="J585" s="17"/>
      <c r="K585" s="17"/>
      <c r="L585" s="16"/>
      <c r="M585" s="16"/>
      <c r="N585" s="16"/>
      <c r="O585" s="16"/>
      <c r="P585" s="16"/>
      <c r="U585" s="4"/>
      <c r="V585" s="4"/>
      <c r="W585" s="4"/>
      <c r="X585" s="4"/>
    </row>
    <row r="586">
      <c r="E586" s="23"/>
      <c r="F586" s="17"/>
      <c r="G586" s="17"/>
      <c r="H586" s="17"/>
      <c r="I586" s="17"/>
      <c r="J586" s="17"/>
      <c r="K586" s="17"/>
      <c r="L586" s="16"/>
      <c r="M586" s="16"/>
      <c r="N586" s="16"/>
      <c r="O586" s="16"/>
      <c r="P586" s="16"/>
      <c r="U586" s="4"/>
      <c r="V586" s="4"/>
      <c r="W586" s="4"/>
      <c r="X586" s="4"/>
    </row>
    <row r="587">
      <c r="E587" s="23"/>
      <c r="F587" s="17"/>
      <c r="G587" s="17"/>
      <c r="H587" s="17"/>
      <c r="I587" s="17"/>
      <c r="J587" s="17"/>
      <c r="K587" s="17"/>
      <c r="L587" s="16"/>
      <c r="M587" s="16"/>
      <c r="N587" s="16"/>
      <c r="O587" s="16"/>
      <c r="P587" s="16"/>
      <c r="U587" s="4"/>
      <c r="V587" s="4"/>
      <c r="W587" s="4"/>
      <c r="X587" s="4"/>
    </row>
    <row r="588">
      <c r="E588" s="23"/>
      <c r="F588" s="17"/>
      <c r="G588" s="17"/>
      <c r="H588" s="17"/>
      <c r="I588" s="17"/>
      <c r="J588" s="17"/>
      <c r="K588" s="17"/>
      <c r="L588" s="16"/>
      <c r="M588" s="16"/>
      <c r="N588" s="16"/>
      <c r="O588" s="16"/>
      <c r="P588" s="16"/>
      <c r="U588" s="4"/>
      <c r="V588" s="4"/>
      <c r="W588" s="4"/>
      <c r="X588" s="4"/>
    </row>
    <row r="589">
      <c r="E589" s="23"/>
      <c r="F589" s="17"/>
      <c r="G589" s="17"/>
      <c r="H589" s="17"/>
      <c r="I589" s="17"/>
      <c r="J589" s="17"/>
      <c r="K589" s="17"/>
      <c r="L589" s="16"/>
      <c r="M589" s="16"/>
      <c r="N589" s="16"/>
      <c r="O589" s="16"/>
      <c r="P589" s="16"/>
      <c r="U589" s="4"/>
      <c r="V589" s="4"/>
      <c r="W589" s="4"/>
      <c r="X589" s="4"/>
    </row>
    <row r="590">
      <c r="E590" s="23"/>
      <c r="F590" s="17"/>
      <c r="G590" s="17"/>
      <c r="H590" s="17"/>
      <c r="I590" s="17"/>
      <c r="J590" s="17"/>
      <c r="K590" s="17"/>
      <c r="L590" s="16"/>
      <c r="M590" s="16"/>
      <c r="N590" s="16"/>
      <c r="O590" s="16"/>
      <c r="P590" s="16"/>
      <c r="U590" s="4"/>
      <c r="V590" s="4"/>
      <c r="W590" s="4"/>
      <c r="X590" s="4"/>
    </row>
    <row r="591">
      <c r="E591" s="23"/>
      <c r="F591" s="17"/>
      <c r="G591" s="17"/>
      <c r="H591" s="17"/>
      <c r="I591" s="17"/>
      <c r="J591" s="17"/>
      <c r="K591" s="17"/>
      <c r="L591" s="16"/>
      <c r="M591" s="16"/>
      <c r="N591" s="16"/>
      <c r="O591" s="16"/>
      <c r="P591" s="16"/>
      <c r="U591" s="4"/>
      <c r="V591" s="4"/>
      <c r="W591" s="4"/>
      <c r="X591" s="4"/>
    </row>
    <row r="592">
      <c r="E592" s="23"/>
      <c r="F592" s="17"/>
      <c r="G592" s="17"/>
      <c r="H592" s="17"/>
      <c r="I592" s="17"/>
      <c r="J592" s="17"/>
      <c r="K592" s="17"/>
      <c r="L592" s="16"/>
      <c r="M592" s="16"/>
      <c r="N592" s="16"/>
      <c r="O592" s="16"/>
      <c r="P592" s="16"/>
      <c r="U592" s="4"/>
      <c r="V592" s="4"/>
      <c r="W592" s="4"/>
      <c r="X592" s="4"/>
    </row>
    <row r="593">
      <c r="E593" s="23"/>
      <c r="F593" s="17"/>
      <c r="G593" s="17"/>
      <c r="H593" s="17"/>
      <c r="I593" s="17"/>
      <c r="J593" s="17"/>
      <c r="K593" s="17"/>
      <c r="L593" s="16"/>
      <c r="M593" s="16"/>
      <c r="N593" s="16"/>
      <c r="O593" s="16"/>
      <c r="P593" s="16"/>
      <c r="U593" s="4"/>
      <c r="V593" s="4"/>
      <c r="W593" s="4"/>
      <c r="X593" s="4"/>
    </row>
    <row r="594">
      <c r="E594" s="23"/>
      <c r="F594" s="17"/>
      <c r="G594" s="17"/>
      <c r="H594" s="17"/>
      <c r="I594" s="17"/>
      <c r="J594" s="17"/>
      <c r="K594" s="17"/>
      <c r="L594" s="16"/>
      <c r="M594" s="16"/>
      <c r="N594" s="16"/>
      <c r="O594" s="16"/>
      <c r="P594" s="16"/>
      <c r="U594" s="4"/>
      <c r="V594" s="4"/>
      <c r="W594" s="4"/>
      <c r="X594" s="4"/>
    </row>
    <row r="595">
      <c r="E595" s="23"/>
      <c r="F595" s="17"/>
      <c r="G595" s="17"/>
      <c r="H595" s="17"/>
      <c r="I595" s="17"/>
      <c r="J595" s="17"/>
      <c r="K595" s="17"/>
      <c r="L595" s="16"/>
      <c r="M595" s="16"/>
      <c r="N595" s="16"/>
      <c r="O595" s="16"/>
      <c r="P595" s="16"/>
      <c r="U595" s="4"/>
      <c r="V595" s="4"/>
      <c r="W595" s="4"/>
      <c r="X595" s="4"/>
    </row>
    <row r="596">
      <c r="E596" s="23"/>
      <c r="F596" s="17"/>
      <c r="G596" s="17"/>
      <c r="H596" s="17"/>
      <c r="I596" s="17"/>
      <c r="J596" s="17"/>
      <c r="K596" s="17"/>
      <c r="L596" s="16"/>
      <c r="M596" s="16"/>
      <c r="N596" s="16"/>
      <c r="O596" s="16"/>
      <c r="P596" s="16"/>
      <c r="U596" s="4"/>
      <c r="V596" s="4"/>
      <c r="W596" s="4"/>
      <c r="X596" s="4"/>
    </row>
    <row r="597">
      <c r="E597" s="23"/>
      <c r="F597" s="17"/>
      <c r="G597" s="17"/>
      <c r="H597" s="17"/>
      <c r="I597" s="17"/>
      <c r="J597" s="17"/>
      <c r="K597" s="17"/>
      <c r="L597" s="16"/>
      <c r="M597" s="16"/>
      <c r="N597" s="16"/>
      <c r="O597" s="16"/>
      <c r="P597" s="16"/>
      <c r="U597" s="4"/>
      <c r="V597" s="4"/>
      <c r="W597" s="4"/>
      <c r="X597" s="4"/>
    </row>
    <row r="598">
      <c r="E598" s="23"/>
      <c r="F598" s="17"/>
      <c r="G598" s="17"/>
      <c r="H598" s="17"/>
      <c r="I598" s="17"/>
      <c r="J598" s="17"/>
      <c r="K598" s="17"/>
      <c r="L598" s="16"/>
      <c r="M598" s="16"/>
      <c r="N598" s="16"/>
      <c r="O598" s="16"/>
      <c r="P598" s="16"/>
      <c r="U598" s="4"/>
      <c r="V598" s="4"/>
      <c r="W598" s="4"/>
      <c r="X598" s="4"/>
    </row>
    <row r="599">
      <c r="E599" s="23"/>
      <c r="F599" s="17"/>
      <c r="G599" s="17"/>
      <c r="H599" s="17"/>
      <c r="I599" s="17"/>
      <c r="J599" s="17"/>
      <c r="K599" s="17"/>
      <c r="L599" s="16"/>
      <c r="M599" s="16"/>
      <c r="N599" s="16"/>
      <c r="O599" s="16"/>
      <c r="P599" s="16"/>
      <c r="U599" s="4"/>
      <c r="V599" s="4"/>
      <c r="W599" s="4"/>
      <c r="X599" s="4"/>
    </row>
    <row r="600">
      <c r="E600" s="23"/>
      <c r="F600" s="17"/>
      <c r="G600" s="17"/>
      <c r="H600" s="17"/>
      <c r="I600" s="17"/>
      <c r="J600" s="17"/>
      <c r="K600" s="17"/>
      <c r="L600" s="16"/>
      <c r="M600" s="16"/>
      <c r="N600" s="16"/>
      <c r="O600" s="16"/>
      <c r="P600" s="16"/>
      <c r="U600" s="4"/>
      <c r="V600" s="4"/>
      <c r="W600" s="4"/>
      <c r="X600" s="4"/>
    </row>
    <row r="601">
      <c r="E601" s="23"/>
      <c r="F601" s="17"/>
      <c r="G601" s="17"/>
      <c r="H601" s="17"/>
      <c r="I601" s="17"/>
      <c r="J601" s="17"/>
      <c r="K601" s="17"/>
      <c r="L601" s="16"/>
      <c r="M601" s="16"/>
      <c r="N601" s="16"/>
      <c r="O601" s="16"/>
      <c r="P601" s="16"/>
      <c r="U601" s="4"/>
      <c r="V601" s="4"/>
      <c r="W601" s="4"/>
      <c r="X601" s="4"/>
    </row>
    <row r="602">
      <c r="E602" s="23"/>
      <c r="F602" s="17"/>
      <c r="G602" s="17"/>
      <c r="H602" s="17"/>
      <c r="I602" s="17"/>
      <c r="J602" s="17"/>
      <c r="K602" s="17"/>
      <c r="L602" s="16"/>
      <c r="M602" s="16"/>
      <c r="N602" s="16"/>
      <c r="O602" s="16"/>
      <c r="P602" s="16"/>
      <c r="U602" s="4"/>
      <c r="V602" s="4"/>
      <c r="W602" s="4"/>
      <c r="X602" s="4"/>
    </row>
    <row r="603">
      <c r="E603" s="23"/>
      <c r="F603" s="17"/>
      <c r="G603" s="17"/>
      <c r="H603" s="17"/>
      <c r="I603" s="17"/>
      <c r="J603" s="17"/>
      <c r="K603" s="17"/>
      <c r="L603" s="16"/>
      <c r="M603" s="16"/>
      <c r="N603" s="16"/>
      <c r="O603" s="16"/>
      <c r="P603" s="16"/>
      <c r="U603" s="4"/>
      <c r="V603" s="4"/>
      <c r="W603" s="4"/>
      <c r="X603" s="4"/>
    </row>
    <row r="604">
      <c r="E604" s="23"/>
      <c r="F604" s="17"/>
      <c r="G604" s="17"/>
      <c r="H604" s="17"/>
      <c r="I604" s="17"/>
      <c r="J604" s="17"/>
      <c r="K604" s="17"/>
      <c r="L604" s="16"/>
      <c r="M604" s="16"/>
      <c r="N604" s="16"/>
      <c r="O604" s="16"/>
      <c r="P604" s="16"/>
      <c r="U604" s="4"/>
      <c r="V604" s="4"/>
      <c r="W604" s="4"/>
      <c r="X604" s="4"/>
    </row>
    <row r="605">
      <c r="E605" s="23"/>
      <c r="F605" s="17"/>
      <c r="G605" s="17"/>
      <c r="H605" s="17"/>
      <c r="I605" s="17"/>
      <c r="J605" s="17"/>
      <c r="K605" s="17"/>
      <c r="L605" s="16"/>
      <c r="M605" s="16"/>
      <c r="N605" s="16"/>
      <c r="O605" s="16"/>
      <c r="P605" s="16"/>
      <c r="U605" s="4"/>
      <c r="V605" s="4"/>
      <c r="W605" s="4"/>
      <c r="X605" s="4"/>
    </row>
    <row r="606">
      <c r="E606" s="23"/>
      <c r="F606" s="17"/>
      <c r="G606" s="17"/>
      <c r="H606" s="17"/>
      <c r="I606" s="17"/>
      <c r="J606" s="17"/>
      <c r="K606" s="17"/>
      <c r="L606" s="16"/>
      <c r="M606" s="16"/>
      <c r="N606" s="16"/>
      <c r="O606" s="16"/>
      <c r="P606" s="16"/>
      <c r="U606" s="4"/>
      <c r="V606" s="4"/>
      <c r="W606" s="4"/>
      <c r="X606" s="4"/>
    </row>
    <row r="607">
      <c r="E607" s="23"/>
      <c r="F607" s="17"/>
      <c r="G607" s="17"/>
      <c r="H607" s="17"/>
      <c r="I607" s="17"/>
      <c r="J607" s="17"/>
      <c r="K607" s="17"/>
      <c r="L607" s="16"/>
      <c r="M607" s="16"/>
      <c r="N607" s="16"/>
      <c r="O607" s="16"/>
      <c r="P607" s="16"/>
      <c r="U607" s="4"/>
      <c r="V607" s="4"/>
      <c r="W607" s="4"/>
      <c r="X607" s="4"/>
    </row>
    <row r="608">
      <c r="E608" s="23"/>
      <c r="F608" s="17"/>
      <c r="G608" s="17"/>
      <c r="H608" s="17"/>
      <c r="I608" s="17"/>
      <c r="J608" s="17"/>
      <c r="K608" s="17"/>
      <c r="L608" s="16"/>
      <c r="M608" s="16"/>
      <c r="N608" s="16"/>
      <c r="O608" s="16"/>
      <c r="P608" s="16"/>
      <c r="U608" s="4"/>
      <c r="V608" s="4"/>
      <c r="W608" s="4"/>
      <c r="X608" s="4"/>
    </row>
    <row r="609">
      <c r="E609" s="23"/>
      <c r="F609" s="17"/>
      <c r="G609" s="17"/>
      <c r="H609" s="17"/>
      <c r="I609" s="17"/>
      <c r="J609" s="17"/>
      <c r="K609" s="17"/>
      <c r="L609" s="16"/>
      <c r="M609" s="16"/>
      <c r="N609" s="16"/>
      <c r="O609" s="16"/>
      <c r="P609" s="16"/>
      <c r="U609" s="4"/>
      <c r="V609" s="4"/>
      <c r="W609" s="4"/>
      <c r="X609" s="4"/>
    </row>
    <row r="610">
      <c r="E610" s="23"/>
      <c r="F610" s="17"/>
      <c r="G610" s="17"/>
      <c r="H610" s="17"/>
      <c r="I610" s="17"/>
      <c r="J610" s="17"/>
      <c r="K610" s="17"/>
      <c r="L610" s="16"/>
      <c r="M610" s="16"/>
      <c r="N610" s="16"/>
      <c r="O610" s="16"/>
      <c r="P610" s="16"/>
      <c r="U610" s="4"/>
      <c r="V610" s="4"/>
      <c r="W610" s="4"/>
      <c r="X610" s="4"/>
    </row>
    <row r="611">
      <c r="E611" s="23"/>
      <c r="F611" s="17"/>
      <c r="G611" s="17"/>
      <c r="H611" s="17"/>
      <c r="I611" s="17"/>
      <c r="J611" s="17"/>
      <c r="K611" s="17"/>
      <c r="L611" s="16"/>
      <c r="M611" s="16"/>
      <c r="N611" s="16"/>
      <c r="O611" s="16"/>
      <c r="P611" s="16"/>
      <c r="U611" s="4"/>
      <c r="V611" s="4"/>
      <c r="W611" s="4"/>
      <c r="X611" s="4"/>
    </row>
    <row r="612">
      <c r="E612" s="23"/>
      <c r="F612" s="17"/>
      <c r="G612" s="17"/>
      <c r="H612" s="17"/>
      <c r="I612" s="17"/>
      <c r="J612" s="17"/>
      <c r="K612" s="17"/>
      <c r="L612" s="16"/>
      <c r="M612" s="16"/>
      <c r="N612" s="16"/>
      <c r="O612" s="16"/>
      <c r="P612" s="16"/>
      <c r="U612" s="4"/>
      <c r="V612" s="4"/>
      <c r="W612" s="4"/>
      <c r="X612" s="4"/>
    </row>
    <row r="613">
      <c r="E613" s="23"/>
      <c r="F613" s="17"/>
      <c r="G613" s="17"/>
      <c r="H613" s="17"/>
      <c r="I613" s="17"/>
      <c r="J613" s="17"/>
      <c r="K613" s="17"/>
      <c r="L613" s="16"/>
      <c r="M613" s="16"/>
      <c r="N613" s="16"/>
      <c r="O613" s="16"/>
      <c r="P613" s="16"/>
      <c r="U613" s="4"/>
      <c r="V613" s="4"/>
      <c r="W613" s="4"/>
      <c r="X613" s="4"/>
    </row>
    <row r="614">
      <c r="E614" s="23"/>
      <c r="F614" s="17"/>
      <c r="G614" s="17"/>
      <c r="H614" s="17"/>
      <c r="I614" s="17"/>
      <c r="J614" s="17"/>
      <c r="K614" s="17"/>
      <c r="L614" s="16"/>
      <c r="M614" s="16"/>
      <c r="N614" s="16"/>
      <c r="O614" s="16"/>
      <c r="P614" s="16"/>
      <c r="U614" s="4"/>
      <c r="V614" s="4"/>
      <c r="W614" s="4"/>
      <c r="X614" s="4"/>
    </row>
    <row r="615">
      <c r="E615" s="23"/>
      <c r="F615" s="17"/>
      <c r="G615" s="17"/>
      <c r="H615" s="17"/>
      <c r="I615" s="17"/>
      <c r="J615" s="17"/>
      <c r="K615" s="17"/>
      <c r="L615" s="16"/>
      <c r="M615" s="16"/>
      <c r="N615" s="16"/>
      <c r="O615" s="16"/>
      <c r="P615" s="16"/>
      <c r="U615" s="4"/>
      <c r="V615" s="4"/>
      <c r="W615" s="4"/>
      <c r="X615" s="4"/>
    </row>
    <row r="616">
      <c r="E616" s="23"/>
      <c r="F616" s="17"/>
      <c r="G616" s="17"/>
      <c r="H616" s="17"/>
      <c r="I616" s="17"/>
      <c r="J616" s="17"/>
      <c r="K616" s="17"/>
      <c r="L616" s="16"/>
      <c r="M616" s="16"/>
      <c r="N616" s="16"/>
      <c r="O616" s="16"/>
      <c r="P616" s="16"/>
      <c r="U616" s="4"/>
      <c r="V616" s="4"/>
      <c r="W616" s="4"/>
      <c r="X616" s="4"/>
    </row>
    <row r="617">
      <c r="E617" s="23"/>
      <c r="F617" s="17"/>
      <c r="G617" s="17"/>
      <c r="H617" s="17"/>
      <c r="I617" s="17"/>
      <c r="J617" s="17"/>
      <c r="K617" s="17"/>
      <c r="L617" s="16"/>
      <c r="M617" s="16"/>
      <c r="N617" s="16"/>
      <c r="O617" s="16"/>
      <c r="P617" s="16"/>
      <c r="U617" s="4"/>
      <c r="V617" s="4"/>
      <c r="W617" s="4"/>
      <c r="X617" s="4"/>
    </row>
    <row r="618">
      <c r="E618" s="23"/>
      <c r="F618" s="17"/>
      <c r="G618" s="17"/>
      <c r="H618" s="17"/>
      <c r="I618" s="17"/>
      <c r="J618" s="17"/>
      <c r="K618" s="17"/>
      <c r="L618" s="16"/>
      <c r="M618" s="16"/>
      <c r="N618" s="16"/>
      <c r="O618" s="16"/>
      <c r="P618" s="16"/>
      <c r="U618" s="4"/>
      <c r="V618" s="4"/>
      <c r="W618" s="4"/>
      <c r="X618" s="4"/>
    </row>
    <row r="619">
      <c r="E619" s="23"/>
      <c r="F619" s="17"/>
      <c r="G619" s="17"/>
      <c r="H619" s="17"/>
      <c r="I619" s="17"/>
      <c r="J619" s="17"/>
      <c r="K619" s="17"/>
      <c r="L619" s="16"/>
      <c r="M619" s="16"/>
      <c r="N619" s="16"/>
      <c r="O619" s="16"/>
      <c r="P619" s="16"/>
      <c r="U619" s="4"/>
      <c r="V619" s="4"/>
      <c r="W619" s="4"/>
      <c r="X619" s="4"/>
    </row>
    <row r="620">
      <c r="E620" s="23"/>
      <c r="F620" s="17"/>
      <c r="G620" s="17"/>
      <c r="H620" s="17"/>
      <c r="I620" s="17"/>
      <c r="J620" s="17"/>
      <c r="K620" s="17"/>
      <c r="L620" s="16"/>
      <c r="M620" s="16"/>
      <c r="N620" s="16"/>
      <c r="O620" s="16"/>
      <c r="P620" s="16"/>
      <c r="U620" s="4"/>
      <c r="V620" s="4"/>
      <c r="W620" s="4"/>
      <c r="X620" s="4"/>
    </row>
    <row r="621">
      <c r="E621" s="23"/>
      <c r="F621" s="17"/>
      <c r="G621" s="17"/>
      <c r="H621" s="17"/>
      <c r="I621" s="17"/>
      <c r="J621" s="17"/>
      <c r="K621" s="17"/>
      <c r="L621" s="16"/>
      <c r="M621" s="16"/>
      <c r="N621" s="16"/>
      <c r="O621" s="16"/>
      <c r="P621" s="16"/>
      <c r="U621" s="4"/>
      <c r="V621" s="4"/>
      <c r="W621" s="4"/>
      <c r="X621" s="4"/>
    </row>
    <row r="622">
      <c r="E622" s="23"/>
      <c r="F622" s="17"/>
      <c r="G622" s="17"/>
      <c r="H622" s="17"/>
      <c r="I622" s="17"/>
      <c r="J622" s="17"/>
      <c r="K622" s="17"/>
      <c r="L622" s="16"/>
      <c r="M622" s="16"/>
      <c r="N622" s="16"/>
      <c r="O622" s="16"/>
      <c r="P622" s="16"/>
      <c r="U622" s="4"/>
      <c r="V622" s="4"/>
      <c r="W622" s="4"/>
      <c r="X622" s="4"/>
    </row>
    <row r="623">
      <c r="E623" s="23"/>
      <c r="F623" s="17"/>
      <c r="G623" s="17"/>
      <c r="H623" s="17"/>
      <c r="I623" s="17"/>
      <c r="J623" s="17"/>
      <c r="K623" s="17"/>
      <c r="L623" s="16"/>
      <c r="M623" s="16"/>
      <c r="N623" s="16"/>
      <c r="O623" s="16"/>
      <c r="P623" s="16"/>
      <c r="U623" s="4"/>
      <c r="V623" s="4"/>
      <c r="W623" s="4"/>
      <c r="X623" s="4"/>
    </row>
    <row r="624">
      <c r="E624" s="23"/>
      <c r="F624" s="17"/>
      <c r="G624" s="17"/>
      <c r="H624" s="17"/>
      <c r="I624" s="17"/>
      <c r="J624" s="17"/>
      <c r="K624" s="17"/>
      <c r="L624" s="16"/>
      <c r="M624" s="16"/>
      <c r="N624" s="16"/>
      <c r="O624" s="16"/>
      <c r="P624" s="16"/>
      <c r="U624" s="4"/>
      <c r="V624" s="4"/>
      <c r="W624" s="4"/>
      <c r="X624" s="4"/>
    </row>
    <row r="625">
      <c r="E625" s="23"/>
      <c r="F625" s="17"/>
      <c r="G625" s="17"/>
      <c r="H625" s="17"/>
      <c r="I625" s="17"/>
      <c r="J625" s="17"/>
      <c r="K625" s="17"/>
      <c r="L625" s="16"/>
      <c r="M625" s="16"/>
      <c r="N625" s="16"/>
      <c r="O625" s="16"/>
      <c r="P625" s="16"/>
      <c r="U625" s="4"/>
      <c r="V625" s="4"/>
      <c r="W625" s="4"/>
      <c r="X625" s="4"/>
    </row>
    <row r="626">
      <c r="E626" s="23"/>
      <c r="F626" s="17"/>
      <c r="G626" s="17"/>
      <c r="H626" s="17"/>
      <c r="I626" s="17"/>
      <c r="J626" s="17"/>
      <c r="K626" s="17"/>
      <c r="L626" s="16"/>
      <c r="M626" s="16"/>
      <c r="N626" s="16"/>
      <c r="O626" s="16"/>
      <c r="P626" s="16"/>
      <c r="U626" s="4"/>
      <c r="V626" s="4"/>
      <c r="W626" s="4"/>
      <c r="X626" s="4"/>
    </row>
    <row r="627">
      <c r="E627" s="23"/>
      <c r="F627" s="17"/>
      <c r="G627" s="17"/>
      <c r="H627" s="17"/>
      <c r="I627" s="17"/>
      <c r="J627" s="17"/>
      <c r="K627" s="17"/>
      <c r="L627" s="16"/>
      <c r="M627" s="16"/>
      <c r="N627" s="16"/>
      <c r="O627" s="16"/>
      <c r="P627" s="16"/>
      <c r="U627" s="4"/>
      <c r="V627" s="4"/>
      <c r="W627" s="4"/>
      <c r="X627" s="4"/>
    </row>
    <row r="628">
      <c r="E628" s="23"/>
      <c r="F628" s="17"/>
      <c r="G628" s="17"/>
      <c r="H628" s="17"/>
      <c r="I628" s="17"/>
      <c r="J628" s="17"/>
      <c r="K628" s="17"/>
      <c r="L628" s="16"/>
      <c r="M628" s="16"/>
      <c r="N628" s="16"/>
      <c r="O628" s="16"/>
      <c r="P628" s="16"/>
      <c r="U628" s="4"/>
      <c r="V628" s="4"/>
      <c r="W628" s="4"/>
      <c r="X628" s="4"/>
    </row>
    <row r="629">
      <c r="E629" s="23"/>
      <c r="F629" s="17"/>
      <c r="G629" s="17"/>
      <c r="H629" s="17"/>
      <c r="I629" s="17"/>
      <c r="J629" s="17"/>
      <c r="K629" s="17"/>
      <c r="L629" s="16"/>
      <c r="M629" s="16"/>
      <c r="N629" s="16"/>
      <c r="O629" s="16"/>
      <c r="P629" s="16"/>
      <c r="U629" s="4"/>
      <c r="V629" s="4"/>
      <c r="W629" s="4"/>
      <c r="X629" s="4"/>
    </row>
    <row r="630">
      <c r="E630" s="23"/>
      <c r="F630" s="17"/>
      <c r="G630" s="17"/>
      <c r="H630" s="17"/>
      <c r="I630" s="17"/>
      <c r="J630" s="17"/>
      <c r="K630" s="17"/>
      <c r="L630" s="16"/>
      <c r="M630" s="16"/>
      <c r="N630" s="16"/>
      <c r="O630" s="16"/>
      <c r="P630" s="16"/>
      <c r="U630" s="4"/>
      <c r="V630" s="4"/>
      <c r="W630" s="4"/>
      <c r="X630" s="4"/>
    </row>
    <row r="631">
      <c r="E631" s="23"/>
      <c r="F631" s="17"/>
      <c r="G631" s="17"/>
      <c r="H631" s="17"/>
      <c r="I631" s="17"/>
      <c r="J631" s="17"/>
      <c r="K631" s="17"/>
      <c r="L631" s="16"/>
      <c r="M631" s="16"/>
      <c r="N631" s="16"/>
      <c r="O631" s="16"/>
      <c r="P631" s="16"/>
      <c r="U631" s="4"/>
      <c r="V631" s="4"/>
      <c r="W631" s="4"/>
      <c r="X631" s="4"/>
    </row>
    <row r="632">
      <c r="E632" s="23"/>
      <c r="F632" s="17"/>
      <c r="G632" s="17"/>
      <c r="H632" s="17"/>
      <c r="I632" s="17"/>
      <c r="J632" s="17"/>
      <c r="K632" s="17"/>
      <c r="L632" s="16"/>
      <c r="M632" s="16"/>
      <c r="N632" s="16"/>
      <c r="O632" s="16"/>
      <c r="P632" s="16"/>
      <c r="U632" s="4"/>
      <c r="V632" s="4"/>
      <c r="W632" s="4"/>
      <c r="X632" s="4"/>
    </row>
    <row r="633">
      <c r="E633" s="23"/>
      <c r="F633" s="17"/>
      <c r="G633" s="17"/>
      <c r="H633" s="17"/>
      <c r="I633" s="17"/>
      <c r="J633" s="17"/>
      <c r="K633" s="17"/>
      <c r="L633" s="16"/>
      <c r="M633" s="16"/>
      <c r="N633" s="16"/>
      <c r="O633" s="16"/>
      <c r="P633" s="16"/>
      <c r="U633" s="4"/>
      <c r="V633" s="4"/>
      <c r="W633" s="4"/>
      <c r="X633" s="4"/>
    </row>
    <row r="634">
      <c r="E634" s="23"/>
      <c r="F634" s="17"/>
      <c r="G634" s="17"/>
      <c r="H634" s="17"/>
      <c r="I634" s="17"/>
      <c r="J634" s="17"/>
      <c r="K634" s="17"/>
      <c r="L634" s="16"/>
      <c r="M634" s="16"/>
      <c r="N634" s="16"/>
      <c r="O634" s="16"/>
      <c r="P634" s="16"/>
      <c r="U634" s="4"/>
      <c r="V634" s="4"/>
      <c r="W634" s="4"/>
      <c r="X634" s="4"/>
    </row>
    <row r="635">
      <c r="E635" s="23"/>
      <c r="F635" s="17"/>
      <c r="G635" s="17"/>
      <c r="H635" s="17"/>
      <c r="I635" s="17"/>
      <c r="J635" s="17"/>
      <c r="K635" s="17"/>
      <c r="L635" s="16"/>
      <c r="M635" s="16"/>
      <c r="N635" s="16"/>
      <c r="O635" s="16"/>
      <c r="P635" s="16"/>
      <c r="U635" s="4"/>
      <c r="V635" s="4"/>
      <c r="W635" s="4"/>
      <c r="X635" s="4"/>
    </row>
    <row r="636">
      <c r="E636" s="23"/>
      <c r="F636" s="17"/>
      <c r="G636" s="17"/>
      <c r="H636" s="17"/>
      <c r="I636" s="17"/>
      <c r="J636" s="17"/>
      <c r="K636" s="17"/>
      <c r="L636" s="16"/>
      <c r="M636" s="16"/>
      <c r="N636" s="16"/>
      <c r="O636" s="16"/>
      <c r="P636" s="16"/>
      <c r="U636" s="4"/>
      <c r="V636" s="4"/>
      <c r="W636" s="4"/>
      <c r="X636" s="4"/>
    </row>
    <row r="637">
      <c r="E637" s="23"/>
      <c r="F637" s="17"/>
      <c r="G637" s="17"/>
      <c r="H637" s="17"/>
      <c r="I637" s="17"/>
      <c r="J637" s="17"/>
      <c r="K637" s="17"/>
      <c r="L637" s="16"/>
      <c r="M637" s="16"/>
      <c r="N637" s="16"/>
      <c r="O637" s="16"/>
      <c r="P637" s="16"/>
      <c r="U637" s="4"/>
      <c r="V637" s="4"/>
      <c r="W637" s="4"/>
      <c r="X637" s="4"/>
    </row>
    <row r="638">
      <c r="E638" s="23"/>
      <c r="F638" s="17"/>
      <c r="G638" s="17"/>
      <c r="H638" s="17"/>
      <c r="I638" s="17"/>
      <c r="J638" s="17"/>
      <c r="K638" s="17"/>
      <c r="L638" s="16"/>
      <c r="M638" s="16"/>
      <c r="N638" s="16"/>
      <c r="O638" s="16"/>
      <c r="P638" s="16"/>
      <c r="U638" s="4"/>
      <c r="V638" s="4"/>
      <c r="W638" s="4"/>
      <c r="X638" s="4"/>
    </row>
    <row r="639">
      <c r="E639" s="23"/>
      <c r="F639" s="17"/>
      <c r="G639" s="17"/>
      <c r="H639" s="17"/>
      <c r="I639" s="17"/>
      <c r="J639" s="17"/>
      <c r="K639" s="17"/>
      <c r="L639" s="16"/>
      <c r="M639" s="16"/>
      <c r="N639" s="16"/>
      <c r="O639" s="16"/>
      <c r="P639" s="16"/>
      <c r="U639" s="4"/>
      <c r="V639" s="4"/>
      <c r="W639" s="4"/>
      <c r="X639" s="4"/>
    </row>
    <row r="640">
      <c r="E640" s="23"/>
      <c r="F640" s="17"/>
      <c r="G640" s="17"/>
      <c r="H640" s="17"/>
      <c r="I640" s="17"/>
      <c r="J640" s="17"/>
      <c r="K640" s="17"/>
      <c r="L640" s="16"/>
      <c r="M640" s="16"/>
      <c r="N640" s="16"/>
      <c r="O640" s="16"/>
      <c r="P640" s="16"/>
      <c r="U640" s="4"/>
      <c r="V640" s="4"/>
      <c r="W640" s="4"/>
      <c r="X640" s="4"/>
    </row>
    <row r="641">
      <c r="E641" s="23"/>
      <c r="F641" s="17"/>
      <c r="G641" s="17"/>
      <c r="H641" s="17"/>
      <c r="I641" s="17"/>
      <c r="J641" s="17"/>
      <c r="K641" s="17"/>
      <c r="L641" s="16"/>
      <c r="M641" s="16"/>
      <c r="N641" s="16"/>
      <c r="O641" s="16"/>
      <c r="P641" s="16"/>
      <c r="U641" s="4"/>
      <c r="V641" s="4"/>
      <c r="W641" s="4"/>
      <c r="X641" s="4"/>
    </row>
    <row r="642">
      <c r="E642" s="23"/>
      <c r="F642" s="17"/>
      <c r="G642" s="17"/>
      <c r="H642" s="17"/>
      <c r="I642" s="17"/>
      <c r="J642" s="17"/>
      <c r="K642" s="17"/>
      <c r="L642" s="16"/>
      <c r="M642" s="16"/>
      <c r="N642" s="16"/>
      <c r="O642" s="16"/>
      <c r="P642" s="16"/>
      <c r="U642" s="4"/>
      <c r="V642" s="4"/>
      <c r="W642" s="4"/>
      <c r="X642" s="4"/>
    </row>
    <row r="643">
      <c r="E643" s="23"/>
      <c r="F643" s="17"/>
      <c r="G643" s="17"/>
      <c r="H643" s="17"/>
      <c r="I643" s="17"/>
      <c r="J643" s="17"/>
      <c r="K643" s="17"/>
      <c r="L643" s="16"/>
      <c r="M643" s="16"/>
      <c r="N643" s="16"/>
      <c r="O643" s="16"/>
      <c r="P643" s="16"/>
      <c r="U643" s="4"/>
      <c r="V643" s="4"/>
      <c r="W643" s="4"/>
      <c r="X643" s="4"/>
    </row>
    <row r="644">
      <c r="E644" s="23"/>
      <c r="F644" s="17"/>
      <c r="G644" s="17"/>
      <c r="H644" s="17"/>
      <c r="I644" s="17"/>
      <c r="J644" s="17"/>
      <c r="K644" s="17"/>
      <c r="L644" s="16"/>
      <c r="M644" s="16"/>
      <c r="N644" s="16"/>
      <c r="O644" s="16"/>
      <c r="P644" s="16"/>
      <c r="U644" s="4"/>
      <c r="V644" s="4"/>
      <c r="W644" s="4"/>
      <c r="X644" s="4"/>
    </row>
    <row r="645">
      <c r="E645" s="23"/>
      <c r="F645" s="17"/>
      <c r="G645" s="17"/>
      <c r="H645" s="17"/>
      <c r="I645" s="17"/>
      <c r="J645" s="17"/>
      <c r="K645" s="17"/>
      <c r="L645" s="16"/>
      <c r="M645" s="16"/>
      <c r="N645" s="16"/>
      <c r="O645" s="16"/>
      <c r="P645" s="16"/>
      <c r="U645" s="4"/>
      <c r="V645" s="4"/>
      <c r="W645" s="4"/>
      <c r="X645" s="4"/>
    </row>
    <row r="646">
      <c r="E646" s="23"/>
      <c r="F646" s="17"/>
      <c r="G646" s="17"/>
      <c r="H646" s="17"/>
      <c r="I646" s="17"/>
      <c r="J646" s="17"/>
      <c r="K646" s="17"/>
      <c r="L646" s="16"/>
      <c r="M646" s="16"/>
      <c r="N646" s="16"/>
      <c r="O646" s="16"/>
      <c r="P646" s="16"/>
      <c r="U646" s="4"/>
      <c r="V646" s="4"/>
      <c r="W646" s="4"/>
      <c r="X646" s="4"/>
    </row>
    <row r="647">
      <c r="E647" s="23"/>
      <c r="F647" s="17"/>
      <c r="G647" s="17"/>
      <c r="H647" s="17"/>
      <c r="I647" s="17"/>
      <c r="J647" s="17"/>
      <c r="K647" s="17"/>
      <c r="L647" s="16"/>
      <c r="M647" s="16"/>
      <c r="N647" s="16"/>
      <c r="O647" s="16"/>
      <c r="P647" s="16"/>
      <c r="U647" s="4"/>
      <c r="V647" s="4"/>
      <c r="W647" s="4"/>
      <c r="X647" s="4"/>
    </row>
    <row r="648">
      <c r="E648" s="23"/>
      <c r="F648" s="17"/>
      <c r="G648" s="17"/>
      <c r="H648" s="17"/>
      <c r="I648" s="17"/>
      <c r="J648" s="17"/>
      <c r="K648" s="17"/>
      <c r="L648" s="16"/>
      <c r="M648" s="16"/>
      <c r="N648" s="16"/>
      <c r="O648" s="16"/>
      <c r="P648" s="16"/>
      <c r="U648" s="4"/>
      <c r="V648" s="4"/>
      <c r="W648" s="4"/>
      <c r="X648" s="4"/>
    </row>
    <row r="649">
      <c r="E649" s="23"/>
      <c r="F649" s="17"/>
      <c r="G649" s="17"/>
      <c r="H649" s="17"/>
      <c r="I649" s="17"/>
      <c r="J649" s="17"/>
      <c r="K649" s="17"/>
      <c r="L649" s="16"/>
      <c r="M649" s="16"/>
      <c r="N649" s="16"/>
      <c r="O649" s="16"/>
      <c r="P649" s="16"/>
      <c r="U649" s="4"/>
      <c r="V649" s="4"/>
      <c r="W649" s="4"/>
      <c r="X649" s="4"/>
    </row>
    <row r="650">
      <c r="E650" s="23"/>
      <c r="F650" s="17"/>
      <c r="G650" s="17"/>
      <c r="H650" s="17"/>
      <c r="I650" s="17"/>
      <c r="J650" s="17"/>
      <c r="K650" s="17"/>
      <c r="L650" s="16"/>
      <c r="M650" s="16"/>
      <c r="N650" s="16"/>
      <c r="O650" s="16"/>
      <c r="P650" s="16"/>
      <c r="U650" s="4"/>
      <c r="V650" s="4"/>
      <c r="W650" s="4"/>
      <c r="X650" s="4"/>
    </row>
    <row r="651">
      <c r="E651" s="23"/>
      <c r="F651" s="17"/>
      <c r="G651" s="17"/>
      <c r="H651" s="17"/>
      <c r="I651" s="17"/>
      <c r="J651" s="17"/>
      <c r="K651" s="17"/>
      <c r="L651" s="16"/>
      <c r="M651" s="16"/>
      <c r="N651" s="16"/>
      <c r="O651" s="16"/>
      <c r="P651" s="16"/>
      <c r="U651" s="4"/>
      <c r="V651" s="4"/>
      <c r="W651" s="4"/>
      <c r="X651" s="4"/>
    </row>
    <row r="652">
      <c r="E652" s="23"/>
      <c r="F652" s="17"/>
      <c r="G652" s="17"/>
      <c r="H652" s="17"/>
      <c r="I652" s="17"/>
      <c r="J652" s="17"/>
      <c r="K652" s="17"/>
      <c r="L652" s="16"/>
      <c r="M652" s="16"/>
      <c r="N652" s="16"/>
      <c r="O652" s="16"/>
      <c r="P652" s="16"/>
      <c r="U652" s="4"/>
      <c r="V652" s="4"/>
      <c r="W652" s="4"/>
      <c r="X652" s="4"/>
    </row>
    <row r="653">
      <c r="E653" s="23"/>
      <c r="F653" s="17"/>
      <c r="G653" s="17"/>
      <c r="H653" s="17"/>
      <c r="I653" s="17"/>
      <c r="J653" s="17"/>
      <c r="K653" s="17"/>
      <c r="L653" s="16"/>
      <c r="M653" s="16"/>
      <c r="N653" s="16"/>
      <c r="O653" s="16"/>
      <c r="P653" s="16"/>
      <c r="U653" s="4"/>
      <c r="V653" s="4"/>
      <c r="W653" s="4"/>
      <c r="X653" s="4"/>
    </row>
    <row r="654">
      <c r="E654" s="23"/>
      <c r="F654" s="17"/>
      <c r="G654" s="17"/>
      <c r="H654" s="17"/>
      <c r="I654" s="17"/>
      <c r="J654" s="17"/>
      <c r="K654" s="17"/>
      <c r="L654" s="16"/>
      <c r="M654" s="16"/>
      <c r="N654" s="16"/>
      <c r="O654" s="16"/>
      <c r="P654" s="16"/>
      <c r="U654" s="4"/>
      <c r="V654" s="4"/>
      <c r="W654" s="4"/>
      <c r="X654" s="4"/>
    </row>
    <row r="655">
      <c r="E655" s="23"/>
      <c r="F655" s="17"/>
      <c r="G655" s="17"/>
      <c r="H655" s="17"/>
      <c r="I655" s="17"/>
      <c r="J655" s="17"/>
      <c r="K655" s="17"/>
      <c r="L655" s="16"/>
      <c r="M655" s="16"/>
      <c r="N655" s="16"/>
      <c r="O655" s="16"/>
      <c r="P655" s="16"/>
      <c r="U655" s="4"/>
      <c r="V655" s="4"/>
      <c r="W655" s="4"/>
      <c r="X655" s="4"/>
    </row>
    <row r="656">
      <c r="E656" s="23"/>
      <c r="F656" s="17"/>
      <c r="G656" s="17"/>
      <c r="H656" s="17"/>
      <c r="I656" s="17"/>
      <c r="J656" s="17"/>
      <c r="K656" s="17"/>
      <c r="L656" s="16"/>
      <c r="M656" s="16"/>
      <c r="N656" s="16"/>
      <c r="O656" s="16"/>
      <c r="P656" s="16"/>
      <c r="U656" s="4"/>
      <c r="V656" s="4"/>
      <c r="W656" s="4"/>
      <c r="X656" s="4"/>
    </row>
    <row r="657">
      <c r="E657" s="23"/>
      <c r="F657" s="17"/>
      <c r="G657" s="17"/>
      <c r="H657" s="17"/>
      <c r="I657" s="17"/>
      <c r="J657" s="17"/>
      <c r="K657" s="17"/>
      <c r="L657" s="16"/>
      <c r="M657" s="16"/>
      <c r="N657" s="16"/>
      <c r="O657" s="16"/>
      <c r="P657" s="16"/>
      <c r="U657" s="4"/>
      <c r="V657" s="4"/>
      <c r="W657" s="4"/>
      <c r="X657" s="4"/>
    </row>
    <row r="658">
      <c r="E658" s="23"/>
      <c r="F658" s="17"/>
      <c r="G658" s="17"/>
      <c r="H658" s="17"/>
      <c r="I658" s="17"/>
      <c r="J658" s="17"/>
      <c r="K658" s="17"/>
      <c r="L658" s="16"/>
      <c r="M658" s="16"/>
      <c r="N658" s="16"/>
      <c r="O658" s="16"/>
      <c r="P658" s="16"/>
      <c r="U658" s="4"/>
      <c r="V658" s="4"/>
      <c r="W658" s="4"/>
      <c r="X658" s="4"/>
    </row>
    <row r="659">
      <c r="E659" s="23"/>
      <c r="F659" s="17"/>
      <c r="G659" s="17"/>
      <c r="H659" s="17"/>
      <c r="I659" s="17"/>
      <c r="J659" s="17"/>
      <c r="K659" s="17"/>
      <c r="L659" s="16"/>
      <c r="M659" s="16"/>
      <c r="N659" s="16"/>
      <c r="O659" s="16"/>
      <c r="P659" s="16"/>
      <c r="U659" s="4"/>
      <c r="V659" s="4"/>
      <c r="W659" s="4"/>
      <c r="X659" s="4"/>
    </row>
    <row r="660">
      <c r="E660" s="23"/>
      <c r="F660" s="17"/>
      <c r="G660" s="17"/>
      <c r="H660" s="17"/>
      <c r="I660" s="17"/>
      <c r="J660" s="17"/>
      <c r="K660" s="17"/>
      <c r="L660" s="16"/>
      <c r="M660" s="16"/>
      <c r="N660" s="16"/>
      <c r="O660" s="16"/>
      <c r="P660" s="16"/>
      <c r="U660" s="4"/>
      <c r="V660" s="4"/>
      <c r="W660" s="4"/>
      <c r="X660" s="4"/>
    </row>
    <row r="661">
      <c r="E661" s="23"/>
      <c r="F661" s="17"/>
      <c r="G661" s="17"/>
      <c r="H661" s="17"/>
      <c r="I661" s="17"/>
      <c r="J661" s="17"/>
      <c r="K661" s="17"/>
      <c r="L661" s="16"/>
      <c r="M661" s="16"/>
      <c r="N661" s="16"/>
      <c r="O661" s="16"/>
      <c r="P661" s="16"/>
      <c r="U661" s="4"/>
      <c r="V661" s="4"/>
      <c r="W661" s="4"/>
      <c r="X661" s="4"/>
    </row>
    <row r="662">
      <c r="E662" s="23"/>
      <c r="F662" s="17"/>
      <c r="G662" s="17"/>
      <c r="H662" s="17"/>
      <c r="I662" s="17"/>
      <c r="J662" s="17"/>
      <c r="K662" s="17"/>
      <c r="L662" s="16"/>
      <c r="M662" s="16"/>
      <c r="N662" s="16"/>
      <c r="O662" s="16"/>
      <c r="P662" s="16"/>
      <c r="U662" s="4"/>
      <c r="V662" s="4"/>
      <c r="W662" s="4"/>
      <c r="X662" s="4"/>
    </row>
    <row r="663">
      <c r="E663" s="23"/>
      <c r="F663" s="17"/>
      <c r="G663" s="17"/>
      <c r="H663" s="17"/>
      <c r="I663" s="17"/>
      <c r="J663" s="17"/>
      <c r="K663" s="17"/>
      <c r="L663" s="16"/>
      <c r="M663" s="16"/>
      <c r="N663" s="16"/>
      <c r="O663" s="16"/>
      <c r="P663" s="16"/>
      <c r="U663" s="4"/>
      <c r="V663" s="4"/>
      <c r="W663" s="4"/>
      <c r="X663" s="4"/>
    </row>
    <row r="664">
      <c r="E664" s="23"/>
      <c r="F664" s="17"/>
      <c r="G664" s="17"/>
      <c r="H664" s="17"/>
      <c r="I664" s="17"/>
      <c r="J664" s="17"/>
      <c r="K664" s="17"/>
      <c r="L664" s="16"/>
      <c r="M664" s="16"/>
      <c r="N664" s="16"/>
      <c r="O664" s="16"/>
      <c r="P664" s="16"/>
      <c r="U664" s="4"/>
      <c r="V664" s="4"/>
      <c r="W664" s="4"/>
      <c r="X664" s="4"/>
    </row>
    <row r="665">
      <c r="E665" s="23"/>
      <c r="F665" s="17"/>
      <c r="G665" s="17"/>
      <c r="H665" s="17"/>
      <c r="I665" s="17"/>
      <c r="J665" s="17"/>
      <c r="K665" s="17"/>
      <c r="L665" s="16"/>
      <c r="M665" s="16"/>
      <c r="N665" s="16"/>
      <c r="O665" s="16"/>
      <c r="P665" s="16"/>
      <c r="U665" s="4"/>
      <c r="V665" s="4"/>
      <c r="W665" s="4"/>
      <c r="X665" s="4"/>
    </row>
    <row r="666">
      <c r="E666" s="23"/>
      <c r="F666" s="17"/>
      <c r="G666" s="17"/>
      <c r="H666" s="17"/>
      <c r="I666" s="17"/>
      <c r="J666" s="17"/>
      <c r="K666" s="17"/>
      <c r="L666" s="16"/>
      <c r="M666" s="16"/>
      <c r="N666" s="16"/>
      <c r="O666" s="16"/>
      <c r="P666" s="16"/>
      <c r="U666" s="4"/>
      <c r="V666" s="4"/>
      <c r="W666" s="4"/>
      <c r="X666" s="4"/>
    </row>
    <row r="667">
      <c r="E667" s="23"/>
      <c r="F667" s="17"/>
      <c r="G667" s="17"/>
      <c r="H667" s="17"/>
      <c r="I667" s="17"/>
      <c r="J667" s="17"/>
      <c r="K667" s="17"/>
      <c r="L667" s="16"/>
      <c r="M667" s="16"/>
      <c r="N667" s="16"/>
      <c r="O667" s="16"/>
      <c r="P667" s="16"/>
      <c r="U667" s="4"/>
      <c r="V667" s="4"/>
      <c r="W667" s="4"/>
      <c r="X667" s="4"/>
    </row>
    <row r="668">
      <c r="E668" s="23"/>
      <c r="F668" s="17"/>
      <c r="G668" s="17"/>
      <c r="H668" s="17"/>
      <c r="I668" s="17"/>
      <c r="J668" s="17"/>
      <c r="K668" s="17"/>
      <c r="L668" s="16"/>
      <c r="M668" s="16"/>
      <c r="N668" s="16"/>
      <c r="O668" s="16"/>
      <c r="P668" s="16"/>
      <c r="U668" s="4"/>
      <c r="V668" s="4"/>
      <c r="W668" s="4"/>
      <c r="X668" s="4"/>
    </row>
    <row r="669">
      <c r="E669" s="23"/>
      <c r="F669" s="17"/>
      <c r="G669" s="17"/>
      <c r="H669" s="17"/>
      <c r="I669" s="17"/>
      <c r="J669" s="17"/>
      <c r="K669" s="17"/>
      <c r="L669" s="16"/>
      <c r="M669" s="16"/>
      <c r="N669" s="16"/>
      <c r="O669" s="16"/>
      <c r="P669" s="16"/>
      <c r="U669" s="4"/>
      <c r="V669" s="4"/>
      <c r="W669" s="4"/>
      <c r="X669" s="4"/>
    </row>
    <row r="670">
      <c r="E670" s="23"/>
      <c r="F670" s="17"/>
      <c r="G670" s="17"/>
      <c r="H670" s="17"/>
      <c r="I670" s="17"/>
      <c r="J670" s="17"/>
      <c r="K670" s="17"/>
      <c r="L670" s="16"/>
      <c r="M670" s="16"/>
      <c r="N670" s="16"/>
      <c r="O670" s="16"/>
      <c r="P670" s="16"/>
      <c r="U670" s="4"/>
      <c r="V670" s="4"/>
      <c r="W670" s="4"/>
      <c r="X670" s="4"/>
    </row>
    <row r="671">
      <c r="E671" s="23"/>
      <c r="F671" s="17"/>
      <c r="G671" s="17"/>
      <c r="H671" s="17"/>
      <c r="I671" s="17"/>
      <c r="J671" s="17"/>
      <c r="K671" s="17"/>
      <c r="L671" s="16"/>
      <c r="M671" s="16"/>
      <c r="N671" s="16"/>
      <c r="O671" s="16"/>
      <c r="P671" s="16"/>
      <c r="U671" s="4"/>
      <c r="V671" s="4"/>
      <c r="W671" s="4"/>
      <c r="X671" s="4"/>
    </row>
    <row r="672">
      <c r="E672" s="23"/>
      <c r="F672" s="17"/>
      <c r="G672" s="17"/>
      <c r="H672" s="17"/>
      <c r="I672" s="17"/>
      <c r="J672" s="17"/>
      <c r="K672" s="17"/>
      <c r="L672" s="16"/>
      <c r="M672" s="16"/>
      <c r="N672" s="16"/>
      <c r="O672" s="16"/>
      <c r="P672" s="16"/>
      <c r="U672" s="4"/>
      <c r="V672" s="4"/>
      <c r="W672" s="4"/>
      <c r="X672" s="4"/>
    </row>
    <row r="673">
      <c r="E673" s="23"/>
      <c r="F673" s="17"/>
      <c r="G673" s="17"/>
      <c r="H673" s="17"/>
      <c r="I673" s="17"/>
      <c r="J673" s="17"/>
      <c r="K673" s="17"/>
      <c r="L673" s="16"/>
      <c r="M673" s="16"/>
      <c r="N673" s="16"/>
      <c r="O673" s="16"/>
      <c r="P673" s="16"/>
      <c r="U673" s="4"/>
      <c r="V673" s="4"/>
      <c r="W673" s="4"/>
      <c r="X673" s="4"/>
    </row>
    <row r="674">
      <c r="E674" s="23"/>
      <c r="F674" s="17"/>
      <c r="G674" s="17"/>
      <c r="H674" s="17"/>
      <c r="I674" s="17"/>
      <c r="J674" s="17"/>
      <c r="K674" s="17"/>
      <c r="L674" s="16"/>
      <c r="M674" s="16"/>
      <c r="N674" s="16"/>
      <c r="O674" s="16"/>
      <c r="P674" s="16"/>
      <c r="U674" s="4"/>
      <c r="V674" s="4"/>
      <c r="W674" s="4"/>
      <c r="X674" s="4"/>
    </row>
    <row r="675">
      <c r="E675" s="23"/>
      <c r="F675" s="17"/>
      <c r="G675" s="17"/>
      <c r="H675" s="17"/>
      <c r="I675" s="17"/>
      <c r="J675" s="17"/>
      <c r="K675" s="17"/>
      <c r="L675" s="16"/>
      <c r="M675" s="16"/>
      <c r="N675" s="16"/>
      <c r="O675" s="16"/>
      <c r="P675" s="16"/>
      <c r="U675" s="4"/>
      <c r="V675" s="4"/>
      <c r="W675" s="4"/>
      <c r="X675" s="4"/>
    </row>
    <row r="676">
      <c r="E676" s="23"/>
      <c r="F676" s="17"/>
      <c r="G676" s="17"/>
      <c r="H676" s="17"/>
      <c r="I676" s="17"/>
      <c r="J676" s="17"/>
      <c r="K676" s="17"/>
      <c r="L676" s="16"/>
      <c r="M676" s="16"/>
      <c r="N676" s="16"/>
      <c r="O676" s="16"/>
      <c r="P676" s="16"/>
      <c r="U676" s="4"/>
      <c r="V676" s="4"/>
      <c r="W676" s="4"/>
      <c r="X676" s="4"/>
    </row>
    <row r="677">
      <c r="E677" s="23"/>
      <c r="F677" s="17"/>
      <c r="G677" s="17"/>
      <c r="H677" s="17"/>
      <c r="I677" s="17"/>
      <c r="J677" s="17"/>
      <c r="K677" s="17"/>
      <c r="L677" s="16"/>
      <c r="M677" s="16"/>
      <c r="N677" s="16"/>
      <c r="O677" s="16"/>
      <c r="P677" s="16"/>
      <c r="U677" s="4"/>
      <c r="V677" s="4"/>
      <c r="W677" s="4"/>
      <c r="X677" s="4"/>
    </row>
    <row r="678">
      <c r="E678" s="23"/>
      <c r="F678" s="17"/>
      <c r="G678" s="17"/>
      <c r="H678" s="17"/>
      <c r="I678" s="17"/>
      <c r="J678" s="17"/>
      <c r="K678" s="17"/>
      <c r="L678" s="16"/>
      <c r="M678" s="16"/>
      <c r="N678" s="16"/>
      <c r="O678" s="16"/>
      <c r="P678" s="16"/>
      <c r="U678" s="4"/>
      <c r="V678" s="4"/>
      <c r="W678" s="4"/>
      <c r="X678" s="4"/>
    </row>
    <row r="679">
      <c r="E679" s="23"/>
      <c r="F679" s="17"/>
      <c r="G679" s="17"/>
      <c r="H679" s="17"/>
      <c r="I679" s="17"/>
      <c r="J679" s="17"/>
      <c r="K679" s="17"/>
      <c r="L679" s="16"/>
      <c r="M679" s="16"/>
      <c r="N679" s="16"/>
      <c r="O679" s="16"/>
      <c r="P679" s="16"/>
      <c r="U679" s="4"/>
      <c r="V679" s="4"/>
      <c r="W679" s="4"/>
      <c r="X679" s="4"/>
    </row>
    <row r="680">
      <c r="E680" s="23"/>
      <c r="F680" s="17"/>
      <c r="G680" s="17"/>
      <c r="H680" s="17"/>
      <c r="I680" s="17"/>
      <c r="J680" s="17"/>
      <c r="K680" s="17"/>
      <c r="L680" s="16"/>
      <c r="M680" s="16"/>
      <c r="N680" s="16"/>
      <c r="O680" s="16"/>
      <c r="P680" s="16"/>
      <c r="U680" s="4"/>
      <c r="V680" s="4"/>
      <c r="W680" s="4"/>
      <c r="X680" s="4"/>
    </row>
    <row r="681">
      <c r="E681" s="23"/>
      <c r="F681" s="17"/>
      <c r="G681" s="17"/>
      <c r="H681" s="17"/>
      <c r="I681" s="17"/>
      <c r="J681" s="17"/>
      <c r="K681" s="17"/>
      <c r="L681" s="16"/>
      <c r="M681" s="16"/>
      <c r="N681" s="16"/>
      <c r="O681" s="16"/>
      <c r="P681" s="16"/>
      <c r="U681" s="4"/>
      <c r="V681" s="4"/>
      <c r="W681" s="4"/>
      <c r="X681" s="4"/>
    </row>
    <row r="682">
      <c r="E682" s="23"/>
      <c r="F682" s="17"/>
      <c r="G682" s="17"/>
      <c r="H682" s="17"/>
      <c r="I682" s="17"/>
      <c r="J682" s="17"/>
      <c r="K682" s="17"/>
      <c r="L682" s="16"/>
      <c r="M682" s="16"/>
      <c r="N682" s="16"/>
      <c r="O682" s="16"/>
      <c r="P682" s="16"/>
      <c r="U682" s="4"/>
      <c r="V682" s="4"/>
      <c r="W682" s="4"/>
      <c r="X682" s="4"/>
    </row>
    <row r="683">
      <c r="E683" s="23"/>
      <c r="F683" s="17"/>
      <c r="G683" s="17"/>
      <c r="H683" s="17"/>
      <c r="I683" s="17"/>
      <c r="J683" s="17"/>
      <c r="K683" s="17"/>
      <c r="L683" s="16"/>
      <c r="M683" s="16"/>
      <c r="N683" s="16"/>
      <c r="O683" s="16"/>
      <c r="P683" s="16"/>
      <c r="U683" s="4"/>
      <c r="V683" s="4"/>
      <c r="W683" s="4"/>
      <c r="X683" s="4"/>
    </row>
    <row r="684">
      <c r="E684" s="23"/>
      <c r="F684" s="17"/>
      <c r="G684" s="17"/>
      <c r="H684" s="17"/>
      <c r="I684" s="17"/>
      <c r="J684" s="17"/>
      <c r="K684" s="17"/>
      <c r="L684" s="16"/>
      <c r="M684" s="16"/>
      <c r="N684" s="16"/>
      <c r="O684" s="16"/>
      <c r="P684" s="16"/>
      <c r="U684" s="4"/>
      <c r="V684" s="4"/>
      <c r="W684" s="4"/>
      <c r="X684" s="4"/>
    </row>
    <row r="685">
      <c r="E685" s="23"/>
      <c r="F685" s="17"/>
      <c r="G685" s="17"/>
      <c r="H685" s="17"/>
      <c r="I685" s="17"/>
      <c r="J685" s="17"/>
      <c r="K685" s="17"/>
      <c r="L685" s="16"/>
      <c r="M685" s="16"/>
      <c r="N685" s="16"/>
      <c r="O685" s="16"/>
      <c r="P685" s="16"/>
      <c r="U685" s="4"/>
      <c r="V685" s="4"/>
      <c r="W685" s="4"/>
      <c r="X685" s="4"/>
    </row>
    <row r="686">
      <c r="E686" s="23"/>
      <c r="F686" s="17"/>
      <c r="G686" s="17"/>
      <c r="H686" s="17"/>
      <c r="I686" s="17"/>
      <c r="J686" s="17"/>
      <c r="K686" s="17"/>
      <c r="L686" s="16"/>
      <c r="M686" s="16"/>
      <c r="N686" s="16"/>
      <c r="O686" s="16"/>
      <c r="P686" s="16"/>
      <c r="U686" s="4"/>
      <c r="V686" s="4"/>
      <c r="W686" s="4"/>
      <c r="X686" s="4"/>
    </row>
    <row r="687">
      <c r="E687" s="23"/>
      <c r="F687" s="17"/>
      <c r="G687" s="17"/>
      <c r="H687" s="17"/>
      <c r="I687" s="17"/>
      <c r="J687" s="17"/>
      <c r="K687" s="17"/>
      <c r="L687" s="16"/>
      <c r="M687" s="16"/>
      <c r="N687" s="16"/>
      <c r="O687" s="16"/>
      <c r="P687" s="16"/>
      <c r="U687" s="4"/>
      <c r="V687" s="4"/>
      <c r="W687" s="4"/>
      <c r="X687" s="4"/>
    </row>
    <row r="688">
      <c r="E688" s="23"/>
      <c r="F688" s="17"/>
      <c r="G688" s="17"/>
      <c r="H688" s="17"/>
      <c r="I688" s="17"/>
      <c r="J688" s="17"/>
      <c r="K688" s="17"/>
      <c r="L688" s="16"/>
      <c r="M688" s="16"/>
      <c r="N688" s="16"/>
      <c r="O688" s="16"/>
      <c r="P688" s="16"/>
      <c r="U688" s="4"/>
      <c r="V688" s="4"/>
      <c r="W688" s="4"/>
      <c r="X688" s="4"/>
    </row>
    <row r="689">
      <c r="E689" s="23"/>
      <c r="F689" s="17"/>
      <c r="G689" s="17"/>
      <c r="H689" s="17"/>
      <c r="I689" s="17"/>
      <c r="J689" s="17"/>
      <c r="K689" s="17"/>
      <c r="L689" s="16"/>
      <c r="M689" s="16"/>
      <c r="N689" s="16"/>
      <c r="O689" s="16"/>
      <c r="P689" s="16"/>
      <c r="U689" s="4"/>
      <c r="V689" s="4"/>
      <c r="W689" s="4"/>
      <c r="X689" s="4"/>
    </row>
    <row r="690">
      <c r="E690" s="23"/>
      <c r="F690" s="17"/>
      <c r="G690" s="17"/>
      <c r="H690" s="17"/>
      <c r="I690" s="17"/>
      <c r="J690" s="17"/>
      <c r="K690" s="17"/>
      <c r="L690" s="16"/>
      <c r="M690" s="16"/>
      <c r="N690" s="16"/>
      <c r="O690" s="16"/>
      <c r="P690" s="16"/>
      <c r="U690" s="4"/>
      <c r="V690" s="4"/>
      <c r="W690" s="4"/>
      <c r="X690" s="4"/>
    </row>
    <row r="691">
      <c r="E691" s="23"/>
      <c r="F691" s="17"/>
      <c r="G691" s="17"/>
      <c r="H691" s="17"/>
      <c r="I691" s="17"/>
      <c r="J691" s="17"/>
      <c r="K691" s="17"/>
      <c r="L691" s="16"/>
      <c r="M691" s="16"/>
      <c r="N691" s="16"/>
      <c r="O691" s="16"/>
      <c r="P691" s="16"/>
      <c r="U691" s="4"/>
      <c r="V691" s="4"/>
      <c r="W691" s="4"/>
      <c r="X691" s="4"/>
    </row>
    <row r="692">
      <c r="E692" s="23"/>
      <c r="F692" s="17"/>
      <c r="G692" s="17"/>
      <c r="H692" s="17"/>
      <c r="I692" s="17"/>
      <c r="J692" s="17"/>
      <c r="K692" s="17"/>
      <c r="L692" s="16"/>
      <c r="M692" s="16"/>
      <c r="N692" s="16"/>
      <c r="O692" s="16"/>
      <c r="P692" s="16"/>
      <c r="U692" s="4"/>
      <c r="V692" s="4"/>
      <c r="W692" s="4"/>
      <c r="X692" s="4"/>
    </row>
    <row r="693">
      <c r="E693" s="23"/>
      <c r="F693" s="17"/>
      <c r="G693" s="17"/>
      <c r="H693" s="17"/>
      <c r="I693" s="17"/>
      <c r="J693" s="17"/>
      <c r="K693" s="17"/>
      <c r="L693" s="16"/>
      <c r="M693" s="16"/>
      <c r="N693" s="16"/>
      <c r="O693" s="16"/>
      <c r="P693" s="16"/>
      <c r="U693" s="4"/>
      <c r="V693" s="4"/>
      <c r="W693" s="4"/>
      <c r="X693" s="4"/>
    </row>
    <row r="694">
      <c r="E694" s="23"/>
      <c r="F694" s="17"/>
      <c r="G694" s="17"/>
      <c r="H694" s="17"/>
      <c r="I694" s="17"/>
      <c r="J694" s="17"/>
      <c r="K694" s="17"/>
      <c r="L694" s="16"/>
      <c r="M694" s="16"/>
      <c r="N694" s="16"/>
      <c r="O694" s="16"/>
      <c r="P694" s="16"/>
      <c r="U694" s="4"/>
      <c r="V694" s="4"/>
      <c r="W694" s="4"/>
      <c r="X694" s="4"/>
    </row>
    <row r="695">
      <c r="E695" s="23"/>
      <c r="F695" s="17"/>
      <c r="G695" s="17"/>
      <c r="H695" s="17"/>
      <c r="I695" s="17"/>
      <c r="J695" s="17"/>
      <c r="K695" s="17"/>
      <c r="L695" s="16"/>
      <c r="M695" s="16"/>
      <c r="N695" s="16"/>
      <c r="O695" s="16"/>
      <c r="P695" s="16"/>
      <c r="U695" s="4"/>
      <c r="V695" s="4"/>
      <c r="W695" s="4"/>
      <c r="X695" s="4"/>
    </row>
    <row r="696">
      <c r="E696" s="23"/>
      <c r="F696" s="17"/>
      <c r="G696" s="17"/>
      <c r="H696" s="17"/>
      <c r="I696" s="17"/>
      <c r="J696" s="17"/>
      <c r="K696" s="17"/>
      <c r="L696" s="16"/>
      <c r="M696" s="16"/>
      <c r="N696" s="16"/>
      <c r="O696" s="16"/>
      <c r="P696" s="16"/>
      <c r="U696" s="4"/>
      <c r="V696" s="4"/>
      <c r="W696" s="4"/>
      <c r="X696" s="4"/>
    </row>
    <row r="697">
      <c r="E697" s="23"/>
      <c r="F697" s="17"/>
      <c r="G697" s="17"/>
      <c r="H697" s="17"/>
      <c r="I697" s="17"/>
      <c r="J697" s="17"/>
      <c r="K697" s="17"/>
      <c r="L697" s="16"/>
      <c r="M697" s="16"/>
      <c r="N697" s="16"/>
      <c r="O697" s="16"/>
      <c r="P697" s="16"/>
      <c r="U697" s="4"/>
      <c r="V697" s="4"/>
      <c r="W697" s="4"/>
      <c r="X697" s="4"/>
    </row>
    <row r="698">
      <c r="E698" s="23"/>
      <c r="F698" s="17"/>
      <c r="G698" s="17"/>
      <c r="H698" s="17"/>
      <c r="I698" s="17"/>
      <c r="J698" s="17"/>
      <c r="K698" s="17"/>
      <c r="L698" s="16"/>
      <c r="M698" s="16"/>
      <c r="N698" s="16"/>
      <c r="O698" s="16"/>
      <c r="P698" s="16"/>
      <c r="U698" s="4"/>
      <c r="V698" s="4"/>
      <c r="W698" s="4"/>
      <c r="X698" s="4"/>
    </row>
    <row r="699">
      <c r="E699" s="23"/>
      <c r="F699" s="17"/>
      <c r="G699" s="17"/>
      <c r="H699" s="17"/>
      <c r="I699" s="17"/>
      <c r="J699" s="17"/>
      <c r="K699" s="17"/>
      <c r="L699" s="16"/>
      <c r="M699" s="16"/>
      <c r="N699" s="16"/>
      <c r="O699" s="16"/>
      <c r="P699" s="16"/>
      <c r="U699" s="4"/>
      <c r="V699" s="4"/>
      <c r="W699" s="4"/>
      <c r="X699" s="4"/>
    </row>
    <row r="700">
      <c r="E700" s="23"/>
      <c r="F700" s="17"/>
      <c r="G700" s="17"/>
      <c r="H700" s="17"/>
      <c r="I700" s="17"/>
      <c r="J700" s="17"/>
      <c r="K700" s="17"/>
      <c r="L700" s="16"/>
      <c r="M700" s="16"/>
      <c r="N700" s="16"/>
      <c r="O700" s="16"/>
      <c r="P700" s="16"/>
      <c r="U700" s="4"/>
      <c r="V700" s="4"/>
      <c r="W700" s="4"/>
      <c r="X700" s="4"/>
    </row>
    <row r="701">
      <c r="E701" s="23"/>
      <c r="F701" s="17"/>
      <c r="G701" s="17"/>
      <c r="H701" s="17"/>
      <c r="I701" s="17"/>
      <c r="J701" s="17"/>
      <c r="K701" s="17"/>
      <c r="L701" s="16"/>
      <c r="M701" s="16"/>
      <c r="N701" s="16"/>
      <c r="O701" s="16"/>
      <c r="P701" s="16"/>
      <c r="U701" s="4"/>
      <c r="V701" s="4"/>
      <c r="W701" s="4"/>
      <c r="X701" s="4"/>
    </row>
    <row r="702">
      <c r="E702" s="23"/>
      <c r="F702" s="17"/>
      <c r="G702" s="17"/>
      <c r="H702" s="17"/>
      <c r="I702" s="17"/>
      <c r="J702" s="17"/>
      <c r="K702" s="17"/>
      <c r="L702" s="16"/>
      <c r="M702" s="16"/>
      <c r="N702" s="16"/>
      <c r="O702" s="16"/>
      <c r="P702" s="16"/>
      <c r="U702" s="4"/>
      <c r="V702" s="4"/>
      <c r="W702" s="4"/>
      <c r="X702" s="4"/>
    </row>
    <row r="703">
      <c r="E703" s="23"/>
      <c r="F703" s="17"/>
      <c r="G703" s="17"/>
      <c r="H703" s="17"/>
      <c r="I703" s="17"/>
      <c r="J703" s="17"/>
      <c r="K703" s="17"/>
      <c r="L703" s="16"/>
      <c r="M703" s="16"/>
      <c r="N703" s="16"/>
      <c r="O703" s="16"/>
      <c r="P703" s="16"/>
      <c r="U703" s="4"/>
      <c r="V703" s="4"/>
      <c r="W703" s="4"/>
      <c r="X703" s="4"/>
    </row>
    <row r="704">
      <c r="E704" s="23"/>
      <c r="F704" s="17"/>
      <c r="G704" s="17"/>
      <c r="H704" s="17"/>
      <c r="I704" s="17"/>
      <c r="J704" s="17"/>
      <c r="K704" s="17"/>
      <c r="L704" s="16"/>
      <c r="M704" s="16"/>
      <c r="N704" s="16"/>
      <c r="O704" s="16"/>
      <c r="P704" s="16"/>
      <c r="U704" s="4"/>
      <c r="V704" s="4"/>
      <c r="W704" s="4"/>
      <c r="X704" s="4"/>
    </row>
    <row r="705">
      <c r="E705" s="23"/>
      <c r="F705" s="17"/>
      <c r="G705" s="17"/>
      <c r="H705" s="17"/>
      <c r="I705" s="17"/>
      <c r="J705" s="17"/>
      <c r="K705" s="17"/>
      <c r="L705" s="16"/>
      <c r="M705" s="16"/>
      <c r="N705" s="16"/>
      <c r="O705" s="16"/>
      <c r="P705" s="16"/>
      <c r="U705" s="4"/>
      <c r="V705" s="4"/>
      <c r="W705" s="4"/>
      <c r="X705" s="4"/>
    </row>
    <row r="706">
      <c r="E706" s="23"/>
      <c r="F706" s="17"/>
      <c r="G706" s="17"/>
      <c r="H706" s="17"/>
      <c r="I706" s="17"/>
      <c r="J706" s="17"/>
      <c r="K706" s="17"/>
      <c r="L706" s="16"/>
      <c r="M706" s="16"/>
      <c r="N706" s="16"/>
      <c r="O706" s="16"/>
      <c r="P706" s="16"/>
      <c r="U706" s="4"/>
      <c r="V706" s="4"/>
      <c r="W706" s="4"/>
      <c r="X706" s="4"/>
    </row>
    <row r="707">
      <c r="E707" s="23"/>
      <c r="F707" s="17"/>
      <c r="G707" s="17"/>
      <c r="H707" s="17"/>
      <c r="I707" s="17"/>
      <c r="J707" s="17"/>
      <c r="K707" s="17"/>
      <c r="L707" s="16"/>
      <c r="M707" s="16"/>
      <c r="N707" s="16"/>
      <c r="O707" s="16"/>
      <c r="P707" s="16"/>
      <c r="U707" s="4"/>
      <c r="V707" s="4"/>
      <c r="W707" s="4"/>
      <c r="X707" s="4"/>
    </row>
    <row r="708">
      <c r="E708" s="23"/>
      <c r="F708" s="17"/>
      <c r="G708" s="17"/>
      <c r="H708" s="17"/>
      <c r="I708" s="17"/>
      <c r="J708" s="17"/>
      <c r="K708" s="17"/>
      <c r="L708" s="16"/>
      <c r="M708" s="16"/>
      <c r="N708" s="16"/>
      <c r="O708" s="16"/>
      <c r="P708" s="16"/>
      <c r="U708" s="4"/>
      <c r="V708" s="4"/>
      <c r="W708" s="4"/>
      <c r="X708" s="4"/>
    </row>
    <row r="709">
      <c r="E709" s="23"/>
      <c r="F709" s="17"/>
      <c r="G709" s="17"/>
      <c r="H709" s="17"/>
      <c r="I709" s="17"/>
      <c r="J709" s="17"/>
      <c r="K709" s="17"/>
      <c r="L709" s="16"/>
      <c r="M709" s="16"/>
      <c r="N709" s="16"/>
      <c r="O709" s="16"/>
      <c r="P709" s="16"/>
      <c r="U709" s="4"/>
      <c r="V709" s="4"/>
      <c r="W709" s="4"/>
      <c r="X709" s="4"/>
    </row>
    <row r="710">
      <c r="E710" s="23"/>
      <c r="F710" s="17"/>
      <c r="G710" s="17"/>
      <c r="H710" s="17"/>
      <c r="I710" s="17"/>
      <c r="J710" s="17"/>
      <c r="K710" s="17"/>
      <c r="L710" s="16"/>
      <c r="M710" s="16"/>
      <c r="N710" s="16"/>
      <c r="O710" s="16"/>
      <c r="P710" s="16"/>
      <c r="U710" s="4"/>
      <c r="V710" s="4"/>
      <c r="W710" s="4"/>
      <c r="X710" s="4"/>
    </row>
    <row r="711">
      <c r="E711" s="23"/>
      <c r="F711" s="17"/>
      <c r="G711" s="17"/>
      <c r="H711" s="17"/>
      <c r="I711" s="17"/>
      <c r="J711" s="17"/>
      <c r="K711" s="17"/>
      <c r="L711" s="16"/>
      <c r="M711" s="16"/>
      <c r="N711" s="16"/>
      <c r="O711" s="16"/>
      <c r="P711" s="16"/>
      <c r="U711" s="4"/>
      <c r="V711" s="4"/>
      <c r="W711" s="4"/>
      <c r="X711" s="4"/>
    </row>
    <row r="712">
      <c r="E712" s="23"/>
      <c r="F712" s="17"/>
      <c r="G712" s="17"/>
      <c r="H712" s="17"/>
      <c r="I712" s="17"/>
      <c r="J712" s="17"/>
      <c r="K712" s="17"/>
      <c r="L712" s="16"/>
      <c r="M712" s="16"/>
      <c r="N712" s="16"/>
      <c r="O712" s="16"/>
      <c r="P712" s="16"/>
      <c r="U712" s="4"/>
      <c r="V712" s="4"/>
      <c r="W712" s="4"/>
      <c r="X712" s="4"/>
    </row>
    <row r="713">
      <c r="E713" s="23"/>
      <c r="F713" s="17"/>
      <c r="G713" s="17"/>
      <c r="H713" s="17"/>
      <c r="I713" s="17"/>
      <c r="J713" s="17"/>
      <c r="K713" s="17"/>
      <c r="L713" s="16"/>
      <c r="M713" s="16"/>
      <c r="N713" s="16"/>
      <c r="O713" s="16"/>
      <c r="P713" s="16"/>
      <c r="U713" s="4"/>
      <c r="V713" s="4"/>
      <c r="W713" s="4"/>
      <c r="X713" s="4"/>
    </row>
    <row r="714">
      <c r="E714" s="23"/>
      <c r="F714" s="17"/>
      <c r="G714" s="17"/>
      <c r="H714" s="17"/>
      <c r="I714" s="17"/>
      <c r="J714" s="17"/>
      <c r="K714" s="17"/>
      <c r="L714" s="16"/>
      <c r="M714" s="16"/>
      <c r="N714" s="16"/>
      <c r="O714" s="16"/>
      <c r="P714" s="16"/>
      <c r="U714" s="4"/>
      <c r="V714" s="4"/>
      <c r="W714" s="4"/>
      <c r="X714" s="4"/>
    </row>
    <row r="715">
      <c r="E715" s="23"/>
      <c r="F715" s="17"/>
      <c r="G715" s="17"/>
      <c r="H715" s="17"/>
      <c r="I715" s="17"/>
      <c r="J715" s="17"/>
      <c r="K715" s="17"/>
      <c r="L715" s="16"/>
      <c r="M715" s="16"/>
      <c r="N715" s="16"/>
      <c r="O715" s="16"/>
      <c r="P715" s="16"/>
      <c r="U715" s="4"/>
      <c r="V715" s="4"/>
      <c r="W715" s="4"/>
      <c r="X715" s="4"/>
    </row>
    <row r="716">
      <c r="E716" s="23"/>
      <c r="F716" s="17"/>
      <c r="G716" s="17"/>
      <c r="H716" s="17"/>
      <c r="I716" s="17"/>
      <c r="J716" s="17"/>
      <c r="K716" s="17"/>
      <c r="L716" s="16"/>
      <c r="M716" s="16"/>
      <c r="N716" s="16"/>
      <c r="O716" s="16"/>
      <c r="P716" s="16"/>
      <c r="U716" s="4"/>
      <c r="V716" s="4"/>
      <c r="W716" s="4"/>
      <c r="X716" s="4"/>
    </row>
    <row r="717">
      <c r="E717" s="23"/>
      <c r="F717" s="17"/>
      <c r="G717" s="17"/>
      <c r="H717" s="17"/>
      <c r="I717" s="17"/>
      <c r="J717" s="17"/>
      <c r="K717" s="17"/>
      <c r="L717" s="16"/>
      <c r="M717" s="16"/>
      <c r="N717" s="16"/>
      <c r="O717" s="16"/>
      <c r="P717" s="16"/>
      <c r="U717" s="4"/>
      <c r="V717" s="4"/>
      <c r="W717" s="4"/>
      <c r="X717" s="4"/>
    </row>
    <row r="718">
      <c r="E718" s="23"/>
      <c r="F718" s="17"/>
      <c r="G718" s="17"/>
      <c r="H718" s="17"/>
      <c r="I718" s="17"/>
      <c r="J718" s="17"/>
      <c r="K718" s="17"/>
      <c r="L718" s="16"/>
      <c r="M718" s="16"/>
      <c r="N718" s="16"/>
      <c r="O718" s="16"/>
      <c r="P718" s="16"/>
      <c r="U718" s="4"/>
      <c r="V718" s="4"/>
      <c r="W718" s="4"/>
      <c r="X718" s="4"/>
    </row>
    <row r="719">
      <c r="E719" s="23"/>
      <c r="F719" s="17"/>
      <c r="G719" s="17"/>
      <c r="H719" s="17"/>
      <c r="I719" s="17"/>
      <c r="J719" s="17"/>
      <c r="K719" s="17"/>
      <c r="L719" s="16"/>
      <c r="M719" s="16"/>
      <c r="N719" s="16"/>
      <c r="O719" s="16"/>
      <c r="P719" s="16"/>
      <c r="U719" s="4"/>
      <c r="V719" s="4"/>
      <c r="W719" s="4"/>
      <c r="X719" s="4"/>
    </row>
    <row r="720">
      <c r="E720" s="23"/>
      <c r="F720" s="17"/>
      <c r="G720" s="17"/>
      <c r="H720" s="17"/>
      <c r="I720" s="17"/>
      <c r="J720" s="17"/>
      <c r="K720" s="17"/>
      <c r="L720" s="16"/>
      <c r="M720" s="16"/>
      <c r="N720" s="16"/>
      <c r="O720" s="16"/>
      <c r="P720" s="16"/>
      <c r="U720" s="4"/>
      <c r="V720" s="4"/>
      <c r="W720" s="4"/>
      <c r="X720" s="4"/>
    </row>
    <row r="721">
      <c r="E721" s="23"/>
      <c r="F721" s="17"/>
      <c r="G721" s="17"/>
      <c r="H721" s="17"/>
      <c r="I721" s="17"/>
      <c r="J721" s="17"/>
      <c r="K721" s="17"/>
      <c r="L721" s="16"/>
      <c r="M721" s="16"/>
      <c r="N721" s="16"/>
      <c r="O721" s="16"/>
      <c r="P721" s="16"/>
      <c r="U721" s="4"/>
      <c r="V721" s="4"/>
      <c r="W721" s="4"/>
      <c r="X721" s="4"/>
    </row>
    <row r="722">
      <c r="E722" s="23"/>
      <c r="F722" s="17"/>
      <c r="G722" s="17"/>
      <c r="H722" s="17"/>
      <c r="I722" s="17"/>
      <c r="J722" s="17"/>
      <c r="K722" s="17"/>
      <c r="L722" s="16"/>
      <c r="M722" s="16"/>
      <c r="N722" s="16"/>
      <c r="O722" s="16"/>
      <c r="P722" s="16"/>
      <c r="U722" s="4"/>
      <c r="V722" s="4"/>
      <c r="W722" s="4"/>
      <c r="X722" s="4"/>
    </row>
    <row r="723">
      <c r="E723" s="23"/>
      <c r="F723" s="17"/>
      <c r="G723" s="17"/>
      <c r="H723" s="17"/>
      <c r="I723" s="17"/>
      <c r="J723" s="17"/>
      <c r="K723" s="17"/>
      <c r="L723" s="16"/>
      <c r="M723" s="16"/>
      <c r="N723" s="16"/>
      <c r="O723" s="16"/>
      <c r="P723" s="16"/>
      <c r="U723" s="4"/>
      <c r="V723" s="4"/>
      <c r="W723" s="4"/>
      <c r="X723" s="4"/>
    </row>
    <row r="724">
      <c r="E724" s="23"/>
      <c r="F724" s="17"/>
      <c r="G724" s="17"/>
      <c r="H724" s="17"/>
      <c r="I724" s="17"/>
      <c r="J724" s="17"/>
      <c r="K724" s="17"/>
      <c r="L724" s="16"/>
      <c r="M724" s="16"/>
      <c r="N724" s="16"/>
      <c r="O724" s="16"/>
      <c r="P724" s="16"/>
      <c r="U724" s="4"/>
      <c r="V724" s="4"/>
      <c r="W724" s="4"/>
      <c r="X724" s="4"/>
    </row>
    <row r="725">
      <c r="E725" s="23"/>
      <c r="F725" s="17"/>
      <c r="G725" s="17"/>
      <c r="H725" s="17"/>
      <c r="I725" s="17"/>
      <c r="J725" s="17"/>
      <c r="K725" s="17"/>
      <c r="L725" s="16"/>
      <c r="M725" s="16"/>
      <c r="N725" s="16"/>
      <c r="O725" s="16"/>
      <c r="P725" s="16"/>
      <c r="U725" s="4"/>
      <c r="V725" s="4"/>
      <c r="W725" s="4"/>
      <c r="X725" s="4"/>
    </row>
    <row r="726">
      <c r="E726" s="23"/>
      <c r="F726" s="17"/>
      <c r="G726" s="17"/>
      <c r="H726" s="17"/>
      <c r="I726" s="17"/>
      <c r="J726" s="17"/>
      <c r="K726" s="17"/>
      <c r="L726" s="16"/>
      <c r="M726" s="16"/>
      <c r="N726" s="16"/>
      <c r="O726" s="16"/>
      <c r="P726" s="16"/>
      <c r="U726" s="4"/>
      <c r="V726" s="4"/>
      <c r="W726" s="4"/>
      <c r="X726" s="4"/>
    </row>
    <row r="727">
      <c r="E727" s="23"/>
      <c r="F727" s="17"/>
      <c r="G727" s="17"/>
      <c r="H727" s="17"/>
      <c r="I727" s="17"/>
      <c r="J727" s="17"/>
      <c r="K727" s="17"/>
      <c r="L727" s="16"/>
      <c r="M727" s="16"/>
      <c r="N727" s="16"/>
      <c r="O727" s="16"/>
      <c r="P727" s="16"/>
      <c r="U727" s="4"/>
      <c r="V727" s="4"/>
      <c r="W727" s="4"/>
      <c r="X727" s="4"/>
    </row>
    <row r="728">
      <c r="E728" s="23"/>
      <c r="F728" s="17"/>
      <c r="G728" s="17"/>
      <c r="H728" s="17"/>
      <c r="I728" s="17"/>
      <c r="J728" s="17"/>
      <c r="K728" s="17"/>
      <c r="L728" s="16"/>
      <c r="M728" s="16"/>
      <c r="N728" s="16"/>
      <c r="O728" s="16"/>
      <c r="P728" s="16"/>
      <c r="U728" s="4"/>
      <c r="V728" s="4"/>
      <c r="W728" s="4"/>
      <c r="X728" s="4"/>
    </row>
    <row r="729">
      <c r="E729" s="23"/>
      <c r="F729" s="17"/>
      <c r="G729" s="17"/>
      <c r="H729" s="17"/>
      <c r="I729" s="17"/>
      <c r="J729" s="17"/>
      <c r="K729" s="17"/>
      <c r="L729" s="16"/>
      <c r="M729" s="16"/>
      <c r="N729" s="16"/>
      <c r="O729" s="16"/>
      <c r="P729" s="16"/>
      <c r="U729" s="4"/>
      <c r="V729" s="4"/>
      <c r="W729" s="4"/>
      <c r="X729" s="4"/>
    </row>
    <row r="730">
      <c r="E730" s="23"/>
      <c r="F730" s="17"/>
      <c r="G730" s="17"/>
      <c r="H730" s="17"/>
      <c r="I730" s="17"/>
      <c r="J730" s="17"/>
      <c r="K730" s="17"/>
      <c r="L730" s="16"/>
      <c r="M730" s="16"/>
      <c r="N730" s="16"/>
      <c r="O730" s="16"/>
      <c r="P730" s="16"/>
      <c r="U730" s="4"/>
      <c r="V730" s="4"/>
      <c r="W730" s="4"/>
      <c r="X730" s="4"/>
    </row>
    <row r="731">
      <c r="E731" s="23"/>
      <c r="F731" s="17"/>
      <c r="G731" s="17"/>
      <c r="H731" s="17"/>
      <c r="I731" s="17"/>
      <c r="J731" s="17"/>
      <c r="K731" s="17"/>
      <c r="L731" s="16"/>
      <c r="M731" s="16"/>
      <c r="N731" s="16"/>
      <c r="O731" s="16"/>
      <c r="P731" s="16"/>
      <c r="U731" s="4"/>
      <c r="V731" s="4"/>
      <c r="W731" s="4"/>
      <c r="X731" s="4"/>
    </row>
    <row r="732">
      <c r="E732" s="23"/>
      <c r="F732" s="17"/>
      <c r="G732" s="17"/>
      <c r="H732" s="17"/>
      <c r="I732" s="17"/>
      <c r="J732" s="17"/>
      <c r="K732" s="17"/>
      <c r="L732" s="16"/>
      <c r="M732" s="16"/>
      <c r="N732" s="16"/>
      <c r="O732" s="16"/>
      <c r="P732" s="16"/>
      <c r="U732" s="4"/>
      <c r="V732" s="4"/>
      <c r="W732" s="4"/>
      <c r="X732" s="4"/>
    </row>
    <row r="733">
      <c r="E733" s="23"/>
      <c r="F733" s="17"/>
      <c r="G733" s="17"/>
      <c r="H733" s="17"/>
      <c r="I733" s="17"/>
      <c r="J733" s="17"/>
      <c r="K733" s="17"/>
      <c r="L733" s="16"/>
      <c r="M733" s="16"/>
      <c r="N733" s="16"/>
      <c r="O733" s="16"/>
      <c r="P733" s="16"/>
      <c r="U733" s="4"/>
      <c r="V733" s="4"/>
      <c r="W733" s="4"/>
      <c r="X733" s="4"/>
    </row>
    <row r="734">
      <c r="E734" s="23"/>
      <c r="F734" s="17"/>
      <c r="G734" s="17"/>
      <c r="H734" s="17"/>
      <c r="I734" s="17"/>
      <c r="J734" s="17"/>
      <c r="K734" s="17"/>
      <c r="L734" s="16"/>
      <c r="M734" s="16"/>
      <c r="N734" s="16"/>
      <c r="O734" s="16"/>
      <c r="P734" s="16"/>
      <c r="U734" s="4"/>
      <c r="V734" s="4"/>
      <c r="W734" s="4"/>
      <c r="X734" s="4"/>
    </row>
    <row r="735">
      <c r="E735" s="23"/>
      <c r="F735" s="17"/>
      <c r="G735" s="17"/>
      <c r="H735" s="17"/>
      <c r="I735" s="17"/>
      <c r="J735" s="17"/>
      <c r="K735" s="17"/>
      <c r="L735" s="16"/>
      <c r="M735" s="16"/>
      <c r="N735" s="16"/>
      <c r="O735" s="16"/>
      <c r="P735" s="16"/>
      <c r="U735" s="4"/>
      <c r="V735" s="4"/>
      <c r="W735" s="4"/>
      <c r="X735" s="4"/>
    </row>
    <row r="736">
      <c r="E736" s="23"/>
      <c r="F736" s="17"/>
      <c r="G736" s="17"/>
      <c r="H736" s="17"/>
      <c r="I736" s="17"/>
      <c r="J736" s="17"/>
      <c r="K736" s="17"/>
      <c r="L736" s="16"/>
      <c r="M736" s="16"/>
      <c r="N736" s="16"/>
      <c r="O736" s="16"/>
      <c r="P736" s="16"/>
      <c r="U736" s="4"/>
      <c r="V736" s="4"/>
      <c r="W736" s="4"/>
      <c r="X736" s="4"/>
    </row>
    <row r="737">
      <c r="E737" s="23"/>
      <c r="F737" s="17"/>
      <c r="G737" s="17"/>
      <c r="H737" s="17"/>
      <c r="I737" s="17"/>
      <c r="J737" s="17"/>
      <c r="K737" s="17"/>
      <c r="L737" s="16"/>
      <c r="M737" s="16"/>
      <c r="N737" s="16"/>
      <c r="O737" s="16"/>
      <c r="P737" s="16"/>
      <c r="U737" s="4"/>
      <c r="V737" s="4"/>
      <c r="W737" s="4"/>
      <c r="X737" s="4"/>
    </row>
    <row r="738">
      <c r="E738" s="23"/>
      <c r="F738" s="17"/>
      <c r="G738" s="17"/>
      <c r="H738" s="17"/>
      <c r="I738" s="17"/>
      <c r="J738" s="17"/>
      <c r="K738" s="17"/>
      <c r="L738" s="16"/>
      <c r="M738" s="16"/>
      <c r="N738" s="16"/>
      <c r="O738" s="16"/>
      <c r="P738" s="16"/>
      <c r="U738" s="4"/>
      <c r="V738" s="4"/>
      <c r="W738" s="4"/>
      <c r="X738" s="4"/>
    </row>
    <row r="739">
      <c r="E739" s="23"/>
      <c r="F739" s="17"/>
      <c r="G739" s="17"/>
      <c r="H739" s="17"/>
      <c r="I739" s="17"/>
      <c r="J739" s="17"/>
      <c r="K739" s="17"/>
      <c r="L739" s="16"/>
      <c r="M739" s="16"/>
      <c r="N739" s="16"/>
      <c r="O739" s="16"/>
      <c r="P739" s="16"/>
      <c r="U739" s="4"/>
      <c r="V739" s="4"/>
      <c r="W739" s="4"/>
      <c r="X739" s="4"/>
    </row>
    <row r="740">
      <c r="E740" s="23"/>
      <c r="F740" s="17"/>
      <c r="G740" s="17"/>
      <c r="H740" s="17"/>
      <c r="I740" s="17"/>
      <c r="J740" s="17"/>
      <c r="K740" s="17"/>
      <c r="L740" s="16"/>
      <c r="M740" s="16"/>
      <c r="N740" s="16"/>
      <c r="O740" s="16"/>
      <c r="P740" s="16"/>
      <c r="U740" s="4"/>
      <c r="V740" s="4"/>
      <c r="W740" s="4"/>
      <c r="X740" s="4"/>
    </row>
    <row r="741">
      <c r="E741" s="23"/>
      <c r="F741" s="17"/>
      <c r="G741" s="17"/>
      <c r="H741" s="17"/>
      <c r="I741" s="17"/>
      <c r="J741" s="17"/>
      <c r="K741" s="17"/>
      <c r="L741" s="16"/>
      <c r="M741" s="16"/>
      <c r="N741" s="16"/>
      <c r="O741" s="16"/>
      <c r="P741" s="16"/>
      <c r="U741" s="4"/>
      <c r="V741" s="4"/>
      <c r="W741" s="4"/>
      <c r="X741" s="4"/>
    </row>
    <row r="742">
      <c r="E742" s="23"/>
      <c r="F742" s="17"/>
      <c r="G742" s="17"/>
      <c r="H742" s="17"/>
      <c r="I742" s="17"/>
      <c r="J742" s="17"/>
      <c r="K742" s="17"/>
      <c r="L742" s="16"/>
      <c r="M742" s="16"/>
      <c r="N742" s="16"/>
      <c r="O742" s="16"/>
      <c r="P742" s="16"/>
      <c r="U742" s="4"/>
      <c r="V742" s="4"/>
      <c r="W742" s="4"/>
      <c r="X742" s="4"/>
    </row>
    <row r="743">
      <c r="E743" s="23"/>
      <c r="F743" s="17"/>
      <c r="G743" s="17"/>
      <c r="H743" s="17"/>
      <c r="I743" s="17"/>
      <c r="J743" s="17"/>
      <c r="K743" s="17"/>
      <c r="L743" s="16"/>
      <c r="M743" s="16"/>
      <c r="N743" s="16"/>
      <c r="O743" s="16"/>
      <c r="P743" s="16"/>
      <c r="U743" s="4"/>
      <c r="V743" s="4"/>
      <c r="W743" s="4"/>
      <c r="X743" s="4"/>
    </row>
    <row r="744">
      <c r="E744" s="23"/>
      <c r="F744" s="17"/>
      <c r="G744" s="17"/>
      <c r="H744" s="17"/>
      <c r="I744" s="17"/>
      <c r="J744" s="17"/>
      <c r="K744" s="17"/>
      <c r="L744" s="16"/>
      <c r="M744" s="16"/>
      <c r="N744" s="16"/>
      <c r="O744" s="16"/>
      <c r="P744" s="16"/>
      <c r="U744" s="4"/>
      <c r="V744" s="4"/>
      <c r="W744" s="4"/>
      <c r="X744" s="4"/>
    </row>
    <row r="745">
      <c r="E745" s="23"/>
      <c r="F745" s="17"/>
      <c r="G745" s="17"/>
      <c r="H745" s="17"/>
      <c r="I745" s="17"/>
      <c r="J745" s="17"/>
      <c r="K745" s="17"/>
      <c r="L745" s="16"/>
      <c r="M745" s="16"/>
      <c r="N745" s="16"/>
      <c r="O745" s="16"/>
      <c r="P745" s="16"/>
      <c r="U745" s="4"/>
      <c r="V745" s="4"/>
      <c r="W745" s="4"/>
      <c r="X745" s="4"/>
    </row>
    <row r="746">
      <c r="E746" s="23"/>
      <c r="F746" s="17"/>
      <c r="G746" s="17"/>
      <c r="H746" s="17"/>
      <c r="I746" s="17"/>
      <c r="J746" s="17"/>
      <c r="K746" s="17"/>
      <c r="L746" s="16"/>
      <c r="M746" s="16"/>
      <c r="N746" s="16"/>
      <c r="O746" s="16"/>
      <c r="P746" s="16"/>
      <c r="U746" s="4"/>
      <c r="V746" s="4"/>
      <c r="W746" s="4"/>
      <c r="X746" s="4"/>
    </row>
    <row r="747">
      <c r="E747" s="23"/>
      <c r="F747" s="17"/>
      <c r="G747" s="17"/>
      <c r="H747" s="17"/>
      <c r="I747" s="17"/>
      <c r="J747" s="17"/>
      <c r="K747" s="17"/>
      <c r="L747" s="16"/>
      <c r="M747" s="16"/>
      <c r="N747" s="16"/>
      <c r="O747" s="16"/>
      <c r="P747" s="16"/>
      <c r="U747" s="4"/>
      <c r="V747" s="4"/>
      <c r="W747" s="4"/>
      <c r="X747" s="4"/>
    </row>
    <row r="748">
      <c r="E748" s="23"/>
      <c r="F748" s="17"/>
      <c r="G748" s="17"/>
      <c r="H748" s="17"/>
      <c r="I748" s="17"/>
      <c r="J748" s="17"/>
      <c r="K748" s="17"/>
      <c r="L748" s="16"/>
      <c r="M748" s="16"/>
      <c r="N748" s="16"/>
      <c r="O748" s="16"/>
      <c r="P748" s="16"/>
      <c r="U748" s="4"/>
      <c r="V748" s="4"/>
      <c r="W748" s="4"/>
      <c r="X748" s="4"/>
    </row>
    <row r="749">
      <c r="E749" s="23"/>
      <c r="F749" s="17"/>
      <c r="G749" s="17"/>
      <c r="H749" s="17"/>
      <c r="I749" s="17"/>
      <c r="J749" s="17"/>
      <c r="K749" s="17"/>
      <c r="L749" s="16"/>
      <c r="M749" s="16"/>
      <c r="N749" s="16"/>
      <c r="O749" s="16"/>
      <c r="P749" s="16"/>
      <c r="U749" s="4"/>
      <c r="V749" s="4"/>
      <c r="W749" s="4"/>
      <c r="X749" s="4"/>
    </row>
    <row r="750">
      <c r="E750" s="23"/>
      <c r="F750" s="17"/>
      <c r="G750" s="17"/>
      <c r="H750" s="17"/>
      <c r="I750" s="17"/>
      <c r="J750" s="17"/>
      <c r="K750" s="17"/>
      <c r="L750" s="16"/>
      <c r="M750" s="16"/>
      <c r="N750" s="16"/>
      <c r="O750" s="16"/>
      <c r="P750" s="16"/>
      <c r="U750" s="4"/>
      <c r="V750" s="4"/>
      <c r="W750" s="4"/>
      <c r="X750" s="4"/>
    </row>
    <row r="751">
      <c r="E751" s="23"/>
      <c r="F751" s="17"/>
      <c r="G751" s="17"/>
      <c r="H751" s="17"/>
      <c r="I751" s="17"/>
      <c r="J751" s="17"/>
      <c r="K751" s="17"/>
      <c r="L751" s="16"/>
      <c r="M751" s="16"/>
      <c r="N751" s="16"/>
      <c r="O751" s="16"/>
      <c r="P751" s="16"/>
      <c r="U751" s="4"/>
      <c r="V751" s="4"/>
      <c r="W751" s="4"/>
      <c r="X751" s="4"/>
    </row>
    <row r="752">
      <c r="E752" s="23"/>
      <c r="F752" s="17"/>
      <c r="G752" s="17"/>
      <c r="H752" s="17"/>
      <c r="I752" s="17"/>
      <c r="J752" s="17"/>
      <c r="K752" s="17"/>
      <c r="L752" s="16"/>
      <c r="M752" s="16"/>
      <c r="N752" s="16"/>
      <c r="O752" s="16"/>
      <c r="P752" s="16"/>
      <c r="U752" s="4"/>
      <c r="V752" s="4"/>
      <c r="W752" s="4"/>
      <c r="X752" s="4"/>
    </row>
    <row r="753">
      <c r="E753" s="23"/>
      <c r="F753" s="17"/>
      <c r="G753" s="17"/>
      <c r="H753" s="17"/>
      <c r="I753" s="17"/>
      <c r="J753" s="17"/>
      <c r="K753" s="17"/>
      <c r="L753" s="16"/>
      <c r="M753" s="16"/>
      <c r="N753" s="16"/>
      <c r="O753" s="16"/>
      <c r="P753" s="16"/>
      <c r="U753" s="4"/>
      <c r="V753" s="4"/>
      <c r="W753" s="4"/>
      <c r="X753" s="4"/>
    </row>
    <row r="754">
      <c r="E754" s="23"/>
      <c r="F754" s="17"/>
      <c r="G754" s="17"/>
      <c r="H754" s="17"/>
      <c r="I754" s="17"/>
      <c r="J754" s="17"/>
      <c r="K754" s="17"/>
      <c r="L754" s="16"/>
      <c r="M754" s="16"/>
      <c r="N754" s="16"/>
      <c r="O754" s="16"/>
      <c r="P754" s="16"/>
      <c r="U754" s="4"/>
      <c r="V754" s="4"/>
      <c r="W754" s="4"/>
      <c r="X754" s="4"/>
    </row>
    <row r="755">
      <c r="E755" s="23"/>
      <c r="F755" s="17"/>
      <c r="G755" s="17"/>
      <c r="H755" s="17"/>
      <c r="I755" s="17"/>
      <c r="J755" s="17"/>
      <c r="K755" s="17"/>
      <c r="L755" s="16"/>
      <c r="M755" s="16"/>
      <c r="N755" s="16"/>
      <c r="O755" s="16"/>
      <c r="P755" s="16"/>
      <c r="U755" s="4"/>
      <c r="V755" s="4"/>
      <c r="W755" s="4"/>
      <c r="X755" s="4"/>
    </row>
    <row r="756">
      <c r="E756" s="23"/>
      <c r="F756" s="17"/>
      <c r="G756" s="17"/>
      <c r="H756" s="17"/>
      <c r="I756" s="17"/>
      <c r="J756" s="17"/>
      <c r="K756" s="17"/>
      <c r="L756" s="16"/>
      <c r="M756" s="16"/>
      <c r="N756" s="16"/>
      <c r="O756" s="16"/>
      <c r="P756" s="16"/>
      <c r="U756" s="4"/>
      <c r="V756" s="4"/>
      <c r="W756" s="4"/>
      <c r="X756" s="4"/>
    </row>
    <row r="757">
      <c r="E757" s="23"/>
      <c r="F757" s="17"/>
      <c r="G757" s="17"/>
      <c r="H757" s="17"/>
      <c r="I757" s="17"/>
      <c r="J757" s="17"/>
      <c r="K757" s="17"/>
      <c r="L757" s="16"/>
      <c r="M757" s="16"/>
      <c r="N757" s="16"/>
      <c r="O757" s="16"/>
      <c r="P757" s="16"/>
      <c r="U757" s="4"/>
      <c r="V757" s="4"/>
      <c r="W757" s="4"/>
      <c r="X757" s="4"/>
    </row>
    <row r="758">
      <c r="E758" s="23"/>
      <c r="F758" s="17"/>
      <c r="G758" s="17"/>
      <c r="H758" s="17"/>
      <c r="I758" s="17"/>
      <c r="J758" s="17"/>
      <c r="K758" s="17"/>
      <c r="L758" s="16"/>
      <c r="M758" s="16"/>
      <c r="N758" s="16"/>
      <c r="O758" s="16"/>
      <c r="P758" s="16"/>
      <c r="U758" s="4"/>
      <c r="V758" s="4"/>
      <c r="W758" s="4"/>
      <c r="X758" s="4"/>
    </row>
    <row r="759">
      <c r="E759" s="23"/>
      <c r="F759" s="17"/>
      <c r="G759" s="17"/>
      <c r="H759" s="17"/>
      <c r="I759" s="17"/>
      <c r="J759" s="17"/>
      <c r="K759" s="17"/>
      <c r="L759" s="16"/>
      <c r="M759" s="16"/>
      <c r="N759" s="16"/>
      <c r="O759" s="16"/>
      <c r="P759" s="16"/>
      <c r="U759" s="4"/>
      <c r="V759" s="4"/>
      <c r="W759" s="4"/>
      <c r="X759" s="4"/>
    </row>
    <row r="760">
      <c r="E760" s="23"/>
      <c r="F760" s="17"/>
      <c r="G760" s="17"/>
      <c r="H760" s="17"/>
      <c r="I760" s="17"/>
      <c r="J760" s="17"/>
      <c r="K760" s="17"/>
      <c r="L760" s="16"/>
      <c r="M760" s="16"/>
      <c r="N760" s="16"/>
      <c r="O760" s="16"/>
      <c r="P760" s="16"/>
      <c r="U760" s="4"/>
      <c r="V760" s="4"/>
      <c r="W760" s="4"/>
      <c r="X760" s="4"/>
    </row>
    <row r="761">
      <c r="E761" s="23"/>
      <c r="F761" s="17"/>
      <c r="G761" s="17"/>
      <c r="H761" s="17"/>
      <c r="I761" s="17"/>
      <c r="J761" s="17"/>
      <c r="K761" s="17"/>
      <c r="L761" s="16"/>
      <c r="M761" s="16"/>
      <c r="N761" s="16"/>
      <c r="O761" s="16"/>
      <c r="P761" s="16"/>
      <c r="U761" s="4"/>
      <c r="V761" s="4"/>
      <c r="W761" s="4"/>
      <c r="X761" s="4"/>
    </row>
    <row r="762">
      <c r="E762" s="23"/>
      <c r="F762" s="17"/>
      <c r="G762" s="17"/>
      <c r="H762" s="17"/>
      <c r="I762" s="17"/>
      <c r="J762" s="17"/>
      <c r="K762" s="17"/>
      <c r="L762" s="16"/>
      <c r="M762" s="16"/>
      <c r="N762" s="16"/>
      <c r="O762" s="16"/>
      <c r="P762" s="16"/>
      <c r="U762" s="4"/>
      <c r="V762" s="4"/>
      <c r="W762" s="4"/>
      <c r="X762" s="4"/>
    </row>
    <row r="763">
      <c r="E763" s="23"/>
      <c r="F763" s="17"/>
      <c r="G763" s="17"/>
      <c r="H763" s="17"/>
      <c r="I763" s="17"/>
      <c r="J763" s="17"/>
      <c r="K763" s="17"/>
      <c r="L763" s="16"/>
      <c r="M763" s="16"/>
      <c r="N763" s="16"/>
      <c r="O763" s="16"/>
      <c r="P763" s="16"/>
      <c r="U763" s="4"/>
      <c r="V763" s="4"/>
      <c r="W763" s="4"/>
      <c r="X763" s="4"/>
    </row>
    <row r="764">
      <c r="E764" s="23"/>
      <c r="F764" s="17"/>
      <c r="G764" s="17"/>
      <c r="H764" s="17"/>
      <c r="I764" s="17"/>
      <c r="J764" s="17"/>
      <c r="K764" s="17"/>
      <c r="L764" s="16"/>
      <c r="M764" s="16"/>
      <c r="N764" s="16"/>
      <c r="O764" s="16"/>
      <c r="P764" s="16"/>
      <c r="U764" s="4"/>
      <c r="V764" s="4"/>
      <c r="W764" s="4"/>
      <c r="X764" s="4"/>
    </row>
    <row r="765">
      <c r="E765" s="23"/>
      <c r="F765" s="17"/>
      <c r="G765" s="17"/>
      <c r="H765" s="17"/>
      <c r="I765" s="17"/>
      <c r="J765" s="17"/>
      <c r="K765" s="17"/>
      <c r="L765" s="16"/>
      <c r="M765" s="16"/>
      <c r="N765" s="16"/>
      <c r="O765" s="16"/>
      <c r="P765" s="16"/>
      <c r="U765" s="4"/>
      <c r="V765" s="4"/>
      <c r="W765" s="4"/>
      <c r="X765" s="4"/>
    </row>
    <row r="766">
      <c r="E766" s="23"/>
      <c r="F766" s="17"/>
      <c r="G766" s="17"/>
      <c r="H766" s="17"/>
      <c r="I766" s="17"/>
      <c r="J766" s="17"/>
      <c r="K766" s="17"/>
      <c r="L766" s="16"/>
      <c r="M766" s="16"/>
      <c r="N766" s="16"/>
      <c r="O766" s="16"/>
      <c r="P766" s="16"/>
      <c r="U766" s="4"/>
      <c r="V766" s="4"/>
      <c r="W766" s="4"/>
      <c r="X766" s="4"/>
    </row>
    <row r="767">
      <c r="E767" s="23"/>
      <c r="F767" s="17"/>
      <c r="G767" s="17"/>
      <c r="H767" s="17"/>
      <c r="I767" s="17"/>
      <c r="J767" s="17"/>
      <c r="K767" s="17"/>
      <c r="L767" s="16"/>
      <c r="M767" s="16"/>
      <c r="N767" s="16"/>
      <c r="O767" s="16"/>
      <c r="P767" s="16"/>
      <c r="U767" s="4"/>
      <c r="V767" s="4"/>
      <c r="W767" s="4"/>
      <c r="X767" s="4"/>
    </row>
    <row r="768">
      <c r="E768" s="23"/>
      <c r="F768" s="17"/>
      <c r="G768" s="17"/>
      <c r="H768" s="17"/>
      <c r="I768" s="17"/>
      <c r="J768" s="17"/>
      <c r="K768" s="17"/>
      <c r="L768" s="16"/>
      <c r="M768" s="16"/>
      <c r="N768" s="16"/>
      <c r="O768" s="16"/>
      <c r="P768" s="16"/>
      <c r="U768" s="4"/>
      <c r="V768" s="4"/>
      <c r="W768" s="4"/>
      <c r="X768" s="4"/>
    </row>
    <row r="769">
      <c r="E769" s="23"/>
      <c r="F769" s="17"/>
      <c r="G769" s="17"/>
      <c r="H769" s="17"/>
      <c r="I769" s="17"/>
      <c r="J769" s="17"/>
      <c r="K769" s="17"/>
      <c r="L769" s="16"/>
      <c r="M769" s="16"/>
      <c r="N769" s="16"/>
      <c r="O769" s="16"/>
      <c r="P769" s="16"/>
      <c r="U769" s="4"/>
      <c r="V769" s="4"/>
      <c r="W769" s="4"/>
      <c r="X769" s="4"/>
    </row>
    <row r="770">
      <c r="E770" s="23"/>
      <c r="F770" s="17"/>
      <c r="G770" s="17"/>
      <c r="H770" s="17"/>
      <c r="I770" s="17"/>
      <c r="J770" s="17"/>
      <c r="K770" s="17"/>
      <c r="L770" s="16"/>
      <c r="M770" s="16"/>
      <c r="N770" s="16"/>
      <c r="O770" s="16"/>
      <c r="P770" s="16"/>
      <c r="U770" s="4"/>
      <c r="V770" s="4"/>
      <c r="W770" s="4"/>
      <c r="X770" s="4"/>
    </row>
    <row r="771">
      <c r="E771" s="23"/>
      <c r="F771" s="17"/>
      <c r="G771" s="17"/>
      <c r="H771" s="17"/>
      <c r="I771" s="17"/>
      <c r="J771" s="17"/>
      <c r="K771" s="17"/>
      <c r="L771" s="16"/>
      <c r="M771" s="16"/>
      <c r="N771" s="16"/>
      <c r="O771" s="16"/>
      <c r="P771" s="16"/>
      <c r="U771" s="4"/>
      <c r="V771" s="4"/>
      <c r="W771" s="4"/>
      <c r="X771" s="4"/>
    </row>
    <row r="772">
      <c r="E772" s="23"/>
      <c r="F772" s="17"/>
      <c r="G772" s="17"/>
      <c r="H772" s="17"/>
      <c r="I772" s="17"/>
      <c r="J772" s="17"/>
      <c r="K772" s="17"/>
      <c r="L772" s="16"/>
      <c r="M772" s="16"/>
      <c r="N772" s="16"/>
      <c r="O772" s="16"/>
      <c r="P772" s="16"/>
      <c r="U772" s="4"/>
      <c r="V772" s="4"/>
      <c r="W772" s="4"/>
      <c r="X772" s="4"/>
    </row>
    <row r="773">
      <c r="E773" s="23"/>
      <c r="F773" s="17"/>
      <c r="G773" s="17"/>
      <c r="H773" s="17"/>
      <c r="I773" s="17"/>
      <c r="J773" s="17"/>
      <c r="K773" s="17"/>
      <c r="L773" s="16"/>
      <c r="M773" s="16"/>
      <c r="N773" s="16"/>
      <c r="O773" s="16"/>
      <c r="P773" s="16"/>
      <c r="U773" s="4"/>
      <c r="V773" s="4"/>
      <c r="W773" s="4"/>
      <c r="X773" s="4"/>
    </row>
    <row r="774">
      <c r="E774" s="23"/>
      <c r="F774" s="17"/>
      <c r="G774" s="17"/>
      <c r="H774" s="17"/>
      <c r="I774" s="17"/>
      <c r="J774" s="17"/>
      <c r="K774" s="17"/>
      <c r="L774" s="16"/>
      <c r="M774" s="16"/>
      <c r="N774" s="16"/>
      <c r="O774" s="16"/>
      <c r="P774" s="16"/>
      <c r="U774" s="4"/>
      <c r="V774" s="4"/>
      <c r="W774" s="4"/>
      <c r="X774" s="4"/>
    </row>
    <row r="775">
      <c r="E775" s="23"/>
      <c r="F775" s="17"/>
      <c r="G775" s="17"/>
      <c r="H775" s="17"/>
      <c r="I775" s="17"/>
      <c r="J775" s="17"/>
      <c r="K775" s="17"/>
      <c r="L775" s="16"/>
      <c r="M775" s="16"/>
      <c r="N775" s="16"/>
      <c r="O775" s="16"/>
      <c r="P775" s="16"/>
      <c r="U775" s="4"/>
      <c r="V775" s="4"/>
      <c r="W775" s="4"/>
      <c r="X775" s="4"/>
    </row>
    <row r="776">
      <c r="E776" s="23"/>
      <c r="F776" s="17"/>
      <c r="G776" s="17"/>
      <c r="H776" s="17"/>
      <c r="I776" s="17"/>
      <c r="J776" s="17"/>
      <c r="K776" s="17"/>
      <c r="L776" s="16"/>
      <c r="M776" s="16"/>
      <c r="N776" s="16"/>
      <c r="O776" s="16"/>
      <c r="P776" s="16"/>
      <c r="U776" s="4"/>
      <c r="V776" s="4"/>
      <c r="W776" s="4"/>
      <c r="X776" s="4"/>
    </row>
    <row r="777">
      <c r="E777" s="23"/>
      <c r="F777" s="17"/>
      <c r="G777" s="17"/>
      <c r="H777" s="17"/>
      <c r="I777" s="17"/>
      <c r="J777" s="17"/>
      <c r="K777" s="17"/>
      <c r="L777" s="16"/>
      <c r="M777" s="16"/>
      <c r="N777" s="16"/>
      <c r="O777" s="16"/>
      <c r="P777" s="16"/>
      <c r="U777" s="4"/>
      <c r="V777" s="4"/>
      <c r="W777" s="4"/>
      <c r="X777" s="4"/>
    </row>
    <row r="778">
      <c r="E778" s="23"/>
      <c r="F778" s="17"/>
      <c r="G778" s="17"/>
      <c r="H778" s="17"/>
      <c r="I778" s="17"/>
      <c r="J778" s="17"/>
      <c r="K778" s="17"/>
      <c r="L778" s="16"/>
      <c r="M778" s="16"/>
      <c r="N778" s="16"/>
      <c r="O778" s="16"/>
      <c r="P778" s="16"/>
      <c r="U778" s="4"/>
      <c r="V778" s="4"/>
      <c r="W778" s="4"/>
      <c r="X778" s="4"/>
    </row>
    <row r="779">
      <c r="E779" s="23"/>
      <c r="F779" s="17"/>
      <c r="G779" s="17"/>
      <c r="H779" s="17"/>
      <c r="I779" s="17"/>
      <c r="J779" s="17"/>
      <c r="K779" s="17"/>
      <c r="L779" s="16"/>
      <c r="M779" s="16"/>
      <c r="N779" s="16"/>
      <c r="O779" s="16"/>
      <c r="P779" s="16"/>
      <c r="U779" s="4"/>
      <c r="V779" s="4"/>
      <c r="W779" s="4"/>
      <c r="X779" s="4"/>
    </row>
    <row r="780">
      <c r="E780" s="23"/>
      <c r="F780" s="17"/>
      <c r="G780" s="17"/>
      <c r="H780" s="17"/>
      <c r="I780" s="17"/>
      <c r="J780" s="17"/>
      <c r="K780" s="17"/>
      <c r="L780" s="16"/>
      <c r="M780" s="16"/>
      <c r="N780" s="16"/>
      <c r="O780" s="16"/>
      <c r="P780" s="16"/>
      <c r="U780" s="4"/>
      <c r="V780" s="4"/>
      <c r="W780" s="4"/>
      <c r="X780" s="4"/>
    </row>
    <row r="781">
      <c r="E781" s="23"/>
      <c r="F781" s="17"/>
      <c r="G781" s="17"/>
      <c r="H781" s="17"/>
      <c r="I781" s="17"/>
      <c r="J781" s="17"/>
      <c r="K781" s="17"/>
      <c r="L781" s="16"/>
      <c r="M781" s="16"/>
      <c r="N781" s="16"/>
      <c r="O781" s="16"/>
      <c r="P781" s="16"/>
      <c r="U781" s="4"/>
      <c r="V781" s="4"/>
      <c r="W781" s="4"/>
      <c r="X781" s="4"/>
    </row>
    <row r="782">
      <c r="E782" s="23"/>
      <c r="F782" s="17"/>
      <c r="G782" s="17"/>
      <c r="H782" s="17"/>
      <c r="I782" s="17"/>
      <c r="J782" s="17"/>
      <c r="K782" s="17"/>
      <c r="L782" s="16"/>
      <c r="M782" s="16"/>
      <c r="N782" s="16"/>
      <c r="O782" s="16"/>
      <c r="P782" s="16"/>
      <c r="U782" s="4"/>
      <c r="V782" s="4"/>
      <c r="W782" s="4"/>
      <c r="X782" s="4"/>
    </row>
    <row r="783">
      <c r="E783" s="23"/>
      <c r="F783" s="17"/>
      <c r="G783" s="17"/>
      <c r="H783" s="17"/>
      <c r="I783" s="17"/>
      <c r="J783" s="17"/>
      <c r="K783" s="17"/>
      <c r="L783" s="16"/>
      <c r="M783" s="16"/>
      <c r="N783" s="16"/>
      <c r="O783" s="16"/>
      <c r="P783" s="16"/>
      <c r="U783" s="4"/>
      <c r="V783" s="4"/>
      <c r="W783" s="4"/>
      <c r="X783" s="4"/>
    </row>
    <row r="784">
      <c r="E784" s="23"/>
      <c r="F784" s="17"/>
      <c r="G784" s="17"/>
      <c r="H784" s="17"/>
      <c r="I784" s="17"/>
      <c r="J784" s="17"/>
      <c r="K784" s="17"/>
      <c r="L784" s="16"/>
      <c r="M784" s="16"/>
      <c r="N784" s="16"/>
      <c r="O784" s="16"/>
      <c r="P784" s="16"/>
      <c r="U784" s="4"/>
      <c r="V784" s="4"/>
      <c r="W784" s="4"/>
      <c r="X784" s="4"/>
    </row>
    <row r="785">
      <c r="E785" s="23"/>
      <c r="F785" s="17"/>
      <c r="G785" s="17"/>
      <c r="H785" s="17"/>
      <c r="I785" s="17"/>
      <c r="J785" s="17"/>
      <c r="K785" s="17"/>
      <c r="L785" s="16"/>
      <c r="M785" s="16"/>
      <c r="N785" s="16"/>
      <c r="O785" s="16"/>
      <c r="P785" s="16"/>
      <c r="U785" s="4"/>
      <c r="V785" s="4"/>
      <c r="W785" s="4"/>
      <c r="X785" s="4"/>
    </row>
    <row r="786">
      <c r="E786" s="23"/>
      <c r="F786" s="17"/>
      <c r="G786" s="17"/>
      <c r="H786" s="17"/>
      <c r="I786" s="17"/>
      <c r="J786" s="17"/>
      <c r="K786" s="17"/>
      <c r="L786" s="16"/>
      <c r="M786" s="16"/>
      <c r="N786" s="16"/>
      <c r="O786" s="16"/>
      <c r="P786" s="16"/>
      <c r="U786" s="4"/>
      <c r="V786" s="4"/>
      <c r="W786" s="4"/>
      <c r="X786" s="4"/>
    </row>
    <row r="787">
      <c r="E787" s="23"/>
      <c r="F787" s="17"/>
      <c r="G787" s="17"/>
      <c r="H787" s="17"/>
      <c r="I787" s="17"/>
      <c r="J787" s="17"/>
      <c r="K787" s="17"/>
      <c r="L787" s="16"/>
      <c r="M787" s="16"/>
      <c r="N787" s="16"/>
      <c r="O787" s="16"/>
      <c r="P787" s="16"/>
      <c r="U787" s="4"/>
      <c r="V787" s="4"/>
      <c r="W787" s="4"/>
      <c r="X787" s="4"/>
    </row>
    <row r="788">
      <c r="E788" s="23"/>
      <c r="F788" s="17"/>
      <c r="G788" s="17"/>
      <c r="H788" s="17"/>
      <c r="I788" s="17"/>
      <c r="J788" s="17"/>
      <c r="K788" s="17"/>
      <c r="L788" s="16"/>
      <c r="M788" s="16"/>
      <c r="N788" s="16"/>
      <c r="O788" s="16"/>
      <c r="P788" s="16"/>
      <c r="U788" s="4"/>
      <c r="V788" s="4"/>
      <c r="W788" s="4"/>
      <c r="X788" s="4"/>
    </row>
    <row r="789">
      <c r="E789" s="23"/>
      <c r="F789" s="17"/>
      <c r="G789" s="17"/>
      <c r="H789" s="17"/>
      <c r="I789" s="17"/>
      <c r="J789" s="17"/>
      <c r="K789" s="17"/>
      <c r="L789" s="16"/>
      <c r="M789" s="16"/>
      <c r="N789" s="16"/>
      <c r="O789" s="16"/>
      <c r="P789" s="16"/>
      <c r="U789" s="4"/>
      <c r="V789" s="4"/>
      <c r="W789" s="4"/>
      <c r="X789" s="4"/>
    </row>
    <row r="790">
      <c r="E790" s="23"/>
      <c r="F790" s="17"/>
      <c r="G790" s="17"/>
      <c r="H790" s="17"/>
      <c r="I790" s="17"/>
      <c r="J790" s="17"/>
      <c r="K790" s="17"/>
      <c r="L790" s="16"/>
      <c r="M790" s="16"/>
      <c r="N790" s="16"/>
      <c r="O790" s="16"/>
      <c r="P790" s="16"/>
      <c r="U790" s="4"/>
      <c r="V790" s="4"/>
      <c r="W790" s="4"/>
      <c r="X790" s="4"/>
    </row>
    <row r="791">
      <c r="E791" s="23"/>
      <c r="F791" s="17"/>
      <c r="G791" s="17"/>
      <c r="H791" s="17"/>
      <c r="I791" s="17"/>
      <c r="J791" s="17"/>
      <c r="K791" s="17"/>
      <c r="L791" s="16"/>
      <c r="M791" s="16"/>
      <c r="N791" s="16"/>
      <c r="O791" s="16"/>
      <c r="P791" s="16"/>
      <c r="U791" s="4"/>
      <c r="V791" s="4"/>
      <c r="W791" s="4"/>
      <c r="X791" s="4"/>
    </row>
    <row r="792">
      <c r="E792" s="23"/>
      <c r="F792" s="17"/>
      <c r="G792" s="17"/>
      <c r="H792" s="17"/>
      <c r="I792" s="17"/>
      <c r="J792" s="17"/>
      <c r="K792" s="17"/>
      <c r="L792" s="16"/>
      <c r="M792" s="16"/>
      <c r="N792" s="16"/>
      <c r="O792" s="16"/>
      <c r="P792" s="16"/>
      <c r="U792" s="4"/>
      <c r="V792" s="4"/>
      <c r="W792" s="4"/>
      <c r="X792" s="4"/>
    </row>
    <row r="793">
      <c r="E793" s="23"/>
      <c r="F793" s="17"/>
      <c r="G793" s="17"/>
      <c r="H793" s="17"/>
      <c r="I793" s="17"/>
      <c r="J793" s="17"/>
      <c r="K793" s="17"/>
      <c r="L793" s="16"/>
      <c r="M793" s="16"/>
      <c r="N793" s="16"/>
      <c r="O793" s="16"/>
      <c r="P793" s="16"/>
      <c r="U793" s="4"/>
      <c r="V793" s="4"/>
      <c r="W793" s="4"/>
      <c r="X793" s="4"/>
    </row>
    <row r="794">
      <c r="E794" s="23"/>
      <c r="F794" s="17"/>
      <c r="G794" s="17"/>
      <c r="H794" s="17"/>
      <c r="I794" s="17"/>
      <c r="J794" s="17"/>
      <c r="K794" s="17"/>
      <c r="L794" s="16"/>
      <c r="M794" s="16"/>
      <c r="N794" s="16"/>
      <c r="O794" s="16"/>
      <c r="P794" s="16"/>
      <c r="U794" s="4"/>
      <c r="V794" s="4"/>
      <c r="W794" s="4"/>
      <c r="X794" s="4"/>
    </row>
    <row r="795">
      <c r="E795" s="23"/>
      <c r="F795" s="17"/>
      <c r="G795" s="17"/>
      <c r="H795" s="17"/>
      <c r="I795" s="17"/>
      <c r="J795" s="17"/>
      <c r="K795" s="17"/>
      <c r="L795" s="16"/>
      <c r="M795" s="16"/>
      <c r="N795" s="16"/>
      <c r="O795" s="16"/>
      <c r="P795" s="16"/>
      <c r="U795" s="4"/>
      <c r="V795" s="4"/>
      <c r="W795" s="4"/>
      <c r="X795" s="4"/>
    </row>
    <row r="796">
      <c r="E796" s="23"/>
      <c r="F796" s="17"/>
      <c r="G796" s="17"/>
      <c r="H796" s="17"/>
      <c r="I796" s="17"/>
      <c r="J796" s="17"/>
      <c r="K796" s="17"/>
      <c r="L796" s="16"/>
      <c r="M796" s="16"/>
      <c r="N796" s="16"/>
      <c r="O796" s="16"/>
      <c r="P796" s="16"/>
      <c r="U796" s="4"/>
      <c r="V796" s="4"/>
      <c r="W796" s="4"/>
      <c r="X796" s="4"/>
    </row>
    <row r="797">
      <c r="E797" s="23"/>
      <c r="F797" s="17"/>
      <c r="G797" s="17"/>
      <c r="H797" s="17"/>
      <c r="I797" s="17"/>
      <c r="J797" s="17"/>
      <c r="K797" s="17"/>
      <c r="L797" s="16"/>
      <c r="M797" s="16"/>
      <c r="N797" s="16"/>
      <c r="O797" s="16"/>
      <c r="P797" s="16"/>
      <c r="U797" s="4"/>
      <c r="V797" s="4"/>
      <c r="W797" s="4"/>
      <c r="X797" s="4"/>
    </row>
    <row r="798">
      <c r="E798" s="23"/>
      <c r="F798" s="17"/>
      <c r="G798" s="17"/>
      <c r="H798" s="17"/>
      <c r="I798" s="17"/>
      <c r="J798" s="17"/>
      <c r="K798" s="17"/>
      <c r="L798" s="16"/>
      <c r="M798" s="16"/>
      <c r="N798" s="16"/>
      <c r="O798" s="16"/>
      <c r="P798" s="16"/>
      <c r="U798" s="4"/>
      <c r="V798" s="4"/>
      <c r="W798" s="4"/>
      <c r="X798" s="4"/>
    </row>
    <row r="799">
      <c r="E799" s="23"/>
      <c r="F799" s="17"/>
      <c r="G799" s="17"/>
      <c r="H799" s="17"/>
      <c r="I799" s="17"/>
      <c r="J799" s="17"/>
      <c r="K799" s="17"/>
      <c r="L799" s="16"/>
      <c r="M799" s="16"/>
      <c r="N799" s="16"/>
      <c r="O799" s="16"/>
      <c r="P799" s="16"/>
      <c r="U799" s="4"/>
      <c r="V799" s="4"/>
      <c r="W799" s="4"/>
      <c r="X799" s="4"/>
    </row>
    <row r="800">
      <c r="E800" s="23"/>
      <c r="F800" s="17"/>
      <c r="G800" s="17"/>
      <c r="H800" s="17"/>
      <c r="I800" s="17"/>
      <c r="J800" s="17"/>
      <c r="K800" s="17"/>
      <c r="L800" s="16"/>
      <c r="M800" s="16"/>
      <c r="N800" s="16"/>
      <c r="O800" s="16"/>
      <c r="P800" s="16"/>
      <c r="U800" s="4"/>
      <c r="V800" s="4"/>
      <c r="W800" s="4"/>
      <c r="X800" s="4"/>
    </row>
    <row r="801">
      <c r="E801" s="23"/>
      <c r="F801" s="17"/>
      <c r="G801" s="17"/>
      <c r="H801" s="17"/>
      <c r="I801" s="17"/>
      <c r="J801" s="17"/>
      <c r="K801" s="17"/>
      <c r="L801" s="16"/>
      <c r="M801" s="16"/>
      <c r="N801" s="16"/>
      <c r="O801" s="16"/>
      <c r="P801" s="16"/>
      <c r="U801" s="4"/>
      <c r="V801" s="4"/>
      <c r="W801" s="4"/>
      <c r="X801" s="4"/>
    </row>
    <row r="802">
      <c r="E802" s="23"/>
      <c r="F802" s="17"/>
      <c r="G802" s="17"/>
      <c r="H802" s="17"/>
      <c r="I802" s="17"/>
      <c r="J802" s="17"/>
      <c r="K802" s="17"/>
      <c r="L802" s="16"/>
      <c r="M802" s="16"/>
      <c r="N802" s="16"/>
      <c r="O802" s="16"/>
      <c r="P802" s="16"/>
      <c r="U802" s="4"/>
      <c r="V802" s="4"/>
      <c r="W802" s="4"/>
      <c r="X802" s="4"/>
    </row>
    <row r="803">
      <c r="E803" s="23"/>
      <c r="F803" s="17"/>
      <c r="G803" s="17"/>
      <c r="H803" s="17"/>
      <c r="I803" s="17"/>
      <c r="J803" s="17"/>
      <c r="K803" s="17"/>
      <c r="L803" s="16"/>
      <c r="M803" s="16"/>
      <c r="N803" s="16"/>
      <c r="O803" s="16"/>
      <c r="P803" s="16"/>
      <c r="U803" s="4"/>
      <c r="V803" s="4"/>
      <c r="W803" s="4"/>
      <c r="X803" s="4"/>
    </row>
    <row r="804">
      <c r="E804" s="23"/>
      <c r="F804" s="17"/>
      <c r="G804" s="17"/>
      <c r="H804" s="17"/>
      <c r="I804" s="17"/>
      <c r="J804" s="17"/>
      <c r="K804" s="17"/>
      <c r="L804" s="16"/>
      <c r="M804" s="16"/>
      <c r="N804" s="16"/>
      <c r="O804" s="16"/>
      <c r="P804" s="16"/>
      <c r="U804" s="4"/>
      <c r="V804" s="4"/>
      <c r="W804" s="4"/>
      <c r="X804" s="4"/>
    </row>
    <row r="805">
      <c r="E805" s="23"/>
      <c r="F805" s="17"/>
      <c r="G805" s="17"/>
      <c r="H805" s="17"/>
      <c r="I805" s="17"/>
      <c r="J805" s="17"/>
      <c r="K805" s="17"/>
      <c r="L805" s="16"/>
      <c r="M805" s="16"/>
      <c r="N805" s="16"/>
      <c r="O805" s="16"/>
      <c r="P805" s="16"/>
      <c r="U805" s="4"/>
      <c r="V805" s="4"/>
      <c r="W805" s="4"/>
      <c r="X805" s="4"/>
    </row>
    <row r="806">
      <c r="E806" s="23"/>
      <c r="F806" s="17"/>
      <c r="G806" s="17"/>
      <c r="H806" s="17"/>
      <c r="I806" s="17"/>
      <c r="J806" s="17"/>
      <c r="K806" s="17"/>
      <c r="L806" s="16"/>
      <c r="M806" s="16"/>
      <c r="N806" s="16"/>
      <c r="O806" s="16"/>
      <c r="P806" s="16"/>
      <c r="U806" s="4"/>
      <c r="V806" s="4"/>
      <c r="W806" s="4"/>
      <c r="X806" s="4"/>
    </row>
    <row r="807">
      <c r="E807" s="23"/>
      <c r="F807" s="17"/>
      <c r="G807" s="17"/>
      <c r="H807" s="17"/>
      <c r="I807" s="17"/>
      <c r="J807" s="17"/>
      <c r="K807" s="17"/>
      <c r="L807" s="16"/>
      <c r="M807" s="16"/>
      <c r="N807" s="16"/>
      <c r="O807" s="16"/>
      <c r="P807" s="16"/>
      <c r="U807" s="4"/>
      <c r="V807" s="4"/>
      <c r="W807" s="4"/>
      <c r="X807" s="4"/>
    </row>
    <row r="808">
      <c r="E808" s="23"/>
      <c r="F808" s="17"/>
      <c r="G808" s="17"/>
      <c r="H808" s="17"/>
      <c r="I808" s="17"/>
      <c r="J808" s="17"/>
      <c r="K808" s="17"/>
      <c r="L808" s="16"/>
      <c r="M808" s="16"/>
      <c r="N808" s="16"/>
      <c r="O808" s="16"/>
      <c r="P808" s="16"/>
      <c r="U808" s="4"/>
      <c r="V808" s="4"/>
      <c r="W808" s="4"/>
      <c r="X808" s="4"/>
    </row>
    <row r="809">
      <c r="E809" s="23"/>
      <c r="F809" s="17"/>
      <c r="G809" s="17"/>
      <c r="H809" s="17"/>
      <c r="I809" s="17"/>
      <c r="J809" s="17"/>
      <c r="K809" s="17"/>
      <c r="L809" s="16"/>
      <c r="M809" s="16"/>
      <c r="N809" s="16"/>
      <c r="O809" s="16"/>
      <c r="P809" s="16"/>
      <c r="U809" s="4"/>
      <c r="V809" s="4"/>
      <c r="W809" s="4"/>
      <c r="X809" s="4"/>
    </row>
    <row r="810">
      <c r="E810" s="23"/>
      <c r="F810" s="17"/>
      <c r="G810" s="17"/>
      <c r="H810" s="17"/>
      <c r="I810" s="17"/>
      <c r="J810" s="17"/>
      <c r="K810" s="17"/>
      <c r="L810" s="16"/>
      <c r="M810" s="16"/>
      <c r="N810" s="16"/>
      <c r="O810" s="16"/>
      <c r="P810" s="16"/>
      <c r="U810" s="4"/>
      <c r="V810" s="4"/>
      <c r="W810" s="4"/>
      <c r="X810" s="4"/>
    </row>
    <row r="811">
      <c r="E811" s="23"/>
      <c r="F811" s="17"/>
      <c r="G811" s="17"/>
      <c r="H811" s="17"/>
      <c r="I811" s="17"/>
      <c r="J811" s="17"/>
      <c r="K811" s="17"/>
      <c r="L811" s="16"/>
      <c r="M811" s="16"/>
      <c r="N811" s="16"/>
      <c r="O811" s="16"/>
      <c r="P811" s="16"/>
      <c r="U811" s="4"/>
      <c r="V811" s="4"/>
      <c r="W811" s="4"/>
      <c r="X811" s="4"/>
    </row>
    <row r="812">
      <c r="E812" s="23"/>
      <c r="F812" s="17"/>
      <c r="G812" s="17"/>
      <c r="H812" s="17"/>
      <c r="I812" s="17"/>
      <c r="J812" s="17"/>
      <c r="K812" s="17"/>
      <c r="L812" s="16"/>
      <c r="M812" s="16"/>
      <c r="N812" s="16"/>
      <c r="O812" s="16"/>
      <c r="P812" s="16"/>
      <c r="U812" s="4"/>
      <c r="V812" s="4"/>
      <c r="W812" s="4"/>
      <c r="X812" s="4"/>
    </row>
    <row r="813">
      <c r="E813" s="23"/>
      <c r="F813" s="17"/>
      <c r="G813" s="17"/>
      <c r="H813" s="17"/>
      <c r="I813" s="17"/>
      <c r="J813" s="17"/>
      <c r="K813" s="17"/>
      <c r="L813" s="16"/>
      <c r="M813" s="16"/>
      <c r="N813" s="16"/>
      <c r="O813" s="16"/>
      <c r="P813" s="16"/>
      <c r="U813" s="4"/>
      <c r="V813" s="4"/>
      <c r="W813" s="4"/>
      <c r="X813" s="4"/>
    </row>
    <row r="814">
      <c r="E814" s="23"/>
      <c r="F814" s="17"/>
      <c r="G814" s="17"/>
      <c r="H814" s="17"/>
      <c r="I814" s="17"/>
      <c r="J814" s="17"/>
      <c r="K814" s="17"/>
      <c r="L814" s="16"/>
      <c r="M814" s="16"/>
      <c r="N814" s="16"/>
      <c r="O814" s="16"/>
      <c r="P814" s="16"/>
      <c r="U814" s="4"/>
      <c r="V814" s="4"/>
      <c r="W814" s="4"/>
      <c r="X814" s="4"/>
    </row>
    <row r="815">
      <c r="E815" s="23"/>
      <c r="F815" s="17"/>
      <c r="G815" s="17"/>
      <c r="H815" s="17"/>
      <c r="I815" s="17"/>
      <c r="J815" s="17"/>
      <c r="K815" s="17"/>
      <c r="L815" s="16"/>
      <c r="M815" s="16"/>
      <c r="N815" s="16"/>
      <c r="O815" s="16"/>
      <c r="P815" s="16"/>
      <c r="U815" s="4"/>
      <c r="V815" s="4"/>
      <c r="W815" s="4"/>
      <c r="X815" s="4"/>
    </row>
    <row r="816">
      <c r="E816" s="23"/>
      <c r="F816" s="17"/>
      <c r="G816" s="17"/>
      <c r="H816" s="17"/>
      <c r="I816" s="17"/>
      <c r="J816" s="17"/>
      <c r="K816" s="17"/>
      <c r="L816" s="16"/>
      <c r="M816" s="16"/>
      <c r="N816" s="16"/>
      <c r="O816" s="16"/>
      <c r="P816" s="16"/>
      <c r="U816" s="4"/>
      <c r="V816" s="4"/>
      <c r="W816" s="4"/>
      <c r="X816" s="4"/>
    </row>
    <row r="817">
      <c r="E817" s="23"/>
      <c r="F817" s="17"/>
      <c r="G817" s="17"/>
      <c r="H817" s="17"/>
      <c r="I817" s="17"/>
      <c r="J817" s="17"/>
      <c r="K817" s="17"/>
      <c r="L817" s="16"/>
      <c r="M817" s="16"/>
      <c r="N817" s="16"/>
      <c r="O817" s="16"/>
      <c r="P817" s="16"/>
      <c r="U817" s="4"/>
      <c r="V817" s="4"/>
      <c r="W817" s="4"/>
      <c r="X817" s="4"/>
    </row>
    <row r="818">
      <c r="E818" s="23"/>
      <c r="F818" s="17"/>
      <c r="G818" s="17"/>
      <c r="H818" s="17"/>
      <c r="I818" s="17"/>
      <c r="J818" s="17"/>
      <c r="K818" s="17"/>
      <c r="L818" s="16"/>
      <c r="M818" s="16"/>
      <c r="N818" s="16"/>
      <c r="O818" s="16"/>
      <c r="P818" s="16"/>
      <c r="U818" s="4"/>
      <c r="V818" s="4"/>
      <c r="W818" s="4"/>
      <c r="X818" s="4"/>
    </row>
    <row r="819">
      <c r="E819" s="23"/>
      <c r="F819" s="17"/>
      <c r="G819" s="17"/>
      <c r="H819" s="17"/>
      <c r="I819" s="17"/>
      <c r="J819" s="17"/>
      <c r="K819" s="17"/>
      <c r="L819" s="16"/>
      <c r="M819" s="16"/>
      <c r="N819" s="16"/>
      <c r="O819" s="16"/>
      <c r="P819" s="16"/>
      <c r="U819" s="4"/>
      <c r="V819" s="4"/>
      <c r="W819" s="4"/>
      <c r="X819" s="4"/>
    </row>
    <row r="820">
      <c r="E820" s="23"/>
      <c r="F820" s="17"/>
      <c r="G820" s="17"/>
      <c r="H820" s="17"/>
      <c r="I820" s="17"/>
      <c r="J820" s="17"/>
      <c r="K820" s="17"/>
      <c r="L820" s="16"/>
      <c r="M820" s="16"/>
      <c r="N820" s="16"/>
      <c r="O820" s="16"/>
      <c r="P820" s="16"/>
      <c r="U820" s="4"/>
      <c r="V820" s="4"/>
      <c r="W820" s="4"/>
      <c r="X820" s="4"/>
    </row>
    <row r="821">
      <c r="E821" s="23"/>
      <c r="F821" s="17"/>
      <c r="G821" s="17"/>
      <c r="H821" s="17"/>
      <c r="I821" s="17"/>
      <c r="J821" s="17"/>
      <c r="K821" s="17"/>
      <c r="L821" s="16"/>
      <c r="M821" s="16"/>
      <c r="N821" s="16"/>
      <c r="O821" s="16"/>
      <c r="P821" s="16"/>
      <c r="U821" s="4"/>
      <c r="V821" s="4"/>
      <c r="W821" s="4"/>
      <c r="X821" s="4"/>
    </row>
    <row r="822">
      <c r="E822" s="23"/>
      <c r="F822" s="17"/>
      <c r="G822" s="17"/>
      <c r="H822" s="17"/>
      <c r="I822" s="17"/>
      <c r="J822" s="17"/>
      <c r="K822" s="17"/>
      <c r="L822" s="16"/>
      <c r="M822" s="16"/>
      <c r="N822" s="16"/>
      <c r="O822" s="16"/>
      <c r="P822" s="16"/>
      <c r="U822" s="4"/>
      <c r="V822" s="4"/>
      <c r="W822" s="4"/>
      <c r="X822" s="4"/>
    </row>
    <row r="823">
      <c r="E823" s="23"/>
      <c r="F823" s="17"/>
      <c r="G823" s="17"/>
      <c r="H823" s="17"/>
      <c r="I823" s="17"/>
      <c r="J823" s="17"/>
      <c r="K823" s="17"/>
      <c r="L823" s="16"/>
      <c r="M823" s="16"/>
      <c r="N823" s="16"/>
      <c r="O823" s="16"/>
      <c r="P823" s="16"/>
      <c r="U823" s="4"/>
      <c r="V823" s="4"/>
      <c r="W823" s="4"/>
      <c r="X823" s="4"/>
    </row>
    <row r="824">
      <c r="E824" s="23"/>
      <c r="F824" s="17"/>
      <c r="G824" s="17"/>
      <c r="H824" s="17"/>
      <c r="I824" s="17"/>
      <c r="J824" s="17"/>
      <c r="K824" s="17"/>
      <c r="L824" s="16"/>
      <c r="M824" s="16"/>
      <c r="N824" s="16"/>
      <c r="O824" s="16"/>
      <c r="P824" s="16"/>
      <c r="U824" s="4"/>
      <c r="V824" s="4"/>
      <c r="W824" s="4"/>
      <c r="X824" s="4"/>
    </row>
    <row r="825">
      <c r="E825" s="23"/>
      <c r="F825" s="17"/>
      <c r="G825" s="17"/>
      <c r="H825" s="17"/>
      <c r="I825" s="17"/>
      <c r="J825" s="17"/>
      <c r="K825" s="17"/>
      <c r="L825" s="16"/>
      <c r="M825" s="16"/>
      <c r="N825" s="16"/>
      <c r="O825" s="16"/>
      <c r="P825" s="16"/>
      <c r="U825" s="4"/>
      <c r="V825" s="4"/>
      <c r="W825" s="4"/>
      <c r="X825" s="4"/>
    </row>
    <row r="826">
      <c r="E826" s="23"/>
      <c r="F826" s="17"/>
      <c r="G826" s="17"/>
      <c r="H826" s="17"/>
      <c r="I826" s="17"/>
      <c r="J826" s="17"/>
      <c r="K826" s="17"/>
      <c r="L826" s="16"/>
      <c r="M826" s="16"/>
      <c r="N826" s="16"/>
      <c r="O826" s="16"/>
      <c r="P826" s="16"/>
      <c r="U826" s="4"/>
      <c r="V826" s="4"/>
      <c r="W826" s="4"/>
      <c r="X826" s="4"/>
    </row>
    <row r="827">
      <c r="E827" s="23"/>
      <c r="F827" s="17"/>
      <c r="G827" s="17"/>
      <c r="H827" s="17"/>
      <c r="I827" s="17"/>
      <c r="J827" s="17"/>
      <c r="K827" s="17"/>
      <c r="L827" s="16"/>
      <c r="M827" s="16"/>
      <c r="N827" s="16"/>
      <c r="O827" s="16"/>
      <c r="P827" s="16"/>
      <c r="U827" s="4"/>
      <c r="V827" s="4"/>
      <c r="W827" s="4"/>
      <c r="X827" s="4"/>
    </row>
    <row r="828">
      <c r="E828" s="23"/>
      <c r="F828" s="17"/>
      <c r="G828" s="17"/>
      <c r="H828" s="17"/>
      <c r="I828" s="17"/>
      <c r="J828" s="17"/>
      <c r="K828" s="17"/>
      <c r="L828" s="16"/>
      <c r="M828" s="16"/>
      <c r="N828" s="16"/>
      <c r="O828" s="16"/>
      <c r="P828" s="16"/>
      <c r="U828" s="4"/>
      <c r="V828" s="4"/>
      <c r="W828" s="4"/>
      <c r="X828" s="4"/>
    </row>
    <row r="829">
      <c r="E829" s="23"/>
      <c r="F829" s="17"/>
      <c r="G829" s="17"/>
      <c r="H829" s="17"/>
      <c r="I829" s="17"/>
      <c r="J829" s="17"/>
      <c r="K829" s="17"/>
      <c r="L829" s="16"/>
      <c r="M829" s="16"/>
      <c r="N829" s="16"/>
      <c r="O829" s="16"/>
      <c r="P829" s="16"/>
      <c r="U829" s="4"/>
      <c r="V829" s="4"/>
      <c r="W829" s="4"/>
      <c r="X829" s="4"/>
    </row>
    <row r="830">
      <c r="E830" s="23"/>
      <c r="F830" s="17"/>
      <c r="G830" s="17"/>
      <c r="H830" s="17"/>
      <c r="I830" s="17"/>
      <c r="J830" s="17"/>
      <c r="K830" s="17"/>
      <c r="L830" s="16"/>
      <c r="M830" s="16"/>
      <c r="N830" s="16"/>
      <c r="O830" s="16"/>
      <c r="P830" s="16"/>
      <c r="U830" s="4"/>
      <c r="V830" s="4"/>
      <c r="W830" s="4"/>
      <c r="X830" s="4"/>
    </row>
    <row r="831">
      <c r="E831" s="23"/>
      <c r="F831" s="17"/>
      <c r="G831" s="17"/>
      <c r="H831" s="17"/>
      <c r="I831" s="17"/>
      <c r="J831" s="17"/>
      <c r="K831" s="17"/>
      <c r="L831" s="16"/>
      <c r="M831" s="16"/>
      <c r="N831" s="16"/>
      <c r="O831" s="16"/>
      <c r="P831" s="16"/>
      <c r="U831" s="4"/>
      <c r="V831" s="4"/>
      <c r="W831" s="4"/>
      <c r="X831" s="4"/>
    </row>
    <row r="832">
      <c r="E832" s="23"/>
      <c r="F832" s="17"/>
      <c r="G832" s="17"/>
      <c r="H832" s="17"/>
      <c r="I832" s="17"/>
      <c r="J832" s="17"/>
      <c r="K832" s="17"/>
      <c r="L832" s="16"/>
      <c r="M832" s="16"/>
      <c r="N832" s="16"/>
      <c r="O832" s="16"/>
      <c r="P832" s="16"/>
      <c r="U832" s="4"/>
      <c r="V832" s="4"/>
      <c r="W832" s="4"/>
      <c r="X832" s="4"/>
    </row>
    <row r="833">
      <c r="E833" s="23"/>
      <c r="F833" s="17"/>
      <c r="G833" s="17"/>
      <c r="H833" s="17"/>
      <c r="I833" s="17"/>
      <c r="J833" s="17"/>
      <c r="K833" s="17"/>
      <c r="L833" s="16"/>
      <c r="M833" s="16"/>
      <c r="N833" s="16"/>
      <c r="O833" s="16"/>
      <c r="P833" s="16"/>
      <c r="U833" s="4"/>
      <c r="V833" s="4"/>
      <c r="W833" s="4"/>
      <c r="X833" s="4"/>
    </row>
    <row r="834">
      <c r="E834" s="23"/>
      <c r="F834" s="17"/>
      <c r="G834" s="17"/>
      <c r="H834" s="17"/>
      <c r="I834" s="17"/>
      <c r="J834" s="17"/>
      <c r="K834" s="17"/>
      <c r="L834" s="16"/>
      <c r="M834" s="16"/>
      <c r="N834" s="16"/>
      <c r="O834" s="16"/>
      <c r="P834" s="16"/>
      <c r="U834" s="4"/>
      <c r="V834" s="4"/>
      <c r="W834" s="4"/>
      <c r="X834" s="4"/>
    </row>
    <row r="835">
      <c r="E835" s="23"/>
      <c r="F835" s="17"/>
      <c r="G835" s="17"/>
      <c r="H835" s="17"/>
      <c r="I835" s="17"/>
      <c r="J835" s="17"/>
      <c r="K835" s="17"/>
      <c r="L835" s="16"/>
      <c r="M835" s="16"/>
      <c r="N835" s="16"/>
      <c r="O835" s="16"/>
      <c r="P835" s="16"/>
      <c r="U835" s="4"/>
      <c r="V835" s="4"/>
      <c r="W835" s="4"/>
      <c r="X835" s="4"/>
    </row>
    <row r="836">
      <c r="E836" s="23"/>
      <c r="F836" s="17"/>
      <c r="G836" s="17"/>
      <c r="H836" s="17"/>
      <c r="I836" s="17"/>
      <c r="J836" s="17"/>
      <c r="K836" s="17"/>
      <c r="L836" s="16"/>
      <c r="M836" s="16"/>
      <c r="N836" s="16"/>
      <c r="O836" s="16"/>
      <c r="P836" s="16"/>
      <c r="U836" s="4"/>
      <c r="V836" s="4"/>
      <c r="W836" s="4"/>
      <c r="X836" s="4"/>
    </row>
    <row r="837">
      <c r="E837" s="23"/>
      <c r="F837" s="17"/>
      <c r="G837" s="17"/>
      <c r="H837" s="17"/>
      <c r="I837" s="17"/>
      <c r="J837" s="17"/>
      <c r="K837" s="17"/>
      <c r="L837" s="16"/>
      <c r="M837" s="16"/>
      <c r="N837" s="16"/>
      <c r="O837" s="16"/>
      <c r="P837" s="16"/>
      <c r="U837" s="4"/>
      <c r="V837" s="4"/>
      <c r="W837" s="4"/>
      <c r="X837" s="4"/>
    </row>
    <row r="838">
      <c r="E838" s="23"/>
      <c r="F838" s="17"/>
      <c r="G838" s="17"/>
      <c r="H838" s="17"/>
      <c r="I838" s="17"/>
      <c r="J838" s="17"/>
      <c r="K838" s="17"/>
      <c r="L838" s="16"/>
      <c r="M838" s="16"/>
      <c r="N838" s="16"/>
      <c r="O838" s="16"/>
      <c r="P838" s="16"/>
      <c r="U838" s="4"/>
      <c r="V838" s="4"/>
      <c r="W838" s="4"/>
      <c r="X838" s="4"/>
    </row>
    <row r="839">
      <c r="E839" s="23"/>
      <c r="F839" s="17"/>
      <c r="G839" s="17"/>
      <c r="H839" s="17"/>
      <c r="I839" s="17"/>
      <c r="J839" s="17"/>
      <c r="K839" s="17"/>
      <c r="L839" s="16"/>
      <c r="M839" s="16"/>
      <c r="N839" s="16"/>
      <c r="O839" s="16"/>
      <c r="P839" s="16"/>
      <c r="U839" s="4"/>
      <c r="V839" s="4"/>
      <c r="W839" s="4"/>
      <c r="X839" s="4"/>
    </row>
    <row r="840">
      <c r="E840" s="23"/>
      <c r="F840" s="17"/>
      <c r="G840" s="17"/>
      <c r="H840" s="17"/>
      <c r="I840" s="17"/>
      <c r="J840" s="17"/>
      <c r="K840" s="17"/>
      <c r="L840" s="16"/>
      <c r="M840" s="16"/>
      <c r="N840" s="16"/>
      <c r="O840" s="16"/>
      <c r="P840" s="16"/>
      <c r="U840" s="4"/>
      <c r="V840" s="4"/>
      <c r="W840" s="4"/>
      <c r="X840" s="4"/>
    </row>
    <row r="841">
      <c r="E841" s="23"/>
      <c r="F841" s="17"/>
      <c r="G841" s="17"/>
      <c r="H841" s="17"/>
      <c r="I841" s="17"/>
      <c r="J841" s="17"/>
      <c r="K841" s="17"/>
      <c r="L841" s="16"/>
      <c r="M841" s="16"/>
      <c r="N841" s="16"/>
      <c r="O841" s="16"/>
      <c r="P841" s="16"/>
      <c r="U841" s="4"/>
      <c r="V841" s="4"/>
      <c r="W841" s="4"/>
      <c r="X841" s="4"/>
    </row>
    <row r="842">
      <c r="E842" s="23"/>
      <c r="F842" s="17"/>
      <c r="G842" s="17"/>
      <c r="H842" s="17"/>
      <c r="I842" s="17"/>
      <c r="J842" s="17"/>
      <c r="K842" s="17"/>
      <c r="L842" s="16"/>
      <c r="M842" s="16"/>
      <c r="N842" s="16"/>
      <c r="O842" s="16"/>
      <c r="P842" s="16"/>
      <c r="U842" s="4"/>
      <c r="V842" s="4"/>
      <c r="W842" s="4"/>
      <c r="X842" s="4"/>
    </row>
    <row r="843">
      <c r="E843" s="23"/>
      <c r="F843" s="17"/>
      <c r="G843" s="17"/>
      <c r="H843" s="17"/>
      <c r="I843" s="17"/>
      <c r="J843" s="17"/>
      <c r="K843" s="17"/>
      <c r="L843" s="16"/>
      <c r="M843" s="16"/>
      <c r="N843" s="16"/>
      <c r="O843" s="16"/>
      <c r="P843" s="16"/>
      <c r="U843" s="4"/>
      <c r="V843" s="4"/>
      <c r="W843" s="4"/>
      <c r="X843" s="4"/>
    </row>
    <row r="844">
      <c r="E844" s="23"/>
      <c r="F844" s="17"/>
      <c r="G844" s="17"/>
      <c r="H844" s="17"/>
      <c r="I844" s="17"/>
      <c r="J844" s="17"/>
      <c r="K844" s="17"/>
      <c r="L844" s="16"/>
      <c r="M844" s="16"/>
      <c r="N844" s="16"/>
      <c r="O844" s="16"/>
      <c r="P844" s="16"/>
      <c r="U844" s="4"/>
      <c r="V844" s="4"/>
      <c r="W844" s="4"/>
      <c r="X844" s="4"/>
    </row>
    <row r="845">
      <c r="E845" s="23"/>
      <c r="F845" s="17"/>
      <c r="G845" s="17"/>
      <c r="H845" s="17"/>
      <c r="I845" s="17"/>
      <c r="J845" s="17"/>
      <c r="K845" s="17"/>
      <c r="L845" s="16"/>
      <c r="M845" s="16"/>
      <c r="N845" s="16"/>
      <c r="O845" s="16"/>
      <c r="P845" s="16"/>
      <c r="U845" s="4"/>
      <c r="V845" s="4"/>
      <c r="W845" s="4"/>
      <c r="X845" s="4"/>
    </row>
    <row r="846">
      <c r="E846" s="23"/>
      <c r="F846" s="17"/>
      <c r="G846" s="17"/>
      <c r="H846" s="17"/>
      <c r="I846" s="17"/>
      <c r="J846" s="17"/>
      <c r="K846" s="17"/>
      <c r="L846" s="16"/>
      <c r="M846" s="16"/>
      <c r="N846" s="16"/>
      <c r="O846" s="16"/>
      <c r="P846" s="16"/>
      <c r="U846" s="4"/>
      <c r="V846" s="4"/>
      <c r="W846" s="4"/>
      <c r="X846" s="4"/>
    </row>
    <row r="847">
      <c r="E847" s="23"/>
      <c r="F847" s="17"/>
      <c r="G847" s="17"/>
      <c r="H847" s="17"/>
      <c r="I847" s="17"/>
      <c r="J847" s="17"/>
      <c r="K847" s="17"/>
      <c r="L847" s="16"/>
      <c r="M847" s="16"/>
      <c r="N847" s="16"/>
      <c r="O847" s="16"/>
      <c r="P847" s="16"/>
      <c r="U847" s="4"/>
      <c r="V847" s="4"/>
      <c r="W847" s="4"/>
      <c r="X847" s="4"/>
    </row>
    <row r="848">
      <c r="E848" s="23"/>
      <c r="F848" s="17"/>
      <c r="G848" s="17"/>
      <c r="H848" s="17"/>
      <c r="I848" s="17"/>
      <c r="J848" s="17"/>
      <c r="K848" s="17"/>
      <c r="L848" s="16"/>
      <c r="M848" s="16"/>
      <c r="N848" s="16"/>
      <c r="O848" s="16"/>
      <c r="P848" s="16"/>
      <c r="U848" s="4"/>
      <c r="V848" s="4"/>
      <c r="W848" s="4"/>
      <c r="X848" s="4"/>
    </row>
    <row r="849">
      <c r="E849" s="23"/>
      <c r="F849" s="17"/>
      <c r="G849" s="17"/>
      <c r="H849" s="17"/>
      <c r="I849" s="17"/>
      <c r="J849" s="17"/>
      <c r="K849" s="17"/>
      <c r="L849" s="16"/>
      <c r="M849" s="16"/>
      <c r="N849" s="16"/>
      <c r="O849" s="16"/>
      <c r="P849" s="16"/>
      <c r="U849" s="4"/>
      <c r="V849" s="4"/>
      <c r="W849" s="4"/>
      <c r="X849" s="4"/>
    </row>
    <row r="850">
      <c r="E850" s="23"/>
      <c r="F850" s="17"/>
      <c r="G850" s="17"/>
      <c r="H850" s="17"/>
      <c r="I850" s="17"/>
      <c r="J850" s="17"/>
      <c r="K850" s="17"/>
      <c r="L850" s="16"/>
      <c r="M850" s="16"/>
      <c r="N850" s="16"/>
      <c r="O850" s="16"/>
      <c r="P850" s="16"/>
      <c r="U850" s="4"/>
      <c r="V850" s="4"/>
      <c r="W850" s="4"/>
      <c r="X850" s="4"/>
    </row>
    <row r="851">
      <c r="E851" s="23"/>
      <c r="F851" s="17"/>
      <c r="G851" s="17"/>
      <c r="H851" s="17"/>
      <c r="I851" s="17"/>
      <c r="J851" s="17"/>
      <c r="K851" s="17"/>
      <c r="L851" s="16"/>
      <c r="M851" s="16"/>
      <c r="N851" s="16"/>
      <c r="O851" s="16"/>
      <c r="P851" s="16"/>
      <c r="U851" s="4"/>
      <c r="V851" s="4"/>
      <c r="W851" s="4"/>
      <c r="X851" s="4"/>
    </row>
    <row r="852">
      <c r="E852" s="23"/>
      <c r="F852" s="17"/>
      <c r="G852" s="17"/>
      <c r="H852" s="17"/>
      <c r="I852" s="17"/>
      <c r="J852" s="17"/>
      <c r="K852" s="17"/>
      <c r="L852" s="16"/>
      <c r="M852" s="16"/>
      <c r="N852" s="16"/>
      <c r="O852" s="16"/>
      <c r="P852" s="16"/>
      <c r="U852" s="4"/>
      <c r="V852" s="4"/>
      <c r="W852" s="4"/>
      <c r="X852" s="4"/>
    </row>
    <row r="853">
      <c r="E853" s="23"/>
      <c r="F853" s="17"/>
      <c r="G853" s="17"/>
      <c r="H853" s="17"/>
      <c r="I853" s="17"/>
      <c r="J853" s="17"/>
      <c r="K853" s="17"/>
      <c r="L853" s="16"/>
      <c r="M853" s="16"/>
      <c r="N853" s="16"/>
      <c r="O853" s="16"/>
      <c r="P853" s="16"/>
      <c r="U853" s="4"/>
      <c r="V853" s="4"/>
      <c r="W853" s="4"/>
      <c r="X853" s="4"/>
    </row>
    <row r="854">
      <c r="E854" s="23"/>
      <c r="F854" s="17"/>
      <c r="G854" s="17"/>
      <c r="H854" s="17"/>
      <c r="I854" s="17"/>
      <c r="J854" s="17"/>
      <c r="K854" s="17"/>
      <c r="L854" s="16"/>
      <c r="M854" s="16"/>
      <c r="N854" s="16"/>
      <c r="O854" s="16"/>
      <c r="P854" s="16"/>
      <c r="U854" s="4"/>
      <c r="V854" s="4"/>
      <c r="W854" s="4"/>
      <c r="X854" s="4"/>
    </row>
    <row r="855">
      <c r="E855" s="23"/>
      <c r="F855" s="17"/>
      <c r="G855" s="17"/>
      <c r="H855" s="17"/>
      <c r="I855" s="17"/>
      <c r="J855" s="17"/>
      <c r="K855" s="17"/>
      <c r="L855" s="16"/>
      <c r="M855" s="16"/>
      <c r="N855" s="16"/>
      <c r="O855" s="16"/>
      <c r="P855" s="16"/>
      <c r="U855" s="4"/>
      <c r="V855" s="4"/>
      <c r="W855" s="4"/>
      <c r="X855" s="4"/>
    </row>
    <row r="856">
      <c r="E856" s="23"/>
      <c r="F856" s="17"/>
      <c r="G856" s="17"/>
      <c r="H856" s="17"/>
      <c r="I856" s="17"/>
      <c r="J856" s="17"/>
      <c r="K856" s="17"/>
      <c r="L856" s="16"/>
      <c r="M856" s="16"/>
      <c r="N856" s="16"/>
      <c r="O856" s="16"/>
      <c r="P856" s="16"/>
      <c r="U856" s="4"/>
      <c r="V856" s="4"/>
      <c r="W856" s="4"/>
      <c r="X856" s="4"/>
    </row>
    <row r="857">
      <c r="E857" s="23"/>
      <c r="F857" s="17"/>
      <c r="G857" s="17"/>
      <c r="H857" s="17"/>
      <c r="I857" s="17"/>
      <c r="J857" s="17"/>
      <c r="K857" s="17"/>
      <c r="L857" s="16"/>
      <c r="M857" s="16"/>
      <c r="N857" s="16"/>
      <c r="O857" s="16"/>
      <c r="P857" s="16"/>
      <c r="U857" s="4"/>
      <c r="V857" s="4"/>
      <c r="W857" s="4"/>
      <c r="X857" s="4"/>
    </row>
    <row r="858">
      <c r="E858" s="23"/>
      <c r="F858" s="17"/>
      <c r="G858" s="17"/>
      <c r="H858" s="17"/>
      <c r="I858" s="17"/>
      <c r="J858" s="17"/>
      <c r="K858" s="17"/>
      <c r="L858" s="16"/>
      <c r="M858" s="16"/>
      <c r="N858" s="16"/>
      <c r="O858" s="16"/>
      <c r="P858" s="16"/>
      <c r="U858" s="4"/>
      <c r="V858" s="4"/>
      <c r="W858" s="4"/>
      <c r="X858" s="4"/>
    </row>
    <row r="859">
      <c r="E859" s="23"/>
      <c r="F859" s="17"/>
      <c r="G859" s="17"/>
      <c r="H859" s="17"/>
      <c r="I859" s="17"/>
      <c r="J859" s="17"/>
      <c r="K859" s="17"/>
      <c r="L859" s="16"/>
      <c r="M859" s="16"/>
      <c r="N859" s="16"/>
      <c r="O859" s="16"/>
      <c r="P859" s="16"/>
      <c r="U859" s="4"/>
      <c r="V859" s="4"/>
      <c r="W859" s="4"/>
      <c r="X859" s="4"/>
    </row>
    <row r="860">
      <c r="E860" s="23"/>
      <c r="F860" s="17"/>
      <c r="G860" s="17"/>
      <c r="H860" s="17"/>
      <c r="I860" s="17"/>
      <c r="J860" s="17"/>
      <c r="K860" s="17"/>
      <c r="L860" s="16"/>
      <c r="M860" s="16"/>
      <c r="N860" s="16"/>
      <c r="O860" s="16"/>
      <c r="P860" s="16"/>
      <c r="U860" s="4"/>
      <c r="V860" s="4"/>
      <c r="W860" s="4"/>
      <c r="X860" s="4"/>
    </row>
    <row r="861">
      <c r="E861" s="23"/>
      <c r="F861" s="17"/>
      <c r="G861" s="17"/>
      <c r="H861" s="17"/>
      <c r="I861" s="17"/>
      <c r="J861" s="17"/>
      <c r="K861" s="17"/>
      <c r="L861" s="16"/>
      <c r="M861" s="16"/>
      <c r="N861" s="16"/>
      <c r="O861" s="16"/>
      <c r="P861" s="16"/>
      <c r="U861" s="4"/>
      <c r="V861" s="4"/>
      <c r="W861" s="4"/>
      <c r="X861" s="4"/>
    </row>
    <row r="862">
      <c r="E862" s="23"/>
      <c r="F862" s="17"/>
      <c r="G862" s="17"/>
      <c r="H862" s="17"/>
      <c r="I862" s="17"/>
      <c r="J862" s="17"/>
      <c r="K862" s="17"/>
      <c r="L862" s="16"/>
      <c r="M862" s="16"/>
      <c r="N862" s="16"/>
      <c r="O862" s="16"/>
      <c r="P862" s="16"/>
      <c r="U862" s="4"/>
      <c r="V862" s="4"/>
      <c r="W862" s="4"/>
      <c r="X862" s="4"/>
    </row>
    <row r="863">
      <c r="E863" s="23"/>
      <c r="F863" s="17"/>
      <c r="G863" s="17"/>
      <c r="H863" s="17"/>
      <c r="I863" s="17"/>
      <c r="J863" s="17"/>
      <c r="K863" s="17"/>
      <c r="L863" s="16"/>
      <c r="M863" s="16"/>
      <c r="N863" s="16"/>
      <c r="O863" s="16"/>
      <c r="P863" s="16"/>
      <c r="U863" s="4"/>
      <c r="V863" s="4"/>
      <c r="W863" s="4"/>
      <c r="X863" s="4"/>
    </row>
    <row r="864">
      <c r="E864" s="23"/>
      <c r="F864" s="17"/>
      <c r="G864" s="17"/>
      <c r="H864" s="17"/>
      <c r="I864" s="17"/>
      <c r="J864" s="17"/>
      <c r="K864" s="17"/>
      <c r="L864" s="16"/>
      <c r="M864" s="16"/>
      <c r="N864" s="16"/>
      <c r="O864" s="16"/>
      <c r="P864" s="16"/>
      <c r="U864" s="4"/>
      <c r="V864" s="4"/>
      <c r="W864" s="4"/>
      <c r="X864" s="4"/>
    </row>
    <row r="865">
      <c r="E865" s="23"/>
      <c r="F865" s="17"/>
      <c r="G865" s="17"/>
      <c r="H865" s="17"/>
      <c r="I865" s="17"/>
      <c r="J865" s="17"/>
      <c r="K865" s="17"/>
      <c r="L865" s="16"/>
      <c r="M865" s="16"/>
      <c r="N865" s="16"/>
      <c r="O865" s="16"/>
      <c r="P865" s="16"/>
      <c r="U865" s="4"/>
      <c r="V865" s="4"/>
      <c r="W865" s="4"/>
      <c r="X865" s="4"/>
    </row>
    <row r="866">
      <c r="E866" s="23"/>
      <c r="F866" s="17"/>
      <c r="G866" s="17"/>
      <c r="H866" s="17"/>
      <c r="I866" s="17"/>
      <c r="J866" s="17"/>
      <c r="K866" s="17"/>
      <c r="L866" s="16"/>
      <c r="M866" s="16"/>
      <c r="N866" s="16"/>
      <c r="O866" s="16"/>
      <c r="P866" s="16"/>
      <c r="U866" s="4"/>
      <c r="V866" s="4"/>
      <c r="W866" s="4"/>
      <c r="X866" s="4"/>
    </row>
    <row r="867">
      <c r="E867" s="23"/>
      <c r="F867" s="17"/>
      <c r="G867" s="17"/>
      <c r="H867" s="17"/>
      <c r="I867" s="17"/>
      <c r="J867" s="17"/>
      <c r="K867" s="17"/>
      <c r="L867" s="16"/>
      <c r="M867" s="16"/>
      <c r="N867" s="16"/>
      <c r="O867" s="16"/>
      <c r="P867" s="16"/>
      <c r="U867" s="4"/>
      <c r="V867" s="4"/>
      <c r="W867" s="4"/>
      <c r="X867" s="4"/>
    </row>
    <row r="868">
      <c r="E868" s="23"/>
      <c r="F868" s="17"/>
      <c r="G868" s="17"/>
      <c r="H868" s="17"/>
      <c r="I868" s="17"/>
      <c r="J868" s="17"/>
      <c r="K868" s="17"/>
      <c r="L868" s="16"/>
      <c r="M868" s="16"/>
      <c r="N868" s="16"/>
      <c r="O868" s="16"/>
      <c r="P868" s="16"/>
      <c r="U868" s="4"/>
      <c r="V868" s="4"/>
      <c r="W868" s="4"/>
      <c r="X868" s="4"/>
    </row>
    <row r="869">
      <c r="E869" s="23"/>
      <c r="F869" s="17"/>
      <c r="G869" s="17"/>
      <c r="H869" s="17"/>
      <c r="I869" s="17"/>
      <c r="J869" s="17"/>
      <c r="K869" s="17"/>
      <c r="L869" s="16"/>
      <c r="M869" s="16"/>
      <c r="N869" s="16"/>
      <c r="O869" s="16"/>
      <c r="P869" s="16"/>
      <c r="U869" s="4"/>
      <c r="V869" s="4"/>
      <c r="W869" s="4"/>
      <c r="X869" s="4"/>
    </row>
    <row r="870">
      <c r="E870" s="23"/>
      <c r="F870" s="17"/>
      <c r="G870" s="17"/>
      <c r="H870" s="17"/>
      <c r="I870" s="17"/>
      <c r="J870" s="17"/>
      <c r="K870" s="17"/>
      <c r="L870" s="16"/>
      <c r="M870" s="16"/>
      <c r="N870" s="16"/>
      <c r="O870" s="16"/>
      <c r="P870" s="16"/>
      <c r="U870" s="4"/>
      <c r="V870" s="4"/>
      <c r="W870" s="4"/>
      <c r="X870" s="4"/>
    </row>
    <row r="871">
      <c r="E871" s="23"/>
      <c r="F871" s="17"/>
      <c r="G871" s="17"/>
      <c r="H871" s="17"/>
      <c r="I871" s="17"/>
      <c r="J871" s="17"/>
      <c r="K871" s="17"/>
      <c r="L871" s="16"/>
      <c r="M871" s="16"/>
      <c r="N871" s="16"/>
      <c r="O871" s="16"/>
      <c r="P871" s="16"/>
      <c r="U871" s="4"/>
      <c r="V871" s="4"/>
      <c r="W871" s="4"/>
      <c r="X871" s="4"/>
    </row>
    <row r="872">
      <c r="E872" s="23"/>
      <c r="F872" s="17"/>
      <c r="G872" s="17"/>
      <c r="H872" s="17"/>
      <c r="I872" s="17"/>
      <c r="J872" s="17"/>
      <c r="K872" s="17"/>
      <c r="L872" s="16"/>
      <c r="M872" s="16"/>
      <c r="N872" s="16"/>
      <c r="O872" s="16"/>
      <c r="P872" s="16"/>
      <c r="U872" s="4"/>
      <c r="V872" s="4"/>
      <c r="W872" s="4"/>
      <c r="X872" s="4"/>
    </row>
    <row r="873">
      <c r="E873" s="23"/>
      <c r="F873" s="17"/>
      <c r="G873" s="17"/>
      <c r="H873" s="17"/>
      <c r="I873" s="17"/>
      <c r="J873" s="17"/>
      <c r="K873" s="17"/>
      <c r="L873" s="16"/>
      <c r="M873" s="16"/>
      <c r="N873" s="16"/>
      <c r="O873" s="16"/>
      <c r="P873" s="16"/>
      <c r="U873" s="4"/>
      <c r="V873" s="4"/>
      <c r="W873" s="4"/>
      <c r="X873" s="4"/>
    </row>
    <row r="874">
      <c r="E874" s="23"/>
      <c r="F874" s="17"/>
      <c r="G874" s="17"/>
      <c r="H874" s="17"/>
      <c r="I874" s="17"/>
      <c r="J874" s="17"/>
      <c r="K874" s="17"/>
      <c r="L874" s="16"/>
      <c r="M874" s="16"/>
      <c r="N874" s="16"/>
      <c r="O874" s="16"/>
      <c r="P874" s="16"/>
      <c r="U874" s="4"/>
      <c r="V874" s="4"/>
      <c r="W874" s="4"/>
      <c r="X874" s="4"/>
    </row>
    <row r="875">
      <c r="E875" s="23"/>
      <c r="F875" s="17"/>
      <c r="G875" s="17"/>
      <c r="H875" s="17"/>
      <c r="I875" s="17"/>
      <c r="J875" s="17"/>
      <c r="K875" s="17"/>
      <c r="L875" s="16"/>
      <c r="M875" s="16"/>
      <c r="N875" s="16"/>
      <c r="O875" s="16"/>
      <c r="P875" s="16"/>
      <c r="U875" s="4"/>
      <c r="V875" s="4"/>
      <c r="W875" s="4"/>
      <c r="X875" s="4"/>
    </row>
    <row r="876">
      <c r="E876" s="23"/>
      <c r="F876" s="17"/>
      <c r="G876" s="17"/>
      <c r="H876" s="17"/>
      <c r="I876" s="17"/>
      <c r="J876" s="17"/>
      <c r="K876" s="17"/>
      <c r="L876" s="16"/>
      <c r="M876" s="16"/>
      <c r="N876" s="16"/>
      <c r="O876" s="16"/>
      <c r="P876" s="16"/>
      <c r="U876" s="4"/>
      <c r="V876" s="4"/>
      <c r="W876" s="4"/>
      <c r="X876" s="4"/>
    </row>
    <row r="877">
      <c r="E877" s="23"/>
      <c r="F877" s="17"/>
      <c r="G877" s="17"/>
      <c r="H877" s="17"/>
      <c r="I877" s="17"/>
      <c r="J877" s="17"/>
      <c r="K877" s="17"/>
      <c r="L877" s="16"/>
      <c r="M877" s="16"/>
      <c r="N877" s="16"/>
      <c r="O877" s="16"/>
      <c r="P877" s="16"/>
      <c r="U877" s="4"/>
      <c r="V877" s="4"/>
      <c r="W877" s="4"/>
      <c r="X877" s="4"/>
    </row>
    <row r="878">
      <c r="E878" s="23"/>
      <c r="F878" s="17"/>
      <c r="G878" s="17"/>
      <c r="H878" s="17"/>
      <c r="I878" s="17"/>
      <c r="J878" s="17"/>
      <c r="K878" s="17"/>
      <c r="L878" s="16"/>
      <c r="M878" s="16"/>
      <c r="N878" s="16"/>
      <c r="O878" s="16"/>
      <c r="P878" s="16"/>
      <c r="U878" s="4"/>
      <c r="V878" s="4"/>
      <c r="W878" s="4"/>
      <c r="X878" s="4"/>
    </row>
    <row r="879">
      <c r="E879" s="23"/>
      <c r="F879" s="17"/>
      <c r="G879" s="17"/>
      <c r="H879" s="17"/>
      <c r="I879" s="17"/>
      <c r="J879" s="17"/>
      <c r="K879" s="17"/>
      <c r="L879" s="16"/>
      <c r="M879" s="16"/>
      <c r="N879" s="16"/>
      <c r="O879" s="16"/>
      <c r="P879" s="16"/>
      <c r="U879" s="4"/>
      <c r="V879" s="4"/>
      <c r="W879" s="4"/>
      <c r="X879" s="4"/>
    </row>
    <row r="880">
      <c r="E880" s="23"/>
      <c r="F880" s="17"/>
      <c r="G880" s="17"/>
      <c r="H880" s="17"/>
      <c r="I880" s="17"/>
      <c r="J880" s="17"/>
      <c r="K880" s="17"/>
      <c r="L880" s="16"/>
      <c r="M880" s="16"/>
      <c r="N880" s="16"/>
      <c r="O880" s="16"/>
      <c r="P880" s="16"/>
      <c r="U880" s="4"/>
      <c r="V880" s="4"/>
      <c r="W880" s="4"/>
      <c r="X880" s="4"/>
    </row>
    <row r="881">
      <c r="E881" s="23"/>
      <c r="F881" s="17"/>
      <c r="G881" s="17"/>
      <c r="H881" s="17"/>
      <c r="I881" s="17"/>
      <c r="J881" s="17"/>
      <c r="K881" s="17"/>
      <c r="L881" s="16"/>
      <c r="M881" s="16"/>
      <c r="N881" s="16"/>
      <c r="O881" s="16"/>
      <c r="P881" s="16"/>
      <c r="U881" s="4"/>
      <c r="V881" s="4"/>
      <c r="W881" s="4"/>
      <c r="X881" s="4"/>
    </row>
    <row r="882">
      <c r="E882" s="23"/>
      <c r="F882" s="17"/>
      <c r="G882" s="17"/>
      <c r="H882" s="17"/>
      <c r="I882" s="17"/>
      <c r="J882" s="17"/>
      <c r="K882" s="17"/>
      <c r="L882" s="16"/>
      <c r="M882" s="16"/>
      <c r="N882" s="16"/>
      <c r="O882" s="16"/>
      <c r="P882" s="16"/>
      <c r="U882" s="4"/>
      <c r="V882" s="4"/>
      <c r="W882" s="4"/>
      <c r="X882" s="4"/>
    </row>
    <row r="883">
      <c r="E883" s="23"/>
      <c r="F883" s="17"/>
      <c r="G883" s="17"/>
      <c r="H883" s="17"/>
      <c r="I883" s="17"/>
      <c r="J883" s="17"/>
      <c r="K883" s="17"/>
      <c r="L883" s="16"/>
      <c r="M883" s="16"/>
      <c r="N883" s="16"/>
      <c r="O883" s="16"/>
      <c r="P883" s="16"/>
      <c r="U883" s="4"/>
      <c r="V883" s="4"/>
      <c r="W883" s="4"/>
      <c r="X883" s="4"/>
    </row>
    <row r="884">
      <c r="E884" s="23"/>
      <c r="F884" s="17"/>
      <c r="G884" s="17"/>
      <c r="H884" s="17"/>
      <c r="I884" s="17"/>
      <c r="J884" s="17"/>
      <c r="K884" s="17"/>
      <c r="L884" s="16"/>
      <c r="M884" s="16"/>
      <c r="N884" s="16"/>
      <c r="O884" s="16"/>
      <c r="P884" s="16"/>
      <c r="U884" s="4"/>
      <c r="V884" s="4"/>
      <c r="W884" s="4"/>
      <c r="X884" s="4"/>
    </row>
    <row r="885">
      <c r="E885" s="23"/>
      <c r="F885" s="17"/>
      <c r="G885" s="17"/>
      <c r="H885" s="17"/>
      <c r="I885" s="17"/>
      <c r="J885" s="17"/>
      <c r="K885" s="17"/>
      <c r="L885" s="16"/>
      <c r="M885" s="16"/>
      <c r="N885" s="16"/>
      <c r="O885" s="16"/>
      <c r="P885" s="16"/>
      <c r="U885" s="4"/>
      <c r="V885" s="4"/>
      <c r="W885" s="4"/>
      <c r="X885" s="4"/>
    </row>
    <row r="886">
      <c r="E886" s="23"/>
      <c r="F886" s="17"/>
      <c r="G886" s="17"/>
      <c r="H886" s="17"/>
      <c r="I886" s="17"/>
      <c r="J886" s="17"/>
      <c r="K886" s="17"/>
      <c r="L886" s="16"/>
      <c r="M886" s="16"/>
      <c r="N886" s="16"/>
      <c r="O886" s="16"/>
      <c r="P886" s="16"/>
      <c r="U886" s="4"/>
      <c r="V886" s="4"/>
      <c r="W886" s="4"/>
      <c r="X886" s="4"/>
    </row>
    <row r="887">
      <c r="E887" s="23"/>
      <c r="F887" s="17"/>
      <c r="G887" s="17"/>
      <c r="H887" s="17"/>
      <c r="I887" s="17"/>
      <c r="J887" s="17"/>
      <c r="K887" s="17"/>
      <c r="L887" s="16"/>
      <c r="M887" s="16"/>
      <c r="N887" s="16"/>
      <c r="O887" s="16"/>
      <c r="P887" s="16"/>
      <c r="U887" s="4"/>
      <c r="V887" s="4"/>
      <c r="W887" s="4"/>
      <c r="X887" s="4"/>
    </row>
    <row r="888">
      <c r="E888" s="23"/>
      <c r="F888" s="17"/>
      <c r="G888" s="17"/>
      <c r="H888" s="17"/>
      <c r="I888" s="17"/>
      <c r="J888" s="17"/>
      <c r="K888" s="17"/>
      <c r="L888" s="16"/>
      <c r="M888" s="16"/>
      <c r="N888" s="16"/>
      <c r="O888" s="16"/>
      <c r="P888" s="16"/>
      <c r="U888" s="4"/>
      <c r="V888" s="4"/>
      <c r="W888" s="4"/>
      <c r="X888" s="4"/>
    </row>
    <row r="889">
      <c r="E889" s="23"/>
      <c r="F889" s="17"/>
      <c r="G889" s="17"/>
      <c r="H889" s="17"/>
      <c r="I889" s="17"/>
      <c r="J889" s="17"/>
      <c r="K889" s="17"/>
      <c r="L889" s="16"/>
      <c r="M889" s="16"/>
      <c r="N889" s="16"/>
      <c r="O889" s="16"/>
      <c r="P889" s="16"/>
      <c r="U889" s="4"/>
      <c r="V889" s="4"/>
      <c r="W889" s="4"/>
      <c r="X889" s="4"/>
    </row>
    <row r="890">
      <c r="E890" s="23"/>
      <c r="F890" s="17"/>
      <c r="G890" s="17"/>
      <c r="H890" s="17"/>
      <c r="I890" s="17"/>
      <c r="J890" s="17"/>
      <c r="K890" s="17"/>
      <c r="L890" s="16"/>
      <c r="M890" s="16"/>
      <c r="N890" s="16"/>
      <c r="O890" s="16"/>
      <c r="P890" s="16"/>
      <c r="U890" s="4"/>
      <c r="V890" s="4"/>
      <c r="W890" s="4"/>
      <c r="X890" s="4"/>
    </row>
    <row r="891">
      <c r="E891" s="23"/>
      <c r="F891" s="17"/>
      <c r="G891" s="17"/>
      <c r="H891" s="17"/>
      <c r="I891" s="17"/>
      <c r="J891" s="17"/>
      <c r="K891" s="17"/>
      <c r="L891" s="16"/>
      <c r="M891" s="16"/>
      <c r="N891" s="16"/>
      <c r="O891" s="16"/>
      <c r="P891" s="16"/>
      <c r="U891" s="4"/>
      <c r="V891" s="4"/>
      <c r="W891" s="4"/>
      <c r="X891" s="4"/>
    </row>
    <row r="892">
      <c r="E892" s="23"/>
      <c r="F892" s="17"/>
      <c r="G892" s="17"/>
      <c r="H892" s="17"/>
      <c r="I892" s="17"/>
      <c r="J892" s="17"/>
      <c r="K892" s="17"/>
      <c r="L892" s="16"/>
      <c r="M892" s="16"/>
      <c r="N892" s="16"/>
      <c r="O892" s="16"/>
      <c r="P892" s="16"/>
      <c r="U892" s="4"/>
      <c r="V892" s="4"/>
      <c r="W892" s="4"/>
      <c r="X892" s="4"/>
    </row>
    <row r="893">
      <c r="E893" s="23"/>
      <c r="F893" s="17"/>
      <c r="G893" s="17"/>
      <c r="H893" s="17"/>
      <c r="I893" s="17"/>
      <c r="J893" s="17"/>
      <c r="K893" s="17"/>
      <c r="L893" s="16"/>
      <c r="M893" s="16"/>
      <c r="N893" s="16"/>
      <c r="O893" s="16"/>
      <c r="P893" s="16"/>
      <c r="U893" s="4"/>
      <c r="V893" s="4"/>
      <c r="W893" s="4"/>
      <c r="X893" s="4"/>
    </row>
    <row r="894">
      <c r="E894" s="23"/>
      <c r="F894" s="17"/>
      <c r="G894" s="17"/>
      <c r="H894" s="17"/>
      <c r="I894" s="17"/>
      <c r="J894" s="17"/>
      <c r="K894" s="17"/>
      <c r="L894" s="16"/>
      <c r="M894" s="16"/>
      <c r="N894" s="16"/>
      <c r="O894" s="16"/>
      <c r="P894" s="16"/>
      <c r="U894" s="4"/>
      <c r="V894" s="4"/>
      <c r="W894" s="4"/>
      <c r="X894" s="4"/>
    </row>
    <row r="895">
      <c r="E895" s="23"/>
      <c r="F895" s="17"/>
      <c r="G895" s="17"/>
      <c r="H895" s="17"/>
      <c r="I895" s="17"/>
      <c r="J895" s="17"/>
      <c r="K895" s="17"/>
      <c r="L895" s="16"/>
      <c r="M895" s="16"/>
      <c r="N895" s="16"/>
      <c r="O895" s="16"/>
      <c r="P895" s="16"/>
      <c r="U895" s="4"/>
      <c r="V895" s="4"/>
      <c r="W895" s="4"/>
      <c r="X895" s="4"/>
    </row>
    <row r="896">
      <c r="E896" s="23"/>
      <c r="F896" s="17"/>
      <c r="G896" s="17"/>
      <c r="H896" s="17"/>
      <c r="I896" s="17"/>
      <c r="J896" s="17"/>
      <c r="K896" s="17"/>
      <c r="L896" s="16"/>
      <c r="M896" s="16"/>
      <c r="N896" s="16"/>
      <c r="O896" s="16"/>
      <c r="P896" s="16"/>
      <c r="U896" s="4"/>
      <c r="V896" s="4"/>
      <c r="W896" s="4"/>
      <c r="X896" s="4"/>
    </row>
    <row r="897">
      <c r="E897" s="23"/>
      <c r="F897" s="17"/>
      <c r="G897" s="17"/>
      <c r="H897" s="17"/>
      <c r="I897" s="17"/>
      <c r="J897" s="17"/>
      <c r="K897" s="17"/>
      <c r="L897" s="16"/>
      <c r="M897" s="16"/>
      <c r="N897" s="16"/>
      <c r="O897" s="16"/>
      <c r="P897" s="16"/>
      <c r="U897" s="4"/>
      <c r="V897" s="4"/>
      <c r="W897" s="4"/>
      <c r="X897" s="4"/>
    </row>
    <row r="898">
      <c r="E898" s="23"/>
      <c r="F898" s="17"/>
      <c r="G898" s="17"/>
      <c r="H898" s="17"/>
      <c r="I898" s="17"/>
      <c r="J898" s="17"/>
      <c r="K898" s="17"/>
      <c r="L898" s="16"/>
      <c r="M898" s="16"/>
      <c r="N898" s="16"/>
      <c r="O898" s="16"/>
      <c r="P898" s="16"/>
      <c r="U898" s="4"/>
      <c r="V898" s="4"/>
      <c r="W898" s="4"/>
      <c r="X898" s="4"/>
    </row>
    <row r="899">
      <c r="E899" s="23"/>
      <c r="F899" s="17"/>
      <c r="G899" s="17"/>
      <c r="H899" s="17"/>
      <c r="I899" s="17"/>
      <c r="J899" s="17"/>
      <c r="K899" s="17"/>
      <c r="L899" s="16"/>
      <c r="M899" s="16"/>
      <c r="N899" s="16"/>
      <c r="O899" s="16"/>
      <c r="P899" s="16"/>
      <c r="U899" s="4"/>
      <c r="V899" s="4"/>
      <c r="W899" s="4"/>
      <c r="X899" s="4"/>
    </row>
    <row r="900">
      <c r="E900" s="23"/>
      <c r="F900" s="17"/>
      <c r="G900" s="17"/>
      <c r="H900" s="17"/>
      <c r="I900" s="17"/>
      <c r="J900" s="17"/>
      <c r="K900" s="17"/>
      <c r="L900" s="16"/>
      <c r="M900" s="16"/>
      <c r="N900" s="16"/>
      <c r="O900" s="16"/>
      <c r="P900" s="16"/>
      <c r="U900" s="4"/>
      <c r="V900" s="4"/>
      <c r="W900" s="4"/>
      <c r="X900" s="4"/>
    </row>
    <row r="901">
      <c r="E901" s="23"/>
      <c r="F901" s="17"/>
      <c r="G901" s="17"/>
      <c r="H901" s="17"/>
      <c r="I901" s="17"/>
      <c r="J901" s="17"/>
      <c r="K901" s="17"/>
      <c r="L901" s="16"/>
      <c r="M901" s="16"/>
      <c r="N901" s="16"/>
      <c r="O901" s="16"/>
      <c r="P901" s="16"/>
      <c r="U901" s="4"/>
      <c r="V901" s="4"/>
      <c r="W901" s="4"/>
      <c r="X901" s="4"/>
    </row>
    <row r="902">
      <c r="E902" s="23"/>
      <c r="F902" s="17"/>
      <c r="G902" s="17"/>
      <c r="H902" s="17"/>
      <c r="I902" s="17"/>
      <c r="J902" s="17"/>
      <c r="K902" s="17"/>
      <c r="L902" s="16"/>
      <c r="M902" s="16"/>
      <c r="N902" s="16"/>
      <c r="O902" s="16"/>
      <c r="P902" s="16"/>
      <c r="U902" s="4"/>
      <c r="V902" s="4"/>
      <c r="W902" s="4"/>
      <c r="X902" s="4"/>
    </row>
    <row r="903">
      <c r="E903" s="23"/>
      <c r="F903" s="17"/>
      <c r="G903" s="17"/>
      <c r="H903" s="17"/>
      <c r="I903" s="17"/>
      <c r="J903" s="17"/>
      <c r="K903" s="17"/>
      <c r="L903" s="16"/>
      <c r="M903" s="16"/>
      <c r="N903" s="16"/>
      <c r="O903" s="16"/>
      <c r="P903" s="16"/>
      <c r="U903" s="4"/>
      <c r="V903" s="4"/>
      <c r="W903" s="4"/>
      <c r="X903" s="4"/>
    </row>
    <row r="904">
      <c r="E904" s="23"/>
      <c r="F904" s="17"/>
      <c r="G904" s="17"/>
      <c r="H904" s="17"/>
      <c r="I904" s="17"/>
      <c r="J904" s="17"/>
      <c r="K904" s="17"/>
      <c r="L904" s="16"/>
      <c r="M904" s="16"/>
      <c r="N904" s="16"/>
      <c r="O904" s="16"/>
      <c r="P904" s="16"/>
      <c r="U904" s="4"/>
      <c r="V904" s="4"/>
      <c r="W904" s="4"/>
      <c r="X904" s="4"/>
    </row>
    <row r="905">
      <c r="E905" s="23"/>
      <c r="F905" s="17"/>
      <c r="G905" s="17"/>
      <c r="H905" s="17"/>
      <c r="I905" s="17"/>
      <c r="J905" s="17"/>
      <c r="K905" s="17"/>
      <c r="L905" s="16"/>
      <c r="M905" s="16"/>
      <c r="N905" s="16"/>
      <c r="O905" s="16"/>
      <c r="P905" s="16"/>
      <c r="U905" s="4"/>
      <c r="V905" s="4"/>
      <c r="W905" s="4"/>
      <c r="X905" s="4"/>
    </row>
    <row r="906">
      <c r="E906" s="23"/>
      <c r="F906" s="17"/>
      <c r="G906" s="17"/>
      <c r="H906" s="17"/>
      <c r="I906" s="17"/>
      <c r="J906" s="17"/>
      <c r="K906" s="17"/>
      <c r="L906" s="16"/>
      <c r="M906" s="16"/>
      <c r="N906" s="16"/>
      <c r="O906" s="16"/>
      <c r="P906" s="16"/>
      <c r="U906" s="4"/>
      <c r="V906" s="4"/>
      <c r="W906" s="4"/>
      <c r="X906" s="4"/>
    </row>
    <row r="907">
      <c r="E907" s="23"/>
      <c r="F907" s="17"/>
      <c r="G907" s="17"/>
      <c r="H907" s="17"/>
      <c r="I907" s="17"/>
      <c r="J907" s="17"/>
      <c r="K907" s="17"/>
      <c r="L907" s="16"/>
      <c r="M907" s="16"/>
      <c r="N907" s="16"/>
      <c r="O907" s="16"/>
      <c r="P907" s="16"/>
      <c r="U907" s="4"/>
      <c r="V907" s="4"/>
      <c r="W907" s="4"/>
      <c r="X907" s="4"/>
    </row>
    <row r="908">
      <c r="E908" s="23"/>
      <c r="F908" s="17"/>
      <c r="G908" s="17"/>
      <c r="H908" s="17"/>
      <c r="I908" s="17"/>
      <c r="J908" s="17"/>
      <c r="K908" s="17"/>
      <c r="L908" s="16"/>
      <c r="M908" s="16"/>
      <c r="N908" s="16"/>
      <c r="O908" s="16"/>
      <c r="P908" s="16"/>
      <c r="U908" s="4"/>
      <c r="V908" s="4"/>
      <c r="W908" s="4"/>
      <c r="X908" s="4"/>
    </row>
    <row r="909">
      <c r="E909" s="23"/>
      <c r="F909" s="17"/>
      <c r="G909" s="17"/>
      <c r="H909" s="17"/>
      <c r="I909" s="17"/>
      <c r="J909" s="17"/>
      <c r="K909" s="17"/>
      <c r="L909" s="16"/>
      <c r="M909" s="16"/>
      <c r="N909" s="16"/>
      <c r="O909" s="16"/>
      <c r="P909" s="16"/>
      <c r="U909" s="4"/>
      <c r="V909" s="4"/>
      <c r="W909" s="4"/>
      <c r="X909" s="4"/>
    </row>
    <row r="910">
      <c r="E910" s="23"/>
      <c r="F910" s="17"/>
      <c r="G910" s="17"/>
      <c r="H910" s="17"/>
      <c r="I910" s="17"/>
      <c r="J910" s="17"/>
      <c r="K910" s="17"/>
      <c r="L910" s="16"/>
      <c r="M910" s="16"/>
      <c r="N910" s="16"/>
      <c r="O910" s="16"/>
      <c r="P910" s="16"/>
      <c r="U910" s="4"/>
      <c r="V910" s="4"/>
      <c r="W910" s="4"/>
      <c r="X910" s="4"/>
    </row>
    <row r="911">
      <c r="E911" s="23"/>
      <c r="F911" s="17"/>
      <c r="G911" s="17"/>
      <c r="H911" s="17"/>
      <c r="I911" s="17"/>
      <c r="J911" s="17"/>
      <c r="K911" s="17"/>
      <c r="L911" s="16"/>
      <c r="M911" s="16"/>
      <c r="N911" s="16"/>
      <c r="O911" s="16"/>
      <c r="P911" s="16"/>
      <c r="U911" s="4"/>
      <c r="V911" s="4"/>
      <c r="W911" s="4"/>
      <c r="X911" s="4"/>
    </row>
    <row r="912">
      <c r="E912" s="23"/>
      <c r="F912" s="17"/>
      <c r="G912" s="17"/>
      <c r="H912" s="17"/>
      <c r="I912" s="17"/>
      <c r="J912" s="17"/>
      <c r="K912" s="17"/>
      <c r="L912" s="16"/>
      <c r="M912" s="16"/>
      <c r="N912" s="16"/>
      <c r="O912" s="16"/>
      <c r="P912" s="16"/>
      <c r="U912" s="4"/>
      <c r="V912" s="4"/>
      <c r="W912" s="4"/>
      <c r="X912" s="4"/>
    </row>
    <row r="913">
      <c r="E913" s="23"/>
      <c r="F913" s="17"/>
      <c r="G913" s="17"/>
      <c r="H913" s="17"/>
      <c r="I913" s="17"/>
      <c r="J913" s="17"/>
      <c r="K913" s="17"/>
      <c r="L913" s="16"/>
      <c r="M913" s="16"/>
      <c r="N913" s="16"/>
      <c r="O913" s="16"/>
      <c r="P913" s="16"/>
      <c r="U913" s="4"/>
      <c r="V913" s="4"/>
      <c r="W913" s="4"/>
      <c r="X913" s="4"/>
    </row>
    <row r="914">
      <c r="E914" s="23"/>
      <c r="F914" s="17"/>
      <c r="G914" s="17"/>
      <c r="H914" s="17"/>
      <c r="I914" s="17"/>
      <c r="J914" s="17"/>
      <c r="K914" s="17"/>
      <c r="L914" s="16"/>
      <c r="M914" s="16"/>
      <c r="N914" s="16"/>
      <c r="O914" s="16"/>
      <c r="P914" s="16"/>
      <c r="U914" s="4"/>
      <c r="V914" s="4"/>
      <c r="W914" s="4"/>
      <c r="X914" s="4"/>
    </row>
    <row r="915">
      <c r="E915" s="23"/>
      <c r="F915" s="17"/>
      <c r="G915" s="17"/>
      <c r="H915" s="17"/>
      <c r="I915" s="17"/>
      <c r="J915" s="17"/>
      <c r="K915" s="17"/>
      <c r="L915" s="16"/>
      <c r="M915" s="16"/>
      <c r="N915" s="16"/>
      <c r="O915" s="16"/>
      <c r="P915" s="16"/>
      <c r="U915" s="4"/>
      <c r="V915" s="4"/>
      <c r="W915" s="4"/>
      <c r="X915" s="4"/>
    </row>
    <row r="916">
      <c r="E916" s="23"/>
      <c r="F916" s="17"/>
      <c r="G916" s="17"/>
      <c r="H916" s="17"/>
      <c r="I916" s="17"/>
      <c r="J916" s="17"/>
      <c r="K916" s="17"/>
      <c r="L916" s="16"/>
      <c r="M916" s="16"/>
      <c r="N916" s="16"/>
      <c r="O916" s="16"/>
      <c r="P916" s="16"/>
      <c r="U916" s="4"/>
      <c r="V916" s="4"/>
      <c r="W916" s="4"/>
      <c r="X916" s="4"/>
    </row>
    <row r="917">
      <c r="E917" s="23"/>
      <c r="F917" s="17"/>
      <c r="G917" s="17"/>
      <c r="H917" s="17"/>
      <c r="I917" s="17"/>
      <c r="J917" s="17"/>
      <c r="K917" s="17"/>
      <c r="L917" s="16"/>
      <c r="M917" s="16"/>
      <c r="N917" s="16"/>
      <c r="O917" s="16"/>
      <c r="P917" s="16"/>
      <c r="U917" s="4"/>
      <c r="V917" s="4"/>
      <c r="W917" s="4"/>
      <c r="X917" s="4"/>
    </row>
    <row r="918">
      <c r="E918" s="23"/>
      <c r="F918" s="17"/>
      <c r="G918" s="17"/>
      <c r="H918" s="17"/>
      <c r="I918" s="17"/>
      <c r="J918" s="17"/>
      <c r="K918" s="17"/>
      <c r="L918" s="16"/>
      <c r="M918" s="16"/>
      <c r="N918" s="16"/>
      <c r="O918" s="16"/>
      <c r="P918" s="16"/>
      <c r="U918" s="4"/>
      <c r="V918" s="4"/>
      <c r="W918" s="4"/>
      <c r="X918" s="4"/>
    </row>
    <row r="919">
      <c r="E919" s="23"/>
      <c r="F919" s="17"/>
      <c r="G919" s="17"/>
      <c r="H919" s="17"/>
      <c r="I919" s="17"/>
      <c r="J919" s="17"/>
      <c r="K919" s="17"/>
      <c r="L919" s="16"/>
      <c r="M919" s="16"/>
      <c r="N919" s="16"/>
      <c r="O919" s="16"/>
      <c r="P919" s="16"/>
      <c r="U919" s="4"/>
      <c r="V919" s="4"/>
      <c r="W919" s="4"/>
      <c r="X919" s="4"/>
    </row>
    <row r="920">
      <c r="E920" s="23"/>
      <c r="F920" s="17"/>
      <c r="G920" s="17"/>
      <c r="H920" s="17"/>
      <c r="I920" s="17"/>
      <c r="J920" s="17"/>
      <c r="K920" s="17"/>
      <c r="L920" s="16"/>
      <c r="M920" s="16"/>
      <c r="N920" s="16"/>
      <c r="O920" s="16"/>
      <c r="P920" s="16"/>
      <c r="U920" s="4"/>
      <c r="V920" s="4"/>
      <c r="W920" s="4"/>
      <c r="X920" s="4"/>
    </row>
    <row r="921">
      <c r="E921" s="23"/>
      <c r="F921" s="17"/>
      <c r="G921" s="17"/>
      <c r="H921" s="17"/>
      <c r="I921" s="17"/>
      <c r="J921" s="17"/>
      <c r="K921" s="17"/>
      <c r="L921" s="16"/>
      <c r="M921" s="16"/>
      <c r="N921" s="16"/>
      <c r="O921" s="16"/>
      <c r="P921" s="16"/>
      <c r="U921" s="4"/>
      <c r="V921" s="4"/>
      <c r="W921" s="4"/>
      <c r="X921" s="4"/>
    </row>
    <row r="922">
      <c r="E922" s="23"/>
      <c r="F922" s="17"/>
      <c r="G922" s="17"/>
      <c r="H922" s="17"/>
      <c r="I922" s="17"/>
      <c r="J922" s="17"/>
      <c r="K922" s="17"/>
      <c r="L922" s="16"/>
      <c r="M922" s="16"/>
      <c r="N922" s="16"/>
      <c r="O922" s="16"/>
      <c r="P922" s="16"/>
      <c r="U922" s="4"/>
      <c r="V922" s="4"/>
      <c r="W922" s="4"/>
      <c r="X922" s="4"/>
    </row>
    <row r="923">
      <c r="E923" s="23"/>
      <c r="F923" s="17"/>
      <c r="G923" s="17"/>
      <c r="H923" s="17"/>
      <c r="I923" s="17"/>
      <c r="J923" s="17"/>
      <c r="K923" s="17"/>
      <c r="L923" s="16"/>
      <c r="M923" s="16"/>
      <c r="N923" s="16"/>
      <c r="O923" s="16"/>
      <c r="P923" s="16"/>
      <c r="U923" s="4"/>
      <c r="V923" s="4"/>
      <c r="W923" s="4"/>
      <c r="X923" s="4"/>
    </row>
    <row r="924">
      <c r="E924" s="23"/>
      <c r="F924" s="17"/>
      <c r="G924" s="17"/>
      <c r="H924" s="17"/>
      <c r="I924" s="17"/>
      <c r="J924" s="17"/>
      <c r="K924" s="17"/>
      <c r="L924" s="16"/>
      <c r="M924" s="16"/>
      <c r="N924" s="16"/>
      <c r="O924" s="16"/>
      <c r="P924" s="16"/>
      <c r="U924" s="4"/>
      <c r="V924" s="4"/>
      <c r="W924" s="4"/>
      <c r="X924" s="4"/>
    </row>
    <row r="925">
      <c r="E925" s="23"/>
      <c r="F925" s="17"/>
      <c r="G925" s="17"/>
      <c r="H925" s="17"/>
      <c r="I925" s="17"/>
      <c r="J925" s="17"/>
      <c r="K925" s="17"/>
      <c r="L925" s="16"/>
      <c r="M925" s="16"/>
      <c r="N925" s="16"/>
      <c r="O925" s="16"/>
      <c r="P925" s="16"/>
      <c r="U925" s="4"/>
      <c r="V925" s="4"/>
      <c r="W925" s="4"/>
      <c r="X925" s="4"/>
    </row>
    <row r="926">
      <c r="E926" s="23"/>
      <c r="F926" s="17"/>
      <c r="G926" s="17"/>
      <c r="H926" s="17"/>
      <c r="I926" s="17"/>
      <c r="J926" s="17"/>
      <c r="K926" s="17"/>
      <c r="L926" s="16"/>
      <c r="M926" s="16"/>
      <c r="N926" s="16"/>
      <c r="O926" s="16"/>
      <c r="P926" s="16"/>
      <c r="U926" s="4"/>
      <c r="V926" s="4"/>
      <c r="W926" s="4"/>
      <c r="X926" s="4"/>
    </row>
    <row r="927">
      <c r="E927" s="23"/>
      <c r="F927" s="17"/>
      <c r="G927" s="17"/>
      <c r="H927" s="17"/>
      <c r="I927" s="17"/>
      <c r="J927" s="17"/>
      <c r="K927" s="17"/>
      <c r="L927" s="16"/>
      <c r="M927" s="16"/>
      <c r="N927" s="16"/>
      <c r="O927" s="16"/>
      <c r="P927" s="16"/>
      <c r="U927" s="4"/>
      <c r="V927" s="4"/>
      <c r="W927" s="4"/>
      <c r="X927" s="4"/>
    </row>
    <row r="928">
      <c r="E928" s="23"/>
      <c r="F928" s="17"/>
      <c r="G928" s="17"/>
      <c r="H928" s="17"/>
      <c r="I928" s="17"/>
      <c r="J928" s="17"/>
      <c r="K928" s="17"/>
      <c r="L928" s="16"/>
      <c r="M928" s="16"/>
      <c r="N928" s="16"/>
      <c r="O928" s="16"/>
      <c r="P928" s="16"/>
      <c r="U928" s="4"/>
      <c r="V928" s="4"/>
      <c r="W928" s="4"/>
      <c r="X928" s="4"/>
    </row>
    <row r="929">
      <c r="E929" s="23"/>
      <c r="F929" s="17"/>
      <c r="G929" s="17"/>
      <c r="H929" s="17"/>
      <c r="I929" s="17"/>
      <c r="J929" s="17"/>
      <c r="K929" s="17"/>
      <c r="L929" s="16"/>
      <c r="M929" s="16"/>
      <c r="N929" s="16"/>
      <c r="O929" s="16"/>
      <c r="P929" s="16"/>
      <c r="U929" s="4"/>
      <c r="V929" s="4"/>
      <c r="W929" s="4"/>
      <c r="X929" s="4"/>
    </row>
    <row r="930">
      <c r="E930" s="23"/>
      <c r="F930" s="17"/>
      <c r="G930" s="17"/>
      <c r="H930" s="17"/>
      <c r="I930" s="17"/>
      <c r="J930" s="17"/>
      <c r="K930" s="17"/>
      <c r="L930" s="16"/>
      <c r="M930" s="16"/>
      <c r="N930" s="16"/>
      <c r="O930" s="16"/>
      <c r="P930" s="16"/>
      <c r="U930" s="4"/>
      <c r="V930" s="4"/>
      <c r="W930" s="4"/>
      <c r="X930" s="4"/>
    </row>
    <row r="931">
      <c r="E931" s="23"/>
      <c r="F931" s="17"/>
      <c r="G931" s="17"/>
      <c r="H931" s="17"/>
      <c r="I931" s="17"/>
      <c r="J931" s="17"/>
      <c r="K931" s="17"/>
      <c r="L931" s="16"/>
      <c r="M931" s="16"/>
      <c r="N931" s="16"/>
      <c r="O931" s="16"/>
      <c r="P931" s="16"/>
      <c r="U931" s="4"/>
      <c r="V931" s="4"/>
      <c r="W931" s="4"/>
      <c r="X931" s="4"/>
    </row>
    <row r="932">
      <c r="E932" s="23"/>
      <c r="F932" s="17"/>
      <c r="G932" s="17"/>
      <c r="H932" s="17"/>
      <c r="I932" s="17"/>
      <c r="J932" s="17"/>
      <c r="K932" s="17"/>
      <c r="L932" s="16"/>
      <c r="M932" s="16"/>
      <c r="N932" s="16"/>
      <c r="O932" s="16"/>
      <c r="P932" s="16"/>
      <c r="U932" s="4"/>
      <c r="V932" s="4"/>
      <c r="W932" s="4"/>
      <c r="X932" s="4"/>
    </row>
    <row r="933">
      <c r="E933" s="23"/>
      <c r="F933" s="17"/>
      <c r="G933" s="17"/>
      <c r="H933" s="17"/>
      <c r="I933" s="17"/>
      <c r="J933" s="17"/>
      <c r="K933" s="17"/>
      <c r="L933" s="16"/>
      <c r="M933" s="16"/>
      <c r="N933" s="16"/>
      <c r="O933" s="16"/>
      <c r="P933" s="16"/>
      <c r="U933" s="4"/>
      <c r="V933" s="4"/>
      <c r="W933" s="4"/>
      <c r="X933" s="4"/>
    </row>
    <row r="934">
      <c r="E934" s="23"/>
      <c r="F934" s="17"/>
      <c r="G934" s="17"/>
      <c r="H934" s="17"/>
      <c r="I934" s="17"/>
      <c r="J934" s="17"/>
      <c r="K934" s="17"/>
      <c r="L934" s="16"/>
      <c r="M934" s="16"/>
      <c r="N934" s="16"/>
      <c r="O934" s="16"/>
      <c r="P934" s="16"/>
      <c r="U934" s="4"/>
      <c r="V934" s="4"/>
      <c r="W934" s="4"/>
      <c r="X934" s="4"/>
    </row>
    <row r="935">
      <c r="E935" s="23"/>
      <c r="F935" s="17"/>
      <c r="G935" s="17"/>
      <c r="H935" s="17"/>
      <c r="I935" s="17"/>
      <c r="J935" s="17"/>
      <c r="K935" s="17"/>
      <c r="L935" s="16"/>
      <c r="M935" s="16"/>
      <c r="N935" s="16"/>
      <c r="O935" s="16"/>
      <c r="P935" s="16"/>
      <c r="U935" s="4"/>
      <c r="V935" s="4"/>
      <c r="W935" s="4"/>
      <c r="X935" s="4"/>
    </row>
    <row r="936">
      <c r="E936" s="23"/>
      <c r="F936" s="17"/>
      <c r="G936" s="17"/>
      <c r="H936" s="17"/>
      <c r="I936" s="17"/>
      <c r="J936" s="17"/>
      <c r="K936" s="17"/>
      <c r="L936" s="16"/>
      <c r="M936" s="16"/>
      <c r="N936" s="16"/>
      <c r="O936" s="16"/>
      <c r="P936" s="16"/>
      <c r="U936" s="4"/>
      <c r="V936" s="4"/>
      <c r="W936" s="4"/>
      <c r="X936" s="4"/>
    </row>
    <row r="937">
      <c r="E937" s="23"/>
      <c r="F937" s="17"/>
      <c r="G937" s="17"/>
      <c r="H937" s="17"/>
      <c r="I937" s="17"/>
      <c r="J937" s="17"/>
      <c r="K937" s="17"/>
      <c r="L937" s="16"/>
      <c r="M937" s="16"/>
      <c r="N937" s="16"/>
      <c r="O937" s="16"/>
      <c r="P937" s="16"/>
      <c r="U937" s="4"/>
      <c r="V937" s="4"/>
      <c r="W937" s="4"/>
      <c r="X937" s="4"/>
    </row>
    <row r="938">
      <c r="E938" s="23"/>
      <c r="F938" s="17"/>
      <c r="G938" s="17"/>
      <c r="H938" s="17"/>
      <c r="I938" s="17"/>
      <c r="J938" s="17"/>
      <c r="K938" s="17"/>
      <c r="L938" s="16"/>
      <c r="M938" s="16"/>
      <c r="N938" s="16"/>
      <c r="O938" s="16"/>
      <c r="P938" s="16"/>
      <c r="U938" s="4"/>
      <c r="V938" s="4"/>
      <c r="W938" s="4"/>
      <c r="X938" s="4"/>
    </row>
    <row r="939">
      <c r="E939" s="23"/>
      <c r="F939" s="17"/>
      <c r="G939" s="17"/>
      <c r="H939" s="17"/>
      <c r="I939" s="17"/>
      <c r="J939" s="17"/>
      <c r="K939" s="17"/>
      <c r="L939" s="16"/>
      <c r="M939" s="16"/>
      <c r="N939" s="16"/>
      <c r="O939" s="16"/>
      <c r="P939" s="16"/>
      <c r="U939" s="4"/>
      <c r="V939" s="4"/>
      <c r="W939" s="4"/>
      <c r="X939" s="4"/>
    </row>
    <row r="940">
      <c r="E940" s="23"/>
      <c r="F940" s="17"/>
      <c r="G940" s="17"/>
      <c r="H940" s="17"/>
      <c r="I940" s="17"/>
      <c r="J940" s="17"/>
      <c r="K940" s="17"/>
      <c r="L940" s="16"/>
      <c r="M940" s="16"/>
      <c r="N940" s="16"/>
      <c r="O940" s="16"/>
      <c r="P940" s="16"/>
      <c r="U940" s="4"/>
      <c r="V940" s="4"/>
      <c r="W940" s="4"/>
      <c r="X940" s="4"/>
    </row>
    <row r="941">
      <c r="E941" s="23"/>
      <c r="F941" s="17"/>
      <c r="G941" s="17"/>
      <c r="H941" s="17"/>
      <c r="I941" s="17"/>
      <c r="J941" s="17"/>
      <c r="K941" s="17"/>
      <c r="L941" s="16"/>
      <c r="M941" s="16"/>
      <c r="N941" s="16"/>
      <c r="O941" s="16"/>
      <c r="P941" s="16"/>
      <c r="U941" s="4"/>
      <c r="V941" s="4"/>
      <c r="W941" s="4"/>
      <c r="X941" s="4"/>
    </row>
    <row r="942">
      <c r="E942" s="23"/>
      <c r="F942" s="17"/>
      <c r="G942" s="17"/>
      <c r="H942" s="17"/>
      <c r="I942" s="17"/>
      <c r="J942" s="17"/>
      <c r="K942" s="17"/>
      <c r="L942" s="16"/>
      <c r="M942" s="16"/>
      <c r="N942" s="16"/>
      <c r="O942" s="16"/>
      <c r="P942" s="16"/>
      <c r="U942" s="4"/>
      <c r="V942" s="4"/>
      <c r="W942" s="4"/>
      <c r="X942" s="4"/>
    </row>
    <row r="943">
      <c r="E943" s="23"/>
      <c r="F943" s="17"/>
      <c r="G943" s="17"/>
      <c r="H943" s="17"/>
      <c r="I943" s="17"/>
      <c r="J943" s="17"/>
      <c r="K943" s="17"/>
      <c r="L943" s="16"/>
      <c r="M943" s="16"/>
      <c r="N943" s="16"/>
      <c r="O943" s="16"/>
      <c r="P943" s="16"/>
      <c r="U943" s="4"/>
      <c r="V943" s="4"/>
      <c r="W943" s="4"/>
      <c r="X943" s="4"/>
    </row>
    <row r="944">
      <c r="E944" s="23"/>
      <c r="F944" s="17"/>
      <c r="G944" s="17"/>
      <c r="H944" s="17"/>
      <c r="I944" s="17"/>
      <c r="J944" s="17"/>
      <c r="K944" s="17"/>
      <c r="L944" s="16"/>
      <c r="M944" s="16"/>
      <c r="N944" s="16"/>
      <c r="O944" s="16"/>
      <c r="P944" s="16"/>
      <c r="U944" s="4"/>
      <c r="V944" s="4"/>
      <c r="W944" s="4"/>
      <c r="X944" s="4"/>
    </row>
    <row r="945">
      <c r="E945" s="23"/>
      <c r="F945" s="17"/>
      <c r="G945" s="17"/>
      <c r="H945" s="17"/>
      <c r="I945" s="17"/>
      <c r="J945" s="17"/>
      <c r="K945" s="17"/>
      <c r="L945" s="16"/>
      <c r="M945" s="16"/>
      <c r="N945" s="16"/>
      <c r="O945" s="16"/>
      <c r="P945" s="16"/>
      <c r="U945" s="4"/>
      <c r="V945" s="4"/>
      <c r="W945" s="4"/>
      <c r="X945" s="4"/>
    </row>
    <row r="946">
      <c r="E946" s="23"/>
      <c r="F946" s="17"/>
      <c r="G946" s="17"/>
      <c r="H946" s="17"/>
      <c r="I946" s="17"/>
      <c r="J946" s="17"/>
      <c r="K946" s="17"/>
      <c r="L946" s="16"/>
      <c r="M946" s="16"/>
      <c r="N946" s="16"/>
      <c r="O946" s="16"/>
      <c r="P946" s="16"/>
      <c r="U946" s="4"/>
      <c r="V946" s="4"/>
      <c r="W946" s="4"/>
      <c r="X946" s="4"/>
    </row>
    <row r="947">
      <c r="E947" s="23"/>
      <c r="F947" s="17"/>
      <c r="G947" s="17"/>
      <c r="H947" s="17"/>
      <c r="I947" s="17"/>
      <c r="J947" s="17"/>
      <c r="K947" s="17"/>
      <c r="L947" s="16"/>
      <c r="M947" s="16"/>
      <c r="N947" s="16"/>
      <c r="O947" s="16"/>
      <c r="P947" s="16"/>
      <c r="U947" s="4"/>
      <c r="V947" s="4"/>
      <c r="W947" s="4"/>
      <c r="X947" s="4"/>
    </row>
    <row r="948">
      <c r="E948" s="23"/>
      <c r="F948" s="17"/>
      <c r="G948" s="17"/>
      <c r="H948" s="17"/>
      <c r="I948" s="17"/>
      <c r="J948" s="17"/>
      <c r="K948" s="17"/>
      <c r="L948" s="16"/>
      <c r="M948" s="16"/>
      <c r="N948" s="16"/>
      <c r="O948" s="16"/>
      <c r="P948" s="16"/>
      <c r="U948" s="4"/>
      <c r="V948" s="4"/>
      <c r="W948" s="4"/>
      <c r="X948" s="4"/>
    </row>
    <row r="949">
      <c r="E949" s="23"/>
      <c r="F949" s="17"/>
      <c r="G949" s="17"/>
      <c r="H949" s="17"/>
      <c r="I949" s="17"/>
      <c r="J949" s="17"/>
      <c r="K949" s="17"/>
      <c r="L949" s="16"/>
      <c r="M949" s="16"/>
      <c r="N949" s="16"/>
      <c r="O949" s="16"/>
      <c r="P949" s="16"/>
      <c r="U949" s="4"/>
      <c r="V949" s="4"/>
      <c r="W949" s="4"/>
      <c r="X949" s="4"/>
    </row>
    <row r="950">
      <c r="E950" s="23"/>
      <c r="F950" s="17"/>
      <c r="G950" s="17"/>
      <c r="H950" s="17"/>
      <c r="I950" s="17"/>
      <c r="J950" s="17"/>
      <c r="K950" s="17"/>
      <c r="L950" s="16"/>
      <c r="M950" s="16"/>
      <c r="N950" s="16"/>
      <c r="O950" s="16"/>
      <c r="P950" s="16"/>
      <c r="U950" s="4"/>
      <c r="V950" s="4"/>
      <c r="W950" s="4"/>
      <c r="X950" s="4"/>
    </row>
    <row r="951">
      <c r="E951" s="23"/>
      <c r="F951" s="17"/>
      <c r="G951" s="17"/>
      <c r="H951" s="17"/>
      <c r="I951" s="17"/>
      <c r="J951" s="17"/>
      <c r="K951" s="17"/>
      <c r="L951" s="16"/>
      <c r="M951" s="16"/>
      <c r="N951" s="16"/>
      <c r="O951" s="16"/>
      <c r="P951" s="16"/>
      <c r="U951" s="4"/>
      <c r="V951" s="4"/>
      <c r="W951" s="4"/>
      <c r="X951" s="4"/>
    </row>
    <row r="952">
      <c r="E952" s="23"/>
      <c r="F952" s="17"/>
      <c r="G952" s="17"/>
      <c r="H952" s="17"/>
      <c r="I952" s="17"/>
      <c r="J952" s="17"/>
      <c r="K952" s="17"/>
      <c r="L952" s="16"/>
      <c r="M952" s="16"/>
      <c r="N952" s="16"/>
      <c r="O952" s="16"/>
      <c r="P952" s="16"/>
      <c r="U952" s="4"/>
      <c r="V952" s="4"/>
      <c r="W952" s="4"/>
      <c r="X952" s="4"/>
    </row>
    <row r="953">
      <c r="E953" s="23"/>
      <c r="F953" s="17"/>
      <c r="G953" s="17"/>
      <c r="H953" s="17"/>
      <c r="I953" s="17"/>
      <c r="J953" s="17"/>
      <c r="K953" s="17"/>
      <c r="L953" s="16"/>
      <c r="M953" s="16"/>
      <c r="N953" s="16"/>
      <c r="O953" s="16"/>
      <c r="P953" s="16"/>
      <c r="U953" s="4"/>
      <c r="V953" s="4"/>
      <c r="W953" s="4"/>
      <c r="X953" s="4"/>
    </row>
    <row r="954">
      <c r="E954" s="23"/>
      <c r="F954" s="17"/>
      <c r="G954" s="17"/>
      <c r="H954" s="17"/>
      <c r="I954" s="17"/>
      <c r="J954" s="17"/>
      <c r="K954" s="17"/>
      <c r="L954" s="16"/>
      <c r="M954" s="16"/>
      <c r="N954" s="16"/>
      <c r="O954" s="16"/>
      <c r="P954" s="16"/>
      <c r="U954" s="4"/>
      <c r="V954" s="4"/>
      <c r="W954" s="4"/>
      <c r="X954" s="4"/>
    </row>
    <row r="955">
      <c r="E955" s="23"/>
      <c r="F955" s="17"/>
      <c r="G955" s="17"/>
      <c r="H955" s="17"/>
      <c r="I955" s="17"/>
      <c r="J955" s="17"/>
      <c r="K955" s="17"/>
      <c r="L955" s="16"/>
      <c r="M955" s="16"/>
      <c r="N955" s="16"/>
      <c r="O955" s="16"/>
      <c r="P955" s="16"/>
      <c r="U955" s="4"/>
      <c r="V955" s="4"/>
      <c r="W955" s="4"/>
      <c r="X955" s="4"/>
    </row>
    <row r="956">
      <c r="E956" s="23"/>
      <c r="F956" s="17"/>
      <c r="G956" s="17"/>
      <c r="H956" s="17"/>
      <c r="I956" s="17"/>
      <c r="J956" s="17"/>
      <c r="K956" s="17"/>
      <c r="L956" s="16"/>
      <c r="M956" s="16"/>
      <c r="N956" s="16"/>
      <c r="O956" s="16"/>
      <c r="P956" s="16"/>
      <c r="U956" s="4"/>
      <c r="V956" s="4"/>
      <c r="W956" s="4"/>
      <c r="X956" s="4"/>
    </row>
    <row r="957">
      <c r="E957" s="23"/>
      <c r="F957" s="17"/>
      <c r="G957" s="17"/>
      <c r="H957" s="17"/>
      <c r="I957" s="17"/>
      <c r="J957" s="17"/>
      <c r="K957" s="17"/>
      <c r="L957" s="16"/>
      <c r="M957" s="16"/>
      <c r="N957" s="16"/>
      <c r="O957" s="16"/>
      <c r="P957" s="16"/>
      <c r="U957" s="4"/>
      <c r="V957" s="4"/>
      <c r="W957" s="4"/>
      <c r="X957" s="4"/>
    </row>
    <row r="958">
      <c r="E958" s="23"/>
      <c r="F958" s="17"/>
      <c r="G958" s="17"/>
      <c r="H958" s="17"/>
      <c r="I958" s="17"/>
      <c r="J958" s="17"/>
      <c r="K958" s="17"/>
      <c r="L958" s="16"/>
      <c r="M958" s="16"/>
      <c r="N958" s="16"/>
      <c r="O958" s="16"/>
      <c r="P958" s="16"/>
      <c r="U958" s="4"/>
      <c r="V958" s="4"/>
      <c r="W958" s="4"/>
      <c r="X958" s="4"/>
    </row>
    <row r="959">
      <c r="E959" s="23"/>
      <c r="F959" s="17"/>
      <c r="G959" s="17"/>
      <c r="H959" s="17"/>
      <c r="I959" s="17"/>
      <c r="J959" s="17"/>
      <c r="K959" s="17"/>
      <c r="L959" s="16"/>
      <c r="M959" s="16"/>
      <c r="N959" s="16"/>
      <c r="O959" s="16"/>
      <c r="P959" s="16"/>
      <c r="U959" s="4"/>
      <c r="V959" s="4"/>
      <c r="W959" s="4"/>
      <c r="X959" s="4"/>
    </row>
    <row r="960">
      <c r="E960" s="23"/>
      <c r="F960" s="17"/>
      <c r="G960" s="17"/>
      <c r="H960" s="17"/>
      <c r="I960" s="17"/>
      <c r="J960" s="17"/>
      <c r="K960" s="17"/>
      <c r="L960" s="16"/>
      <c r="M960" s="16"/>
      <c r="N960" s="16"/>
      <c r="O960" s="16"/>
      <c r="P960" s="16"/>
      <c r="U960" s="4"/>
      <c r="V960" s="4"/>
      <c r="W960" s="4"/>
      <c r="X960" s="4"/>
    </row>
    <row r="961">
      <c r="E961" s="23"/>
      <c r="F961" s="17"/>
      <c r="G961" s="17"/>
      <c r="H961" s="17"/>
      <c r="I961" s="17"/>
      <c r="J961" s="17"/>
      <c r="K961" s="17"/>
      <c r="L961" s="16"/>
      <c r="M961" s="16"/>
      <c r="N961" s="16"/>
      <c r="O961" s="16"/>
      <c r="P961" s="16"/>
      <c r="U961" s="4"/>
      <c r="V961" s="4"/>
      <c r="W961" s="4"/>
      <c r="X961" s="4"/>
    </row>
    <row r="962">
      <c r="E962" s="23"/>
      <c r="F962" s="17"/>
      <c r="G962" s="17"/>
      <c r="H962" s="17"/>
      <c r="I962" s="17"/>
      <c r="J962" s="17"/>
      <c r="K962" s="17"/>
      <c r="L962" s="16"/>
      <c r="M962" s="16"/>
      <c r="N962" s="16"/>
      <c r="O962" s="16"/>
      <c r="P962" s="16"/>
      <c r="U962" s="4"/>
      <c r="V962" s="4"/>
      <c r="W962" s="4"/>
      <c r="X962" s="4"/>
    </row>
    <row r="963">
      <c r="E963" s="23"/>
      <c r="F963" s="17"/>
      <c r="G963" s="17"/>
      <c r="H963" s="17"/>
      <c r="I963" s="17"/>
      <c r="J963" s="17"/>
      <c r="K963" s="17"/>
      <c r="L963" s="16"/>
      <c r="M963" s="16"/>
      <c r="N963" s="16"/>
      <c r="O963" s="16"/>
      <c r="P963" s="16"/>
      <c r="U963" s="4"/>
      <c r="V963" s="4"/>
      <c r="W963" s="4"/>
      <c r="X963" s="4"/>
    </row>
    <row r="964">
      <c r="E964" s="23"/>
      <c r="F964" s="17"/>
      <c r="G964" s="17"/>
      <c r="H964" s="17"/>
      <c r="I964" s="17"/>
      <c r="J964" s="17"/>
      <c r="K964" s="17"/>
      <c r="L964" s="16"/>
      <c r="M964" s="16"/>
      <c r="N964" s="16"/>
      <c r="O964" s="16"/>
      <c r="P964" s="16"/>
      <c r="U964" s="4"/>
      <c r="V964" s="4"/>
      <c r="W964" s="4"/>
      <c r="X964" s="4"/>
    </row>
    <row r="965">
      <c r="E965" s="23"/>
      <c r="F965" s="17"/>
      <c r="G965" s="17"/>
      <c r="H965" s="17"/>
      <c r="I965" s="17"/>
      <c r="J965" s="17"/>
      <c r="K965" s="17"/>
      <c r="L965" s="16"/>
      <c r="M965" s="16"/>
      <c r="N965" s="16"/>
      <c r="O965" s="16"/>
      <c r="P965" s="16"/>
      <c r="U965" s="4"/>
      <c r="V965" s="4"/>
      <c r="W965" s="4"/>
      <c r="X965" s="4"/>
    </row>
    <row r="966">
      <c r="E966" s="23"/>
      <c r="F966" s="17"/>
      <c r="G966" s="17"/>
      <c r="H966" s="17"/>
      <c r="I966" s="17"/>
      <c r="J966" s="17"/>
      <c r="K966" s="17"/>
      <c r="L966" s="16"/>
      <c r="M966" s="16"/>
      <c r="N966" s="16"/>
      <c r="O966" s="16"/>
      <c r="P966" s="16"/>
      <c r="U966" s="4"/>
      <c r="V966" s="4"/>
      <c r="W966" s="4"/>
      <c r="X966" s="4"/>
    </row>
    <row r="967">
      <c r="E967" s="23"/>
      <c r="F967" s="17"/>
      <c r="G967" s="17"/>
      <c r="H967" s="17"/>
      <c r="I967" s="17"/>
      <c r="J967" s="17"/>
      <c r="K967" s="17"/>
      <c r="L967" s="16"/>
      <c r="M967" s="16"/>
      <c r="N967" s="16"/>
      <c r="O967" s="16"/>
      <c r="P967" s="16"/>
      <c r="U967" s="4"/>
      <c r="V967" s="4"/>
      <c r="W967" s="4"/>
      <c r="X967" s="4"/>
    </row>
    <row r="968">
      <c r="E968" s="23"/>
      <c r="F968" s="17"/>
      <c r="G968" s="17"/>
      <c r="H968" s="17"/>
      <c r="I968" s="17"/>
      <c r="J968" s="17"/>
      <c r="K968" s="17"/>
      <c r="L968" s="16"/>
      <c r="M968" s="16"/>
      <c r="N968" s="16"/>
      <c r="O968" s="16"/>
      <c r="P968" s="16"/>
      <c r="U968" s="4"/>
      <c r="V968" s="4"/>
      <c r="W968" s="4"/>
      <c r="X968" s="4"/>
    </row>
    <row r="969">
      <c r="E969" s="23"/>
      <c r="F969" s="17"/>
      <c r="G969" s="17"/>
      <c r="H969" s="17"/>
      <c r="I969" s="17"/>
      <c r="J969" s="17"/>
      <c r="K969" s="17"/>
      <c r="L969" s="16"/>
      <c r="M969" s="16"/>
      <c r="N969" s="16"/>
      <c r="O969" s="16"/>
      <c r="P969" s="16"/>
      <c r="U969" s="4"/>
      <c r="V969" s="4"/>
      <c r="W969" s="4"/>
      <c r="X969" s="4"/>
    </row>
    <row r="970">
      <c r="E970" s="23"/>
      <c r="F970" s="17"/>
      <c r="G970" s="17"/>
      <c r="H970" s="17"/>
      <c r="I970" s="17"/>
      <c r="J970" s="17"/>
      <c r="K970" s="17"/>
      <c r="L970" s="16"/>
      <c r="M970" s="16"/>
      <c r="N970" s="16"/>
      <c r="O970" s="16"/>
      <c r="P970" s="16"/>
      <c r="U970" s="4"/>
      <c r="V970" s="4"/>
      <c r="W970" s="4"/>
      <c r="X970" s="4"/>
    </row>
    <row r="971">
      <c r="E971" s="23"/>
      <c r="F971" s="17"/>
      <c r="G971" s="17"/>
      <c r="H971" s="17"/>
      <c r="I971" s="17"/>
      <c r="J971" s="17"/>
      <c r="K971" s="17"/>
      <c r="L971" s="16"/>
      <c r="M971" s="16"/>
      <c r="N971" s="16"/>
      <c r="O971" s="16"/>
      <c r="P971" s="16"/>
      <c r="U971" s="4"/>
      <c r="V971" s="4"/>
      <c r="W971" s="4"/>
      <c r="X971" s="4"/>
    </row>
    <row r="972">
      <c r="E972" s="23"/>
      <c r="F972" s="17"/>
      <c r="G972" s="17"/>
      <c r="H972" s="17"/>
      <c r="I972" s="17"/>
      <c r="J972" s="17"/>
      <c r="K972" s="17"/>
      <c r="L972" s="16"/>
      <c r="M972" s="16"/>
      <c r="N972" s="16"/>
      <c r="O972" s="16"/>
      <c r="P972" s="16"/>
      <c r="U972" s="4"/>
      <c r="V972" s="4"/>
      <c r="W972" s="4"/>
      <c r="X972" s="4"/>
    </row>
    <row r="973">
      <c r="E973" s="23"/>
      <c r="F973" s="17"/>
      <c r="G973" s="17"/>
      <c r="H973" s="17"/>
      <c r="I973" s="17"/>
      <c r="J973" s="17"/>
      <c r="K973" s="17"/>
      <c r="L973" s="16"/>
      <c r="M973" s="16"/>
      <c r="N973" s="16"/>
      <c r="O973" s="16"/>
      <c r="P973" s="16"/>
      <c r="U973" s="4"/>
      <c r="V973" s="4"/>
      <c r="W973" s="4"/>
      <c r="X973" s="4"/>
    </row>
    <row r="974">
      <c r="E974" s="23"/>
      <c r="F974" s="17"/>
      <c r="G974" s="17"/>
      <c r="H974" s="17"/>
      <c r="I974" s="17"/>
      <c r="J974" s="17"/>
      <c r="K974" s="17"/>
      <c r="L974" s="16"/>
      <c r="M974" s="16"/>
      <c r="N974" s="16"/>
      <c r="O974" s="16"/>
      <c r="P974" s="16"/>
      <c r="U974" s="4"/>
      <c r="V974" s="4"/>
      <c r="W974" s="4"/>
      <c r="X974" s="4"/>
    </row>
    <row r="975">
      <c r="E975" s="23"/>
      <c r="F975" s="17"/>
      <c r="G975" s="17"/>
      <c r="H975" s="17"/>
      <c r="I975" s="17"/>
      <c r="J975" s="17"/>
      <c r="K975" s="17"/>
      <c r="L975" s="16"/>
      <c r="M975" s="16"/>
      <c r="N975" s="16"/>
      <c r="O975" s="16"/>
      <c r="P975" s="16"/>
      <c r="U975" s="4"/>
      <c r="V975" s="4"/>
      <c r="W975" s="4"/>
      <c r="X975" s="4"/>
    </row>
    <row r="976">
      <c r="E976" s="23"/>
      <c r="F976" s="17"/>
      <c r="G976" s="17"/>
      <c r="H976" s="17"/>
      <c r="I976" s="17"/>
      <c r="J976" s="17"/>
      <c r="K976" s="17"/>
      <c r="L976" s="16"/>
      <c r="M976" s="16"/>
      <c r="N976" s="16"/>
      <c r="O976" s="16"/>
      <c r="P976" s="16"/>
      <c r="U976" s="4"/>
      <c r="V976" s="4"/>
      <c r="W976" s="4"/>
      <c r="X976" s="4"/>
    </row>
    <row r="977">
      <c r="E977" s="23"/>
      <c r="F977" s="17"/>
      <c r="G977" s="17"/>
      <c r="H977" s="17"/>
      <c r="I977" s="17"/>
      <c r="J977" s="17"/>
      <c r="K977" s="17"/>
      <c r="L977" s="16"/>
      <c r="M977" s="16"/>
      <c r="N977" s="16"/>
      <c r="O977" s="16"/>
      <c r="P977" s="16"/>
      <c r="U977" s="4"/>
      <c r="V977" s="4"/>
      <c r="W977" s="4"/>
      <c r="X977" s="4"/>
    </row>
    <row r="978">
      <c r="E978" s="23"/>
      <c r="F978" s="17"/>
      <c r="G978" s="17"/>
      <c r="H978" s="17"/>
      <c r="I978" s="17"/>
      <c r="J978" s="17"/>
      <c r="K978" s="17"/>
      <c r="L978" s="16"/>
      <c r="M978" s="16"/>
      <c r="N978" s="16"/>
      <c r="O978" s="16"/>
      <c r="P978" s="16"/>
      <c r="U978" s="4"/>
      <c r="V978" s="4"/>
      <c r="W978" s="4"/>
      <c r="X978" s="4"/>
    </row>
    <row r="979">
      <c r="E979" s="23"/>
      <c r="F979" s="17"/>
      <c r="G979" s="17"/>
      <c r="H979" s="17"/>
      <c r="I979" s="17"/>
      <c r="J979" s="17"/>
      <c r="K979" s="17"/>
      <c r="L979" s="16"/>
      <c r="M979" s="16"/>
      <c r="N979" s="16"/>
      <c r="O979" s="16"/>
      <c r="P979" s="16"/>
      <c r="U979" s="4"/>
      <c r="V979" s="4"/>
      <c r="W979" s="4"/>
      <c r="X979" s="4"/>
    </row>
    <row r="980">
      <c r="E980" s="23"/>
      <c r="F980" s="17"/>
      <c r="G980" s="17"/>
      <c r="H980" s="17"/>
      <c r="I980" s="17"/>
      <c r="J980" s="17"/>
      <c r="K980" s="17"/>
      <c r="L980" s="16"/>
      <c r="M980" s="16"/>
      <c r="N980" s="16"/>
      <c r="O980" s="16"/>
      <c r="P980" s="16"/>
      <c r="U980" s="4"/>
      <c r="V980" s="4"/>
      <c r="W980" s="4"/>
      <c r="X980" s="4"/>
    </row>
    <row r="981">
      <c r="E981" s="23"/>
      <c r="F981" s="17"/>
      <c r="G981" s="17"/>
      <c r="H981" s="17"/>
      <c r="I981" s="17"/>
      <c r="J981" s="17"/>
      <c r="K981" s="17"/>
      <c r="L981" s="16"/>
      <c r="M981" s="16"/>
      <c r="N981" s="16"/>
      <c r="O981" s="16"/>
      <c r="P981" s="16"/>
      <c r="U981" s="4"/>
      <c r="V981" s="4"/>
      <c r="W981" s="4"/>
      <c r="X981" s="4"/>
    </row>
    <row r="982">
      <c r="E982" s="23"/>
      <c r="F982" s="17"/>
      <c r="G982" s="17"/>
      <c r="H982" s="17"/>
      <c r="I982" s="17"/>
      <c r="J982" s="17"/>
      <c r="K982" s="17"/>
      <c r="L982" s="16"/>
      <c r="M982" s="16"/>
      <c r="N982" s="16"/>
      <c r="O982" s="16"/>
      <c r="P982" s="16"/>
      <c r="U982" s="4"/>
      <c r="V982" s="4"/>
      <c r="W982" s="4"/>
      <c r="X982" s="4"/>
    </row>
    <row r="983">
      <c r="E983" s="23"/>
      <c r="F983" s="17"/>
      <c r="G983" s="17"/>
      <c r="H983" s="17"/>
      <c r="I983" s="17"/>
      <c r="J983" s="17"/>
      <c r="K983" s="17"/>
      <c r="L983" s="16"/>
      <c r="M983" s="16"/>
      <c r="N983" s="16"/>
      <c r="O983" s="16"/>
      <c r="P983" s="16"/>
      <c r="U983" s="4"/>
      <c r="V983" s="4"/>
      <c r="W983" s="4"/>
      <c r="X983" s="4"/>
    </row>
    <row r="984">
      <c r="E984" s="23"/>
      <c r="F984" s="17"/>
      <c r="G984" s="17"/>
      <c r="H984" s="17"/>
      <c r="I984" s="17"/>
      <c r="J984" s="17"/>
      <c r="K984" s="17"/>
      <c r="L984" s="16"/>
      <c r="M984" s="16"/>
      <c r="N984" s="16"/>
      <c r="O984" s="16"/>
      <c r="P984" s="16"/>
      <c r="U984" s="4"/>
      <c r="V984" s="4"/>
      <c r="W984" s="4"/>
      <c r="X984" s="4"/>
    </row>
    <row r="985">
      <c r="E985" s="23"/>
      <c r="F985" s="17"/>
      <c r="G985" s="17"/>
      <c r="H985" s="17"/>
      <c r="I985" s="17"/>
      <c r="J985" s="17"/>
      <c r="K985" s="17"/>
      <c r="L985" s="16"/>
      <c r="M985" s="16"/>
      <c r="N985" s="16"/>
      <c r="O985" s="16"/>
      <c r="P985" s="16"/>
      <c r="U985" s="4"/>
      <c r="V985" s="4"/>
      <c r="W985" s="4"/>
      <c r="X985" s="4"/>
    </row>
    <row r="986">
      <c r="E986" s="23"/>
      <c r="F986" s="17"/>
      <c r="G986" s="17"/>
      <c r="H986" s="17"/>
      <c r="I986" s="17"/>
      <c r="J986" s="17"/>
      <c r="K986" s="17"/>
      <c r="L986" s="16"/>
      <c r="M986" s="16"/>
      <c r="N986" s="16"/>
      <c r="O986" s="16"/>
      <c r="P986" s="16"/>
      <c r="U986" s="4"/>
      <c r="V986" s="4"/>
      <c r="W986" s="4"/>
      <c r="X986" s="4"/>
    </row>
    <row r="987">
      <c r="E987" s="23"/>
      <c r="F987" s="17"/>
      <c r="G987" s="17"/>
      <c r="H987" s="17"/>
      <c r="I987" s="17"/>
      <c r="J987" s="17"/>
      <c r="K987" s="17"/>
      <c r="L987" s="16"/>
      <c r="M987" s="16"/>
      <c r="N987" s="16"/>
      <c r="O987" s="16"/>
      <c r="P987" s="16"/>
      <c r="U987" s="4"/>
      <c r="V987" s="4"/>
      <c r="W987" s="4"/>
      <c r="X987" s="4"/>
    </row>
    <row r="988">
      <c r="E988" s="23"/>
      <c r="F988" s="17"/>
      <c r="G988" s="17"/>
      <c r="H988" s="17"/>
      <c r="I988" s="17"/>
      <c r="J988" s="17"/>
      <c r="K988" s="17"/>
      <c r="L988" s="16"/>
      <c r="M988" s="16"/>
      <c r="N988" s="16"/>
      <c r="O988" s="16"/>
      <c r="P988" s="16"/>
      <c r="U988" s="4"/>
      <c r="V988" s="4"/>
      <c r="W988" s="4"/>
      <c r="X988" s="4"/>
    </row>
    <row r="989">
      <c r="E989" s="23"/>
      <c r="F989" s="17"/>
      <c r="G989" s="17"/>
      <c r="H989" s="17"/>
      <c r="I989" s="17"/>
      <c r="J989" s="17"/>
      <c r="K989" s="17"/>
      <c r="L989" s="16"/>
      <c r="M989" s="16"/>
      <c r="N989" s="16"/>
      <c r="O989" s="16"/>
      <c r="P989" s="16"/>
      <c r="U989" s="4"/>
      <c r="V989" s="4"/>
      <c r="W989" s="4"/>
      <c r="X989" s="4"/>
    </row>
    <row r="990">
      <c r="E990" s="23"/>
      <c r="F990" s="17"/>
      <c r="G990" s="17"/>
      <c r="H990" s="17"/>
      <c r="I990" s="17"/>
      <c r="J990" s="17"/>
      <c r="K990" s="17"/>
      <c r="L990" s="16"/>
      <c r="M990" s="16"/>
      <c r="N990" s="16"/>
      <c r="O990" s="16"/>
      <c r="P990" s="16"/>
      <c r="U990" s="4"/>
      <c r="V990" s="4"/>
      <c r="W990" s="4"/>
      <c r="X990" s="4"/>
    </row>
    <row r="991">
      <c r="E991" s="23"/>
      <c r="F991" s="17"/>
      <c r="G991" s="17"/>
      <c r="H991" s="17"/>
      <c r="I991" s="17"/>
      <c r="J991" s="17"/>
      <c r="K991" s="17"/>
      <c r="L991" s="16"/>
      <c r="M991" s="16"/>
      <c r="N991" s="16"/>
      <c r="O991" s="16"/>
      <c r="P991" s="16"/>
      <c r="U991" s="4"/>
      <c r="V991" s="4"/>
      <c r="W991" s="4"/>
      <c r="X991" s="4"/>
    </row>
    <row r="992">
      <c r="E992" s="23"/>
      <c r="F992" s="17"/>
      <c r="G992" s="17"/>
      <c r="H992" s="17"/>
      <c r="I992" s="17"/>
      <c r="J992" s="17"/>
      <c r="K992" s="17"/>
      <c r="L992" s="16"/>
      <c r="M992" s="16"/>
      <c r="N992" s="16"/>
      <c r="O992" s="16"/>
      <c r="P992" s="16"/>
      <c r="U992" s="4"/>
      <c r="V992" s="4"/>
      <c r="W992" s="4"/>
      <c r="X992" s="4"/>
    </row>
    <row r="993">
      <c r="E993" s="23"/>
      <c r="F993" s="17"/>
      <c r="G993" s="17"/>
      <c r="H993" s="17"/>
      <c r="I993" s="17"/>
      <c r="J993" s="17"/>
      <c r="K993" s="17"/>
      <c r="L993" s="16"/>
      <c r="M993" s="16"/>
      <c r="N993" s="16"/>
      <c r="O993" s="16"/>
      <c r="P993" s="16"/>
      <c r="U993" s="4"/>
      <c r="V993" s="4"/>
      <c r="W993" s="4"/>
      <c r="X993" s="4"/>
    </row>
    <row r="994">
      <c r="E994" s="23"/>
      <c r="F994" s="17"/>
      <c r="G994" s="17"/>
      <c r="H994" s="17"/>
      <c r="I994" s="17"/>
      <c r="J994" s="17"/>
      <c r="K994" s="17"/>
      <c r="L994" s="16"/>
      <c r="M994" s="16"/>
      <c r="N994" s="16"/>
      <c r="O994" s="16"/>
      <c r="P994" s="16"/>
      <c r="U994" s="4"/>
      <c r="V994" s="4"/>
      <c r="W994" s="4"/>
      <c r="X994" s="4"/>
    </row>
    <row r="995">
      <c r="E995" s="23"/>
      <c r="F995" s="17"/>
      <c r="G995" s="17"/>
      <c r="H995" s="17"/>
      <c r="I995" s="17"/>
      <c r="J995" s="17"/>
      <c r="K995" s="17"/>
      <c r="L995" s="16"/>
      <c r="M995" s="16"/>
      <c r="N995" s="16"/>
      <c r="O995" s="16"/>
      <c r="P995" s="16"/>
      <c r="U995" s="4"/>
      <c r="V995" s="4"/>
      <c r="W995" s="4"/>
      <c r="X995" s="4"/>
    </row>
    <row r="996">
      <c r="E996" s="23"/>
      <c r="F996" s="17"/>
      <c r="G996" s="17"/>
      <c r="H996" s="17"/>
      <c r="I996" s="17"/>
      <c r="J996" s="17"/>
      <c r="K996" s="17"/>
      <c r="L996" s="16"/>
      <c r="M996" s="16"/>
      <c r="N996" s="16"/>
      <c r="O996" s="16"/>
      <c r="P996" s="16"/>
      <c r="U996" s="4"/>
      <c r="V996" s="4"/>
      <c r="W996" s="4"/>
      <c r="X996" s="4"/>
    </row>
    <row r="997">
      <c r="E997" s="23"/>
      <c r="F997" s="17"/>
      <c r="G997" s="17"/>
      <c r="H997" s="17"/>
      <c r="I997" s="17"/>
      <c r="J997" s="17"/>
      <c r="K997" s="17"/>
      <c r="L997" s="16"/>
      <c r="M997" s="16"/>
      <c r="N997" s="16"/>
      <c r="O997" s="16"/>
      <c r="P997" s="16"/>
      <c r="U997" s="4"/>
      <c r="V997" s="4"/>
      <c r="W997" s="4"/>
      <c r="X997" s="4"/>
    </row>
    <row r="998">
      <c r="E998" s="23"/>
      <c r="F998" s="17"/>
      <c r="G998" s="17"/>
      <c r="H998" s="17"/>
      <c r="I998" s="17"/>
      <c r="J998" s="17"/>
      <c r="K998" s="17"/>
      <c r="L998" s="16"/>
      <c r="M998" s="16"/>
      <c r="N998" s="16"/>
      <c r="O998" s="16"/>
      <c r="P998" s="16"/>
      <c r="U998" s="4"/>
      <c r="V998" s="4"/>
      <c r="W998" s="4"/>
      <c r="X998" s="4"/>
    </row>
    <row r="999">
      <c r="E999" s="23"/>
      <c r="F999" s="17"/>
      <c r="G999" s="17"/>
      <c r="H999" s="17"/>
      <c r="I999" s="17"/>
      <c r="J999" s="17"/>
      <c r="K999" s="17"/>
      <c r="L999" s="16"/>
      <c r="M999" s="16"/>
      <c r="N999" s="16"/>
      <c r="O999" s="16"/>
      <c r="P999" s="16"/>
      <c r="U999" s="4"/>
      <c r="V999" s="4"/>
      <c r="W999" s="4"/>
      <c r="X999" s="4"/>
    </row>
    <row r="1000">
      <c r="E1000" s="23"/>
      <c r="F1000" s="17"/>
      <c r="G1000" s="17"/>
      <c r="H1000" s="17"/>
      <c r="I1000" s="17"/>
      <c r="J1000" s="17"/>
      <c r="K1000" s="17"/>
      <c r="L1000" s="16"/>
      <c r="M1000" s="16"/>
      <c r="N1000" s="16"/>
      <c r="O1000" s="16"/>
      <c r="P1000" s="16"/>
      <c r="U1000" s="4"/>
      <c r="V1000" s="4"/>
      <c r="W1000" s="4"/>
      <c r="X1000" s="4"/>
    </row>
    <row r="1001">
      <c r="E1001" s="23"/>
      <c r="F1001" s="17"/>
      <c r="G1001" s="17"/>
      <c r="H1001" s="17"/>
      <c r="I1001" s="17"/>
      <c r="J1001" s="17"/>
      <c r="K1001" s="17"/>
      <c r="L1001" s="16"/>
      <c r="M1001" s="16"/>
      <c r="N1001" s="16"/>
      <c r="O1001" s="16"/>
      <c r="P1001" s="16"/>
      <c r="U1001" s="4"/>
      <c r="V1001" s="4"/>
      <c r="W1001" s="4"/>
      <c r="X1001" s="4"/>
    </row>
    <row r="1002">
      <c r="E1002" s="23"/>
      <c r="F1002" s="17"/>
      <c r="G1002" s="17"/>
      <c r="H1002" s="17"/>
      <c r="I1002" s="17"/>
      <c r="J1002" s="17"/>
      <c r="K1002" s="17"/>
      <c r="L1002" s="16"/>
      <c r="M1002" s="16"/>
      <c r="N1002" s="16"/>
      <c r="O1002" s="16"/>
      <c r="P1002" s="16"/>
      <c r="U1002" s="4"/>
      <c r="V1002" s="4"/>
      <c r="W1002" s="4"/>
      <c r="X1002" s="4"/>
    </row>
    <row r="1003">
      <c r="E1003" s="23"/>
      <c r="F1003" s="17"/>
      <c r="G1003" s="17"/>
      <c r="H1003" s="17"/>
      <c r="I1003" s="17"/>
      <c r="J1003" s="17"/>
      <c r="K1003" s="17"/>
      <c r="L1003" s="16"/>
      <c r="M1003" s="16"/>
      <c r="N1003" s="16"/>
      <c r="O1003" s="16"/>
      <c r="P1003" s="16"/>
      <c r="U1003" s="4"/>
      <c r="V1003" s="4"/>
      <c r="W1003" s="4"/>
      <c r="X1003" s="4"/>
    </row>
  </sheetData>
  <autoFilter ref="$A$3:$AA$53">
    <sortState ref="A3:AA53">
      <sortCondition ref="A3:A53"/>
      <sortCondition descending="1" ref="S3:S53"/>
      <sortCondition descending="1" ref="E3:E53"/>
      <sortCondition descending="1" ref="R3:R53"/>
    </sortState>
  </autoFilter>
  <conditionalFormatting sqref="Q1:T1 Q4:T53">
    <cfRule type="cellIs" dxfId="0" priority="1" operator="greaterThan">
      <formula>0</formula>
    </cfRule>
  </conditionalFormatting>
  <conditionalFormatting sqref="L4:L53">
    <cfRule type="cellIs" dxfId="0" priority="2" operator="greaterThanOrEqual">
      <formula>"0%"</formula>
    </cfRule>
  </conditionalFormatting>
  <hyperlinks>
    <hyperlink r:id="rId1" ref="A3"/>
    <hyperlink r:id="rId2" ref="B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8.86"/>
    <col customWidth="1" min="2" max="2" width="14.71"/>
    <col customWidth="1" min="5" max="6" width="9.14"/>
    <col customWidth="1" hidden="1" min="7" max="7" width="9.14"/>
    <col hidden="1" min="8" max="8" width="14.43"/>
    <col customWidth="1" hidden="1" min="9" max="9" width="8.0"/>
    <col customWidth="1" hidden="1" min="10" max="11" width="9.14"/>
    <col customWidth="1" min="12" max="12" width="8.14"/>
    <col customWidth="1" min="13" max="14" width="8.57"/>
    <col customWidth="1" min="15" max="16" width="8.29"/>
    <col customWidth="1" min="17" max="18" width="10.0"/>
    <col customWidth="1" min="19" max="20" width="9.86"/>
    <col customWidth="1" min="21" max="22" width="6.86"/>
    <col customWidth="1" min="23" max="24" width="6.71"/>
  </cols>
  <sheetData>
    <row r="1">
      <c r="A1" s="1">
        <v>0.0</v>
      </c>
      <c r="B1" s="22" t="s">
        <v>584</v>
      </c>
      <c r="C1" s="22"/>
      <c r="D1" s="22" t="s">
        <v>584</v>
      </c>
      <c r="E1" s="23"/>
      <c r="F1" s="31">
        <f>IFERROR(__xludf.DUMMYFUNCTION("GOOGLEFINANCE(""INDEXNSE:""&amp;D1)"),43437.7)</f>
        <v>43437.7</v>
      </c>
      <c r="G1" s="31">
        <f>IFERROR(__xludf.DUMMYFUNCTION("GOOGLEFINANCE(""INDEXNSE:""&amp;D1,""closeyest"")"),42957.55)</f>
        <v>42957.55</v>
      </c>
      <c r="H1" s="31">
        <f>IFERROR(__xludf.DUMMYFUNCTION("INDEX(GOOGLEFINANCE(""INDEXNSE:""&amp;D1,""PRICE"",TODAY()-7),2,2)"),43157.25)</f>
        <v>43157.25</v>
      </c>
      <c r="I1" s="31">
        <f>IFERROR(__xludf.DUMMYFUNCTION("INDEX(GOOGLEFINANCE(""INDEXNSE:""&amp;D1,""PRICE"",TODAY()-14),2,2)"),42907.5)</f>
        <v>42907.5</v>
      </c>
      <c r="J1" s="31">
        <f>IFERROR(__xludf.DUMMYFUNCTION("INDEX(GOOGLEFINANCE(""INDEXNSE:""&amp;D1,""PRICE"",TODAY()-28),2,2)"),40403.9)</f>
        <v>40403.9</v>
      </c>
      <c r="K1" s="31">
        <f>IFERROR(__xludf.DUMMYFUNCTION("INDEX(GOOGLEFINANCE(""INDEXNSE:""&amp;D1,""PRICE"",TODAY()-84),2,2)"),38533.85)</f>
        <v>38533.85</v>
      </c>
      <c r="L1" s="16">
        <f>F1/G1-1</f>
        <v>0.01117731342</v>
      </c>
      <c r="M1" s="33">
        <f>F1/H1-1</f>
        <v>0.006498328786</v>
      </c>
      <c r="N1" s="33">
        <f>F1/I1-1</f>
        <v>0.01235681408</v>
      </c>
      <c r="O1" s="33">
        <f>F1/J1-1</f>
        <v>0.07508681093</v>
      </c>
      <c r="P1" s="33">
        <f>F1/K1-1</f>
        <v>0.1272608369</v>
      </c>
    </row>
    <row r="2">
      <c r="A2" s="34"/>
      <c r="B2" s="34"/>
      <c r="C2" s="34"/>
      <c r="D2" s="34"/>
      <c r="E2" s="24"/>
      <c r="F2" s="35"/>
      <c r="G2" s="35"/>
      <c r="H2" s="35"/>
      <c r="I2" s="35"/>
      <c r="J2" s="35"/>
      <c r="K2" s="35"/>
      <c r="L2" s="26"/>
      <c r="M2" s="36"/>
      <c r="N2" s="36"/>
      <c r="O2" s="36"/>
      <c r="P2" s="36"/>
      <c r="Q2" s="27"/>
      <c r="R2" s="27"/>
      <c r="S2" s="27"/>
      <c r="T2" s="27"/>
    </row>
    <row r="3">
      <c r="A3" s="34" t="s">
        <v>3</v>
      </c>
      <c r="B3" s="34" t="s">
        <v>4</v>
      </c>
      <c r="C3" s="34" t="s">
        <v>506</v>
      </c>
      <c r="D3" s="34" t="s">
        <v>507</v>
      </c>
      <c r="E3" s="24" t="s">
        <v>508</v>
      </c>
      <c r="F3" s="35" t="s">
        <v>5</v>
      </c>
      <c r="G3" s="35" t="s">
        <v>12</v>
      </c>
      <c r="H3" s="35" t="s">
        <v>509</v>
      </c>
      <c r="I3" s="35" t="s">
        <v>14</v>
      </c>
      <c r="J3" s="35" t="s">
        <v>510</v>
      </c>
      <c r="K3" s="35" t="s">
        <v>511</v>
      </c>
      <c r="L3" s="26" t="s">
        <v>512</v>
      </c>
      <c r="M3" s="36" t="s">
        <v>513</v>
      </c>
      <c r="N3" s="36" t="s">
        <v>514</v>
      </c>
      <c r="O3" s="36" t="s">
        <v>515</v>
      </c>
      <c r="P3" s="36" t="s">
        <v>516</v>
      </c>
      <c r="Q3" s="27" t="s">
        <v>517</v>
      </c>
      <c r="R3" s="27" t="s">
        <v>518</v>
      </c>
      <c r="S3" s="27" t="s">
        <v>519</v>
      </c>
      <c r="T3" s="27" t="s">
        <v>520</v>
      </c>
      <c r="U3" s="27" t="s">
        <v>509</v>
      </c>
      <c r="V3" s="27" t="s">
        <v>14</v>
      </c>
      <c r="W3" s="27" t="s">
        <v>510</v>
      </c>
      <c r="X3" s="27" t="s">
        <v>511</v>
      </c>
    </row>
    <row r="4">
      <c r="A4" s="1">
        <v>20.0</v>
      </c>
      <c r="B4" s="22" t="s">
        <v>585</v>
      </c>
      <c r="C4" s="22" t="s">
        <v>531</v>
      </c>
      <c r="D4" s="22" t="s">
        <v>177</v>
      </c>
      <c r="E4" s="23">
        <f>IFERROR(__xludf.DUMMYFUNCTION("GOOGLEFINANCE(""NSE:""&amp;D4,""marketcap"")/10000000"),75272.0320022)</f>
        <v>75272.032</v>
      </c>
      <c r="F4" s="31">
        <f>IFERROR(__xludf.DUMMYFUNCTION("GOOGLEFINANCE(""NSE:""&amp;D4)"),278.9)</f>
        <v>278.9</v>
      </c>
      <c r="G4" s="31">
        <f>IFERROR(__xludf.DUMMYFUNCTION("GOOGLEFINANCE(""NSE:""&amp;D4,""closeyest"")"),273.35)</f>
        <v>273.35</v>
      </c>
      <c r="H4" s="31">
        <f>IFERROR(__xludf.DUMMYFUNCTION("INDEX(GOOGLEFINANCE(""NSE:""&amp;D4,""PRICE"",TODAY()-7),2,2)"),268.75)</f>
        <v>268.75</v>
      </c>
      <c r="I4" s="31">
        <f>IFERROR(__xludf.DUMMYFUNCTION("INDEX(GOOGLEFINANCE(""NSE:""&amp;D4,""PRICE"",TODAY()-14),2,2)"),238.85)</f>
        <v>238.85</v>
      </c>
      <c r="J4" s="31">
        <f>IFERROR(__xludf.DUMMYFUNCTION("INDEX(GOOGLEFINANCE(""NSE:""&amp;D4,""PRICE"",TODAY()-28),2,2)"),216.3)</f>
        <v>216.3</v>
      </c>
      <c r="K4" s="31">
        <f>IFERROR(__xludf.DUMMYFUNCTION("INDEX(GOOGLEFINANCE(""NSE:""&amp;D4,""PRICE"",TODAY()-84),2,2)"),234.55)</f>
        <v>234.55</v>
      </c>
      <c r="L4" s="16">
        <f t="shared" ref="L4:L53" si="1">F4/G4-1</f>
        <v>0.02030364002</v>
      </c>
      <c r="M4" s="33">
        <f t="shared" ref="M4:M53" si="2">F4/H4-1</f>
        <v>0.03776744186</v>
      </c>
      <c r="N4" s="33">
        <f t="shared" ref="N4:N53" si="3">F4/I4-1</f>
        <v>0.1676784593</v>
      </c>
      <c r="O4" s="33">
        <f t="shared" ref="O4:O53" si="4">F4/J4-1</f>
        <v>0.2894128525</v>
      </c>
      <c r="P4" s="33">
        <f t="shared" ref="P4:P53" si="5">F4/K4-1</f>
        <v>0.1890854828</v>
      </c>
      <c r="Q4" s="30">
        <f t="shared" ref="Q4:Q53" si="6">M4-$M$1</f>
        <v>0.03126911307</v>
      </c>
      <c r="R4" s="30">
        <f t="shared" ref="R4:R53" si="7">N4-$N$1</f>
        <v>0.1553216452</v>
      </c>
      <c r="S4" s="30">
        <f t="shared" ref="S4:S53" si="8">O4-$O$1</f>
        <v>0.2143260416</v>
      </c>
      <c r="T4" s="30">
        <f t="shared" ref="T4:T53" si="9">P4-$P$1</f>
        <v>0.06182464594</v>
      </c>
      <c r="U4" s="32">
        <f t="shared" ref="U4:U53" si="10">RANK(Q4,$Q$4:$Q$53)</f>
        <v>9</v>
      </c>
      <c r="V4" s="32">
        <f t="shared" ref="V4:V53" si="11">rank(R4,$R$4:$R$53)</f>
        <v>3</v>
      </c>
      <c r="W4" s="32">
        <f t="shared" ref="W4:W53" si="12">rank(S4,$S$4:$S$53)</f>
        <v>2</v>
      </c>
      <c r="X4" s="32">
        <f t="shared" ref="X4:X53" si="13">rank(T4,$T$4:$T$53)</f>
        <v>15</v>
      </c>
    </row>
    <row r="5">
      <c r="A5" s="1">
        <v>15.0</v>
      </c>
      <c r="B5" s="22" t="s">
        <v>586</v>
      </c>
      <c r="C5" s="22" t="s">
        <v>555</v>
      </c>
      <c r="D5" s="22" t="s">
        <v>155</v>
      </c>
      <c r="E5" s="23">
        <f>IFERROR(__xludf.DUMMYFUNCTION("GOOGLEFINANCE(""NSE:""&amp;D5,""marketcap"")/10000000"),85313.8492781)</f>
        <v>85313.84928</v>
      </c>
      <c r="F5" s="31">
        <f>IFERROR(__xludf.DUMMYFUNCTION("GOOGLEFINANCE(""NSE:""&amp;D5)"),2215.1)</f>
        <v>2215.1</v>
      </c>
      <c r="G5" s="31">
        <f>IFERROR(__xludf.DUMMYFUNCTION("GOOGLEFINANCE(""NSE:""&amp;D5,""closeyest"")"),2188.3)</f>
        <v>2188.3</v>
      </c>
      <c r="H5" s="31">
        <f>IFERROR(__xludf.DUMMYFUNCTION("INDEX(GOOGLEFINANCE(""NSE:""&amp;D5,""PRICE"",TODAY()-7),2,2)"),2196.05)</f>
        <v>2196.05</v>
      </c>
      <c r="I5" s="31">
        <f>IFERROR(__xludf.DUMMYFUNCTION("INDEX(GOOGLEFINANCE(""NSE:""&amp;D5,""PRICE"",TODAY()-14),2,2)"),1897.7)</f>
        <v>1897.7</v>
      </c>
      <c r="J5" s="31">
        <f>IFERROR(__xludf.DUMMYFUNCTION("INDEX(GOOGLEFINANCE(""NSE:""&amp;D5,""PRICE"",TODAY()-28),2,2)"),1776.85)</f>
        <v>1776.85</v>
      </c>
      <c r="K5" s="31">
        <f>IFERROR(__xludf.DUMMYFUNCTION("INDEX(GOOGLEFINANCE(""NSE:""&amp;D5,""PRICE"",TODAY()-84),2,2)"),1719.95)</f>
        <v>1719.95</v>
      </c>
      <c r="L5" s="16">
        <f t="shared" si="1"/>
        <v>0.01224694969</v>
      </c>
      <c r="M5" s="33">
        <f t="shared" si="2"/>
        <v>0.008674665877</v>
      </c>
      <c r="N5" s="33">
        <f t="shared" si="3"/>
        <v>0.1672550983</v>
      </c>
      <c r="O5" s="33">
        <f t="shared" si="4"/>
        <v>0.2466443425</v>
      </c>
      <c r="P5" s="33">
        <f t="shared" si="5"/>
        <v>0.2878862758</v>
      </c>
      <c r="Q5" s="30">
        <f t="shared" si="6"/>
        <v>0.002176337091</v>
      </c>
      <c r="R5" s="30">
        <f t="shared" si="7"/>
        <v>0.1548982842</v>
      </c>
      <c r="S5" s="30">
        <f t="shared" si="8"/>
        <v>0.1715575316</v>
      </c>
      <c r="T5" s="30">
        <f t="shared" si="9"/>
        <v>0.1606254389</v>
      </c>
      <c r="U5" s="32">
        <f t="shared" si="10"/>
        <v>20</v>
      </c>
      <c r="V5" s="32">
        <f t="shared" si="11"/>
        <v>4</v>
      </c>
      <c r="W5" s="32">
        <f t="shared" si="12"/>
        <v>3</v>
      </c>
      <c r="X5" s="32">
        <f t="shared" si="13"/>
        <v>10</v>
      </c>
    </row>
    <row r="6">
      <c r="A6" s="1">
        <v>50.0</v>
      </c>
      <c r="B6" s="22" t="s">
        <v>587</v>
      </c>
      <c r="C6" s="22" t="s">
        <v>528</v>
      </c>
      <c r="D6" s="22" t="s">
        <v>337</v>
      </c>
      <c r="E6" s="23">
        <f>IFERROR(__xludf.DUMMYFUNCTION("GOOGLEFINANCE(""NSE:""&amp;D6,""marketcap"")/10000000"),32596.4254734)</f>
        <v>32596.42547</v>
      </c>
      <c r="F6" s="31">
        <f>IFERROR(__xludf.DUMMYFUNCTION("GOOGLEFINANCE(""NSE:""&amp;D6)"),13.0)</f>
        <v>13</v>
      </c>
      <c r="G6" s="31">
        <f>IFERROR(__xludf.DUMMYFUNCTION("GOOGLEFINANCE(""NSE:""&amp;D6,""closeyest"")"),13.15)</f>
        <v>13.15</v>
      </c>
      <c r="H6" s="31">
        <f>IFERROR(__xludf.DUMMYFUNCTION("INDEX(GOOGLEFINANCE(""NSE:""&amp;D6,""PRICE"",TODAY()-7),2,2)"),13.25)</f>
        <v>13.25</v>
      </c>
      <c r="I6" s="31">
        <f>IFERROR(__xludf.DUMMYFUNCTION("INDEX(GOOGLEFINANCE(""NSE:""&amp;D6,""PRICE"",TODAY()-14),2,2)"),11.1)</f>
        <v>11.1</v>
      </c>
      <c r="J6" s="31">
        <f>IFERROR(__xludf.DUMMYFUNCTION("INDEX(GOOGLEFINANCE(""NSE:""&amp;D6,""PRICE"",TODAY()-28),2,2)"),11.05)</f>
        <v>11.05</v>
      </c>
      <c r="K6" s="31">
        <f>IFERROR(__xludf.DUMMYFUNCTION("INDEX(GOOGLEFINANCE(""NSE:""&amp;D6,""PRICE"",TODAY()-84),2,2)"),13.55)</f>
        <v>13.55</v>
      </c>
      <c r="L6" s="16">
        <f t="shared" si="1"/>
        <v>-0.01140684411</v>
      </c>
      <c r="M6" s="33">
        <f t="shared" si="2"/>
        <v>-0.01886792453</v>
      </c>
      <c r="N6" s="33">
        <f t="shared" si="3"/>
        <v>0.1711711712</v>
      </c>
      <c r="O6" s="33">
        <f t="shared" si="4"/>
        <v>0.1764705882</v>
      </c>
      <c r="P6" s="33">
        <f t="shared" si="5"/>
        <v>-0.0405904059</v>
      </c>
      <c r="Q6" s="30">
        <f t="shared" si="6"/>
        <v>-0.02536625331</v>
      </c>
      <c r="R6" s="30">
        <f t="shared" si="7"/>
        <v>0.1588143571</v>
      </c>
      <c r="S6" s="30">
        <f t="shared" si="8"/>
        <v>0.1013837773</v>
      </c>
      <c r="T6" s="30">
        <f t="shared" si="9"/>
        <v>-0.1678512428</v>
      </c>
      <c r="U6" s="32">
        <f t="shared" si="10"/>
        <v>39</v>
      </c>
      <c r="V6" s="32">
        <f t="shared" si="11"/>
        <v>2</v>
      </c>
      <c r="W6" s="32">
        <f t="shared" si="12"/>
        <v>6</v>
      </c>
      <c r="X6" s="32">
        <f t="shared" si="13"/>
        <v>41</v>
      </c>
    </row>
    <row r="7">
      <c r="A7" s="1">
        <v>12.0</v>
      </c>
      <c r="B7" s="22" t="s">
        <v>588</v>
      </c>
      <c r="C7" s="22" t="s">
        <v>541</v>
      </c>
      <c r="D7" s="22" t="s">
        <v>141</v>
      </c>
      <c r="E7" s="23">
        <f>IFERROR(__xludf.DUMMYFUNCTION("GOOGLEFINANCE(""NSE:""&amp;D7,""marketcap"")/10000000"),99480.0957361)</f>
        <v>99480.09574</v>
      </c>
      <c r="F7" s="31">
        <f>IFERROR(__xludf.DUMMYFUNCTION("GOOGLEFINANCE(""NSE:""&amp;D7)"),402.9)</f>
        <v>402.9</v>
      </c>
      <c r="G7" s="31">
        <f>IFERROR(__xludf.DUMMYFUNCTION("GOOGLEFINANCE(""NSE:""&amp;D7,""closeyest"")"),369.05)</f>
        <v>369.05</v>
      </c>
      <c r="H7" s="31">
        <f>IFERROR(__xludf.DUMMYFUNCTION("INDEX(GOOGLEFINANCE(""NSE:""&amp;D7,""PRICE"",TODAY()-7),2,2)"),334.75)</f>
        <v>334.75</v>
      </c>
      <c r="I7" s="31">
        <f>IFERROR(__xludf.DUMMYFUNCTION("INDEX(GOOGLEFINANCE(""NSE:""&amp;D7,""PRICE"",TODAY()-14),2,2)"),339.65)</f>
        <v>339.65</v>
      </c>
      <c r="J7" s="31">
        <f>IFERROR(__xludf.DUMMYFUNCTION("INDEX(GOOGLEFINANCE(""NSE:""&amp;D7,""PRICE"",TODAY()-28),2,2)"),311.8)</f>
        <v>311.8</v>
      </c>
      <c r="K7" s="31">
        <f>IFERROR(__xludf.DUMMYFUNCTION("INDEX(GOOGLEFINANCE(""NSE:""&amp;D7,""PRICE"",TODAY()-84),2,2)"),283.85)</f>
        <v>283.85</v>
      </c>
      <c r="L7" s="16">
        <f t="shared" si="1"/>
        <v>0.09172198889</v>
      </c>
      <c r="M7" s="33">
        <f t="shared" si="2"/>
        <v>0.2035847647</v>
      </c>
      <c r="N7" s="33">
        <f t="shared" si="3"/>
        <v>0.18622111</v>
      </c>
      <c r="O7" s="33">
        <f t="shared" si="4"/>
        <v>0.2921744708</v>
      </c>
      <c r="P7" s="33">
        <f t="shared" si="5"/>
        <v>0.4194116611</v>
      </c>
      <c r="Q7" s="30">
        <f t="shared" si="6"/>
        <v>0.197086436</v>
      </c>
      <c r="R7" s="30">
        <f t="shared" si="7"/>
        <v>0.1738642959</v>
      </c>
      <c r="S7" s="30">
        <f t="shared" si="8"/>
        <v>0.2170876599</v>
      </c>
      <c r="T7" s="30">
        <f t="shared" si="9"/>
        <v>0.2921508242</v>
      </c>
      <c r="U7" s="32">
        <f t="shared" si="10"/>
        <v>1</v>
      </c>
      <c r="V7" s="32">
        <f t="shared" si="11"/>
        <v>1</v>
      </c>
      <c r="W7" s="32">
        <f t="shared" si="12"/>
        <v>1</v>
      </c>
      <c r="X7" s="32">
        <f t="shared" si="13"/>
        <v>4</v>
      </c>
    </row>
    <row r="8">
      <c r="A8" s="1">
        <v>14.0</v>
      </c>
      <c r="B8" s="22" t="s">
        <v>589</v>
      </c>
      <c r="C8" s="22" t="s">
        <v>590</v>
      </c>
      <c r="D8" s="22" t="s">
        <v>145</v>
      </c>
      <c r="E8" s="23">
        <f>IFERROR(__xludf.DUMMYFUNCTION("GOOGLEFINANCE(""NSE:""&amp;D8,""marketcap"")/10000000"),87755.67034)</f>
        <v>87755.67034</v>
      </c>
      <c r="F8" s="31">
        <f>IFERROR(__xludf.DUMMYFUNCTION("GOOGLEFINANCE(""NSE:""&amp;D8)"),6826.0)</f>
        <v>6826</v>
      </c>
      <c r="G8" s="31">
        <f>IFERROR(__xludf.DUMMYFUNCTION("GOOGLEFINANCE(""NSE:""&amp;D8,""closeyest"")"),6797.65)</f>
        <v>6797.65</v>
      </c>
      <c r="H8" s="31">
        <f>IFERROR(__xludf.DUMMYFUNCTION("INDEX(GOOGLEFINANCE(""NSE:""&amp;D8,""PRICE"",TODAY()-7),2,2)"),6614.7)</f>
        <v>6614.7</v>
      </c>
      <c r="I8" s="31">
        <f>IFERROR(__xludf.DUMMYFUNCTION("INDEX(GOOGLEFINANCE(""NSE:""&amp;D8,""PRICE"",TODAY()-14),2,2)"),6604.35)</f>
        <v>6604.35</v>
      </c>
      <c r="J8" s="31">
        <f>IFERROR(__xludf.DUMMYFUNCTION("INDEX(GOOGLEFINANCE(""NSE:""&amp;D8,""PRICE"",TODAY()-28),2,2)"),5895.65)</f>
        <v>5895.65</v>
      </c>
      <c r="K8" s="31">
        <f>IFERROR(__xludf.DUMMYFUNCTION("INDEX(GOOGLEFINANCE(""NSE:""&amp;D8,""PRICE"",TODAY()-84),2,2)"),5365.1)</f>
        <v>5365.1</v>
      </c>
      <c r="L8" s="16">
        <f t="shared" si="1"/>
        <v>0.004170558943</v>
      </c>
      <c r="M8" s="33">
        <f t="shared" si="2"/>
        <v>0.03194400351</v>
      </c>
      <c r="N8" s="33">
        <f t="shared" si="3"/>
        <v>0.03356121344</v>
      </c>
      <c r="O8" s="33">
        <f t="shared" si="4"/>
        <v>0.1578027868</v>
      </c>
      <c r="P8" s="33">
        <f t="shared" si="5"/>
        <v>0.2722968817</v>
      </c>
      <c r="Q8" s="30">
        <f t="shared" si="6"/>
        <v>0.02544567472</v>
      </c>
      <c r="R8" s="30">
        <f t="shared" si="7"/>
        <v>0.02120439937</v>
      </c>
      <c r="S8" s="30">
        <f t="shared" si="8"/>
        <v>0.08271597587</v>
      </c>
      <c r="T8" s="30">
        <f t="shared" si="9"/>
        <v>0.1450360448</v>
      </c>
      <c r="U8" s="32">
        <f t="shared" si="10"/>
        <v>12</v>
      </c>
      <c r="V8" s="32">
        <f t="shared" si="11"/>
        <v>16</v>
      </c>
      <c r="W8" s="32">
        <f t="shared" si="12"/>
        <v>9</v>
      </c>
      <c r="X8" s="32">
        <f t="shared" si="13"/>
        <v>11</v>
      </c>
    </row>
    <row r="9">
      <c r="A9" s="1">
        <v>13.0</v>
      </c>
      <c r="B9" s="22" t="s">
        <v>591</v>
      </c>
      <c r="C9" s="22" t="s">
        <v>526</v>
      </c>
      <c r="D9" s="22" t="s">
        <v>140</v>
      </c>
      <c r="E9" s="23">
        <f>IFERROR(__xludf.DUMMYFUNCTION("GOOGLEFINANCE(""NSE:""&amp;D9,""marketcap"")/10000000"),89867.5281432)</f>
        <v>89867.52814</v>
      </c>
      <c r="F9" s="31">
        <f>IFERROR(__xludf.DUMMYFUNCTION("GOOGLEFINANCE(""NSE:""&amp;D9)"),1435.65)</f>
        <v>1435.65</v>
      </c>
      <c r="G9" s="31">
        <f>IFERROR(__xludf.DUMMYFUNCTION("GOOGLEFINANCE(""NSE:""&amp;D9,""closeyest"")"),1420.45)</f>
        <v>1420.45</v>
      </c>
      <c r="H9" s="31">
        <f>IFERROR(__xludf.DUMMYFUNCTION("INDEX(GOOGLEFINANCE(""NSE:""&amp;D9,""PRICE"",TODAY()-7),2,2)"),1471.9)</f>
        <v>1471.9</v>
      </c>
      <c r="I9" s="31">
        <f>IFERROR(__xludf.DUMMYFUNCTION("INDEX(GOOGLEFINANCE(""NSE:""&amp;D9,""PRICE"",TODAY()-14),2,2)"),1450.1)</f>
        <v>1450.1</v>
      </c>
      <c r="J9" s="31">
        <f>IFERROR(__xludf.DUMMYFUNCTION("INDEX(GOOGLEFINANCE(""NSE:""&amp;D9,""PRICE"",TODAY()-28),2,2)"),1235.0)</f>
        <v>1235</v>
      </c>
      <c r="K9" s="31">
        <f>IFERROR(__xludf.DUMMYFUNCTION("INDEX(GOOGLEFINANCE(""NSE:""&amp;D9,""PRICE"",TODAY()-84),2,2)"),985.55)</f>
        <v>985.55</v>
      </c>
      <c r="L9" s="16">
        <f t="shared" si="1"/>
        <v>0.01070083424</v>
      </c>
      <c r="M9" s="33">
        <f t="shared" si="2"/>
        <v>-0.0246280318</v>
      </c>
      <c r="N9" s="33">
        <f t="shared" si="3"/>
        <v>-0.009964830012</v>
      </c>
      <c r="O9" s="33">
        <f t="shared" si="4"/>
        <v>0.1624696356</v>
      </c>
      <c r="P9" s="33">
        <f t="shared" si="5"/>
        <v>0.456699305</v>
      </c>
      <c r="Q9" s="30">
        <f t="shared" si="6"/>
        <v>-0.03112636058</v>
      </c>
      <c r="R9" s="30">
        <f t="shared" si="7"/>
        <v>-0.02232164409</v>
      </c>
      <c r="S9" s="30">
        <f t="shared" si="8"/>
        <v>0.0873828247</v>
      </c>
      <c r="T9" s="30">
        <f t="shared" si="9"/>
        <v>0.3294384681</v>
      </c>
      <c r="U9" s="32">
        <f t="shared" si="10"/>
        <v>42</v>
      </c>
      <c r="V9" s="32">
        <f t="shared" si="11"/>
        <v>31</v>
      </c>
      <c r="W9" s="32">
        <f t="shared" si="12"/>
        <v>8</v>
      </c>
      <c r="X9" s="32">
        <f t="shared" si="13"/>
        <v>3</v>
      </c>
    </row>
    <row r="10">
      <c r="A10" s="1">
        <v>31.0</v>
      </c>
      <c r="B10" s="22" t="s">
        <v>592</v>
      </c>
      <c r="C10" s="22" t="s">
        <v>528</v>
      </c>
      <c r="D10" s="22" t="s">
        <v>199</v>
      </c>
      <c r="E10" s="23">
        <f>IFERROR(__xludf.DUMMYFUNCTION("GOOGLEFINANCE(""NSE:""&amp;D10,""marketcap"")/10000000"),54817.576037)</f>
        <v>54817.57604</v>
      </c>
      <c r="F10" s="31">
        <f>IFERROR(__xludf.DUMMYFUNCTION("GOOGLEFINANCE(""NSE:""&amp;D10)"),4950.0)</f>
        <v>4950</v>
      </c>
      <c r="G10" s="31">
        <f>IFERROR(__xludf.DUMMYFUNCTION("GOOGLEFINANCE(""NSE:""&amp;D10,""closeyest"")"),4719.2)</f>
        <v>4719.2</v>
      </c>
      <c r="H10" s="31">
        <f>IFERROR(__xludf.DUMMYFUNCTION("INDEX(GOOGLEFINANCE(""NSE:""&amp;D10,""PRICE"",TODAY()-7),2,2)"),4398.85)</f>
        <v>4398.85</v>
      </c>
      <c r="I10" s="31">
        <f>IFERROR(__xludf.DUMMYFUNCTION("INDEX(GOOGLEFINANCE(""NSE:""&amp;D10,""PRICE"",TODAY()-14),2,2)"),4281.4)</f>
        <v>4281.4</v>
      </c>
      <c r="J10" s="31">
        <f>IFERROR(__xludf.DUMMYFUNCTION("INDEX(GOOGLEFINANCE(""NSE:""&amp;D10,""PRICE"",TODAY()-28),2,2)"),4194.95)</f>
        <v>4194.95</v>
      </c>
      <c r="K10" s="31">
        <f>IFERROR(__xludf.DUMMYFUNCTION("INDEX(GOOGLEFINANCE(""NSE:""&amp;D10,""PRICE"",TODAY()-84),2,2)"),3677.0)</f>
        <v>3677</v>
      </c>
      <c r="L10" s="16">
        <f t="shared" si="1"/>
        <v>0.04890659434</v>
      </c>
      <c r="M10" s="33">
        <f t="shared" si="2"/>
        <v>0.125294111</v>
      </c>
      <c r="N10" s="33">
        <f t="shared" si="3"/>
        <v>0.1561638716</v>
      </c>
      <c r="O10" s="33">
        <f t="shared" si="4"/>
        <v>0.1799902263</v>
      </c>
      <c r="P10" s="33">
        <f t="shared" si="5"/>
        <v>0.3462061463</v>
      </c>
      <c r="Q10" s="30">
        <f t="shared" si="6"/>
        <v>0.1187957822</v>
      </c>
      <c r="R10" s="30">
        <f t="shared" si="7"/>
        <v>0.1438070576</v>
      </c>
      <c r="S10" s="30">
        <f t="shared" si="8"/>
        <v>0.1049034154</v>
      </c>
      <c r="T10" s="30">
        <f t="shared" si="9"/>
        <v>0.2189453094</v>
      </c>
      <c r="U10" s="32">
        <f t="shared" si="10"/>
        <v>2</v>
      </c>
      <c r="V10" s="32">
        <f t="shared" si="11"/>
        <v>5</v>
      </c>
      <c r="W10" s="32">
        <f t="shared" si="12"/>
        <v>5</v>
      </c>
      <c r="X10" s="32">
        <f t="shared" si="13"/>
        <v>6</v>
      </c>
    </row>
    <row r="11">
      <c r="A11" s="1">
        <v>3.0</v>
      </c>
      <c r="B11" s="22" t="s">
        <v>593</v>
      </c>
      <c r="C11" s="22" t="s">
        <v>560</v>
      </c>
      <c r="D11" s="22" t="s">
        <v>77</v>
      </c>
      <c r="E11" s="23">
        <f>IFERROR(__xludf.DUMMYFUNCTION("GOOGLEFINANCE(""NSE:""&amp;D11,""marketcap"")/10000000"),170558.9560656)</f>
        <v>170558.9561</v>
      </c>
      <c r="F11" s="31">
        <f>IFERROR(__xludf.DUMMYFUNCTION("GOOGLEFINANCE(""NSE:""&amp;D11)"),1539.2)</f>
        <v>1539.2</v>
      </c>
      <c r="G11" s="31">
        <f>IFERROR(__xludf.DUMMYFUNCTION("GOOGLEFINANCE(""NSE:""&amp;D11,""closeyest"")"),1560.8)</f>
        <v>1560.8</v>
      </c>
      <c r="H11" s="31">
        <f>IFERROR(__xludf.DUMMYFUNCTION("INDEX(GOOGLEFINANCE(""NSE:""&amp;D11,""PRICE"",TODAY()-7),2,2)"),1820.35)</f>
        <v>1820.35</v>
      </c>
      <c r="I11" s="31">
        <f>IFERROR(__xludf.DUMMYFUNCTION("INDEX(GOOGLEFINANCE(""NSE:""&amp;D11,""PRICE"",TODAY()-14),2,2)"),1871.4)</f>
        <v>1871.4</v>
      </c>
      <c r="J11" s="31">
        <f>IFERROR(__xludf.DUMMYFUNCTION("INDEX(GOOGLEFINANCE(""NSE:""&amp;D11,""PRICE"",TODAY()-28),2,2)"),1433.7)</f>
        <v>1433.7</v>
      </c>
      <c r="K11" s="31">
        <f>IFERROR(__xludf.DUMMYFUNCTION("INDEX(GOOGLEFINANCE(""NSE:""&amp;D11,""PRICE"",TODAY()-84),2,2)"),956.2)</f>
        <v>956.2</v>
      </c>
      <c r="L11" s="16">
        <f t="shared" si="1"/>
        <v>-0.01383905689</v>
      </c>
      <c r="M11" s="33">
        <f t="shared" si="2"/>
        <v>-0.1544483204</v>
      </c>
      <c r="N11" s="33">
        <f t="shared" si="3"/>
        <v>-0.1775141605</v>
      </c>
      <c r="O11" s="33">
        <f t="shared" si="4"/>
        <v>0.07358582688</v>
      </c>
      <c r="P11" s="33">
        <f t="shared" si="5"/>
        <v>0.6097050826</v>
      </c>
      <c r="Q11" s="30">
        <f t="shared" si="6"/>
        <v>-0.1609466492</v>
      </c>
      <c r="R11" s="30">
        <f t="shared" si="7"/>
        <v>-0.1898709746</v>
      </c>
      <c r="S11" s="30">
        <f t="shared" si="8"/>
        <v>-0.001500984045</v>
      </c>
      <c r="T11" s="30">
        <f t="shared" si="9"/>
        <v>0.4824442457</v>
      </c>
      <c r="U11" s="32">
        <f t="shared" si="10"/>
        <v>50</v>
      </c>
      <c r="V11" s="32">
        <f t="shared" si="11"/>
        <v>50</v>
      </c>
      <c r="W11" s="32">
        <f t="shared" si="12"/>
        <v>21</v>
      </c>
      <c r="X11" s="32">
        <f t="shared" si="13"/>
        <v>1</v>
      </c>
    </row>
    <row r="12">
      <c r="A12" s="1">
        <v>9.0</v>
      </c>
      <c r="B12" s="22" t="s">
        <v>594</v>
      </c>
      <c r="C12" s="22" t="s">
        <v>524</v>
      </c>
      <c r="D12" s="22" t="s">
        <v>130</v>
      </c>
      <c r="E12" s="23">
        <f>IFERROR(__xludf.DUMMYFUNCTION("GOOGLEFINANCE(""NSE:""&amp;D12,""marketcap"")/10000000"),106680.8442)</f>
        <v>106680.8442</v>
      </c>
      <c r="F12" s="31">
        <f>IFERROR(__xludf.DUMMYFUNCTION("GOOGLEFINANCE(""NSE:""&amp;D12)"),6090.0)</f>
        <v>6090</v>
      </c>
      <c r="G12" s="31">
        <f>IFERROR(__xludf.DUMMYFUNCTION("GOOGLEFINANCE(""NSE:""&amp;D12,""closeyest"")"),5848.3)</f>
        <v>5848.3</v>
      </c>
      <c r="H12" s="31">
        <f>IFERROR(__xludf.DUMMYFUNCTION("INDEX(GOOGLEFINANCE(""NSE:""&amp;D12,""PRICE"",TODAY()-7),2,2)"),5715.25)</f>
        <v>5715.25</v>
      </c>
      <c r="I12" s="31">
        <f>IFERROR(__xludf.DUMMYFUNCTION("INDEX(GOOGLEFINANCE(""NSE:""&amp;D12,""PRICE"",TODAY()-14),2,2)"),5488.95)</f>
        <v>5488.95</v>
      </c>
      <c r="J12" s="31">
        <f>IFERROR(__xludf.DUMMYFUNCTION("INDEX(GOOGLEFINANCE(""NSE:""&amp;D12,""PRICE"",TODAY()-28),2,2)"),5233.6)</f>
        <v>5233.6</v>
      </c>
      <c r="K12" s="31">
        <f>IFERROR(__xludf.DUMMYFUNCTION("INDEX(GOOGLEFINANCE(""NSE:""&amp;D12,""PRICE"",TODAY()-84),2,2)"),4042.85)</f>
        <v>4042.85</v>
      </c>
      <c r="L12" s="16">
        <f t="shared" si="1"/>
        <v>0.04132824923</v>
      </c>
      <c r="M12" s="33">
        <f t="shared" si="2"/>
        <v>0.06557018503</v>
      </c>
      <c r="N12" s="33">
        <f t="shared" si="3"/>
        <v>0.1095018173</v>
      </c>
      <c r="O12" s="33">
        <f t="shared" si="4"/>
        <v>0.163634974</v>
      </c>
      <c r="P12" s="33">
        <f t="shared" si="5"/>
        <v>0.5063630854</v>
      </c>
      <c r="Q12" s="30">
        <f t="shared" si="6"/>
        <v>0.05907185625</v>
      </c>
      <c r="R12" s="30">
        <f t="shared" si="7"/>
        <v>0.09714500321</v>
      </c>
      <c r="S12" s="30">
        <f t="shared" si="8"/>
        <v>0.08854816309</v>
      </c>
      <c r="T12" s="30">
        <f t="shared" si="9"/>
        <v>0.3791022485</v>
      </c>
      <c r="U12" s="32">
        <f t="shared" si="10"/>
        <v>4</v>
      </c>
      <c r="V12" s="32">
        <f t="shared" si="11"/>
        <v>7</v>
      </c>
      <c r="W12" s="32">
        <f t="shared" si="12"/>
        <v>7</v>
      </c>
      <c r="X12" s="32">
        <f t="shared" si="13"/>
        <v>2</v>
      </c>
    </row>
    <row r="13">
      <c r="A13" s="1">
        <v>41.0</v>
      </c>
      <c r="B13" s="22" t="s">
        <v>595</v>
      </c>
      <c r="C13" s="22" t="s">
        <v>526</v>
      </c>
      <c r="D13" s="22" t="s">
        <v>263</v>
      </c>
      <c r="E13" s="23">
        <f>IFERROR(__xludf.DUMMYFUNCTION("GOOGLEFINANCE(""NSE:""&amp;D13,""marketcap"")/10000000"),43826.1747619)</f>
        <v>43826.17476</v>
      </c>
      <c r="F13" s="31">
        <f>IFERROR(__xludf.DUMMYFUNCTION("GOOGLEFINANCE(""NSE:""&amp;D13)"),1654.4)</f>
        <v>1654.4</v>
      </c>
      <c r="G13" s="31">
        <f>IFERROR(__xludf.DUMMYFUNCTION("GOOGLEFINANCE(""NSE:""&amp;D13,""closeyest"")"),1638.95)</f>
        <v>1638.95</v>
      </c>
      <c r="H13" s="31">
        <f>IFERROR(__xludf.DUMMYFUNCTION("INDEX(GOOGLEFINANCE(""NSE:""&amp;D13,""PRICE"",TODAY()-7),2,2)"),1594.65)</f>
        <v>1594.65</v>
      </c>
      <c r="I13" s="31">
        <f>IFERROR(__xludf.DUMMYFUNCTION("INDEX(GOOGLEFINANCE(""NSE:""&amp;D13,""PRICE"",TODAY()-14),2,2)"),1599.1)</f>
        <v>1599.1</v>
      </c>
      <c r="J13" s="31">
        <f>IFERROR(__xludf.DUMMYFUNCTION("INDEX(GOOGLEFINANCE(""NSE:""&amp;D13,""PRICE"",TODAY()-28),2,2)"),1448.6)</f>
        <v>1448.6</v>
      </c>
      <c r="K13" s="31">
        <f>IFERROR(__xludf.DUMMYFUNCTION("INDEX(GOOGLEFINANCE(""NSE:""&amp;D13,""PRICE"",TODAY()-84),2,2)"),1446.6)</f>
        <v>1446.6</v>
      </c>
      <c r="L13" s="16">
        <f t="shared" si="1"/>
        <v>0.009426767137</v>
      </c>
      <c r="M13" s="33">
        <f t="shared" si="2"/>
        <v>0.03746903709</v>
      </c>
      <c r="N13" s="33">
        <f t="shared" si="3"/>
        <v>0.03458195235</v>
      </c>
      <c r="O13" s="33">
        <f t="shared" si="4"/>
        <v>0.1420682038</v>
      </c>
      <c r="P13" s="33">
        <f t="shared" si="5"/>
        <v>0.1436471727</v>
      </c>
      <c r="Q13" s="30">
        <f t="shared" si="6"/>
        <v>0.03097070831</v>
      </c>
      <c r="R13" s="30">
        <f t="shared" si="7"/>
        <v>0.02222513827</v>
      </c>
      <c r="S13" s="30">
        <f t="shared" si="8"/>
        <v>0.06698139286</v>
      </c>
      <c r="T13" s="30">
        <f t="shared" si="9"/>
        <v>0.01638633578</v>
      </c>
      <c r="U13" s="32">
        <f t="shared" si="10"/>
        <v>10</v>
      </c>
      <c r="V13" s="32">
        <f t="shared" si="11"/>
        <v>15</v>
      </c>
      <c r="W13" s="32">
        <f t="shared" si="12"/>
        <v>11</v>
      </c>
      <c r="X13" s="32">
        <f t="shared" si="13"/>
        <v>19</v>
      </c>
    </row>
    <row r="14">
      <c r="A14" s="1">
        <v>1.0</v>
      </c>
      <c r="B14" s="22" t="s">
        <v>596</v>
      </c>
      <c r="C14" s="22" t="s">
        <v>590</v>
      </c>
      <c r="D14" s="22" t="s">
        <v>53</v>
      </c>
      <c r="E14" s="23">
        <f>IFERROR(__xludf.DUMMYFUNCTION("GOOGLEFINANCE(""NSE:""&amp;D14,""marketcap"")/10000000"),285370.5897664)</f>
        <v>285370.5898</v>
      </c>
      <c r="F14" s="31">
        <f>IFERROR(__xludf.DUMMYFUNCTION("GOOGLEFINANCE(""NSE:""&amp;D14)"),4408.55)</f>
        <v>4408.55</v>
      </c>
      <c r="G14" s="31">
        <f>IFERROR(__xludf.DUMMYFUNCTION("GOOGLEFINANCE(""NSE:""&amp;D14,""closeyest"")"),4378.65)</f>
        <v>4378.65</v>
      </c>
      <c r="H14" s="31">
        <f>IFERROR(__xludf.DUMMYFUNCTION("INDEX(GOOGLEFINANCE(""NSE:""&amp;D14,""PRICE"",TODAY()-7),2,2)"),4239.65)</f>
        <v>4239.65</v>
      </c>
      <c r="I14" s="31">
        <f>IFERROR(__xludf.DUMMYFUNCTION("INDEX(GOOGLEFINANCE(""NSE:""&amp;D14,""PRICE"",TODAY()-14),2,2)"),3961.85)</f>
        <v>3961.85</v>
      </c>
      <c r="J14" s="31">
        <f>IFERROR(__xludf.DUMMYFUNCTION("INDEX(GOOGLEFINANCE(""NSE:""&amp;D14,""PRICE"",TODAY()-28),2,2)"),3833.05)</f>
        <v>3833.05</v>
      </c>
      <c r="K14" s="31">
        <f>IFERROR(__xludf.DUMMYFUNCTION("INDEX(GOOGLEFINANCE(""NSE:""&amp;D14,""PRICE"",TODAY()-84),2,2)"),3314.3)</f>
        <v>3314.3</v>
      </c>
      <c r="L14" s="16">
        <f t="shared" si="1"/>
        <v>0.00682858872</v>
      </c>
      <c r="M14" s="33">
        <f t="shared" si="2"/>
        <v>0.03983819419</v>
      </c>
      <c r="N14" s="33">
        <f t="shared" si="3"/>
        <v>0.1127503565</v>
      </c>
      <c r="O14" s="33">
        <f t="shared" si="4"/>
        <v>0.1501415322</v>
      </c>
      <c r="P14" s="33">
        <f t="shared" si="5"/>
        <v>0.3301602148</v>
      </c>
      <c r="Q14" s="30">
        <f t="shared" si="6"/>
        <v>0.0333398654</v>
      </c>
      <c r="R14" s="30">
        <f t="shared" si="7"/>
        <v>0.1003935424</v>
      </c>
      <c r="S14" s="30">
        <f t="shared" si="8"/>
        <v>0.07505472127</v>
      </c>
      <c r="T14" s="30">
        <f t="shared" si="9"/>
        <v>0.2028993779</v>
      </c>
      <c r="U14" s="32">
        <f t="shared" si="10"/>
        <v>8</v>
      </c>
      <c r="V14" s="32">
        <f t="shared" si="11"/>
        <v>6</v>
      </c>
      <c r="W14" s="32">
        <f t="shared" si="12"/>
        <v>10</v>
      </c>
      <c r="X14" s="32">
        <f t="shared" si="13"/>
        <v>7</v>
      </c>
    </row>
    <row r="15">
      <c r="A15" s="1">
        <v>37.0</v>
      </c>
      <c r="B15" s="22" t="s">
        <v>597</v>
      </c>
      <c r="C15" s="22" t="s">
        <v>549</v>
      </c>
      <c r="D15" s="22" t="s">
        <v>247</v>
      </c>
      <c r="E15" s="23">
        <f>IFERROR(__xludf.DUMMYFUNCTION("GOOGLEFINANCE(""NSE:""&amp;D15,""marketcap"")/10000000"),45810.7883299)</f>
        <v>45810.78833</v>
      </c>
      <c r="F15" s="31">
        <f>IFERROR(__xludf.DUMMYFUNCTION("GOOGLEFINANCE(""NSE:""&amp;D15)"),21610.0)</f>
        <v>21610</v>
      </c>
      <c r="G15" s="31">
        <f>IFERROR(__xludf.DUMMYFUNCTION("GOOGLEFINANCE(""NSE:""&amp;D15,""closeyest"")"),21464.95)</f>
        <v>21464.95</v>
      </c>
      <c r="H15" s="31">
        <f>IFERROR(__xludf.DUMMYFUNCTION("INDEX(GOOGLEFINANCE(""NSE:""&amp;D15,""PRICE"",TODAY()-7),2,2)"),20480.6)</f>
        <v>20480.6</v>
      </c>
      <c r="I15" s="31">
        <f>IFERROR(__xludf.DUMMYFUNCTION("INDEX(GOOGLEFINANCE(""NSE:""&amp;D15,""PRICE"",TODAY()-14),2,2)"),21378.55)</f>
        <v>21378.55</v>
      </c>
      <c r="J15" s="31">
        <f>IFERROR(__xludf.DUMMYFUNCTION("INDEX(GOOGLEFINANCE(""NSE:""&amp;D15,""PRICE"",TODAY()-28),2,2)"),19028.8)</f>
        <v>19028.8</v>
      </c>
      <c r="K15" s="31">
        <f>IFERROR(__xludf.DUMMYFUNCTION("INDEX(GOOGLEFINANCE(""NSE:""&amp;D15,""PRICE"",TODAY()-84),2,2)"),16764.65)</f>
        <v>16764.65</v>
      </c>
      <c r="L15" s="16">
        <f t="shared" si="1"/>
        <v>0.00675752797</v>
      </c>
      <c r="M15" s="33">
        <f t="shared" si="2"/>
        <v>0.0551448688</v>
      </c>
      <c r="N15" s="33">
        <f t="shared" si="3"/>
        <v>0.01082627213</v>
      </c>
      <c r="O15" s="33">
        <f t="shared" si="4"/>
        <v>0.1356470193</v>
      </c>
      <c r="P15" s="33">
        <f t="shared" si="5"/>
        <v>0.2890218406</v>
      </c>
      <c r="Q15" s="30">
        <f t="shared" si="6"/>
        <v>0.04864654002</v>
      </c>
      <c r="R15" s="30">
        <f t="shared" si="7"/>
        <v>-0.001530541949</v>
      </c>
      <c r="S15" s="30">
        <f t="shared" si="8"/>
        <v>0.06056020833</v>
      </c>
      <c r="T15" s="30">
        <f t="shared" si="9"/>
        <v>0.1617610037</v>
      </c>
      <c r="U15" s="32">
        <f t="shared" si="10"/>
        <v>6</v>
      </c>
      <c r="V15" s="32">
        <f t="shared" si="11"/>
        <v>25</v>
      </c>
      <c r="W15" s="32">
        <f t="shared" si="12"/>
        <v>12</v>
      </c>
      <c r="X15" s="32">
        <f t="shared" si="13"/>
        <v>9</v>
      </c>
    </row>
    <row r="16">
      <c r="A16" s="1">
        <v>29.0</v>
      </c>
      <c r="B16" s="22" t="s">
        <v>598</v>
      </c>
      <c r="C16" s="22" t="s">
        <v>526</v>
      </c>
      <c r="D16" s="22" t="s">
        <v>191</v>
      </c>
      <c r="E16" s="23">
        <f>IFERROR(__xludf.DUMMYFUNCTION("GOOGLEFINANCE(""NSE:""&amp;D16,""marketcap"")/10000000"),60248.0387241)</f>
        <v>60248.03872</v>
      </c>
      <c r="F16" s="31">
        <f>IFERROR(__xludf.DUMMYFUNCTION("GOOGLEFINANCE(""NSE:""&amp;D16)"),828.0)</f>
        <v>828</v>
      </c>
      <c r="G16" s="31">
        <f>IFERROR(__xludf.DUMMYFUNCTION("GOOGLEFINANCE(""NSE:""&amp;D16,""closeyest"")"),773.5)</f>
        <v>773.5</v>
      </c>
      <c r="H16" s="31">
        <f>IFERROR(__xludf.DUMMYFUNCTION("INDEX(GOOGLEFINANCE(""NSE:""&amp;D16,""PRICE"",TODAY()-7),2,2)"),741.75)</f>
        <v>741.75</v>
      </c>
      <c r="I16" s="31">
        <f>IFERROR(__xludf.DUMMYFUNCTION("INDEX(GOOGLEFINANCE(""NSE:""&amp;D16,""PRICE"",TODAY()-14),2,2)"),754.6)</f>
        <v>754.6</v>
      </c>
      <c r="J16" s="31">
        <f>IFERROR(__xludf.DUMMYFUNCTION("INDEX(GOOGLEFINANCE(""NSE:""&amp;D16,""PRICE"",TODAY()-28),2,2)"),700.45)</f>
        <v>700.45</v>
      </c>
      <c r="K16" s="31">
        <f>IFERROR(__xludf.DUMMYFUNCTION("INDEX(GOOGLEFINANCE(""NSE:""&amp;D16,""PRICE"",TODAY()-84),2,2)"),662.45)</f>
        <v>662.45</v>
      </c>
      <c r="L16" s="16">
        <f t="shared" si="1"/>
        <v>0.07045895281</v>
      </c>
      <c r="M16" s="33">
        <f t="shared" si="2"/>
        <v>0.1162790698</v>
      </c>
      <c r="N16" s="33">
        <f t="shared" si="3"/>
        <v>0.09727007686</v>
      </c>
      <c r="O16" s="33">
        <f t="shared" si="4"/>
        <v>0.1820972232</v>
      </c>
      <c r="P16" s="33">
        <f t="shared" si="5"/>
        <v>0.2499056533</v>
      </c>
      <c r="Q16" s="30">
        <f t="shared" si="6"/>
        <v>0.109780741</v>
      </c>
      <c r="R16" s="30">
        <f t="shared" si="7"/>
        <v>0.08491326279</v>
      </c>
      <c r="S16" s="30">
        <f t="shared" si="8"/>
        <v>0.1070104123</v>
      </c>
      <c r="T16" s="30">
        <f t="shared" si="9"/>
        <v>0.1226448164</v>
      </c>
      <c r="U16" s="32">
        <f t="shared" si="10"/>
        <v>3</v>
      </c>
      <c r="V16" s="32">
        <f t="shared" si="11"/>
        <v>8</v>
      </c>
      <c r="W16" s="32">
        <f t="shared" si="12"/>
        <v>4</v>
      </c>
      <c r="X16" s="32">
        <f t="shared" si="13"/>
        <v>12</v>
      </c>
    </row>
    <row r="17">
      <c r="A17" s="1">
        <v>38.0</v>
      </c>
      <c r="B17" s="22" t="s">
        <v>599</v>
      </c>
      <c r="C17" s="22" t="s">
        <v>545</v>
      </c>
      <c r="D17" s="22" t="s">
        <v>245</v>
      </c>
      <c r="E17" s="23">
        <f>IFERROR(__xludf.DUMMYFUNCTION("GOOGLEFINANCE(""NSE:""&amp;D17,""marketcap"")/10000000"),45403.229952)</f>
        <v>45403.22995</v>
      </c>
      <c r="F17" s="31">
        <f>IFERROR(__xludf.DUMMYFUNCTION("GOOGLEFINANCE(""NSE:""&amp;D17)"),15374.0)</f>
        <v>15374</v>
      </c>
      <c r="G17" s="31">
        <f>IFERROR(__xludf.DUMMYFUNCTION("GOOGLEFINANCE(""NSE:""&amp;D17,""closeyest"")"),15301.5)</f>
        <v>15301.5</v>
      </c>
      <c r="H17" s="31">
        <f>IFERROR(__xludf.DUMMYFUNCTION("INDEX(GOOGLEFINANCE(""NSE:""&amp;D17,""PRICE"",TODAY()-7),2,2)"),15076.0)</f>
        <v>15076</v>
      </c>
      <c r="I17" s="31">
        <f>IFERROR(__xludf.DUMMYFUNCTION("INDEX(GOOGLEFINANCE(""NSE:""&amp;D17,""PRICE"",TODAY()-14),2,2)"),14566.1)</f>
        <v>14566.1</v>
      </c>
      <c r="J17" s="31">
        <f>IFERROR(__xludf.DUMMYFUNCTION("INDEX(GOOGLEFINANCE(""NSE:""&amp;D17,""PRICE"",TODAY()-28),2,2)"),13642.75)</f>
        <v>13642.75</v>
      </c>
      <c r="K17" s="31">
        <f>IFERROR(__xludf.DUMMYFUNCTION("INDEX(GOOGLEFINANCE(""NSE:""&amp;D17,""PRICE"",TODAY()-84),2,2)"),15357.75)</f>
        <v>15357.75</v>
      </c>
      <c r="L17" s="16">
        <f t="shared" si="1"/>
        <v>0.004738097572</v>
      </c>
      <c r="M17" s="33">
        <f t="shared" si="2"/>
        <v>0.01976651632</v>
      </c>
      <c r="N17" s="33">
        <f t="shared" si="3"/>
        <v>0.05546440022</v>
      </c>
      <c r="O17" s="33">
        <f t="shared" si="4"/>
        <v>0.1268989023</v>
      </c>
      <c r="P17" s="33">
        <f t="shared" si="5"/>
        <v>0.001058097703</v>
      </c>
      <c r="Q17" s="30">
        <f t="shared" si="6"/>
        <v>0.01326818753</v>
      </c>
      <c r="R17" s="30">
        <f t="shared" si="7"/>
        <v>0.04310758614</v>
      </c>
      <c r="S17" s="30">
        <f t="shared" si="8"/>
        <v>0.05181209142</v>
      </c>
      <c r="T17" s="30">
        <f t="shared" si="9"/>
        <v>-0.1262027392</v>
      </c>
      <c r="U17" s="32">
        <f t="shared" si="10"/>
        <v>15</v>
      </c>
      <c r="V17" s="32">
        <f t="shared" si="11"/>
        <v>11</v>
      </c>
      <c r="W17" s="32">
        <f t="shared" si="12"/>
        <v>13</v>
      </c>
      <c r="X17" s="32">
        <f t="shared" si="13"/>
        <v>39</v>
      </c>
    </row>
    <row r="18">
      <c r="A18" s="1">
        <v>19.0</v>
      </c>
      <c r="B18" s="22" t="s">
        <v>600</v>
      </c>
      <c r="C18" s="22" t="s">
        <v>528</v>
      </c>
      <c r="D18" s="22" t="s">
        <v>153</v>
      </c>
      <c r="E18" s="23">
        <f>IFERROR(__xludf.DUMMYFUNCTION("GOOGLEFINANCE(""NSE:""&amp;D18,""marketcap"")/10000000"),71748.19195)</f>
        <v>71748.19195</v>
      </c>
      <c r="F18" s="31">
        <f>IFERROR(__xludf.DUMMYFUNCTION("GOOGLEFINANCE(""NSE:""&amp;D18)"),1571.0)</f>
        <v>1571</v>
      </c>
      <c r="G18" s="31">
        <f>IFERROR(__xludf.DUMMYFUNCTION("GOOGLEFINANCE(""NSE:""&amp;D18,""closeyest"")"),1627.7)</f>
        <v>1627.7</v>
      </c>
      <c r="H18" s="31">
        <f>IFERROR(__xludf.DUMMYFUNCTION("INDEX(GOOGLEFINANCE(""NSE:""&amp;D18,""PRICE"",TODAY()-7),2,2)"),1603.95)</f>
        <v>1603.95</v>
      </c>
      <c r="I18" s="31">
        <f>IFERROR(__xludf.DUMMYFUNCTION("INDEX(GOOGLEFINANCE(""NSE:""&amp;D18,""PRICE"",TODAY()-14),2,2)"),1636.85)</f>
        <v>1636.85</v>
      </c>
      <c r="J18" s="31">
        <f>IFERROR(__xludf.DUMMYFUNCTION("INDEX(GOOGLEFINANCE(""NSE:""&amp;D18,""PRICE"",TODAY()-28),2,2)"),1557.7)</f>
        <v>1557.7</v>
      </c>
      <c r="K18" s="31">
        <f>IFERROR(__xludf.DUMMYFUNCTION("INDEX(GOOGLEFINANCE(""NSE:""&amp;D18,""PRICE"",TODAY()-84),2,2)"),1553.45)</f>
        <v>1553.45</v>
      </c>
      <c r="L18" s="16">
        <f t="shared" si="1"/>
        <v>-0.03483442895</v>
      </c>
      <c r="M18" s="33">
        <f t="shared" si="2"/>
        <v>-0.02054303438</v>
      </c>
      <c r="N18" s="33">
        <f t="shared" si="3"/>
        <v>-0.0402297095</v>
      </c>
      <c r="O18" s="33">
        <f t="shared" si="4"/>
        <v>0.008538229441</v>
      </c>
      <c r="P18" s="33">
        <f t="shared" si="5"/>
        <v>0.01129743474</v>
      </c>
      <c r="Q18" s="30">
        <f t="shared" si="6"/>
        <v>-0.02704136317</v>
      </c>
      <c r="R18" s="30">
        <f t="shared" si="7"/>
        <v>-0.05258652358</v>
      </c>
      <c r="S18" s="30">
        <f t="shared" si="8"/>
        <v>-0.06654858149</v>
      </c>
      <c r="T18" s="30">
        <f t="shared" si="9"/>
        <v>-0.1159634022</v>
      </c>
      <c r="U18" s="32">
        <f t="shared" si="10"/>
        <v>41</v>
      </c>
      <c r="V18" s="32">
        <f t="shared" si="11"/>
        <v>42</v>
      </c>
      <c r="W18" s="32">
        <f t="shared" si="12"/>
        <v>42</v>
      </c>
      <c r="X18" s="32">
        <f t="shared" si="13"/>
        <v>37</v>
      </c>
    </row>
    <row r="19">
      <c r="A19" s="1">
        <v>2.0</v>
      </c>
      <c r="B19" s="22" t="s">
        <v>601</v>
      </c>
      <c r="C19" s="22" t="s">
        <v>560</v>
      </c>
      <c r="D19" s="22" t="s">
        <v>69</v>
      </c>
      <c r="E19" s="23">
        <f>IFERROR(__xludf.DUMMYFUNCTION("GOOGLEFINANCE(""NSE:""&amp;D19,""marketcap"")/10000000"),179435.9807493)</f>
        <v>179435.9807</v>
      </c>
      <c r="F19" s="31">
        <f>IFERROR(__xludf.DUMMYFUNCTION("GOOGLEFINANCE(""NSE:""&amp;D19)"),1136.7)</f>
        <v>1136.7</v>
      </c>
      <c r="G19" s="31">
        <f>IFERROR(__xludf.DUMMYFUNCTION("GOOGLEFINANCE(""NSE:""&amp;D19,""closeyest"")"),1141.55)</f>
        <v>1141.55</v>
      </c>
      <c r="H19" s="31">
        <f>IFERROR(__xludf.DUMMYFUNCTION("INDEX(GOOGLEFINANCE(""NSE:""&amp;D19,""PRICE"",TODAY()-7),2,2)"),1153.25)</f>
        <v>1153.25</v>
      </c>
      <c r="I19" s="31">
        <f>IFERROR(__xludf.DUMMYFUNCTION("INDEX(GOOGLEFINANCE(""NSE:""&amp;D19,""PRICE"",TODAY()-14),2,2)"),1185.2)</f>
        <v>1185.2</v>
      </c>
      <c r="J19" s="31">
        <f>IFERROR(__xludf.DUMMYFUNCTION("INDEX(GOOGLEFINANCE(""NSE:""&amp;D19,""PRICE"",TODAY()-28),2,2)"),1049.1)</f>
        <v>1049.1</v>
      </c>
      <c r="K19" s="31">
        <f>IFERROR(__xludf.DUMMYFUNCTION("INDEX(GOOGLEFINANCE(""NSE:""&amp;D19,""PRICE"",TODAY()-84),2,2)"),1015.3)</f>
        <v>1015.3</v>
      </c>
      <c r="L19" s="16">
        <f t="shared" si="1"/>
        <v>-0.004248609347</v>
      </c>
      <c r="M19" s="33">
        <f t="shared" si="2"/>
        <v>-0.01435074789</v>
      </c>
      <c r="N19" s="33">
        <f t="shared" si="3"/>
        <v>-0.04092136348</v>
      </c>
      <c r="O19" s="33">
        <f t="shared" si="4"/>
        <v>0.08350014298</v>
      </c>
      <c r="P19" s="33">
        <f t="shared" si="5"/>
        <v>0.1195705703</v>
      </c>
      <c r="Q19" s="30">
        <f t="shared" si="6"/>
        <v>-0.02084907667</v>
      </c>
      <c r="R19" s="30">
        <f t="shared" si="7"/>
        <v>-0.05327817756</v>
      </c>
      <c r="S19" s="30">
        <f t="shared" si="8"/>
        <v>0.008413332053</v>
      </c>
      <c r="T19" s="30">
        <f t="shared" si="9"/>
        <v>-0.007690266626</v>
      </c>
      <c r="U19" s="32">
        <f t="shared" si="10"/>
        <v>35</v>
      </c>
      <c r="V19" s="32">
        <f t="shared" si="11"/>
        <v>44</v>
      </c>
      <c r="W19" s="32">
        <f t="shared" si="12"/>
        <v>17</v>
      </c>
      <c r="X19" s="32">
        <f t="shared" si="13"/>
        <v>23</v>
      </c>
    </row>
    <row r="20">
      <c r="A20" s="1">
        <v>5.0</v>
      </c>
      <c r="B20" s="22" t="s">
        <v>602</v>
      </c>
      <c r="C20" s="22" t="s">
        <v>603</v>
      </c>
      <c r="D20" s="22" t="s">
        <v>97</v>
      </c>
      <c r="E20" s="23">
        <f>IFERROR(__xludf.DUMMYFUNCTION("GOOGLEFINANCE(""NSE:""&amp;D20,""marketcap"")/10000000"),123532.09154)</f>
        <v>123532.0915</v>
      </c>
      <c r="F20" s="31">
        <f>IFERROR(__xludf.DUMMYFUNCTION("GOOGLEFINANCE(""NSE:""&amp;D20)"),2431.0)</f>
        <v>2431</v>
      </c>
      <c r="G20" s="31">
        <f>IFERROR(__xludf.DUMMYFUNCTION("GOOGLEFINANCE(""NSE:""&amp;D20,""closeyest"")"),2418.0)</f>
        <v>2418</v>
      </c>
      <c r="H20" s="31">
        <f>IFERROR(__xludf.DUMMYFUNCTION("INDEX(GOOGLEFINANCE(""NSE:""&amp;D20,""PRICE"",TODAY()-7),2,2)"),2368.45)</f>
        <v>2368.45</v>
      </c>
      <c r="I20" s="31">
        <f>IFERROR(__xludf.DUMMYFUNCTION("INDEX(GOOGLEFINANCE(""NSE:""&amp;D20,""PRICE"",TODAY()-14),2,2)"),2397.0)</f>
        <v>2397</v>
      </c>
      <c r="J20" s="31">
        <f>IFERROR(__xludf.DUMMYFUNCTION("INDEX(GOOGLEFINANCE(""NSE:""&amp;D20,""PRICE"",TODAY()-28),2,2)"),2225.2)</f>
        <v>2225.2</v>
      </c>
      <c r="K20" s="31">
        <f>IFERROR(__xludf.DUMMYFUNCTION("INDEX(GOOGLEFINANCE(""NSE:""&amp;D20,""PRICE"",TODAY()-84),2,2)"),2178.85)</f>
        <v>2178.85</v>
      </c>
      <c r="L20" s="16">
        <f t="shared" si="1"/>
        <v>0.005376344086</v>
      </c>
      <c r="M20" s="33">
        <f t="shared" si="2"/>
        <v>0.02640967722</v>
      </c>
      <c r="N20" s="33">
        <f t="shared" si="3"/>
        <v>0.01418439716</v>
      </c>
      <c r="O20" s="33">
        <f t="shared" si="4"/>
        <v>0.09248606867</v>
      </c>
      <c r="P20" s="33">
        <f t="shared" si="5"/>
        <v>0.1157261858</v>
      </c>
      <c r="Q20" s="30">
        <f t="shared" si="6"/>
        <v>0.01991134843</v>
      </c>
      <c r="R20" s="30">
        <f t="shared" si="7"/>
        <v>0.001827583086</v>
      </c>
      <c r="S20" s="30">
        <f t="shared" si="8"/>
        <v>0.01739925774</v>
      </c>
      <c r="T20" s="30">
        <f t="shared" si="9"/>
        <v>-0.01153465107</v>
      </c>
      <c r="U20" s="32">
        <f t="shared" si="10"/>
        <v>14</v>
      </c>
      <c r="V20" s="32">
        <f t="shared" si="11"/>
        <v>23</v>
      </c>
      <c r="W20" s="32">
        <f t="shared" si="12"/>
        <v>15</v>
      </c>
      <c r="X20" s="32">
        <f t="shared" si="13"/>
        <v>24</v>
      </c>
    </row>
    <row r="21">
      <c r="A21" s="1">
        <v>21.0</v>
      </c>
      <c r="B21" s="22" t="s">
        <v>604</v>
      </c>
      <c r="C21" s="22" t="s">
        <v>526</v>
      </c>
      <c r="D21" s="22" t="s">
        <v>163</v>
      </c>
      <c r="E21" s="23">
        <f>IFERROR(__xludf.DUMMYFUNCTION("GOOGLEFINANCE(""NSE:""&amp;D21,""marketcap"")/10000000"),73150.3349663)</f>
        <v>73150.33497</v>
      </c>
      <c r="F21" s="31">
        <f>IFERROR(__xludf.DUMMYFUNCTION("GOOGLEFINANCE(""NSE:""&amp;D21)"),568.75)</f>
        <v>568.75</v>
      </c>
      <c r="G21" s="31">
        <f>IFERROR(__xludf.DUMMYFUNCTION("GOOGLEFINANCE(""NSE:""&amp;D21,""closeyest"")"),565.2)</f>
        <v>565.2</v>
      </c>
      <c r="H21" s="31">
        <f>IFERROR(__xludf.DUMMYFUNCTION("INDEX(GOOGLEFINANCE(""NSE:""&amp;D21,""PRICE"",TODAY()-7),2,2)"),560.1)</f>
        <v>560.1</v>
      </c>
      <c r="I21" s="31">
        <f>IFERROR(__xludf.DUMMYFUNCTION("INDEX(GOOGLEFINANCE(""NSE:""&amp;D21,""PRICE"",TODAY()-14),2,2)"),575.6)</f>
        <v>575.6</v>
      </c>
      <c r="J21" s="31">
        <f>IFERROR(__xludf.DUMMYFUNCTION("INDEX(GOOGLEFINANCE(""NSE:""&amp;D21,""PRICE"",TODAY()-28),2,2)"),524.95)</f>
        <v>524.95</v>
      </c>
      <c r="K21" s="31">
        <f>IFERROR(__xludf.DUMMYFUNCTION("INDEX(GOOGLEFINANCE(""NSE:""&amp;D21,""PRICE"",TODAY()-84),2,2)"),519.85)</f>
        <v>519.85</v>
      </c>
      <c r="L21" s="16">
        <f t="shared" si="1"/>
        <v>0.006280962491</v>
      </c>
      <c r="M21" s="33">
        <f t="shared" si="2"/>
        <v>0.01544367077</v>
      </c>
      <c r="N21" s="33">
        <f t="shared" si="3"/>
        <v>-0.01190062543</v>
      </c>
      <c r="O21" s="33">
        <f t="shared" si="4"/>
        <v>0.08343651776</v>
      </c>
      <c r="P21" s="33">
        <f t="shared" si="5"/>
        <v>0.09406559584</v>
      </c>
      <c r="Q21" s="30">
        <f t="shared" si="6"/>
        <v>0.008945341987</v>
      </c>
      <c r="R21" s="30">
        <f t="shared" si="7"/>
        <v>-0.02425743951</v>
      </c>
      <c r="S21" s="30">
        <f t="shared" si="8"/>
        <v>0.008349706837</v>
      </c>
      <c r="T21" s="30">
        <f t="shared" si="9"/>
        <v>-0.03319524106</v>
      </c>
      <c r="U21" s="32">
        <f t="shared" si="10"/>
        <v>18</v>
      </c>
      <c r="V21" s="32">
        <f t="shared" si="11"/>
        <v>33</v>
      </c>
      <c r="W21" s="32">
        <f t="shared" si="12"/>
        <v>18</v>
      </c>
      <c r="X21" s="32">
        <f t="shared" si="13"/>
        <v>27</v>
      </c>
    </row>
    <row r="22">
      <c r="A22" s="1">
        <v>46.0</v>
      </c>
      <c r="B22" s="22" t="s">
        <v>605</v>
      </c>
      <c r="C22" s="22" t="s">
        <v>522</v>
      </c>
      <c r="D22" s="22" t="s">
        <v>269</v>
      </c>
      <c r="E22" s="23">
        <f>IFERROR(__xludf.DUMMYFUNCTION("GOOGLEFINANCE(""NSE:""&amp;D22,""marketcap"")/10000000"),39676.365749)</f>
        <v>39676.36575</v>
      </c>
      <c r="F22" s="31">
        <f>IFERROR(__xludf.DUMMYFUNCTION("GOOGLEFINANCE(""NSE:""&amp;D22)"),279.5)</f>
        <v>279.5</v>
      </c>
      <c r="G22" s="31">
        <f>IFERROR(__xludf.DUMMYFUNCTION("GOOGLEFINANCE(""NSE:""&amp;D22,""closeyest"")"),276.6)</f>
        <v>276.6</v>
      </c>
      <c r="H22" s="31">
        <f>IFERROR(__xludf.DUMMYFUNCTION("INDEX(GOOGLEFINANCE(""NSE:""&amp;D22,""PRICE"",TODAY()-7),2,2)"),282.95)</f>
        <v>282.95</v>
      </c>
      <c r="I22" s="31">
        <f>IFERROR(__xludf.DUMMYFUNCTION("INDEX(GOOGLEFINANCE(""NSE:""&amp;D22,""PRICE"",TODAY()-14),2,2)"),270.65)</f>
        <v>270.65</v>
      </c>
      <c r="J22" s="31">
        <f>IFERROR(__xludf.DUMMYFUNCTION("INDEX(GOOGLEFINANCE(""NSE:""&amp;D22,""PRICE"",TODAY()-28),2,2)"),256.6)</f>
        <v>256.6</v>
      </c>
      <c r="K22" s="31">
        <f>IFERROR(__xludf.DUMMYFUNCTION("INDEX(GOOGLEFINANCE(""NSE:""&amp;D22,""PRICE"",TODAY()-84),2,2)"),297.95)</f>
        <v>297.95</v>
      </c>
      <c r="L22" s="16">
        <f t="shared" si="1"/>
        <v>0.01048445409</v>
      </c>
      <c r="M22" s="33">
        <f t="shared" si="2"/>
        <v>-0.01219296696</v>
      </c>
      <c r="N22" s="33">
        <f t="shared" si="3"/>
        <v>0.03269905782</v>
      </c>
      <c r="O22" s="33">
        <f t="shared" si="4"/>
        <v>0.08924395947</v>
      </c>
      <c r="P22" s="33">
        <f t="shared" si="5"/>
        <v>-0.06192314147</v>
      </c>
      <c r="Q22" s="30">
        <f t="shared" si="6"/>
        <v>-0.01869129574</v>
      </c>
      <c r="R22" s="30">
        <f t="shared" si="7"/>
        <v>0.02034224375</v>
      </c>
      <c r="S22" s="30">
        <f t="shared" si="8"/>
        <v>0.01415714854</v>
      </c>
      <c r="T22" s="30">
        <f t="shared" si="9"/>
        <v>-0.1891839784</v>
      </c>
      <c r="U22" s="32">
        <f t="shared" si="10"/>
        <v>32</v>
      </c>
      <c r="V22" s="32">
        <f t="shared" si="11"/>
        <v>17</v>
      </c>
      <c r="W22" s="32">
        <f t="shared" si="12"/>
        <v>16</v>
      </c>
      <c r="X22" s="32">
        <f t="shared" si="13"/>
        <v>43</v>
      </c>
    </row>
    <row r="23">
      <c r="A23" s="1">
        <v>23.0</v>
      </c>
      <c r="B23" s="22" t="s">
        <v>606</v>
      </c>
      <c r="C23" s="22" t="s">
        <v>528</v>
      </c>
      <c r="D23" s="22" t="s">
        <v>165</v>
      </c>
      <c r="E23" s="23">
        <f>IFERROR(__xludf.DUMMYFUNCTION("GOOGLEFINANCE(""NSE:""&amp;D23,""marketcap"")/10000000"),69056.951375)</f>
        <v>69056.95138</v>
      </c>
      <c r="F23" s="31">
        <f>IFERROR(__xludf.DUMMYFUNCTION("GOOGLEFINANCE(""NSE:""&amp;D23)"),3228.0)</f>
        <v>3228</v>
      </c>
      <c r="G23" s="31">
        <f>IFERROR(__xludf.DUMMYFUNCTION("GOOGLEFINANCE(""NSE:""&amp;D23,""closeyest"")"),3213.1)</f>
        <v>3213.1</v>
      </c>
      <c r="H23" s="31">
        <f>IFERROR(__xludf.DUMMYFUNCTION("INDEX(GOOGLEFINANCE(""NSE:""&amp;D23,""PRICE"",TODAY()-7),2,2)"),3268.8)</f>
        <v>3268.8</v>
      </c>
      <c r="I23" s="31">
        <f>IFERROR(__xludf.DUMMYFUNCTION("INDEX(GOOGLEFINANCE(""NSE:""&amp;D23,""PRICE"",TODAY()-14),2,2)"),3302.05)</f>
        <v>3302.05</v>
      </c>
      <c r="J23" s="31">
        <f>IFERROR(__xludf.DUMMYFUNCTION("INDEX(GOOGLEFINANCE(""NSE:""&amp;D23,""PRICE"",TODAY()-28),2,2)"),3030.3)</f>
        <v>3030.3</v>
      </c>
      <c r="K23" s="31">
        <f>IFERROR(__xludf.DUMMYFUNCTION("INDEX(GOOGLEFINANCE(""NSE:""&amp;D23,""PRICE"",TODAY()-84),2,2)"),2875.6)</f>
        <v>2875.6</v>
      </c>
      <c r="L23" s="16">
        <f t="shared" si="1"/>
        <v>0.004637266192</v>
      </c>
      <c r="M23" s="33">
        <f t="shared" si="2"/>
        <v>-0.01248164464</v>
      </c>
      <c r="N23" s="33">
        <f t="shared" si="3"/>
        <v>-0.02242546297</v>
      </c>
      <c r="O23" s="33">
        <f t="shared" si="4"/>
        <v>0.06524106524</v>
      </c>
      <c r="P23" s="33">
        <f t="shared" si="5"/>
        <v>0.1225483377</v>
      </c>
      <c r="Q23" s="30">
        <f t="shared" si="6"/>
        <v>-0.01897997343</v>
      </c>
      <c r="R23" s="30">
        <f t="shared" si="7"/>
        <v>-0.03478227705</v>
      </c>
      <c r="S23" s="30">
        <f t="shared" si="8"/>
        <v>-0.009845745686</v>
      </c>
      <c r="T23" s="30">
        <f t="shared" si="9"/>
        <v>-0.004712499162</v>
      </c>
      <c r="U23" s="32">
        <f t="shared" si="10"/>
        <v>33</v>
      </c>
      <c r="V23" s="32">
        <f t="shared" si="11"/>
        <v>38</v>
      </c>
      <c r="W23" s="32">
        <f t="shared" si="12"/>
        <v>24</v>
      </c>
      <c r="X23" s="32">
        <f t="shared" si="13"/>
        <v>22</v>
      </c>
    </row>
    <row r="24">
      <c r="A24" s="1">
        <v>40.0</v>
      </c>
      <c r="B24" s="22" t="s">
        <v>607</v>
      </c>
      <c r="C24" s="22" t="s">
        <v>549</v>
      </c>
      <c r="D24" s="22" t="s">
        <v>223</v>
      </c>
      <c r="E24" s="23">
        <f>IFERROR(__xludf.DUMMYFUNCTION("GOOGLEFINANCE(""NSE:""&amp;D24,""marketcap"")/10000000"),43781.3290069)</f>
        <v>43781.32901</v>
      </c>
      <c r="F24" s="31">
        <f>IFERROR(__xludf.DUMMYFUNCTION("GOOGLEFINANCE(""NSE:""&amp;D24)"),367.05)</f>
        <v>367.05</v>
      </c>
      <c r="G24" s="31">
        <f>IFERROR(__xludf.DUMMYFUNCTION("GOOGLEFINANCE(""NSE:""&amp;D24,""closeyest"")"),367.55)</f>
        <v>367.55</v>
      </c>
      <c r="H24" s="31">
        <f>IFERROR(__xludf.DUMMYFUNCTION("INDEX(GOOGLEFINANCE(""NSE:""&amp;D24,""PRICE"",TODAY()-7),2,2)"),377.4)</f>
        <v>377.4</v>
      </c>
      <c r="I24" s="31">
        <f>IFERROR(__xludf.DUMMYFUNCTION("INDEX(GOOGLEFINANCE(""NSE:""&amp;D24,""PRICE"",TODAY()-14),2,2)"),353.6)</f>
        <v>353.6</v>
      </c>
      <c r="J24" s="31">
        <f>IFERROR(__xludf.DUMMYFUNCTION("INDEX(GOOGLEFINANCE(""NSE:""&amp;D24,""PRICE"",TODAY()-28),2,2)"),346.7)</f>
        <v>346.7</v>
      </c>
      <c r="K24" s="31">
        <f>IFERROR(__xludf.DUMMYFUNCTION("INDEX(GOOGLEFINANCE(""NSE:""&amp;D24,""PRICE"",TODAY()-84),2,2)"),408.05)</f>
        <v>408.05</v>
      </c>
      <c r="L24" s="16">
        <f t="shared" si="1"/>
        <v>-0.001360359135</v>
      </c>
      <c r="M24" s="33">
        <f t="shared" si="2"/>
        <v>-0.02742448331</v>
      </c>
      <c r="N24" s="33">
        <f t="shared" si="3"/>
        <v>0.03803733032</v>
      </c>
      <c r="O24" s="33">
        <f t="shared" si="4"/>
        <v>0.0586962792</v>
      </c>
      <c r="P24" s="33">
        <f t="shared" si="5"/>
        <v>-0.1004778826</v>
      </c>
      <c r="Q24" s="30">
        <f t="shared" si="6"/>
        <v>-0.03392281209</v>
      </c>
      <c r="R24" s="30">
        <f t="shared" si="7"/>
        <v>0.02568051624</v>
      </c>
      <c r="S24" s="30">
        <f t="shared" si="8"/>
        <v>-0.01639053172</v>
      </c>
      <c r="T24" s="30">
        <f t="shared" si="9"/>
        <v>-0.2277387195</v>
      </c>
      <c r="U24" s="32">
        <f t="shared" si="10"/>
        <v>44</v>
      </c>
      <c r="V24" s="32">
        <f t="shared" si="11"/>
        <v>13</v>
      </c>
      <c r="W24" s="32">
        <f t="shared" si="12"/>
        <v>26</v>
      </c>
      <c r="X24" s="32">
        <f t="shared" si="13"/>
        <v>45</v>
      </c>
    </row>
    <row r="25">
      <c r="A25" s="1">
        <v>30.0</v>
      </c>
      <c r="B25" s="22" t="s">
        <v>608</v>
      </c>
      <c r="C25" s="22" t="s">
        <v>590</v>
      </c>
      <c r="D25" s="22" t="s">
        <v>189</v>
      </c>
      <c r="E25" s="23">
        <f>IFERROR(__xludf.DUMMYFUNCTION("GOOGLEFINANCE(""NSE:""&amp;D25,""marketcap"")/10000000"),54981.09914)</f>
        <v>54981.09914</v>
      </c>
      <c r="F25" s="31">
        <f>IFERROR(__xludf.DUMMYFUNCTION("GOOGLEFINANCE(""NSE:""&amp;D25)"),4170.1)</f>
        <v>4170.1</v>
      </c>
      <c r="G25" s="31">
        <f>IFERROR(__xludf.DUMMYFUNCTION("GOOGLEFINANCE(""NSE:""&amp;D25,""closeyest"")"),4109.2)</f>
        <v>4109.2</v>
      </c>
      <c r="H25" s="31">
        <f>IFERROR(__xludf.DUMMYFUNCTION("INDEX(GOOGLEFINANCE(""NSE:""&amp;D25,""PRICE"",TODAY()-7),2,2)"),4102.8)</f>
        <v>4102.8</v>
      </c>
      <c r="I25" s="31">
        <f>IFERROR(__xludf.DUMMYFUNCTION("INDEX(GOOGLEFINANCE(""NSE:""&amp;D25,""PRICE"",TODAY()-14),2,2)"),4135.2)</f>
        <v>4135.2</v>
      </c>
      <c r="J25" s="31">
        <f>IFERROR(__xludf.DUMMYFUNCTION("INDEX(GOOGLEFINANCE(""NSE:""&amp;D25,""PRICE"",TODAY()-28),2,2)"),3812.35)</f>
        <v>3812.35</v>
      </c>
      <c r="K25" s="31">
        <f>IFERROR(__xludf.DUMMYFUNCTION("INDEX(GOOGLEFINANCE(""NSE:""&amp;D25,""PRICE"",TODAY()-84),2,2)"),3145.75)</f>
        <v>3145.75</v>
      </c>
      <c r="L25" s="16">
        <f t="shared" si="1"/>
        <v>0.014820403</v>
      </c>
      <c r="M25" s="33">
        <f t="shared" si="2"/>
        <v>0.0164034318</v>
      </c>
      <c r="N25" s="33">
        <f t="shared" si="3"/>
        <v>0.008439736893</v>
      </c>
      <c r="O25" s="33">
        <f t="shared" si="4"/>
        <v>0.09383975763</v>
      </c>
      <c r="P25" s="33">
        <f t="shared" si="5"/>
        <v>0.325629818</v>
      </c>
      <c r="Q25" s="30">
        <f t="shared" si="6"/>
        <v>0.009905103017</v>
      </c>
      <c r="R25" s="30">
        <f t="shared" si="7"/>
        <v>-0.003917077184</v>
      </c>
      <c r="S25" s="30">
        <f t="shared" si="8"/>
        <v>0.0187529467</v>
      </c>
      <c r="T25" s="30">
        <f t="shared" si="9"/>
        <v>0.1983689811</v>
      </c>
      <c r="U25" s="32">
        <f t="shared" si="10"/>
        <v>17</v>
      </c>
      <c r="V25" s="32">
        <f t="shared" si="11"/>
        <v>27</v>
      </c>
      <c r="W25" s="32">
        <f t="shared" si="12"/>
        <v>14</v>
      </c>
      <c r="X25" s="32">
        <f t="shared" si="13"/>
        <v>8</v>
      </c>
    </row>
    <row r="26">
      <c r="A26" s="1">
        <v>6.0</v>
      </c>
      <c r="B26" s="22" t="s">
        <v>609</v>
      </c>
      <c r="C26" s="22" t="s">
        <v>526</v>
      </c>
      <c r="D26" s="22" t="s">
        <v>104</v>
      </c>
      <c r="E26" s="23">
        <f>IFERROR(__xludf.DUMMYFUNCTION("GOOGLEFINANCE(""NSE:""&amp;D26,""marketcap"")/10000000"),114583.4424)</f>
        <v>114583.4424</v>
      </c>
      <c r="F26" s="31">
        <f>IFERROR(__xludf.DUMMYFUNCTION("GOOGLEFINANCE(""NSE:""&amp;D26)"),649.0)</f>
        <v>649</v>
      </c>
      <c r="G26" s="31">
        <f>IFERROR(__xludf.DUMMYFUNCTION("GOOGLEFINANCE(""NSE:""&amp;D26,""closeyest"")"),648.4)</f>
        <v>648.4</v>
      </c>
      <c r="H26" s="31">
        <f>IFERROR(__xludf.DUMMYFUNCTION("INDEX(GOOGLEFINANCE(""NSE:""&amp;D26,""PRICE"",TODAY()-7),2,2)"),653.95)</f>
        <v>653.95</v>
      </c>
      <c r="I26" s="31">
        <f>IFERROR(__xludf.DUMMYFUNCTION("INDEX(GOOGLEFINANCE(""NSE:""&amp;D26,""PRICE"",TODAY()-14),2,2)"),640.2)</f>
        <v>640.2</v>
      </c>
      <c r="J26" s="31">
        <f>IFERROR(__xludf.DUMMYFUNCTION("INDEX(GOOGLEFINANCE(""NSE:""&amp;D26,""PRICE"",TODAY()-28),2,2)"),608.75)</f>
        <v>608.75</v>
      </c>
      <c r="K26" s="31">
        <f>IFERROR(__xludf.DUMMYFUNCTION("INDEX(GOOGLEFINANCE(""NSE:""&amp;D26,""PRICE"",TODAY()-84),2,2)"),590.45)</f>
        <v>590.45</v>
      </c>
      <c r="L26" s="16">
        <f t="shared" si="1"/>
        <v>0.0009253547193</v>
      </c>
      <c r="M26" s="33">
        <f t="shared" si="2"/>
        <v>-0.007569386039</v>
      </c>
      <c r="N26" s="33">
        <f t="shared" si="3"/>
        <v>0.01374570447</v>
      </c>
      <c r="O26" s="33">
        <f t="shared" si="4"/>
        <v>0.06611909651</v>
      </c>
      <c r="P26" s="33">
        <f t="shared" si="5"/>
        <v>0.09916165636</v>
      </c>
      <c r="Q26" s="30">
        <f t="shared" si="6"/>
        <v>-0.01406771482</v>
      </c>
      <c r="R26" s="30">
        <f t="shared" si="7"/>
        <v>0.001388890391</v>
      </c>
      <c r="S26" s="30">
        <f t="shared" si="8"/>
        <v>-0.008967714417</v>
      </c>
      <c r="T26" s="30">
        <f t="shared" si="9"/>
        <v>-0.02809918054</v>
      </c>
      <c r="U26" s="32">
        <f t="shared" si="10"/>
        <v>30</v>
      </c>
      <c r="V26" s="32">
        <f t="shared" si="11"/>
        <v>24</v>
      </c>
      <c r="W26" s="32">
        <f t="shared" si="12"/>
        <v>23</v>
      </c>
      <c r="X26" s="32">
        <f t="shared" si="13"/>
        <v>26</v>
      </c>
    </row>
    <row r="27">
      <c r="A27" s="1">
        <v>36.0</v>
      </c>
      <c r="B27" s="22" t="s">
        <v>610</v>
      </c>
      <c r="C27" s="22" t="s">
        <v>528</v>
      </c>
      <c r="D27" s="22" t="s">
        <v>207</v>
      </c>
      <c r="E27" s="23">
        <f>IFERROR(__xludf.DUMMYFUNCTION("GOOGLEFINANCE(""NSE:""&amp;D27,""marketcap"")/10000000"),46492.6252758)</f>
        <v>46492.62528</v>
      </c>
      <c r="F27" s="31">
        <f>IFERROR(__xludf.DUMMYFUNCTION("GOOGLEFINANCE(""NSE:""&amp;D27)"),288.4)</f>
        <v>288.4</v>
      </c>
      <c r="G27" s="31">
        <f>IFERROR(__xludf.DUMMYFUNCTION("GOOGLEFINANCE(""NSE:""&amp;D27,""closeyest"")"),284.0)</f>
        <v>284</v>
      </c>
      <c r="H27" s="31">
        <f>IFERROR(__xludf.DUMMYFUNCTION("INDEX(GOOGLEFINANCE(""NSE:""&amp;D27,""PRICE"",TODAY()-7),2,2)"),287.25)</f>
        <v>287.25</v>
      </c>
      <c r="I27" s="31">
        <f>IFERROR(__xludf.DUMMYFUNCTION("INDEX(GOOGLEFINANCE(""NSE:""&amp;D27,""PRICE"",TODAY()-14),2,2)"),283.95)</f>
        <v>283.95</v>
      </c>
      <c r="J27" s="31">
        <f>IFERROR(__xludf.DUMMYFUNCTION("INDEX(GOOGLEFINANCE(""NSE:""&amp;D27,""PRICE"",TODAY()-28),2,2)"),276.1)</f>
        <v>276.1</v>
      </c>
      <c r="K27" s="31">
        <f>IFERROR(__xludf.DUMMYFUNCTION("INDEX(GOOGLEFINANCE(""NSE:""&amp;D27,""PRICE"",TODAY()-84),2,2)"),321.65)</f>
        <v>321.65</v>
      </c>
      <c r="L27" s="16">
        <f t="shared" si="1"/>
        <v>0.01549295775</v>
      </c>
      <c r="M27" s="33">
        <f t="shared" si="2"/>
        <v>0.004003481288</v>
      </c>
      <c r="N27" s="33">
        <f t="shared" si="3"/>
        <v>0.0156717732</v>
      </c>
      <c r="O27" s="33">
        <f t="shared" si="4"/>
        <v>0.04454907642</v>
      </c>
      <c r="P27" s="33">
        <f t="shared" si="5"/>
        <v>-0.1033732318</v>
      </c>
      <c r="Q27" s="30">
        <f t="shared" si="6"/>
        <v>-0.002494847498</v>
      </c>
      <c r="R27" s="30">
        <f t="shared" si="7"/>
        <v>0.003314959123</v>
      </c>
      <c r="S27" s="30">
        <f t="shared" si="8"/>
        <v>-0.03053773451</v>
      </c>
      <c r="T27" s="30">
        <f t="shared" si="9"/>
        <v>-0.2306340687</v>
      </c>
      <c r="U27" s="32">
        <f t="shared" si="10"/>
        <v>23</v>
      </c>
      <c r="V27" s="32">
        <f t="shared" si="11"/>
        <v>21</v>
      </c>
      <c r="W27" s="32">
        <f t="shared" si="12"/>
        <v>28</v>
      </c>
      <c r="X27" s="32">
        <f t="shared" si="13"/>
        <v>46</v>
      </c>
    </row>
    <row r="28">
      <c r="A28" s="1">
        <v>45.0</v>
      </c>
      <c r="B28" s="22" t="s">
        <v>611</v>
      </c>
      <c r="C28" s="22" t="s">
        <v>528</v>
      </c>
      <c r="D28" s="22" t="s">
        <v>253</v>
      </c>
      <c r="E28" s="23">
        <f>IFERROR(__xludf.DUMMYFUNCTION("GOOGLEFINANCE(""NSE:""&amp;D28,""marketcap"")/10000000"),42392.3885)</f>
        <v>42392.3885</v>
      </c>
      <c r="F28" s="31">
        <f>IFERROR(__xludf.DUMMYFUNCTION("GOOGLEFINANCE(""NSE:""&amp;D28)"),38.45)</f>
        <v>38.45</v>
      </c>
      <c r="G28" s="31">
        <f>IFERROR(__xludf.DUMMYFUNCTION("GOOGLEFINANCE(""NSE:""&amp;D28,""closeyest"")"),38.15)</f>
        <v>38.15</v>
      </c>
      <c r="H28" s="31">
        <f>IFERROR(__xludf.DUMMYFUNCTION("INDEX(GOOGLEFINANCE(""NSE:""&amp;D28,""PRICE"",TODAY()-7),2,2)"),39.75)</f>
        <v>39.75</v>
      </c>
      <c r="I28" s="31">
        <f>IFERROR(__xludf.DUMMYFUNCTION("INDEX(GOOGLEFINANCE(""NSE:""&amp;D28,""PRICE"",TODAY()-14),2,2)"),37.6)</f>
        <v>37.6</v>
      </c>
      <c r="J28" s="31">
        <f>IFERROR(__xludf.DUMMYFUNCTION("INDEX(GOOGLEFINANCE(""NSE:""&amp;D28,""PRICE"",TODAY()-28),2,2)"),36.15)</f>
        <v>36.15</v>
      </c>
      <c r="K28" s="31">
        <f>IFERROR(__xludf.DUMMYFUNCTION("INDEX(GOOGLEFINANCE(""NSE:""&amp;D28,""PRICE"",TODAY()-84),2,2)"),42.1)</f>
        <v>42.1</v>
      </c>
      <c r="L28" s="16">
        <f t="shared" si="1"/>
        <v>0.007863695937</v>
      </c>
      <c r="M28" s="33">
        <f t="shared" si="2"/>
        <v>-0.03270440252</v>
      </c>
      <c r="N28" s="33">
        <f t="shared" si="3"/>
        <v>0.02260638298</v>
      </c>
      <c r="O28" s="33">
        <f t="shared" si="4"/>
        <v>0.06362378976</v>
      </c>
      <c r="P28" s="33">
        <f t="shared" si="5"/>
        <v>-0.08669833729</v>
      </c>
      <c r="Q28" s="30">
        <f t="shared" si="6"/>
        <v>-0.0392027313</v>
      </c>
      <c r="R28" s="30">
        <f t="shared" si="7"/>
        <v>0.0102495689</v>
      </c>
      <c r="S28" s="30">
        <f t="shared" si="8"/>
        <v>-0.01146302116</v>
      </c>
      <c r="T28" s="30">
        <f t="shared" si="9"/>
        <v>-0.2139591742</v>
      </c>
      <c r="U28" s="32">
        <f t="shared" si="10"/>
        <v>48</v>
      </c>
      <c r="V28" s="32">
        <f t="shared" si="11"/>
        <v>19</v>
      </c>
      <c r="W28" s="32">
        <f t="shared" si="12"/>
        <v>25</v>
      </c>
      <c r="X28" s="32">
        <f t="shared" si="13"/>
        <v>44</v>
      </c>
    </row>
    <row r="29">
      <c r="A29" s="1">
        <v>11.0</v>
      </c>
      <c r="B29" s="22" t="s">
        <v>612</v>
      </c>
      <c r="C29" s="22" t="s">
        <v>528</v>
      </c>
      <c r="D29" s="22" t="s">
        <v>128</v>
      </c>
      <c r="E29" s="23">
        <f>IFERROR(__xludf.DUMMYFUNCTION("GOOGLEFINANCE(""NSE:""&amp;D29,""marketcap"")/10000000"),98148.9419784)</f>
        <v>98148.94198</v>
      </c>
      <c r="F29" s="31">
        <f>IFERROR(__xludf.DUMMYFUNCTION("GOOGLEFINANCE(""NSE:""&amp;D29)"),684.7)</f>
        <v>684.7</v>
      </c>
      <c r="G29" s="31">
        <f>IFERROR(__xludf.DUMMYFUNCTION("GOOGLEFINANCE(""NSE:""&amp;D29,""closeyest"")"),687.85)</f>
        <v>687.85</v>
      </c>
      <c r="H29" s="31">
        <f>IFERROR(__xludf.DUMMYFUNCTION("INDEX(GOOGLEFINANCE(""NSE:""&amp;D29,""PRICE"",TODAY()-7),2,2)"),703.55)</f>
        <v>703.55</v>
      </c>
      <c r="I29" s="31">
        <f>IFERROR(__xludf.DUMMYFUNCTION("INDEX(GOOGLEFINANCE(""NSE:""&amp;D29,""PRICE"",TODAY()-14),2,2)"),693.4)</f>
        <v>693.4</v>
      </c>
      <c r="J29" s="31">
        <f>IFERROR(__xludf.DUMMYFUNCTION("INDEX(GOOGLEFINANCE(""NSE:""&amp;D29,""PRICE"",TODAY()-28),2,2)"),656.15)</f>
        <v>656.15</v>
      </c>
      <c r="K29" s="31">
        <f>IFERROR(__xludf.DUMMYFUNCTION("INDEX(GOOGLEFINANCE(""NSE:""&amp;D29,""PRICE"",TODAY()-84),2,2)"),619.4)</f>
        <v>619.4</v>
      </c>
      <c r="L29" s="16">
        <f t="shared" si="1"/>
        <v>-0.004579486807</v>
      </c>
      <c r="M29" s="33">
        <f t="shared" si="2"/>
        <v>-0.02679269419</v>
      </c>
      <c r="N29" s="33">
        <f t="shared" si="3"/>
        <v>-0.01254687049</v>
      </c>
      <c r="O29" s="33">
        <f t="shared" si="4"/>
        <v>0.04351139221</v>
      </c>
      <c r="P29" s="33">
        <f t="shared" si="5"/>
        <v>0.1054246045</v>
      </c>
      <c r="Q29" s="30">
        <f t="shared" si="6"/>
        <v>-0.03329102298</v>
      </c>
      <c r="R29" s="30">
        <f t="shared" si="7"/>
        <v>-0.02490368457</v>
      </c>
      <c r="S29" s="30">
        <f t="shared" si="8"/>
        <v>-0.03157541871</v>
      </c>
      <c r="T29" s="30">
        <f t="shared" si="9"/>
        <v>-0.02183623244</v>
      </c>
      <c r="U29" s="32">
        <f t="shared" si="10"/>
        <v>43</v>
      </c>
      <c r="V29" s="32">
        <f t="shared" si="11"/>
        <v>34</v>
      </c>
      <c r="W29" s="32">
        <f t="shared" si="12"/>
        <v>29</v>
      </c>
      <c r="X29" s="32">
        <f t="shared" si="13"/>
        <v>25</v>
      </c>
    </row>
    <row r="30">
      <c r="A30" s="1">
        <v>16.0</v>
      </c>
      <c r="B30" s="22" t="s">
        <v>613</v>
      </c>
      <c r="C30" s="22" t="s">
        <v>543</v>
      </c>
      <c r="D30" s="22" t="s">
        <v>134</v>
      </c>
      <c r="E30" s="23">
        <f>IFERROR(__xludf.DUMMYFUNCTION("GOOGLEFINANCE(""NSE:""&amp;D30,""marketcap"")/10000000"),83307.262703)</f>
        <v>83307.2627</v>
      </c>
      <c r="F30" s="31">
        <f>IFERROR(__xludf.DUMMYFUNCTION("GOOGLEFINANCE(""NSE:""&amp;D30)"),418.55)</f>
        <v>418.55</v>
      </c>
      <c r="G30" s="31">
        <f>IFERROR(__xludf.DUMMYFUNCTION("GOOGLEFINANCE(""NSE:""&amp;D30,""closeyest"")"),419.5)</f>
        <v>419.5</v>
      </c>
      <c r="H30" s="31">
        <f>IFERROR(__xludf.DUMMYFUNCTION("INDEX(GOOGLEFINANCE(""NSE:""&amp;D30,""PRICE"",TODAY()-7),2,2)"),419.8)</f>
        <v>419.8</v>
      </c>
      <c r="I30" s="31">
        <f>IFERROR(__xludf.DUMMYFUNCTION("INDEX(GOOGLEFINANCE(""NSE:""&amp;D30,""PRICE"",TODAY()-14),2,2)"),436.25)</f>
        <v>436.25</v>
      </c>
      <c r="J30" s="31">
        <f>IFERROR(__xludf.DUMMYFUNCTION("INDEX(GOOGLEFINANCE(""NSE:""&amp;D30,""PRICE"",TODAY()-28),2,2)"),410.05)</f>
        <v>410.05</v>
      </c>
      <c r="K30" s="31">
        <f>IFERROR(__xludf.DUMMYFUNCTION("INDEX(GOOGLEFINANCE(""NSE:""&amp;D30,""PRICE"",TODAY()-84),2,2)"),339.25)</f>
        <v>339.25</v>
      </c>
      <c r="L30" s="16">
        <f t="shared" si="1"/>
        <v>-0.002264600715</v>
      </c>
      <c r="M30" s="33">
        <f t="shared" si="2"/>
        <v>-0.002977608385</v>
      </c>
      <c r="N30" s="33">
        <f t="shared" si="3"/>
        <v>-0.0405730659</v>
      </c>
      <c r="O30" s="33">
        <f t="shared" si="4"/>
        <v>0.02072917937</v>
      </c>
      <c r="P30" s="33">
        <f t="shared" si="5"/>
        <v>0.2337509211</v>
      </c>
      <c r="Q30" s="30">
        <f t="shared" si="6"/>
        <v>-0.009475937171</v>
      </c>
      <c r="R30" s="30">
        <f t="shared" si="7"/>
        <v>-0.05292987998</v>
      </c>
      <c r="S30" s="30">
        <f t="shared" si="8"/>
        <v>-0.05435763156</v>
      </c>
      <c r="T30" s="30">
        <f t="shared" si="9"/>
        <v>0.1064900842</v>
      </c>
      <c r="U30" s="32">
        <f t="shared" si="10"/>
        <v>26</v>
      </c>
      <c r="V30" s="32">
        <f t="shared" si="11"/>
        <v>43</v>
      </c>
      <c r="W30" s="32">
        <f t="shared" si="12"/>
        <v>38</v>
      </c>
      <c r="X30" s="32">
        <f t="shared" si="13"/>
        <v>14</v>
      </c>
    </row>
    <row r="31">
      <c r="A31" s="1">
        <v>24.0</v>
      </c>
      <c r="B31" s="22" t="s">
        <v>614</v>
      </c>
      <c r="C31" s="22" t="s">
        <v>522</v>
      </c>
      <c r="D31" s="22" t="s">
        <v>167</v>
      </c>
      <c r="E31" s="23">
        <f>IFERROR(__xludf.DUMMYFUNCTION("GOOGLEFINANCE(""NSE:""&amp;D31,""marketcap"")/10000000"),67825.6575025)</f>
        <v>67825.6575</v>
      </c>
      <c r="F31" s="31">
        <f>IFERROR(__xludf.DUMMYFUNCTION("GOOGLEFINANCE(""NSE:""&amp;D31)"),153.15)</f>
        <v>153.15</v>
      </c>
      <c r="G31" s="31">
        <f>IFERROR(__xludf.DUMMYFUNCTION("GOOGLEFINANCE(""NSE:""&amp;D31,""closeyest"")"),150.0)</f>
        <v>150</v>
      </c>
      <c r="H31" s="31">
        <f>IFERROR(__xludf.DUMMYFUNCTION("INDEX(GOOGLEFINANCE(""NSE:""&amp;D31,""PRICE"",TODAY()-7),2,2)"),154.1)</f>
        <v>154.1</v>
      </c>
      <c r="I31" s="31">
        <f>IFERROR(__xludf.DUMMYFUNCTION("INDEX(GOOGLEFINANCE(""NSE:""&amp;D31,""PRICE"",TODAY()-14),2,2)"),145.9)</f>
        <v>145.9</v>
      </c>
      <c r="J31" s="31">
        <f>IFERROR(__xludf.DUMMYFUNCTION("INDEX(GOOGLEFINANCE(""NSE:""&amp;D31,""PRICE"",TODAY()-28),2,2)"),143.5)</f>
        <v>143.5</v>
      </c>
      <c r="K31" s="31">
        <f>IFERROR(__xludf.DUMMYFUNCTION("INDEX(GOOGLEFINANCE(""NSE:""&amp;D31,""PRICE"",TODAY()-84),2,2)"),151.3)</f>
        <v>151.3</v>
      </c>
      <c r="L31" s="16">
        <f t="shared" si="1"/>
        <v>0.021</v>
      </c>
      <c r="M31" s="33">
        <f t="shared" si="2"/>
        <v>-0.006164828034</v>
      </c>
      <c r="N31" s="33">
        <f t="shared" si="3"/>
        <v>0.04969156957</v>
      </c>
      <c r="O31" s="33">
        <f t="shared" si="4"/>
        <v>0.06724738676</v>
      </c>
      <c r="P31" s="33">
        <f t="shared" si="5"/>
        <v>0.01222736286</v>
      </c>
      <c r="Q31" s="30">
        <f t="shared" si="6"/>
        <v>-0.01266315682</v>
      </c>
      <c r="R31" s="30">
        <f t="shared" si="7"/>
        <v>0.03733475549</v>
      </c>
      <c r="S31" s="30">
        <f t="shared" si="8"/>
        <v>-0.007839424167</v>
      </c>
      <c r="T31" s="30">
        <f t="shared" si="9"/>
        <v>-0.115033474</v>
      </c>
      <c r="U31" s="32">
        <f t="shared" si="10"/>
        <v>28</v>
      </c>
      <c r="V31" s="32">
        <f t="shared" si="11"/>
        <v>12</v>
      </c>
      <c r="W31" s="32">
        <f t="shared" si="12"/>
        <v>22</v>
      </c>
      <c r="X31" s="32">
        <f t="shared" si="13"/>
        <v>36</v>
      </c>
    </row>
    <row r="32">
      <c r="A32" s="1">
        <v>49.0</v>
      </c>
      <c r="B32" s="22" t="s">
        <v>615</v>
      </c>
      <c r="C32" s="22" t="s">
        <v>545</v>
      </c>
      <c r="D32" s="22" t="s">
        <v>301</v>
      </c>
      <c r="E32" s="23">
        <f>IFERROR(__xludf.DUMMYFUNCTION("GOOGLEFINANCE(""NSE:""&amp;D32,""marketcap"")/10000000"),33970.4752638)</f>
        <v>33970.47526</v>
      </c>
      <c r="F32" s="31">
        <f>IFERROR(__xludf.DUMMYFUNCTION("GOOGLEFINANCE(""NSE:""&amp;D32)"),80097.45)</f>
        <v>80097.45</v>
      </c>
      <c r="G32" s="31">
        <f>IFERROR(__xludf.DUMMYFUNCTION("GOOGLEFINANCE(""NSE:""&amp;D32,""closeyest"")"),79993.8)</f>
        <v>79993.8</v>
      </c>
      <c r="H32" s="31">
        <f>IFERROR(__xludf.DUMMYFUNCTION("INDEX(GOOGLEFINANCE(""NSE:""&amp;D32,""PRICE"",TODAY()-7),2,2)"),79397.25)</f>
        <v>79397.25</v>
      </c>
      <c r="I32" s="31">
        <f>IFERROR(__xludf.DUMMYFUNCTION("INDEX(GOOGLEFINANCE(""NSE:""&amp;D32,""PRICE"",TODAY()-14),2,2)"),80243.6)</f>
        <v>80243.6</v>
      </c>
      <c r="J32" s="31">
        <f>IFERROR(__xludf.DUMMYFUNCTION("INDEX(GOOGLEFINANCE(""NSE:""&amp;D32,""PRICE"",TODAY()-28),2,2)"),76953.45)</f>
        <v>76953.45</v>
      </c>
      <c r="K32" s="31">
        <f>IFERROR(__xludf.DUMMYFUNCTION("INDEX(GOOGLEFINANCE(""NSE:""&amp;D32,""PRICE"",TODAY()-84),2,2)"),81142.3)</f>
        <v>81142.3</v>
      </c>
      <c r="L32" s="16">
        <f t="shared" si="1"/>
        <v>0.001295725419</v>
      </c>
      <c r="M32" s="33">
        <f t="shared" si="2"/>
        <v>0.008818945241</v>
      </c>
      <c r="N32" s="33">
        <f t="shared" si="3"/>
        <v>-0.001821329053</v>
      </c>
      <c r="O32" s="33">
        <f t="shared" si="4"/>
        <v>0.04085586806</v>
      </c>
      <c r="P32" s="33">
        <f t="shared" si="5"/>
        <v>-0.01287676095</v>
      </c>
      <c r="Q32" s="30">
        <f t="shared" si="6"/>
        <v>0.002320616455</v>
      </c>
      <c r="R32" s="30">
        <f t="shared" si="7"/>
        <v>-0.01417814313</v>
      </c>
      <c r="S32" s="30">
        <f t="shared" si="8"/>
        <v>-0.03423094287</v>
      </c>
      <c r="T32" s="30">
        <f t="shared" si="9"/>
        <v>-0.1401375979</v>
      </c>
      <c r="U32" s="32">
        <f t="shared" si="10"/>
        <v>19</v>
      </c>
      <c r="V32" s="32">
        <f t="shared" si="11"/>
        <v>28</v>
      </c>
      <c r="W32" s="32">
        <f t="shared" si="12"/>
        <v>31</v>
      </c>
      <c r="X32" s="32">
        <f t="shared" si="13"/>
        <v>40</v>
      </c>
    </row>
    <row r="33">
      <c r="A33" s="1">
        <v>42.0</v>
      </c>
      <c r="B33" s="22" t="s">
        <v>616</v>
      </c>
      <c r="C33" s="22" t="s">
        <v>549</v>
      </c>
      <c r="D33" s="22" t="s">
        <v>225</v>
      </c>
      <c r="E33" s="23">
        <f>IFERROR(__xludf.DUMMYFUNCTION("GOOGLEFINANCE(""NSE:""&amp;D33,""marketcap"")/10000000"),42987.4106733)</f>
        <v>42987.41067</v>
      </c>
      <c r="F33" s="31">
        <f>IFERROR(__xludf.DUMMYFUNCTION("GOOGLEFINANCE(""NSE:""&amp;D33)"),732.0)</f>
        <v>732</v>
      </c>
      <c r="G33" s="31">
        <f>IFERROR(__xludf.DUMMYFUNCTION("GOOGLEFINANCE(""NSE:""&amp;D33,""closeyest"")"),731.1)</f>
        <v>731.1</v>
      </c>
      <c r="H33" s="31">
        <f>IFERROR(__xludf.DUMMYFUNCTION("INDEX(GOOGLEFINANCE(""NSE:""&amp;D33,""PRICE"",TODAY()-7),2,2)"),746.2)</f>
        <v>746.2</v>
      </c>
      <c r="I33" s="31">
        <f>IFERROR(__xludf.DUMMYFUNCTION("INDEX(GOOGLEFINANCE(""NSE:""&amp;D33,""PRICE"",TODAY()-14),2,2)"),736.15)</f>
        <v>736.15</v>
      </c>
      <c r="J33" s="31">
        <f>IFERROR(__xludf.DUMMYFUNCTION("INDEX(GOOGLEFINANCE(""NSE:""&amp;D33,""PRICE"",TODAY()-28),2,2)"),710.0)</f>
        <v>710</v>
      </c>
      <c r="K33" s="31">
        <f>IFERROR(__xludf.DUMMYFUNCTION("INDEX(GOOGLEFINANCE(""NSE:""&amp;D33,""PRICE"",TODAY()-84),2,2)"),994.2)</f>
        <v>994.2</v>
      </c>
      <c r="L33" s="16">
        <f t="shared" si="1"/>
        <v>0.001231021748</v>
      </c>
      <c r="M33" s="33">
        <f t="shared" si="2"/>
        <v>-0.01902975074</v>
      </c>
      <c r="N33" s="33">
        <f t="shared" si="3"/>
        <v>-0.005637438022</v>
      </c>
      <c r="O33" s="33">
        <f t="shared" si="4"/>
        <v>0.03098591549</v>
      </c>
      <c r="P33" s="33">
        <f t="shared" si="5"/>
        <v>-0.2637296319</v>
      </c>
      <c r="Q33" s="30">
        <f t="shared" si="6"/>
        <v>-0.02552807952</v>
      </c>
      <c r="R33" s="30">
        <f t="shared" si="7"/>
        <v>-0.0179942521</v>
      </c>
      <c r="S33" s="30">
        <f t="shared" si="8"/>
        <v>-0.04410089543</v>
      </c>
      <c r="T33" s="30">
        <f t="shared" si="9"/>
        <v>-0.3909904688</v>
      </c>
      <c r="U33" s="32">
        <f t="shared" si="10"/>
        <v>40</v>
      </c>
      <c r="V33" s="32">
        <f t="shared" si="11"/>
        <v>29</v>
      </c>
      <c r="W33" s="32">
        <f t="shared" si="12"/>
        <v>32</v>
      </c>
      <c r="X33" s="32">
        <f t="shared" si="13"/>
        <v>50</v>
      </c>
    </row>
    <row r="34">
      <c r="A34" s="1">
        <v>22.0</v>
      </c>
      <c r="B34" s="22" t="s">
        <v>617</v>
      </c>
      <c r="C34" s="22" t="s">
        <v>618</v>
      </c>
      <c r="D34" s="22" t="s">
        <v>161</v>
      </c>
      <c r="E34" s="23">
        <f>IFERROR(__xludf.DUMMYFUNCTION("GOOGLEFINANCE(""NSE:""&amp;D34,""marketcap"")/10000000"),73649.3067)</f>
        <v>73649.3067</v>
      </c>
      <c r="F34" s="31">
        <f>IFERROR(__xludf.DUMMYFUNCTION("GOOGLEFINANCE(""NSE:""&amp;D34)"),5129.0)</f>
        <v>5129</v>
      </c>
      <c r="G34" s="31">
        <f>IFERROR(__xludf.DUMMYFUNCTION("GOOGLEFINANCE(""NSE:""&amp;D34,""closeyest"")"),4904.9)</f>
        <v>4904.9</v>
      </c>
      <c r="H34" s="31">
        <f>IFERROR(__xludf.DUMMYFUNCTION("INDEX(GOOGLEFINANCE(""NSE:""&amp;D34,""PRICE"",TODAY()-7),2,2)"),4908.25)</f>
        <v>4908.25</v>
      </c>
      <c r="I34" s="31">
        <f>IFERROR(__xludf.DUMMYFUNCTION("INDEX(GOOGLEFINANCE(""NSE:""&amp;D34,""PRICE"",TODAY()-14),2,2)"),4745.85)</f>
        <v>4745.85</v>
      </c>
      <c r="J34" s="31">
        <f>IFERROR(__xludf.DUMMYFUNCTION("INDEX(GOOGLEFINANCE(""NSE:""&amp;D34,""PRICE"",TODAY()-28),2,2)"),4765.1)</f>
        <v>4765.1</v>
      </c>
      <c r="K34" s="31">
        <f>IFERROR(__xludf.DUMMYFUNCTION("INDEX(GOOGLEFINANCE(""NSE:""&amp;D34,""PRICE"",TODAY()-84),2,2)"),3733.2)</f>
        <v>3733.2</v>
      </c>
      <c r="L34" s="16">
        <f t="shared" si="1"/>
        <v>0.04568900487</v>
      </c>
      <c r="M34" s="33">
        <f t="shared" si="2"/>
        <v>0.04497529669</v>
      </c>
      <c r="N34" s="33">
        <f t="shared" si="3"/>
        <v>0.08073369365</v>
      </c>
      <c r="O34" s="33">
        <f t="shared" si="4"/>
        <v>0.07636775723</v>
      </c>
      <c r="P34" s="33">
        <f t="shared" si="5"/>
        <v>0.3738883532</v>
      </c>
      <c r="Q34" s="30">
        <f t="shared" si="6"/>
        <v>0.03847696791</v>
      </c>
      <c r="R34" s="30">
        <f t="shared" si="7"/>
        <v>0.06837687957</v>
      </c>
      <c r="S34" s="30">
        <f t="shared" si="8"/>
        <v>0.001280946308</v>
      </c>
      <c r="T34" s="30">
        <f t="shared" si="9"/>
        <v>0.2466275163</v>
      </c>
      <c r="U34" s="32">
        <f t="shared" si="10"/>
        <v>7</v>
      </c>
      <c r="V34" s="32">
        <f t="shared" si="11"/>
        <v>10</v>
      </c>
      <c r="W34" s="32">
        <f t="shared" si="12"/>
        <v>20</v>
      </c>
      <c r="X34" s="32">
        <f t="shared" si="13"/>
        <v>5</v>
      </c>
    </row>
    <row r="35">
      <c r="A35" s="1">
        <v>33.0</v>
      </c>
      <c r="B35" s="22" t="s">
        <v>619</v>
      </c>
      <c r="C35" s="22" t="s">
        <v>526</v>
      </c>
      <c r="D35" s="22" t="s">
        <v>205</v>
      </c>
      <c r="E35" s="23">
        <f>IFERROR(__xludf.DUMMYFUNCTION("GOOGLEFINANCE(""NSE:""&amp;D35,""marketcap"")/10000000"),46357.1508675)</f>
        <v>46357.15087</v>
      </c>
      <c r="F35" s="31">
        <f>IFERROR(__xludf.DUMMYFUNCTION("GOOGLEFINANCE(""NSE:""&amp;D35)"),1703.4)</f>
        <v>1703.4</v>
      </c>
      <c r="G35" s="31">
        <f>IFERROR(__xludf.DUMMYFUNCTION("GOOGLEFINANCE(""NSE:""&amp;D35,""closeyest"")"),1720.4)</f>
        <v>1720.4</v>
      </c>
      <c r="H35" s="31">
        <f>IFERROR(__xludf.DUMMYFUNCTION("INDEX(GOOGLEFINANCE(""NSE:""&amp;D35,""PRICE"",TODAY()-7),2,2)"),1732.55)</f>
        <v>1732.55</v>
      </c>
      <c r="I35" s="31">
        <f>IFERROR(__xludf.DUMMYFUNCTION("INDEX(GOOGLEFINANCE(""NSE:""&amp;D35,""PRICE"",TODAY()-14),2,2)"),1723.3)</f>
        <v>1723.3</v>
      </c>
      <c r="J35" s="31">
        <f>IFERROR(__xludf.DUMMYFUNCTION("INDEX(GOOGLEFINANCE(""NSE:""&amp;D35,""PRICE"",TODAY()-28),2,2)"),1655.6)</f>
        <v>1655.6</v>
      </c>
      <c r="K35" s="31">
        <f>IFERROR(__xludf.DUMMYFUNCTION("INDEX(GOOGLEFINANCE(""NSE:""&amp;D35,""PRICE"",TODAY()-84),2,2)"),1689.55)</f>
        <v>1689.55</v>
      </c>
      <c r="L35" s="16">
        <f t="shared" si="1"/>
        <v>-0.009881422925</v>
      </c>
      <c r="M35" s="33">
        <f t="shared" si="2"/>
        <v>-0.01682491126</v>
      </c>
      <c r="N35" s="33">
        <f t="shared" si="3"/>
        <v>-0.01154761214</v>
      </c>
      <c r="O35" s="33">
        <f t="shared" si="4"/>
        <v>0.02887170814</v>
      </c>
      <c r="P35" s="33">
        <f t="shared" si="5"/>
        <v>0.008197449025</v>
      </c>
      <c r="Q35" s="30">
        <f t="shared" si="6"/>
        <v>-0.02332324004</v>
      </c>
      <c r="R35" s="30">
        <f t="shared" si="7"/>
        <v>-0.02390442622</v>
      </c>
      <c r="S35" s="30">
        <f t="shared" si="8"/>
        <v>-0.04621510278</v>
      </c>
      <c r="T35" s="30">
        <f t="shared" si="9"/>
        <v>-0.1190633879</v>
      </c>
      <c r="U35" s="32">
        <f t="shared" si="10"/>
        <v>37</v>
      </c>
      <c r="V35" s="32">
        <f t="shared" si="11"/>
        <v>32</v>
      </c>
      <c r="W35" s="32">
        <f t="shared" si="12"/>
        <v>34</v>
      </c>
      <c r="X35" s="32">
        <f t="shared" si="13"/>
        <v>38</v>
      </c>
    </row>
    <row r="36">
      <c r="A36" s="1">
        <v>35.0</v>
      </c>
      <c r="B36" s="22" t="s">
        <v>620</v>
      </c>
      <c r="C36" s="22" t="s">
        <v>526</v>
      </c>
      <c r="D36" s="22" t="s">
        <v>212</v>
      </c>
      <c r="E36" s="23">
        <f>IFERROR(__xludf.DUMMYFUNCTION("GOOGLEFINANCE(""NSE:""&amp;D36,""marketcap"")/10000000"),46502.26861)</f>
        <v>46502.26861</v>
      </c>
      <c r="F36" s="31">
        <f>IFERROR(__xludf.DUMMYFUNCTION("GOOGLEFINANCE(""NSE:""&amp;D36)"),14325.7)</f>
        <v>14325.7</v>
      </c>
      <c r="G36" s="31">
        <f>IFERROR(__xludf.DUMMYFUNCTION("GOOGLEFINANCE(""NSE:""&amp;D36,""closeyest"")"),14072.55)</f>
        <v>14072.55</v>
      </c>
      <c r="H36" s="31">
        <f>IFERROR(__xludf.DUMMYFUNCTION("INDEX(GOOGLEFINANCE(""NSE:""&amp;D36,""PRICE"",TODAY()-7),2,2)"),13923.2)</f>
        <v>13923.2</v>
      </c>
      <c r="I36" s="31">
        <f>IFERROR(__xludf.DUMMYFUNCTION("INDEX(GOOGLEFINANCE(""NSE:""&amp;D36,""PRICE"",TODAY()-14),2,2)"),14202.9)</f>
        <v>14202.9</v>
      </c>
      <c r="J36" s="31">
        <f>IFERROR(__xludf.DUMMYFUNCTION("INDEX(GOOGLEFINANCE(""NSE:""&amp;D36,""PRICE"",TODAY()-28),2,2)"),13737.2)</f>
        <v>13737.2</v>
      </c>
      <c r="K36" s="31">
        <f>IFERROR(__xludf.DUMMYFUNCTION("INDEX(GOOGLEFINANCE(""NSE:""&amp;D36,""PRICE"",TODAY()-84),2,2)"),13537.7)</f>
        <v>13537.7</v>
      </c>
      <c r="L36" s="16">
        <f t="shared" si="1"/>
        <v>0.0179889217</v>
      </c>
      <c r="M36" s="33">
        <f t="shared" si="2"/>
        <v>0.02890858423</v>
      </c>
      <c r="N36" s="33">
        <f t="shared" si="3"/>
        <v>0.008646121567</v>
      </c>
      <c r="O36" s="33">
        <f t="shared" si="4"/>
        <v>0.04283988003</v>
      </c>
      <c r="P36" s="33">
        <f t="shared" si="5"/>
        <v>0.05820781964</v>
      </c>
      <c r="Q36" s="30">
        <f t="shared" si="6"/>
        <v>0.02241025545</v>
      </c>
      <c r="R36" s="30">
        <f t="shared" si="7"/>
        <v>-0.00371069251</v>
      </c>
      <c r="S36" s="30">
        <f t="shared" si="8"/>
        <v>-0.03224693089</v>
      </c>
      <c r="T36" s="30">
        <f t="shared" si="9"/>
        <v>-0.06905301726</v>
      </c>
      <c r="U36" s="32">
        <f t="shared" si="10"/>
        <v>13</v>
      </c>
      <c r="V36" s="32">
        <f t="shared" si="11"/>
        <v>26</v>
      </c>
      <c r="W36" s="32">
        <f t="shared" si="12"/>
        <v>30</v>
      </c>
      <c r="X36" s="32">
        <f t="shared" si="13"/>
        <v>30</v>
      </c>
    </row>
    <row r="37">
      <c r="A37" s="1">
        <v>39.0</v>
      </c>
      <c r="B37" s="22" t="s">
        <v>621</v>
      </c>
      <c r="C37" s="22" t="s">
        <v>543</v>
      </c>
      <c r="D37" s="22" t="s">
        <v>215</v>
      </c>
      <c r="E37" s="23">
        <f>IFERROR(__xludf.DUMMYFUNCTION("GOOGLEFINANCE(""NSE:""&amp;D37,""marketcap"")/10000000"),44148.77072)</f>
        <v>44148.77072</v>
      </c>
      <c r="F37" s="31">
        <f>IFERROR(__xludf.DUMMYFUNCTION("GOOGLEFINANCE(""NSE:""&amp;D37)"),2351.0)</f>
        <v>2351</v>
      </c>
      <c r="G37" s="31">
        <f>IFERROR(__xludf.DUMMYFUNCTION("GOOGLEFINANCE(""NSE:""&amp;D37,""closeyest"")"),2365.55)</f>
        <v>2365.55</v>
      </c>
      <c r="H37" s="31">
        <f>IFERROR(__xludf.DUMMYFUNCTION("INDEX(GOOGLEFINANCE(""NSE:""&amp;D37,""PRICE"",TODAY()-7),2,2)"),2394.85)</f>
        <v>2394.85</v>
      </c>
      <c r="I37" s="31">
        <f>IFERROR(__xludf.DUMMYFUNCTION("INDEX(GOOGLEFINANCE(""NSE:""&amp;D37,""PRICE"",TODAY()-14),2,2)"),2471.4)</f>
        <v>2471.4</v>
      </c>
      <c r="J37" s="31">
        <f>IFERROR(__xludf.DUMMYFUNCTION("INDEX(GOOGLEFINANCE(""NSE:""&amp;D37,""PRICE"",TODAY()-28),2,2)"),2348.1)</f>
        <v>2348.1</v>
      </c>
      <c r="K37" s="31">
        <f>IFERROR(__xludf.DUMMYFUNCTION("INDEX(GOOGLEFINANCE(""NSE:""&amp;D37,""PRICE"",TODAY()-84),2,2)"),1987.25)</f>
        <v>1987.25</v>
      </c>
      <c r="L37" s="16">
        <f t="shared" si="1"/>
        <v>-0.006150789457</v>
      </c>
      <c r="M37" s="33">
        <f t="shared" si="2"/>
        <v>-0.01831012381</v>
      </c>
      <c r="N37" s="33">
        <f t="shared" si="3"/>
        <v>-0.04871732621</v>
      </c>
      <c r="O37" s="33">
        <f t="shared" si="4"/>
        <v>0.001235041097</v>
      </c>
      <c r="P37" s="33">
        <f t="shared" si="5"/>
        <v>0.1830418921</v>
      </c>
      <c r="Q37" s="30">
        <f t="shared" si="6"/>
        <v>-0.02480845259</v>
      </c>
      <c r="R37" s="30">
        <f t="shared" si="7"/>
        <v>-0.06107414029</v>
      </c>
      <c r="S37" s="30">
        <f t="shared" si="8"/>
        <v>-0.07385176983</v>
      </c>
      <c r="T37" s="30">
        <f t="shared" si="9"/>
        <v>0.05578105516</v>
      </c>
      <c r="U37" s="32">
        <f t="shared" si="10"/>
        <v>38</v>
      </c>
      <c r="V37" s="32">
        <f t="shared" si="11"/>
        <v>46</v>
      </c>
      <c r="W37" s="32">
        <f t="shared" si="12"/>
        <v>44</v>
      </c>
      <c r="X37" s="32">
        <f t="shared" si="13"/>
        <v>17</v>
      </c>
    </row>
    <row r="38">
      <c r="A38" s="1">
        <v>27.0</v>
      </c>
      <c r="B38" s="22" t="s">
        <v>622</v>
      </c>
      <c r="C38" s="22" t="s">
        <v>528</v>
      </c>
      <c r="D38" s="22" t="s">
        <v>173</v>
      </c>
      <c r="E38" s="23">
        <f>IFERROR(__xludf.DUMMYFUNCTION("GOOGLEFINANCE(""NSE:""&amp;D38,""marketcap"")/10000000"),61106.6161064)</f>
        <v>61106.61611</v>
      </c>
      <c r="F38" s="31">
        <f>IFERROR(__xludf.DUMMYFUNCTION("GOOGLEFINANCE(""NSE:""&amp;D38)"),1522.2)</f>
        <v>1522.2</v>
      </c>
      <c r="G38" s="31">
        <f>IFERROR(__xludf.DUMMYFUNCTION("GOOGLEFINANCE(""NSE:""&amp;D38,""closeyest"")"),1543.5)</f>
        <v>1543.5</v>
      </c>
      <c r="H38" s="31">
        <f>IFERROR(__xludf.DUMMYFUNCTION("INDEX(GOOGLEFINANCE(""NSE:""&amp;D38,""PRICE"",TODAY()-7),2,2)"),1513.5)</f>
        <v>1513.5</v>
      </c>
      <c r="I38" s="31">
        <f>IFERROR(__xludf.DUMMYFUNCTION("INDEX(GOOGLEFINANCE(""NSE:""&amp;D38,""PRICE"",TODAY()-14),2,2)"),1544.55)</f>
        <v>1544.55</v>
      </c>
      <c r="J38" s="31">
        <f>IFERROR(__xludf.DUMMYFUNCTION("INDEX(GOOGLEFINANCE(""NSE:""&amp;D38,""PRICE"",TODAY()-28),2,2)"),1491.7)</f>
        <v>1491.7</v>
      </c>
      <c r="K38" s="31">
        <f>IFERROR(__xludf.DUMMYFUNCTION("INDEX(GOOGLEFINANCE(""NSE:""&amp;D38,""PRICE"",TODAY()-84),2,2)"),1477.4)</f>
        <v>1477.4</v>
      </c>
      <c r="L38" s="16">
        <f t="shared" si="1"/>
        <v>-0.01379980564</v>
      </c>
      <c r="M38" s="33">
        <f t="shared" si="2"/>
        <v>0.00574826561</v>
      </c>
      <c r="N38" s="33">
        <f t="shared" si="3"/>
        <v>-0.01447023405</v>
      </c>
      <c r="O38" s="33">
        <f t="shared" si="4"/>
        <v>0.02044647047</v>
      </c>
      <c r="P38" s="33">
        <f t="shared" si="5"/>
        <v>0.03032354136</v>
      </c>
      <c r="Q38" s="30">
        <f t="shared" si="6"/>
        <v>-0.0007500631765</v>
      </c>
      <c r="R38" s="30">
        <f t="shared" si="7"/>
        <v>-0.02682704813</v>
      </c>
      <c r="S38" s="30">
        <f t="shared" si="8"/>
        <v>-0.05464034046</v>
      </c>
      <c r="T38" s="30">
        <f t="shared" si="9"/>
        <v>-0.09693729554</v>
      </c>
      <c r="U38" s="32">
        <f t="shared" si="10"/>
        <v>21</v>
      </c>
      <c r="V38" s="32">
        <f t="shared" si="11"/>
        <v>35</v>
      </c>
      <c r="W38" s="32">
        <f t="shared" si="12"/>
        <v>39</v>
      </c>
      <c r="X38" s="32">
        <f t="shared" si="13"/>
        <v>34</v>
      </c>
    </row>
    <row r="39">
      <c r="A39" s="1">
        <v>28.0</v>
      </c>
      <c r="B39" s="22" t="s">
        <v>623</v>
      </c>
      <c r="C39" s="22" t="s">
        <v>549</v>
      </c>
      <c r="D39" s="22" t="s">
        <v>180</v>
      </c>
      <c r="E39" s="23">
        <f>IFERROR(__xludf.DUMMYFUNCTION("GOOGLEFINANCE(""NSE:""&amp;D39,""marketcap"")/10000000"),58104.5313823)</f>
        <v>58104.53138</v>
      </c>
      <c r="F39" s="31">
        <f>IFERROR(__xludf.DUMMYFUNCTION("GOOGLEFINANCE(""NSE:""&amp;D39)"),567.0)</f>
        <v>567</v>
      </c>
      <c r="G39" s="31">
        <f>IFERROR(__xludf.DUMMYFUNCTION("GOOGLEFINANCE(""NSE:""&amp;D39,""closeyest"")"),561.15)</f>
        <v>561.15</v>
      </c>
      <c r="H39" s="31">
        <f>IFERROR(__xludf.DUMMYFUNCTION("INDEX(GOOGLEFINANCE(""NSE:""&amp;D39,""PRICE"",TODAY()-7),2,2)"),557.2)</f>
        <v>557.2</v>
      </c>
      <c r="I39" s="31">
        <f>IFERROR(__xludf.DUMMYFUNCTION("INDEX(GOOGLEFINANCE(""NSE:""&amp;D39,""PRICE"",TODAY()-14),2,2)"),555.55)</f>
        <v>555.55</v>
      </c>
      <c r="J39" s="31">
        <f>IFERROR(__xludf.DUMMYFUNCTION("INDEX(GOOGLEFINANCE(""NSE:""&amp;D39,""PRICE"",TODAY()-28),2,2)"),550.55)</f>
        <v>550.55</v>
      </c>
      <c r="K39" s="31">
        <f>IFERROR(__xludf.DUMMYFUNCTION("INDEX(GOOGLEFINANCE(""NSE:""&amp;D39,""PRICE"",TODAY()-84),2,2)"),639.35)</f>
        <v>639.35</v>
      </c>
      <c r="L39" s="16">
        <f t="shared" si="1"/>
        <v>0.01042502005</v>
      </c>
      <c r="M39" s="33">
        <f t="shared" si="2"/>
        <v>0.0175879397</v>
      </c>
      <c r="N39" s="33">
        <f t="shared" si="3"/>
        <v>0.0206102061</v>
      </c>
      <c r="O39" s="33">
        <f t="shared" si="4"/>
        <v>0.0298792117</v>
      </c>
      <c r="P39" s="33">
        <f t="shared" si="5"/>
        <v>-0.113161805</v>
      </c>
      <c r="Q39" s="30">
        <f t="shared" si="6"/>
        <v>0.01108961091</v>
      </c>
      <c r="R39" s="30">
        <f t="shared" si="7"/>
        <v>0.008253392025</v>
      </c>
      <c r="S39" s="30">
        <f t="shared" si="8"/>
        <v>-0.04520759923</v>
      </c>
      <c r="T39" s="30">
        <f t="shared" si="9"/>
        <v>-0.2404226419</v>
      </c>
      <c r="U39" s="32">
        <f t="shared" si="10"/>
        <v>16</v>
      </c>
      <c r="V39" s="32">
        <f t="shared" si="11"/>
        <v>20</v>
      </c>
      <c r="W39" s="32">
        <f t="shared" si="12"/>
        <v>33</v>
      </c>
      <c r="X39" s="32">
        <f t="shared" si="13"/>
        <v>47</v>
      </c>
    </row>
    <row r="40">
      <c r="A40" s="1">
        <v>17.0</v>
      </c>
      <c r="B40" s="22" t="s">
        <v>624</v>
      </c>
      <c r="C40" s="22" t="s">
        <v>526</v>
      </c>
      <c r="D40" s="22" t="s">
        <v>143</v>
      </c>
      <c r="E40" s="23">
        <f>IFERROR(__xludf.DUMMYFUNCTION("GOOGLEFINANCE(""NSE:""&amp;D40,""marketcap"")/10000000"),79840.44078)</f>
        <v>79840.44078</v>
      </c>
      <c r="F40" s="31">
        <f>IFERROR(__xludf.DUMMYFUNCTION("GOOGLEFINANCE(""NSE:""&amp;D40)"),822.0)</f>
        <v>822</v>
      </c>
      <c r="G40" s="31">
        <f>IFERROR(__xludf.DUMMYFUNCTION("GOOGLEFINANCE(""NSE:""&amp;D40,""closeyest"")"),812.0)</f>
        <v>812</v>
      </c>
      <c r="H40" s="31">
        <f>IFERROR(__xludf.DUMMYFUNCTION("INDEX(GOOGLEFINANCE(""NSE:""&amp;D40,""PRICE"",TODAY()-7),2,2)"),818.75)</f>
        <v>818.75</v>
      </c>
      <c r="I40" s="31">
        <f>IFERROR(__xludf.DUMMYFUNCTION("INDEX(GOOGLEFINANCE(""NSE:""&amp;D40,""PRICE"",TODAY()-14),2,2)"),839.3)</f>
        <v>839.3</v>
      </c>
      <c r="J40" s="31">
        <f>IFERROR(__xludf.DUMMYFUNCTION("INDEX(GOOGLEFINANCE(""NSE:""&amp;D40,""PRICE"",TODAY()-28),2,2)"),785.85)</f>
        <v>785.85</v>
      </c>
      <c r="K40" s="31">
        <f>IFERROR(__xludf.DUMMYFUNCTION("INDEX(GOOGLEFINANCE(""NSE:""&amp;D40,""PRICE"",TODAY()-84),2,2)"),806.9)</f>
        <v>806.9</v>
      </c>
      <c r="L40" s="16">
        <f t="shared" si="1"/>
        <v>0.01231527094</v>
      </c>
      <c r="M40" s="33">
        <f t="shared" si="2"/>
        <v>0.003969465649</v>
      </c>
      <c r="N40" s="33">
        <f t="shared" si="3"/>
        <v>-0.02061241511</v>
      </c>
      <c r="O40" s="33">
        <f t="shared" si="4"/>
        <v>0.04600114526</v>
      </c>
      <c r="P40" s="33">
        <f t="shared" si="5"/>
        <v>0.01871359524</v>
      </c>
      <c r="Q40" s="30">
        <f t="shared" si="6"/>
        <v>-0.002528863137</v>
      </c>
      <c r="R40" s="30">
        <f t="shared" si="7"/>
        <v>-0.03296922918</v>
      </c>
      <c r="S40" s="30">
        <f t="shared" si="8"/>
        <v>-0.02908566567</v>
      </c>
      <c r="T40" s="30">
        <f t="shared" si="9"/>
        <v>-0.1085472417</v>
      </c>
      <c r="U40" s="32">
        <f t="shared" si="10"/>
        <v>24</v>
      </c>
      <c r="V40" s="32">
        <f t="shared" si="11"/>
        <v>37</v>
      </c>
      <c r="W40" s="32">
        <f t="shared" si="12"/>
        <v>27</v>
      </c>
      <c r="X40" s="32">
        <f t="shared" si="13"/>
        <v>35</v>
      </c>
    </row>
    <row r="41">
      <c r="A41" s="1">
        <v>26.0</v>
      </c>
      <c r="B41" s="22" t="s">
        <v>625</v>
      </c>
      <c r="C41" s="22" t="s">
        <v>528</v>
      </c>
      <c r="D41" s="22" t="s">
        <v>171</v>
      </c>
      <c r="E41" s="23">
        <f>IFERROR(__xludf.DUMMYFUNCTION("GOOGLEFINANCE(""NSE:""&amp;D41,""marketcap"")/10000000"),65911.1071523)</f>
        <v>65911.10715</v>
      </c>
      <c r="F41" s="31">
        <f>IFERROR(__xludf.DUMMYFUNCTION("GOOGLEFINANCE(""NSE:""&amp;D41)"),2781.0)</f>
        <v>2781</v>
      </c>
      <c r="G41" s="31">
        <f>IFERROR(__xludf.DUMMYFUNCTION("GOOGLEFINANCE(""NSE:""&amp;D41,""closeyest"")"),2638.1)</f>
        <v>2638.1</v>
      </c>
      <c r="H41" s="31">
        <f>IFERROR(__xludf.DUMMYFUNCTION("INDEX(GOOGLEFINANCE(""NSE:""&amp;D41,""PRICE"",TODAY()-7),2,2)"),2634.7)</f>
        <v>2634.7</v>
      </c>
      <c r="I41" s="31">
        <f>IFERROR(__xludf.DUMMYFUNCTION("INDEX(GOOGLEFINANCE(""NSE:""&amp;D41,""PRICE"",TODAY()-14),2,2)"),2570.6)</f>
        <v>2570.6</v>
      </c>
      <c r="J41" s="31">
        <f>IFERROR(__xludf.DUMMYFUNCTION("INDEX(GOOGLEFINANCE(""NSE:""&amp;D41,""PRICE"",TODAY()-28),2,2)"),2571.1)</f>
        <v>2571.1</v>
      </c>
      <c r="K41" s="31">
        <f>IFERROR(__xludf.DUMMYFUNCTION("INDEX(GOOGLEFINANCE(""NSE:""&amp;D41,""PRICE"",TODAY()-84),2,2)"),2404.75)</f>
        <v>2404.75</v>
      </c>
      <c r="L41" s="16">
        <f t="shared" si="1"/>
        <v>0.05416777226</v>
      </c>
      <c r="M41" s="33">
        <f t="shared" si="2"/>
        <v>0.05552814362</v>
      </c>
      <c r="N41" s="33">
        <f t="shared" si="3"/>
        <v>0.08184859566</v>
      </c>
      <c r="O41" s="33">
        <f t="shared" si="4"/>
        <v>0.08163820933</v>
      </c>
      <c r="P41" s="33">
        <f t="shared" si="5"/>
        <v>0.1564611706</v>
      </c>
      <c r="Q41" s="30">
        <f t="shared" si="6"/>
        <v>0.04902981484</v>
      </c>
      <c r="R41" s="30">
        <f t="shared" si="7"/>
        <v>0.06949178158</v>
      </c>
      <c r="S41" s="30">
        <f t="shared" si="8"/>
        <v>0.0065513984</v>
      </c>
      <c r="T41" s="30">
        <f t="shared" si="9"/>
        <v>0.0292003337</v>
      </c>
      <c r="U41" s="32">
        <f t="shared" si="10"/>
        <v>5</v>
      </c>
      <c r="V41" s="32">
        <f t="shared" si="11"/>
        <v>9</v>
      </c>
      <c r="W41" s="32">
        <f t="shared" si="12"/>
        <v>19</v>
      </c>
      <c r="X41" s="32">
        <f t="shared" si="13"/>
        <v>18</v>
      </c>
    </row>
    <row r="42">
      <c r="A42" s="1">
        <v>47.0</v>
      </c>
      <c r="B42" s="22" t="s">
        <v>626</v>
      </c>
      <c r="C42" s="22" t="s">
        <v>522</v>
      </c>
      <c r="D42" s="22" t="s">
        <v>267</v>
      </c>
      <c r="E42" s="23">
        <f>IFERROR(__xludf.DUMMYFUNCTION("GOOGLEFINANCE(""NSE:""&amp;D42,""marketcap"")/10000000"),37621.5384759)</f>
        <v>37621.53848</v>
      </c>
      <c r="F42" s="31">
        <f>IFERROR(__xludf.DUMMYFUNCTION("GOOGLEFINANCE(""NSE:""&amp;D42)"),537.7)</f>
        <v>537.7</v>
      </c>
      <c r="G42" s="31">
        <f>IFERROR(__xludf.DUMMYFUNCTION("GOOGLEFINANCE(""NSE:""&amp;D42,""closeyest"")"),537.65)</f>
        <v>537.65</v>
      </c>
      <c r="H42" s="31">
        <f>IFERROR(__xludf.DUMMYFUNCTION("INDEX(GOOGLEFINANCE(""NSE:""&amp;D42,""PRICE"",TODAY()-7),2,2)"),561.35)</f>
        <v>561.35</v>
      </c>
      <c r="I42" s="31">
        <f>IFERROR(__xludf.DUMMYFUNCTION("INDEX(GOOGLEFINANCE(""NSE:""&amp;D42,""PRICE"",TODAY()-14),2,2)"),591.45)</f>
        <v>591.45</v>
      </c>
      <c r="J42" s="31">
        <f>IFERROR(__xludf.DUMMYFUNCTION("INDEX(GOOGLEFINANCE(""NSE:""&amp;D42,""PRICE"",TODAY()-28),2,2)"),524.8)</f>
        <v>524.8</v>
      </c>
      <c r="K42" s="31">
        <f>IFERROR(__xludf.DUMMYFUNCTION("INDEX(GOOGLEFINANCE(""NSE:""&amp;D42,""PRICE"",TODAY()-84),2,2)"),563.65)</f>
        <v>563.65</v>
      </c>
      <c r="L42" s="16">
        <f t="shared" si="1"/>
        <v>0.00009299730308</v>
      </c>
      <c r="M42" s="33">
        <f t="shared" si="2"/>
        <v>-0.04213057807</v>
      </c>
      <c r="N42" s="33">
        <f t="shared" si="3"/>
        <v>-0.09087834982</v>
      </c>
      <c r="O42" s="33">
        <f t="shared" si="4"/>
        <v>0.02458079268</v>
      </c>
      <c r="P42" s="33">
        <f t="shared" si="5"/>
        <v>-0.04603920873</v>
      </c>
      <c r="Q42" s="30">
        <f t="shared" si="6"/>
        <v>-0.04862890686</v>
      </c>
      <c r="R42" s="30">
        <f t="shared" si="7"/>
        <v>-0.1032351639</v>
      </c>
      <c r="S42" s="30">
        <f t="shared" si="8"/>
        <v>-0.05050601824</v>
      </c>
      <c r="T42" s="30">
        <f t="shared" si="9"/>
        <v>-0.1733000456</v>
      </c>
      <c r="U42" s="32">
        <f t="shared" si="10"/>
        <v>49</v>
      </c>
      <c r="V42" s="32">
        <f t="shared" si="11"/>
        <v>49</v>
      </c>
      <c r="W42" s="32">
        <f t="shared" si="12"/>
        <v>36</v>
      </c>
      <c r="X42" s="32">
        <f t="shared" si="13"/>
        <v>42</v>
      </c>
    </row>
    <row r="43">
      <c r="A43" s="1">
        <v>48.0</v>
      </c>
      <c r="B43" s="22" t="s">
        <v>627</v>
      </c>
      <c r="C43" s="22" t="s">
        <v>522</v>
      </c>
      <c r="D43" s="22" t="s">
        <v>293</v>
      </c>
      <c r="E43" s="23">
        <f>IFERROR(__xludf.DUMMYFUNCTION("GOOGLEFINANCE(""NSE:""&amp;D43,""marketcap"")/10000000"),35122.9613567)</f>
        <v>35122.96136</v>
      </c>
      <c r="F43" s="31">
        <f>IFERROR(__xludf.DUMMYFUNCTION("GOOGLEFINANCE(""NSE:""&amp;D43)"),233.5)</f>
        <v>233.5</v>
      </c>
      <c r="G43" s="31">
        <f>IFERROR(__xludf.DUMMYFUNCTION("GOOGLEFINANCE(""NSE:""&amp;D43,""closeyest"")"),233.15)</f>
        <v>233.15</v>
      </c>
      <c r="H43" s="31">
        <f>IFERROR(__xludf.DUMMYFUNCTION("INDEX(GOOGLEFINANCE(""NSE:""&amp;D43,""PRICE"",TODAY()-7),2,2)"),232.2)</f>
        <v>232.2</v>
      </c>
      <c r="I43" s="31">
        <f>IFERROR(__xludf.DUMMYFUNCTION("INDEX(GOOGLEFINANCE(""NSE:""&amp;D43,""PRICE"",TODAY()-14),2,2)"),230.05)</f>
        <v>230.05</v>
      </c>
      <c r="J43" s="31">
        <f>IFERROR(__xludf.DUMMYFUNCTION("INDEX(GOOGLEFINANCE(""NSE:""&amp;D43,""PRICE"",TODAY()-28),2,2)"),227.85)</f>
        <v>227.85</v>
      </c>
      <c r="K43" s="31">
        <f>IFERROR(__xludf.DUMMYFUNCTION("INDEX(GOOGLEFINANCE(""NSE:""&amp;D43,""PRICE"",TODAY()-84),2,2)"),223.4)</f>
        <v>223.4</v>
      </c>
      <c r="L43" s="16">
        <f t="shared" si="1"/>
        <v>0.001501179498</v>
      </c>
      <c r="M43" s="33">
        <f t="shared" si="2"/>
        <v>0.005598621878</v>
      </c>
      <c r="N43" s="33">
        <f t="shared" si="3"/>
        <v>0.01499673984</v>
      </c>
      <c r="O43" s="33">
        <f t="shared" si="4"/>
        <v>0.02479701558</v>
      </c>
      <c r="P43" s="33">
        <f t="shared" si="5"/>
        <v>0.04521038496</v>
      </c>
      <c r="Q43" s="30">
        <f t="shared" si="6"/>
        <v>-0.0008997069083</v>
      </c>
      <c r="R43" s="30">
        <f t="shared" si="7"/>
        <v>0.002639925762</v>
      </c>
      <c r="S43" s="30">
        <f t="shared" si="8"/>
        <v>-0.05028979535</v>
      </c>
      <c r="T43" s="30">
        <f t="shared" si="9"/>
        <v>-0.08205045194</v>
      </c>
      <c r="U43" s="32">
        <f t="shared" si="10"/>
        <v>22</v>
      </c>
      <c r="V43" s="32">
        <f t="shared" si="11"/>
        <v>22</v>
      </c>
      <c r="W43" s="32">
        <f t="shared" si="12"/>
        <v>35</v>
      </c>
      <c r="X43" s="32">
        <f t="shared" si="13"/>
        <v>32</v>
      </c>
    </row>
    <row r="44">
      <c r="A44" s="1">
        <v>7.0</v>
      </c>
      <c r="B44" s="22" t="s">
        <v>628</v>
      </c>
      <c r="C44" s="22" t="s">
        <v>552</v>
      </c>
      <c r="D44" s="22" t="s">
        <v>102</v>
      </c>
      <c r="E44" s="23">
        <f>IFERROR(__xludf.DUMMYFUNCTION("GOOGLEFINANCE(""NSE:""&amp;D44,""marketcap"")/10000000"),1515.8035889)</f>
        <v>1515.803589</v>
      </c>
      <c r="F44" s="31">
        <f>IFERROR(__xludf.DUMMYFUNCTION("GOOGLEFINANCE(""NSE:""&amp;D44)"),299.0)</f>
        <v>299</v>
      </c>
      <c r="G44" s="31">
        <f>IFERROR(__xludf.DUMMYFUNCTION("GOOGLEFINANCE(""NSE:""&amp;D44,""closeyest"")"),294.9)</f>
        <v>294.9</v>
      </c>
      <c r="H44" s="31">
        <f>IFERROR(__xludf.DUMMYFUNCTION("INDEX(GOOGLEFINANCE(""NSE:""&amp;D44,""PRICE"",TODAY()-7),2,2)"),302.0)</f>
        <v>302</v>
      </c>
      <c r="I44" s="31">
        <f>IFERROR(__xludf.DUMMYFUNCTION("INDEX(GOOGLEFINANCE(""NSE:""&amp;D44,""PRICE"",TODAY()-14),2,2)"),308.55)</f>
        <v>308.55</v>
      </c>
      <c r="J44" s="31">
        <f>IFERROR(__xludf.DUMMYFUNCTION("INDEX(GOOGLEFINANCE(""NSE:""&amp;D44,""PRICE"",TODAY()-28),2,2)"),292.6)</f>
        <v>292.6</v>
      </c>
      <c r="K44" s="31">
        <f>IFERROR(__xludf.DUMMYFUNCTION("INDEX(GOOGLEFINANCE(""NSE:""&amp;D44,""PRICE"",TODAY()-84),2,2)"),262.05)</f>
        <v>262.05</v>
      </c>
      <c r="L44" s="16">
        <f t="shared" si="1"/>
        <v>0.01390301797</v>
      </c>
      <c r="M44" s="33">
        <f t="shared" si="2"/>
        <v>-0.009933774834</v>
      </c>
      <c r="N44" s="33">
        <f t="shared" si="3"/>
        <v>-0.03095122346</v>
      </c>
      <c r="O44" s="33">
        <f t="shared" si="4"/>
        <v>0.02187286398</v>
      </c>
      <c r="P44" s="33">
        <f t="shared" si="5"/>
        <v>0.1410036253</v>
      </c>
      <c r="Q44" s="30">
        <f t="shared" si="6"/>
        <v>-0.01643210362</v>
      </c>
      <c r="R44" s="30">
        <f t="shared" si="7"/>
        <v>-0.04330803754</v>
      </c>
      <c r="S44" s="30">
        <f t="shared" si="8"/>
        <v>-0.05321394695</v>
      </c>
      <c r="T44" s="30">
        <f t="shared" si="9"/>
        <v>0.01374278836</v>
      </c>
      <c r="U44" s="32">
        <f t="shared" si="10"/>
        <v>31</v>
      </c>
      <c r="V44" s="32">
        <f t="shared" si="11"/>
        <v>39</v>
      </c>
      <c r="W44" s="32">
        <f t="shared" si="12"/>
        <v>37</v>
      </c>
      <c r="X44" s="32">
        <f t="shared" si="13"/>
        <v>20</v>
      </c>
    </row>
    <row r="45">
      <c r="A45" s="1">
        <v>8.0</v>
      </c>
      <c r="B45" s="22" t="s">
        <v>629</v>
      </c>
      <c r="C45" s="22" t="s">
        <v>526</v>
      </c>
      <c r="D45" s="22" t="s">
        <v>100</v>
      </c>
      <c r="E45" s="23">
        <f>IFERROR(__xludf.DUMMYFUNCTION("GOOGLEFINANCE(""NSE:""&amp;D45,""marketcap"")/10000000"),108185.0494)</f>
        <v>108185.0494</v>
      </c>
      <c r="F45" s="31">
        <f>IFERROR(__xludf.DUMMYFUNCTION("GOOGLEFINANCE(""NSE:""&amp;D45)"),1058.0)</f>
        <v>1058</v>
      </c>
      <c r="G45" s="31">
        <f>IFERROR(__xludf.DUMMYFUNCTION("GOOGLEFINANCE(""NSE:""&amp;D45,""closeyest"")"),1054.45)</f>
        <v>1054.45</v>
      </c>
      <c r="H45" s="31">
        <f>IFERROR(__xludf.DUMMYFUNCTION("INDEX(GOOGLEFINANCE(""NSE:""&amp;D45,""PRICE"",TODAY()-7),2,2)"),1090.6)</f>
        <v>1090.6</v>
      </c>
      <c r="I45" s="31">
        <f>IFERROR(__xludf.DUMMYFUNCTION("INDEX(GOOGLEFINANCE(""NSE:""&amp;D45,""PRICE"",TODAY()-14),2,2)"),1121.25)</f>
        <v>1121.25</v>
      </c>
      <c r="J45" s="31">
        <f>IFERROR(__xludf.DUMMYFUNCTION("INDEX(GOOGLEFINANCE(""NSE:""&amp;D45,""PRICE"",TODAY()-28),2,2)"),1054.05)</f>
        <v>1054.05</v>
      </c>
      <c r="K45" s="31">
        <f>IFERROR(__xludf.DUMMYFUNCTION("INDEX(GOOGLEFINANCE(""NSE:""&amp;D45,""PRICE"",TODAY()-84),2,2)"),891.25)</f>
        <v>891.25</v>
      </c>
      <c r="L45" s="16">
        <f t="shared" si="1"/>
        <v>0.003366684053</v>
      </c>
      <c r="M45" s="33">
        <f t="shared" si="2"/>
        <v>-0.02989180268</v>
      </c>
      <c r="N45" s="33">
        <f t="shared" si="3"/>
        <v>-0.05641025641</v>
      </c>
      <c r="O45" s="33">
        <f t="shared" si="4"/>
        <v>0.003747450311</v>
      </c>
      <c r="P45" s="33">
        <f t="shared" si="5"/>
        <v>0.1870967742</v>
      </c>
      <c r="Q45" s="30">
        <f t="shared" si="6"/>
        <v>-0.03639013146</v>
      </c>
      <c r="R45" s="30">
        <f t="shared" si="7"/>
        <v>-0.06876707049</v>
      </c>
      <c r="S45" s="30">
        <f t="shared" si="8"/>
        <v>-0.07133936062</v>
      </c>
      <c r="T45" s="30">
        <f t="shared" si="9"/>
        <v>0.05983593729</v>
      </c>
      <c r="U45" s="32">
        <f t="shared" si="10"/>
        <v>45</v>
      </c>
      <c r="V45" s="32">
        <f t="shared" si="11"/>
        <v>47</v>
      </c>
      <c r="W45" s="32">
        <f t="shared" si="12"/>
        <v>43</v>
      </c>
      <c r="X45" s="32">
        <f t="shared" si="13"/>
        <v>16</v>
      </c>
    </row>
    <row r="46">
      <c r="A46" s="1">
        <v>32.0</v>
      </c>
      <c r="B46" s="22" t="s">
        <v>630</v>
      </c>
      <c r="C46" s="22" t="s">
        <v>549</v>
      </c>
      <c r="D46" s="22" t="s">
        <v>187</v>
      </c>
      <c r="E46" s="23">
        <f>IFERROR(__xludf.DUMMYFUNCTION("GOOGLEFINANCE(""NSE:""&amp;D46,""marketcap"")/10000000"),52592.0557703)</f>
        <v>52592.05577</v>
      </c>
      <c r="F46" s="31">
        <f>IFERROR(__xludf.DUMMYFUNCTION("GOOGLEFINANCE(""NSE:""&amp;D46)"),3100.65)</f>
        <v>3100.65</v>
      </c>
      <c r="G46" s="31">
        <f>IFERROR(__xludf.DUMMYFUNCTION("GOOGLEFINANCE(""NSE:""&amp;D46,""closeyest"")"),3085.5)</f>
        <v>3085.5</v>
      </c>
      <c r="H46" s="31">
        <f>IFERROR(__xludf.DUMMYFUNCTION("INDEX(GOOGLEFINANCE(""NSE:""&amp;D46,""PRICE"",TODAY()-7),2,2)"),3097.2)</f>
        <v>3097.2</v>
      </c>
      <c r="I46" s="31">
        <f>IFERROR(__xludf.DUMMYFUNCTION("INDEX(GOOGLEFINANCE(""NSE:""&amp;D46,""PRICE"",TODAY()-14),2,2)"),3126.05)</f>
        <v>3126.05</v>
      </c>
      <c r="J46" s="31">
        <f>IFERROR(__xludf.DUMMYFUNCTION("INDEX(GOOGLEFINANCE(""NSE:""&amp;D46,""PRICE"",TODAY()-28),2,2)"),3046.9)</f>
        <v>3046.9</v>
      </c>
      <c r="K46" s="31">
        <f>IFERROR(__xludf.DUMMYFUNCTION("INDEX(GOOGLEFINANCE(""NSE:""&amp;D46,""PRICE"",TODAY()-84),2,2)"),2950.35)</f>
        <v>2950.35</v>
      </c>
      <c r="L46" s="16">
        <f t="shared" si="1"/>
        <v>0.004910063199</v>
      </c>
      <c r="M46" s="33">
        <f t="shared" si="2"/>
        <v>0.001113909337</v>
      </c>
      <c r="N46" s="33">
        <f t="shared" si="3"/>
        <v>-0.008125269909</v>
      </c>
      <c r="O46" s="33">
        <f t="shared" si="4"/>
        <v>0.0176408809</v>
      </c>
      <c r="P46" s="33">
        <f t="shared" si="5"/>
        <v>0.05094310844</v>
      </c>
      <c r="Q46" s="30">
        <f t="shared" si="6"/>
        <v>-0.005384419449</v>
      </c>
      <c r="R46" s="30">
        <f t="shared" si="7"/>
        <v>-0.02048208399</v>
      </c>
      <c r="S46" s="30">
        <f t="shared" si="8"/>
        <v>-0.05744593003</v>
      </c>
      <c r="T46" s="30">
        <f t="shared" si="9"/>
        <v>-0.07631772846</v>
      </c>
      <c r="U46" s="32">
        <f t="shared" si="10"/>
        <v>25</v>
      </c>
      <c r="V46" s="32">
        <f t="shared" si="11"/>
        <v>30</v>
      </c>
      <c r="W46" s="32">
        <f t="shared" si="12"/>
        <v>41</v>
      </c>
      <c r="X46" s="32">
        <f t="shared" si="13"/>
        <v>31</v>
      </c>
    </row>
    <row r="47">
      <c r="A47" s="1">
        <v>34.0</v>
      </c>
      <c r="B47" s="22" t="s">
        <v>631</v>
      </c>
      <c r="C47" s="22" t="s">
        <v>549</v>
      </c>
      <c r="D47" s="22" t="s">
        <v>203</v>
      </c>
      <c r="E47" s="23">
        <f>IFERROR(__xludf.DUMMYFUNCTION("GOOGLEFINANCE(""NSE:""&amp;D47,""marketcap"")/10000000"),47377.6600124)</f>
        <v>47377.66001</v>
      </c>
      <c r="F47" s="31">
        <f>IFERROR(__xludf.DUMMYFUNCTION("GOOGLEFINANCE(""NSE:""&amp;D47)"),3957.0)</f>
        <v>3957</v>
      </c>
      <c r="G47" s="31">
        <f>IFERROR(__xludf.DUMMYFUNCTION("GOOGLEFINANCE(""NSE:""&amp;D47,""closeyest"")"),3894.6)</f>
        <v>3894.6</v>
      </c>
      <c r="H47" s="31">
        <f>IFERROR(__xludf.DUMMYFUNCTION("INDEX(GOOGLEFINANCE(""NSE:""&amp;D47,""PRICE"",TODAY()-7),2,2)"),3824.95)</f>
        <v>3824.95</v>
      </c>
      <c r="I47" s="31">
        <f>IFERROR(__xludf.DUMMYFUNCTION("INDEX(GOOGLEFINANCE(""NSE:""&amp;D47,""PRICE"",TODAY()-14),2,2)"),3823.85)</f>
        <v>3823.85</v>
      </c>
      <c r="J47" s="31">
        <f>IFERROR(__xludf.DUMMYFUNCTION("INDEX(GOOGLEFINANCE(""NSE:""&amp;D47,""PRICE"",TODAY()-28),2,2)"),3887.65)</f>
        <v>3887.65</v>
      </c>
      <c r="K47" s="31">
        <f>IFERROR(__xludf.DUMMYFUNCTION("INDEX(GOOGLEFINANCE(""NSE:""&amp;D47,""PRICE"",TODAY()-84),2,2)"),3194.5)</f>
        <v>3194.5</v>
      </c>
      <c r="L47" s="16">
        <f t="shared" si="1"/>
        <v>0.01602218456</v>
      </c>
      <c r="M47" s="33">
        <f t="shared" si="2"/>
        <v>0.0345233271</v>
      </c>
      <c r="N47" s="33">
        <f t="shared" si="3"/>
        <v>0.03482092655</v>
      </c>
      <c r="O47" s="33">
        <f t="shared" si="4"/>
        <v>0.01783853999</v>
      </c>
      <c r="P47" s="33">
        <f t="shared" si="5"/>
        <v>0.238691501</v>
      </c>
      <c r="Q47" s="30">
        <f t="shared" si="6"/>
        <v>0.02802499832</v>
      </c>
      <c r="R47" s="30">
        <f t="shared" si="7"/>
        <v>0.02246411248</v>
      </c>
      <c r="S47" s="30">
        <f t="shared" si="8"/>
        <v>-0.05724827093</v>
      </c>
      <c r="T47" s="30">
        <f t="shared" si="9"/>
        <v>0.1114306641</v>
      </c>
      <c r="U47" s="32">
        <f t="shared" si="10"/>
        <v>11</v>
      </c>
      <c r="V47" s="32">
        <f t="shared" si="11"/>
        <v>14</v>
      </c>
      <c r="W47" s="32">
        <f t="shared" si="12"/>
        <v>40</v>
      </c>
      <c r="X47" s="32">
        <f t="shared" si="13"/>
        <v>13</v>
      </c>
    </row>
    <row r="48">
      <c r="A48" s="1">
        <v>43.0</v>
      </c>
      <c r="B48" s="22" t="s">
        <v>632</v>
      </c>
      <c r="C48" s="22" t="s">
        <v>549</v>
      </c>
      <c r="D48" s="22" t="s">
        <v>219</v>
      </c>
      <c r="E48" s="23">
        <f>IFERROR(__xludf.DUMMYFUNCTION("GOOGLEFINANCE(""NSE:""&amp;D48,""marketcap"")/10000000"),42709.9128088)</f>
        <v>42709.91281</v>
      </c>
      <c r="F48" s="31">
        <f>IFERROR(__xludf.DUMMYFUNCTION("GOOGLEFINANCE(""NSE:""&amp;D48)"),938.9)</f>
        <v>938.9</v>
      </c>
      <c r="G48" s="31">
        <f>IFERROR(__xludf.DUMMYFUNCTION("GOOGLEFINANCE(""NSE:""&amp;D48,""closeyest"")"),940.0)</f>
        <v>940</v>
      </c>
      <c r="H48" s="31">
        <f>IFERROR(__xludf.DUMMYFUNCTION("INDEX(GOOGLEFINANCE(""NSE:""&amp;D48,""PRICE"",TODAY()-7),2,2)"),950.95)</f>
        <v>950.95</v>
      </c>
      <c r="I48" s="31">
        <f>IFERROR(__xludf.DUMMYFUNCTION("INDEX(GOOGLEFINANCE(""NSE:""&amp;D48,""PRICE"",TODAY()-14),2,2)"),984.1)</f>
        <v>984.1</v>
      </c>
      <c r="J48" s="31">
        <f>IFERROR(__xludf.DUMMYFUNCTION("INDEX(GOOGLEFINANCE(""NSE:""&amp;D48,""PRICE"",TODAY()-28),2,2)"),940.1)</f>
        <v>940.1</v>
      </c>
      <c r="K48" s="31">
        <f>IFERROR(__xludf.DUMMYFUNCTION("INDEX(GOOGLEFINANCE(""NSE:""&amp;D48,""PRICE"",TODAY()-84),2,2)"),1160.5)</f>
        <v>1160.5</v>
      </c>
      <c r="L48" s="16">
        <f t="shared" si="1"/>
        <v>-0.001170212766</v>
      </c>
      <c r="M48" s="33">
        <f t="shared" si="2"/>
        <v>-0.01267153899</v>
      </c>
      <c r="N48" s="33">
        <f t="shared" si="3"/>
        <v>-0.04593029164</v>
      </c>
      <c r="O48" s="33">
        <f t="shared" si="4"/>
        <v>-0.001276459951</v>
      </c>
      <c r="P48" s="33">
        <f t="shared" si="5"/>
        <v>-0.1909521758</v>
      </c>
      <c r="Q48" s="30">
        <f t="shared" si="6"/>
        <v>-0.01916986777</v>
      </c>
      <c r="R48" s="30">
        <f t="shared" si="7"/>
        <v>-0.05828710571</v>
      </c>
      <c r="S48" s="30">
        <f t="shared" si="8"/>
        <v>-0.07636327088</v>
      </c>
      <c r="T48" s="30">
        <f t="shared" si="9"/>
        <v>-0.3182130127</v>
      </c>
      <c r="U48" s="32">
        <f t="shared" si="10"/>
        <v>34</v>
      </c>
      <c r="V48" s="32">
        <f t="shared" si="11"/>
        <v>45</v>
      </c>
      <c r="W48" s="32">
        <f t="shared" si="12"/>
        <v>45</v>
      </c>
      <c r="X48" s="32">
        <f t="shared" si="13"/>
        <v>48</v>
      </c>
    </row>
    <row r="49">
      <c r="A49" s="1">
        <v>25.0</v>
      </c>
      <c r="B49" s="22" t="s">
        <v>633</v>
      </c>
      <c r="C49" s="22" t="s">
        <v>549</v>
      </c>
      <c r="D49" s="22" t="s">
        <v>169</v>
      </c>
      <c r="E49" s="23">
        <f>IFERROR(__xludf.DUMMYFUNCTION("GOOGLEFINANCE(""NSE:""&amp;D49,""marketcap"")/10000000"),64085.31642)</f>
        <v>64085.31642</v>
      </c>
      <c r="F49" s="31">
        <f>IFERROR(__xludf.DUMMYFUNCTION("GOOGLEFINANCE(""NSE:""&amp;D49)"),3902.0)</f>
        <v>3902</v>
      </c>
      <c r="G49" s="31">
        <f>IFERROR(__xludf.DUMMYFUNCTION("GOOGLEFINANCE(""NSE:""&amp;D49,""closeyest"")"),3877.15)</f>
        <v>3877.15</v>
      </c>
      <c r="H49" s="31">
        <f>IFERROR(__xludf.DUMMYFUNCTION("INDEX(GOOGLEFINANCE(""NSE:""&amp;D49,""PRICE"",TODAY()-7),2,2)"),3962.9)</f>
        <v>3962.9</v>
      </c>
      <c r="I49" s="31">
        <f>IFERROR(__xludf.DUMMYFUNCTION("INDEX(GOOGLEFINANCE(""NSE:""&amp;D49,""PRICE"",TODAY()-14),2,2)"),3810.0)</f>
        <v>3810</v>
      </c>
      <c r="J49" s="31">
        <f>IFERROR(__xludf.DUMMYFUNCTION("INDEX(GOOGLEFINANCE(""NSE:""&amp;D49,""PRICE"",TODAY()-28),2,2)"),3930.25)</f>
        <v>3930.25</v>
      </c>
      <c r="K49" s="31">
        <f>IFERROR(__xludf.DUMMYFUNCTION("INDEX(GOOGLEFINANCE(""NSE:""&amp;D49,""PRICE"",TODAY()-84),2,2)"),3462.6)</f>
        <v>3462.6</v>
      </c>
      <c r="L49" s="16">
        <f t="shared" si="1"/>
        <v>0.006409347072</v>
      </c>
      <c r="M49" s="33">
        <f t="shared" si="2"/>
        <v>-0.01536753388</v>
      </c>
      <c r="N49" s="33">
        <f t="shared" si="3"/>
        <v>0.02414698163</v>
      </c>
      <c r="O49" s="33">
        <f t="shared" si="4"/>
        <v>-0.007187837924</v>
      </c>
      <c r="P49" s="33">
        <f t="shared" si="5"/>
        <v>0.1268988621</v>
      </c>
      <c r="Q49" s="30">
        <f t="shared" si="6"/>
        <v>-0.02186586266</v>
      </c>
      <c r="R49" s="30">
        <f t="shared" si="7"/>
        <v>0.01179016755</v>
      </c>
      <c r="S49" s="30">
        <f t="shared" si="8"/>
        <v>-0.08227464885</v>
      </c>
      <c r="T49" s="30">
        <f t="shared" si="9"/>
        <v>-0.0003619747738</v>
      </c>
      <c r="U49" s="32">
        <f t="shared" si="10"/>
        <v>36</v>
      </c>
      <c r="V49" s="32">
        <f t="shared" si="11"/>
        <v>18</v>
      </c>
      <c r="W49" s="32">
        <f t="shared" si="12"/>
        <v>46</v>
      </c>
      <c r="X49" s="32">
        <f t="shared" si="13"/>
        <v>21</v>
      </c>
    </row>
    <row r="50">
      <c r="A50" s="1">
        <v>18.0</v>
      </c>
      <c r="B50" s="22" t="s">
        <v>634</v>
      </c>
      <c r="C50" s="22" t="s">
        <v>635</v>
      </c>
      <c r="D50" s="22" t="s">
        <v>136</v>
      </c>
      <c r="E50" s="23">
        <f>IFERROR(__xludf.DUMMYFUNCTION("GOOGLEFINANCE(""NSE:""&amp;D50,""marketcap"")/10000000"),77100.0233)</f>
        <v>77100.0233</v>
      </c>
      <c r="F50" s="31">
        <f>IFERROR(__xludf.DUMMYFUNCTION("GOOGLEFINANCE(""NSE:""&amp;D50)"),2165.0)</f>
        <v>2165</v>
      </c>
      <c r="G50" s="31">
        <f>IFERROR(__xludf.DUMMYFUNCTION("GOOGLEFINANCE(""NSE:""&amp;D50,""closeyest"")"),2161.95)</f>
        <v>2161.95</v>
      </c>
      <c r="H50" s="31">
        <f>IFERROR(__xludf.DUMMYFUNCTION("INDEX(GOOGLEFINANCE(""NSE:""&amp;D50,""PRICE"",TODAY()-7),2,2)"),2180.55)</f>
        <v>2180.55</v>
      </c>
      <c r="I50" s="31">
        <f>IFERROR(__xludf.DUMMYFUNCTION("INDEX(GOOGLEFINANCE(""NSE:""&amp;D50,""PRICE"",TODAY()-14),2,2)"),2208.55)</f>
        <v>2208.55</v>
      </c>
      <c r="J50" s="31">
        <f>IFERROR(__xludf.DUMMYFUNCTION("INDEX(GOOGLEFINANCE(""NSE:""&amp;D50,""PRICE"",TODAY()-28),2,2)"),2222.2)</f>
        <v>2222.2</v>
      </c>
      <c r="K50" s="31">
        <f>IFERROR(__xludf.DUMMYFUNCTION("INDEX(GOOGLEFINANCE(""NSE:""&amp;D50,""PRICE"",TODAY()-84),2,2)"),2019.8)</f>
        <v>2019.8</v>
      </c>
      <c r="L50" s="16">
        <f t="shared" si="1"/>
        <v>0.001410763431</v>
      </c>
      <c r="M50" s="33">
        <f t="shared" si="2"/>
        <v>-0.00713122836</v>
      </c>
      <c r="N50" s="33">
        <f t="shared" si="3"/>
        <v>-0.01971882004</v>
      </c>
      <c r="O50" s="33">
        <f t="shared" si="4"/>
        <v>-0.0257402574</v>
      </c>
      <c r="P50" s="33">
        <f t="shared" si="5"/>
        <v>0.07188830577</v>
      </c>
      <c r="Q50" s="30">
        <f t="shared" si="6"/>
        <v>-0.01362955715</v>
      </c>
      <c r="R50" s="30">
        <f t="shared" si="7"/>
        <v>-0.03207563412</v>
      </c>
      <c r="S50" s="30">
        <f t="shared" si="8"/>
        <v>-0.1008270683</v>
      </c>
      <c r="T50" s="30">
        <f t="shared" si="9"/>
        <v>-0.05537253113</v>
      </c>
      <c r="U50" s="32">
        <f t="shared" si="10"/>
        <v>29</v>
      </c>
      <c r="V50" s="32">
        <f t="shared" si="11"/>
        <v>36</v>
      </c>
      <c r="W50" s="32">
        <f t="shared" si="12"/>
        <v>48</v>
      </c>
      <c r="X50" s="32">
        <f t="shared" si="13"/>
        <v>28</v>
      </c>
    </row>
    <row r="51">
      <c r="A51" s="1">
        <v>10.0</v>
      </c>
      <c r="B51" s="22" t="s">
        <v>636</v>
      </c>
      <c r="C51" s="22" t="s">
        <v>528</v>
      </c>
      <c r="D51" s="22" t="s">
        <v>112</v>
      </c>
      <c r="E51" s="23">
        <f>IFERROR(__xludf.DUMMYFUNCTION("GOOGLEFINANCE(""NSE:""&amp;D51,""marketcap"")/10000000"),98867.1153855)</f>
        <v>98867.11539</v>
      </c>
      <c r="F51" s="31">
        <f>IFERROR(__xludf.DUMMYFUNCTION("GOOGLEFINANCE(""NSE:""&amp;D51)"),1044.0)</f>
        <v>1044</v>
      </c>
      <c r="G51" s="31">
        <f>IFERROR(__xludf.DUMMYFUNCTION("GOOGLEFINANCE(""NSE:""&amp;D51,""closeyest"")"),1062.55)</f>
        <v>1062.55</v>
      </c>
      <c r="H51" s="31">
        <f>IFERROR(__xludf.DUMMYFUNCTION("INDEX(GOOGLEFINANCE(""NSE:""&amp;D51,""PRICE"",TODAY()-7),2,2)"),1078.05)</f>
        <v>1078.05</v>
      </c>
      <c r="I51" s="31">
        <f>IFERROR(__xludf.DUMMYFUNCTION("INDEX(GOOGLEFINANCE(""NSE:""&amp;D51,""PRICE"",TODAY()-14),2,2)"),1085.95)</f>
        <v>1085.95</v>
      </c>
      <c r="J51" s="31">
        <f>IFERROR(__xludf.DUMMYFUNCTION("INDEX(GOOGLEFINANCE(""NSE:""&amp;D51,""PRICE"",TODAY()-28),2,2)"),1091.0)</f>
        <v>1091</v>
      </c>
      <c r="K51" s="31">
        <f>IFERROR(__xludf.DUMMYFUNCTION("INDEX(GOOGLEFINANCE(""NSE:""&amp;D51,""PRICE"",TODAY()-84),2,2)"),983.7)</f>
        <v>983.7</v>
      </c>
      <c r="L51" s="16">
        <f t="shared" si="1"/>
        <v>-0.01745800198</v>
      </c>
      <c r="M51" s="33">
        <f t="shared" si="2"/>
        <v>-0.0315848059</v>
      </c>
      <c r="N51" s="33">
        <f t="shared" si="3"/>
        <v>-0.03862977117</v>
      </c>
      <c r="O51" s="33">
        <f t="shared" si="4"/>
        <v>-0.04307974335</v>
      </c>
      <c r="P51" s="33">
        <f t="shared" si="5"/>
        <v>0.06129917658</v>
      </c>
      <c r="Q51" s="30">
        <f t="shared" si="6"/>
        <v>-0.03808313469</v>
      </c>
      <c r="R51" s="30">
        <f t="shared" si="7"/>
        <v>-0.05098658524</v>
      </c>
      <c r="S51" s="30">
        <f t="shared" si="8"/>
        <v>-0.1181665543</v>
      </c>
      <c r="T51" s="30">
        <f t="shared" si="9"/>
        <v>-0.06596166032</v>
      </c>
      <c r="U51" s="32">
        <f t="shared" si="10"/>
        <v>47</v>
      </c>
      <c r="V51" s="32">
        <f t="shared" si="11"/>
        <v>41</v>
      </c>
      <c r="W51" s="32">
        <f t="shared" si="12"/>
        <v>49</v>
      </c>
      <c r="X51" s="32">
        <f t="shared" si="13"/>
        <v>29</v>
      </c>
    </row>
    <row r="52">
      <c r="A52" s="1">
        <v>44.0</v>
      </c>
      <c r="B52" s="22" t="s">
        <v>637</v>
      </c>
      <c r="C52" s="22" t="s">
        <v>552</v>
      </c>
      <c r="D52" s="22" t="s">
        <v>208</v>
      </c>
      <c r="E52" s="23">
        <f>IFERROR(__xludf.DUMMYFUNCTION("GOOGLEFINANCE(""NSE:""&amp;D52,""marketcap"")/10000000"),41878.3579513)</f>
        <v>41878.35795</v>
      </c>
      <c r="F52" s="31">
        <f>IFERROR(__xludf.DUMMYFUNCTION("GOOGLEFINANCE(""NSE:""&amp;D52)"),142.85)</f>
        <v>142.85</v>
      </c>
      <c r="G52" s="31">
        <f>IFERROR(__xludf.DUMMYFUNCTION("GOOGLEFINANCE(""NSE:""&amp;D52,""closeyest"")"),144.6)</f>
        <v>144.6</v>
      </c>
      <c r="H52" s="31">
        <f>IFERROR(__xludf.DUMMYFUNCTION("INDEX(GOOGLEFINANCE(""NSE:""&amp;D52,""PRICE"",TODAY()-7),2,2)"),147.4)</f>
        <v>147.4</v>
      </c>
      <c r="I52" s="31">
        <f>IFERROR(__xludf.DUMMYFUNCTION("INDEX(GOOGLEFINANCE(""NSE:""&amp;D52,""PRICE"",TODAY()-14),2,2)"),151.55)</f>
        <v>151.55</v>
      </c>
      <c r="J52" s="31">
        <f>IFERROR(__xludf.DUMMYFUNCTION("INDEX(GOOGLEFINANCE(""NSE:""&amp;D52,""PRICE"",TODAY()-28),2,2)"),152.2)</f>
        <v>152.2</v>
      </c>
      <c r="K52" s="31">
        <f>IFERROR(__xludf.DUMMYFUNCTION("INDEX(GOOGLEFINANCE(""NSE:""&amp;D52,""PRICE"",TODAY()-84),2,2)"),182.95)</f>
        <v>182.95</v>
      </c>
      <c r="L52" s="16">
        <f t="shared" si="1"/>
        <v>-0.01210235131</v>
      </c>
      <c r="M52" s="33">
        <f t="shared" si="2"/>
        <v>-0.03086838535</v>
      </c>
      <c r="N52" s="33">
        <f t="shared" si="3"/>
        <v>-0.05740679644</v>
      </c>
      <c r="O52" s="33">
        <f t="shared" si="4"/>
        <v>-0.06143232589</v>
      </c>
      <c r="P52" s="33">
        <f t="shared" si="5"/>
        <v>-0.2191855698</v>
      </c>
      <c r="Q52" s="30">
        <f t="shared" si="6"/>
        <v>-0.03736671413</v>
      </c>
      <c r="R52" s="30">
        <f t="shared" si="7"/>
        <v>-0.06976361051</v>
      </c>
      <c r="S52" s="30">
        <f t="shared" si="8"/>
        <v>-0.1365191368</v>
      </c>
      <c r="T52" s="30">
        <f t="shared" si="9"/>
        <v>-0.3464464067</v>
      </c>
      <c r="U52" s="32">
        <f t="shared" si="10"/>
        <v>46</v>
      </c>
      <c r="V52" s="32">
        <f t="shared" si="11"/>
        <v>48</v>
      </c>
      <c r="W52" s="32">
        <f t="shared" si="12"/>
        <v>50</v>
      </c>
      <c r="X52" s="32">
        <f t="shared" si="13"/>
        <v>49</v>
      </c>
    </row>
    <row r="53">
      <c r="A53" s="1">
        <v>4.0</v>
      </c>
      <c r="B53" s="22" t="s">
        <v>638</v>
      </c>
      <c r="C53" s="22" t="s">
        <v>552</v>
      </c>
      <c r="D53" s="22" t="s">
        <v>73</v>
      </c>
      <c r="E53" s="23">
        <f>IFERROR(__xludf.DUMMYFUNCTION("GOOGLEFINANCE(""NSE:""&amp;D53,""marketcap"")/10000000"),162156.5988943)</f>
        <v>162156.5989</v>
      </c>
      <c r="F53" s="31">
        <f>IFERROR(__xludf.DUMMYFUNCTION("GOOGLEFINANCE(""NSE:""&amp;D53)"),1475.6)</f>
        <v>1475.6</v>
      </c>
      <c r="G53" s="31">
        <f>IFERROR(__xludf.DUMMYFUNCTION("GOOGLEFINANCE(""NSE:""&amp;D53,""closeyest"")"),1437.75)</f>
        <v>1437.75</v>
      </c>
      <c r="H53" s="31">
        <f>IFERROR(__xludf.DUMMYFUNCTION("INDEX(GOOGLEFINANCE(""NSE:""&amp;D53,""PRICE"",TODAY()-7),2,2)"),1480.25)</f>
        <v>1480.25</v>
      </c>
      <c r="I53" s="31">
        <f>IFERROR(__xludf.DUMMYFUNCTION("INDEX(GOOGLEFINANCE(""NSE:""&amp;D53,""PRICE"",TODAY()-14),2,2)"),1532.45)</f>
        <v>1532.45</v>
      </c>
      <c r="J53" s="31">
        <f>IFERROR(__xludf.DUMMYFUNCTION("INDEX(GOOGLEFINANCE(""NSE:""&amp;D53,""PRICE"",TODAY()-28),2,2)"),1506.05)</f>
        <v>1506.05</v>
      </c>
      <c r="K53" s="31">
        <f>IFERROR(__xludf.DUMMYFUNCTION("INDEX(GOOGLEFINANCE(""NSE:""&amp;D53,""PRICE"",TODAY()-84),2,2)"),1422.05)</f>
        <v>1422.05</v>
      </c>
      <c r="L53" s="16">
        <f t="shared" si="1"/>
        <v>0.02632585637</v>
      </c>
      <c r="M53" s="33">
        <f t="shared" si="2"/>
        <v>-0.003141361257</v>
      </c>
      <c r="N53" s="33">
        <f t="shared" si="3"/>
        <v>-0.03709745832</v>
      </c>
      <c r="O53" s="33">
        <f t="shared" si="4"/>
        <v>-0.02021845224</v>
      </c>
      <c r="P53" s="33">
        <f t="shared" si="5"/>
        <v>0.03765690377</v>
      </c>
      <c r="Q53" s="30">
        <f t="shared" si="6"/>
        <v>-0.009639690043</v>
      </c>
      <c r="R53" s="30">
        <f t="shared" si="7"/>
        <v>-0.0494542724</v>
      </c>
      <c r="S53" s="30">
        <f t="shared" si="8"/>
        <v>-0.09530526317</v>
      </c>
      <c r="T53" s="30">
        <f t="shared" si="9"/>
        <v>-0.08960393313</v>
      </c>
      <c r="U53" s="32">
        <f t="shared" si="10"/>
        <v>27</v>
      </c>
      <c r="V53" s="32">
        <f t="shared" si="11"/>
        <v>40</v>
      </c>
      <c r="W53" s="32">
        <f t="shared" si="12"/>
        <v>47</v>
      </c>
      <c r="X53" s="32">
        <f t="shared" si="13"/>
        <v>33</v>
      </c>
    </row>
    <row r="54">
      <c r="E54" s="23"/>
      <c r="F54" s="31"/>
      <c r="G54" s="31"/>
      <c r="H54" s="31"/>
      <c r="I54" s="31"/>
      <c r="J54" s="31"/>
      <c r="K54" s="31"/>
      <c r="L54" s="16"/>
      <c r="M54" s="33"/>
      <c r="N54" s="33"/>
      <c r="O54" s="33"/>
      <c r="P54" s="33"/>
      <c r="Q54" s="30"/>
      <c r="R54" s="30"/>
      <c r="S54" s="30"/>
      <c r="T54" s="30"/>
    </row>
    <row r="55">
      <c r="E55" s="23"/>
      <c r="L55" s="16"/>
      <c r="Q55" s="30"/>
      <c r="R55" s="30"/>
      <c r="S55" s="30"/>
      <c r="T55" s="30"/>
    </row>
    <row r="56">
      <c r="E56" s="23"/>
      <c r="L56" s="16"/>
      <c r="Q56" s="30"/>
      <c r="R56" s="30"/>
      <c r="S56" s="30"/>
      <c r="T56" s="30"/>
    </row>
    <row r="57">
      <c r="E57" s="23"/>
      <c r="L57" s="16"/>
      <c r="Q57" s="30"/>
      <c r="R57" s="30"/>
      <c r="S57" s="30"/>
      <c r="T57" s="30"/>
    </row>
    <row r="58">
      <c r="E58" s="23"/>
      <c r="L58" s="16"/>
      <c r="Q58" s="30"/>
      <c r="R58" s="30"/>
      <c r="S58" s="30"/>
      <c r="T58" s="30"/>
    </row>
    <row r="59">
      <c r="E59" s="23"/>
      <c r="L59" s="16"/>
      <c r="Q59" s="30"/>
      <c r="R59" s="30"/>
      <c r="S59" s="30"/>
      <c r="T59" s="30"/>
    </row>
    <row r="60">
      <c r="E60" s="23"/>
      <c r="L60" s="16"/>
      <c r="Q60" s="30"/>
      <c r="R60" s="30"/>
      <c r="S60" s="30"/>
      <c r="T60" s="30"/>
    </row>
    <row r="61">
      <c r="E61" s="23"/>
      <c r="L61" s="16"/>
      <c r="Q61" s="30"/>
      <c r="R61" s="30"/>
      <c r="S61" s="30"/>
      <c r="T61" s="30"/>
    </row>
    <row r="62">
      <c r="E62" s="23"/>
      <c r="L62" s="16"/>
      <c r="Q62" s="30"/>
      <c r="R62" s="30"/>
      <c r="S62" s="30"/>
      <c r="T62" s="30"/>
    </row>
    <row r="63">
      <c r="E63" s="23"/>
      <c r="L63" s="16"/>
      <c r="Q63" s="30"/>
      <c r="R63" s="30"/>
      <c r="S63" s="30"/>
      <c r="T63" s="30"/>
    </row>
    <row r="64">
      <c r="E64" s="23"/>
      <c r="L64" s="16"/>
      <c r="Q64" s="30"/>
      <c r="R64" s="30"/>
      <c r="S64" s="30"/>
      <c r="T64" s="30"/>
    </row>
    <row r="65">
      <c r="E65" s="23"/>
      <c r="L65" s="16"/>
      <c r="Q65" s="30"/>
      <c r="R65" s="30"/>
      <c r="S65" s="30"/>
      <c r="T65" s="30"/>
    </row>
    <row r="66">
      <c r="E66" s="23"/>
      <c r="L66" s="16"/>
      <c r="Q66" s="30"/>
      <c r="R66" s="30"/>
      <c r="S66" s="30"/>
      <c r="T66" s="30"/>
    </row>
    <row r="67">
      <c r="E67" s="23"/>
      <c r="L67" s="16"/>
      <c r="Q67" s="30"/>
      <c r="R67" s="30"/>
      <c r="S67" s="30"/>
      <c r="T67" s="30"/>
    </row>
    <row r="68">
      <c r="E68" s="23"/>
      <c r="L68" s="16"/>
      <c r="Q68" s="30"/>
      <c r="R68" s="30"/>
      <c r="S68" s="30"/>
      <c r="T68" s="30"/>
    </row>
    <row r="69">
      <c r="E69" s="23"/>
      <c r="L69" s="16"/>
      <c r="Q69" s="30"/>
      <c r="R69" s="30"/>
      <c r="S69" s="30"/>
      <c r="T69" s="30"/>
    </row>
    <row r="70">
      <c r="E70" s="23"/>
      <c r="L70" s="16"/>
      <c r="Q70" s="30"/>
      <c r="R70" s="30"/>
      <c r="S70" s="30"/>
      <c r="T70" s="30"/>
    </row>
    <row r="71">
      <c r="E71" s="23"/>
      <c r="L71" s="16"/>
      <c r="Q71" s="30"/>
      <c r="R71" s="30"/>
      <c r="S71" s="30"/>
      <c r="T71" s="30"/>
    </row>
    <row r="72">
      <c r="E72" s="23"/>
      <c r="L72" s="16"/>
      <c r="Q72" s="30"/>
      <c r="R72" s="30"/>
      <c r="S72" s="30"/>
      <c r="T72" s="30"/>
    </row>
    <row r="73">
      <c r="E73" s="23"/>
      <c r="L73" s="16"/>
      <c r="Q73" s="30"/>
      <c r="R73" s="30"/>
      <c r="S73" s="30"/>
      <c r="T73" s="30"/>
    </row>
    <row r="74">
      <c r="E74" s="23"/>
      <c r="L74" s="16"/>
      <c r="Q74" s="30"/>
      <c r="R74" s="30"/>
      <c r="S74" s="30"/>
      <c r="T74" s="30"/>
    </row>
    <row r="75">
      <c r="E75" s="23"/>
      <c r="L75" s="16"/>
      <c r="Q75" s="30"/>
      <c r="R75" s="30"/>
      <c r="S75" s="30"/>
      <c r="T75" s="30"/>
    </row>
    <row r="76">
      <c r="E76" s="23"/>
      <c r="L76" s="16"/>
      <c r="Q76" s="30"/>
      <c r="R76" s="30"/>
      <c r="S76" s="30"/>
      <c r="T76" s="30"/>
    </row>
    <row r="77">
      <c r="E77" s="23"/>
      <c r="L77" s="16"/>
      <c r="Q77" s="30"/>
      <c r="R77" s="30"/>
      <c r="S77" s="30"/>
      <c r="T77" s="30"/>
    </row>
    <row r="78">
      <c r="E78" s="23"/>
      <c r="L78" s="16"/>
      <c r="Q78" s="30"/>
      <c r="R78" s="30"/>
      <c r="S78" s="30"/>
      <c r="T78" s="30"/>
    </row>
    <row r="79">
      <c r="E79" s="23"/>
      <c r="L79" s="16"/>
      <c r="Q79" s="30"/>
      <c r="R79" s="30"/>
      <c r="S79" s="30"/>
      <c r="T79" s="30"/>
    </row>
    <row r="80">
      <c r="E80" s="23"/>
      <c r="L80" s="16"/>
      <c r="Q80" s="30"/>
      <c r="R80" s="30"/>
      <c r="S80" s="30"/>
      <c r="T80" s="30"/>
    </row>
    <row r="81">
      <c r="E81" s="23"/>
      <c r="L81" s="16"/>
      <c r="Q81" s="30"/>
      <c r="R81" s="30"/>
      <c r="S81" s="30"/>
      <c r="T81" s="30"/>
    </row>
    <row r="82">
      <c r="E82" s="23"/>
      <c r="L82" s="16"/>
      <c r="Q82" s="30"/>
      <c r="R82" s="30"/>
      <c r="S82" s="30"/>
      <c r="T82" s="30"/>
    </row>
    <row r="83">
      <c r="E83" s="23"/>
      <c r="L83" s="16"/>
      <c r="Q83" s="30"/>
      <c r="R83" s="30"/>
      <c r="S83" s="30"/>
      <c r="T83" s="30"/>
    </row>
    <row r="84">
      <c r="E84" s="23"/>
      <c r="L84" s="16"/>
      <c r="Q84" s="30"/>
      <c r="R84" s="30"/>
      <c r="S84" s="30"/>
      <c r="T84" s="30"/>
    </row>
    <row r="85">
      <c r="E85" s="23"/>
      <c r="L85" s="16"/>
      <c r="Q85" s="30"/>
      <c r="R85" s="30"/>
      <c r="S85" s="30"/>
      <c r="T85" s="30"/>
    </row>
    <row r="86">
      <c r="E86" s="23"/>
      <c r="L86" s="16"/>
      <c r="Q86" s="30"/>
      <c r="R86" s="30"/>
      <c r="S86" s="30"/>
      <c r="T86" s="30"/>
    </row>
    <row r="87">
      <c r="E87" s="23"/>
      <c r="L87" s="16"/>
      <c r="Q87" s="30"/>
      <c r="R87" s="30"/>
      <c r="S87" s="30"/>
      <c r="T87" s="30"/>
    </row>
    <row r="88">
      <c r="E88" s="23"/>
      <c r="L88" s="16"/>
      <c r="Q88" s="30"/>
      <c r="R88" s="30"/>
      <c r="S88" s="30"/>
      <c r="T88" s="30"/>
    </row>
    <row r="89">
      <c r="E89" s="23"/>
      <c r="L89" s="16"/>
      <c r="Q89" s="30"/>
      <c r="R89" s="30"/>
      <c r="S89" s="30"/>
      <c r="T89" s="30"/>
    </row>
    <row r="90">
      <c r="E90" s="23"/>
      <c r="L90" s="16"/>
      <c r="Q90" s="30"/>
      <c r="R90" s="30"/>
      <c r="S90" s="30"/>
      <c r="T90" s="30"/>
    </row>
    <row r="91">
      <c r="E91" s="23"/>
      <c r="L91" s="16"/>
      <c r="Q91" s="30"/>
      <c r="R91" s="30"/>
      <c r="S91" s="30"/>
      <c r="T91" s="30"/>
    </row>
    <row r="92">
      <c r="E92" s="23"/>
      <c r="L92" s="16"/>
      <c r="Q92" s="30"/>
      <c r="R92" s="30"/>
      <c r="S92" s="30"/>
      <c r="T92" s="30"/>
    </row>
    <row r="93">
      <c r="E93" s="23"/>
      <c r="L93" s="16"/>
      <c r="Q93" s="30"/>
      <c r="R93" s="30"/>
      <c r="S93" s="30"/>
      <c r="T93" s="30"/>
    </row>
    <row r="94">
      <c r="E94" s="23"/>
      <c r="L94" s="16"/>
      <c r="Q94" s="30"/>
      <c r="R94" s="30"/>
      <c r="S94" s="30"/>
      <c r="T94" s="30"/>
    </row>
    <row r="95">
      <c r="E95" s="23"/>
      <c r="L95" s="16"/>
      <c r="Q95" s="30"/>
      <c r="R95" s="30"/>
      <c r="S95" s="30"/>
      <c r="T95" s="30"/>
    </row>
    <row r="96">
      <c r="E96" s="23"/>
      <c r="L96" s="16"/>
      <c r="Q96" s="30"/>
      <c r="R96" s="30"/>
      <c r="S96" s="30"/>
      <c r="T96" s="30"/>
    </row>
    <row r="97">
      <c r="E97" s="23"/>
      <c r="L97" s="16"/>
      <c r="Q97" s="30"/>
      <c r="R97" s="30"/>
      <c r="S97" s="30"/>
      <c r="T97" s="30"/>
    </row>
    <row r="98">
      <c r="E98" s="23"/>
      <c r="L98" s="16"/>
      <c r="Q98" s="30"/>
      <c r="R98" s="30"/>
      <c r="S98" s="30"/>
      <c r="T98" s="30"/>
    </row>
    <row r="99">
      <c r="E99" s="23"/>
      <c r="L99" s="16"/>
      <c r="Q99" s="30"/>
      <c r="R99" s="30"/>
      <c r="S99" s="30"/>
      <c r="T99" s="30"/>
    </row>
    <row r="100">
      <c r="E100" s="23"/>
      <c r="L100" s="16"/>
      <c r="Q100" s="30"/>
      <c r="R100" s="30"/>
      <c r="S100" s="30"/>
      <c r="T100" s="30"/>
    </row>
    <row r="101">
      <c r="E101" s="23"/>
      <c r="L101" s="16"/>
      <c r="Q101" s="30"/>
      <c r="R101" s="30"/>
      <c r="S101" s="30"/>
      <c r="T101" s="30"/>
    </row>
    <row r="102">
      <c r="E102" s="23"/>
      <c r="L102" s="16"/>
      <c r="Q102" s="30"/>
      <c r="R102" s="30"/>
      <c r="S102" s="30"/>
      <c r="T102" s="30"/>
    </row>
    <row r="103">
      <c r="E103" s="23"/>
      <c r="L103" s="16"/>
      <c r="Q103" s="30"/>
      <c r="R103" s="30"/>
      <c r="S103" s="30"/>
      <c r="T103" s="30"/>
    </row>
    <row r="104">
      <c r="E104" s="23"/>
      <c r="L104" s="16"/>
    </row>
    <row r="105">
      <c r="E105" s="23"/>
      <c r="L105" s="16"/>
    </row>
    <row r="106">
      <c r="E106" s="23"/>
      <c r="L106" s="16"/>
    </row>
    <row r="107">
      <c r="E107" s="23"/>
      <c r="L107" s="16"/>
    </row>
    <row r="108">
      <c r="E108" s="23"/>
      <c r="L108" s="16"/>
    </row>
    <row r="109">
      <c r="E109" s="23"/>
      <c r="L109" s="16"/>
    </row>
    <row r="110">
      <c r="E110" s="23"/>
      <c r="L110" s="16"/>
    </row>
    <row r="111">
      <c r="E111" s="23"/>
      <c r="L111" s="16"/>
    </row>
    <row r="112">
      <c r="E112" s="23"/>
      <c r="L112" s="16"/>
    </row>
    <row r="113">
      <c r="E113" s="23"/>
      <c r="L113" s="16"/>
    </row>
    <row r="114">
      <c r="E114" s="23"/>
      <c r="L114" s="16"/>
    </row>
    <row r="115">
      <c r="E115" s="23"/>
      <c r="L115" s="16"/>
    </row>
    <row r="116">
      <c r="E116" s="23"/>
      <c r="L116" s="16"/>
    </row>
    <row r="117">
      <c r="E117" s="23"/>
      <c r="L117" s="16"/>
    </row>
    <row r="118">
      <c r="E118" s="23"/>
      <c r="L118" s="16"/>
    </row>
    <row r="119">
      <c r="E119" s="23"/>
      <c r="L119" s="16"/>
    </row>
    <row r="120">
      <c r="E120" s="23"/>
      <c r="L120" s="16"/>
    </row>
    <row r="121">
      <c r="E121" s="23"/>
      <c r="L121" s="16"/>
    </row>
    <row r="122">
      <c r="E122" s="23"/>
      <c r="L122" s="16"/>
    </row>
    <row r="123">
      <c r="E123" s="23"/>
      <c r="L123" s="16"/>
    </row>
    <row r="124">
      <c r="E124" s="23"/>
      <c r="L124" s="16"/>
    </row>
    <row r="125">
      <c r="E125" s="23"/>
      <c r="L125" s="16"/>
    </row>
    <row r="126">
      <c r="E126" s="23"/>
      <c r="L126" s="16"/>
    </row>
    <row r="127">
      <c r="E127" s="23"/>
      <c r="L127" s="16"/>
    </row>
    <row r="128">
      <c r="E128" s="23"/>
      <c r="L128" s="16"/>
    </row>
    <row r="129">
      <c r="E129" s="23"/>
      <c r="L129" s="16"/>
    </row>
    <row r="130">
      <c r="E130" s="23"/>
      <c r="L130" s="16"/>
    </row>
    <row r="131">
      <c r="E131" s="23"/>
      <c r="L131" s="16"/>
    </row>
    <row r="132">
      <c r="E132" s="23"/>
      <c r="L132" s="16"/>
    </row>
    <row r="133">
      <c r="E133" s="23"/>
      <c r="L133" s="16"/>
    </row>
    <row r="134">
      <c r="E134" s="23"/>
      <c r="L134" s="16"/>
    </row>
    <row r="135">
      <c r="E135" s="23"/>
      <c r="L135" s="16"/>
    </row>
    <row r="136">
      <c r="E136" s="23"/>
      <c r="L136" s="16"/>
    </row>
    <row r="137">
      <c r="E137" s="23"/>
      <c r="L137" s="16"/>
    </row>
    <row r="138">
      <c r="E138" s="23"/>
      <c r="L138" s="16"/>
    </row>
    <row r="139">
      <c r="E139" s="23"/>
      <c r="L139" s="16"/>
    </row>
    <row r="140">
      <c r="E140" s="23"/>
      <c r="L140" s="16"/>
    </row>
    <row r="141">
      <c r="E141" s="23"/>
      <c r="L141" s="16"/>
    </row>
    <row r="142">
      <c r="E142" s="23"/>
      <c r="L142" s="16"/>
    </row>
    <row r="143">
      <c r="E143" s="23"/>
      <c r="L143" s="16"/>
    </row>
    <row r="144">
      <c r="E144" s="23"/>
      <c r="L144" s="16"/>
    </row>
    <row r="145">
      <c r="E145" s="23"/>
      <c r="L145" s="16"/>
    </row>
    <row r="146">
      <c r="E146" s="23"/>
      <c r="L146" s="16"/>
    </row>
    <row r="147">
      <c r="E147" s="23"/>
      <c r="L147" s="16"/>
    </row>
    <row r="148">
      <c r="E148" s="23"/>
      <c r="L148" s="16"/>
    </row>
    <row r="149">
      <c r="E149" s="23"/>
      <c r="L149" s="16"/>
    </row>
    <row r="150">
      <c r="E150" s="23"/>
      <c r="L150" s="16"/>
    </row>
    <row r="151">
      <c r="E151" s="23"/>
      <c r="L151" s="16"/>
    </row>
    <row r="152">
      <c r="E152" s="23"/>
      <c r="L152" s="16"/>
    </row>
    <row r="153">
      <c r="E153" s="23"/>
      <c r="L153" s="16"/>
    </row>
    <row r="154">
      <c r="E154" s="23"/>
      <c r="L154" s="16"/>
    </row>
    <row r="155">
      <c r="E155" s="23"/>
      <c r="L155" s="16"/>
    </row>
    <row r="156">
      <c r="E156" s="23"/>
      <c r="L156" s="16"/>
    </row>
    <row r="157">
      <c r="E157" s="23"/>
      <c r="L157" s="16"/>
    </row>
    <row r="158">
      <c r="E158" s="23"/>
      <c r="L158" s="16"/>
    </row>
    <row r="159">
      <c r="E159" s="23"/>
      <c r="L159" s="16"/>
    </row>
    <row r="160">
      <c r="E160" s="23"/>
      <c r="L160" s="16"/>
    </row>
    <row r="161">
      <c r="E161" s="23"/>
      <c r="L161" s="16"/>
    </row>
    <row r="162">
      <c r="E162" s="23"/>
      <c r="L162" s="16"/>
    </row>
    <row r="163">
      <c r="E163" s="23"/>
      <c r="L163" s="16"/>
    </row>
    <row r="164">
      <c r="E164" s="23"/>
      <c r="L164" s="16"/>
    </row>
    <row r="165">
      <c r="E165" s="23"/>
      <c r="L165" s="16"/>
    </row>
    <row r="166">
      <c r="E166" s="23"/>
      <c r="L166" s="16"/>
    </row>
    <row r="167">
      <c r="E167" s="23"/>
      <c r="L167" s="16"/>
    </row>
    <row r="168">
      <c r="E168" s="23"/>
      <c r="L168" s="16"/>
    </row>
    <row r="169">
      <c r="E169" s="23"/>
      <c r="L169" s="16"/>
    </row>
    <row r="170">
      <c r="E170" s="23"/>
      <c r="L170" s="16"/>
    </row>
    <row r="171">
      <c r="E171" s="23"/>
      <c r="L171" s="16"/>
    </row>
    <row r="172">
      <c r="E172" s="23"/>
      <c r="L172" s="16"/>
    </row>
    <row r="173">
      <c r="E173" s="23"/>
      <c r="L173" s="16"/>
    </row>
    <row r="174">
      <c r="E174" s="23"/>
      <c r="L174" s="16"/>
    </row>
    <row r="175">
      <c r="E175" s="23"/>
      <c r="L175" s="16"/>
    </row>
    <row r="176">
      <c r="E176" s="23"/>
      <c r="L176" s="16"/>
    </row>
    <row r="177">
      <c r="E177" s="23"/>
      <c r="L177" s="16"/>
    </row>
    <row r="178">
      <c r="E178" s="23"/>
      <c r="L178" s="16"/>
    </row>
    <row r="179">
      <c r="E179" s="23"/>
      <c r="L179" s="16"/>
    </row>
    <row r="180">
      <c r="E180" s="23"/>
      <c r="L180" s="16"/>
    </row>
    <row r="181">
      <c r="E181" s="23"/>
      <c r="L181" s="16"/>
    </row>
    <row r="182">
      <c r="E182" s="23"/>
      <c r="L182" s="16"/>
    </row>
    <row r="183">
      <c r="E183" s="23"/>
      <c r="L183" s="16"/>
    </row>
    <row r="184">
      <c r="E184" s="23"/>
      <c r="L184" s="16"/>
    </row>
    <row r="185">
      <c r="E185" s="23"/>
      <c r="L185" s="16"/>
    </row>
    <row r="186">
      <c r="E186" s="23"/>
      <c r="L186" s="16"/>
    </row>
    <row r="187">
      <c r="E187" s="23"/>
      <c r="L187" s="16"/>
    </row>
    <row r="188">
      <c r="E188" s="23"/>
      <c r="L188" s="16"/>
    </row>
    <row r="189">
      <c r="E189" s="23"/>
      <c r="L189" s="16"/>
    </row>
    <row r="190">
      <c r="E190" s="23"/>
      <c r="L190" s="16"/>
    </row>
    <row r="191">
      <c r="E191" s="23"/>
      <c r="L191" s="16"/>
    </row>
    <row r="192">
      <c r="E192" s="23"/>
      <c r="L192" s="16"/>
    </row>
    <row r="193">
      <c r="E193" s="23"/>
      <c r="L193" s="16"/>
    </row>
    <row r="194">
      <c r="E194" s="23"/>
      <c r="L194" s="16"/>
    </row>
    <row r="195">
      <c r="E195" s="23"/>
      <c r="L195" s="16"/>
    </row>
    <row r="196">
      <c r="E196" s="23"/>
      <c r="L196" s="16"/>
    </row>
    <row r="197">
      <c r="E197" s="23"/>
      <c r="L197" s="16"/>
    </row>
    <row r="198">
      <c r="E198" s="23"/>
      <c r="L198" s="16"/>
    </row>
    <row r="199">
      <c r="E199" s="23"/>
      <c r="L199" s="16"/>
    </row>
    <row r="200">
      <c r="E200" s="23"/>
      <c r="L200" s="16"/>
    </row>
    <row r="201">
      <c r="E201" s="23"/>
      <c r="L201" s="16"/>
    </row>
    <row r="202">
      <c r="E202" s="23"/>
      <c r="L202" s="16"/>
    </row>
    <row r="203">
      <c r="E203" s="23"/>
      <c r="L203" s="16"/>
    </row>
    <row r="204">
      <c r="E204" s="23"/>
      <c r="L204" s="16"/>
    </row>
    <row r="205">
      <c r="E205" s="23"/>
      <c r="L205" s="16"/>
    </row>
    <row r="206">
      <c r="E206" s="23"/>
      <c r="L206" s="16"/>
    </row>
    <row r="207">
      <c r="E207" s="23"/>
      <c r="L207" s="16"/>
    </row>
    <row r="208">
      <c r="E208" s="23"/>
      <c r="L208" s="16"/>
    </row>
    <row r="209">
      <c r="E209" s="23"/>
      <c r="L209" s="16"/>
    </row>
    <row r="210">
      <c r="E210" s="23"/>
      <c r="L210" s="16"/>
    </row>
    <row r="211">
      <c r="E211" s="23"/>
      <c r="L211" s="16"/>
    </row>
    <row r="212">
      <c r="E212" s="23"/>
      <c r="L212" s="16"/>
    </row>
    <row r="213">
      <c r="E213" s="23"/>
      <c r="L213" s="16"/>
    </row>
    <row r="214">
      <c r="E214" s="23"/>
      <c r="L214" s="16"/>
    </row>
    <row r="215">
      <c r="E215" s="23"/>
      <c r="L215" s="16"/>
    </row>
    <row r="216">
      <c r="E216" s="23"/>
      <c r="L216" s="16"/>
    </row>
    <row r="217">
      <c r="E217" s="23"/>
      <c r="L217" s="16"/>
    </row>
    <row r="218">
      <c r="E218" s="23"/>
      <c r="L218" s="16"/>
    </row>
    <row r="219">
      <c r="E219" s="23"/>
      <c r="L219" s="16"/>
    </row>
    <row r="220">
      <c r="E220" s="23"/>
      <c r="L220" s="16"/>
    </row>
    <row r="221">
      <c r="E221" s="23"/>
      <c r="L221" s="16"/>
    </row>
    <row r="222">
      <c r="E222" s="23"/>
      <c r="L222" s="16"/>
    </row>
    <row r="223">
      <c r="E223" s="23"/>
      <c r="L223" s="16"/>
    </row>
    <row r="224">
      <c r="E224" s="23"/>
      <c r="L224" s="16"/>
    </row>
    <row r="225">
      <c r="E225" s="23"/>
      <c r="L225" s="16"/>
    </row>
    <row r="226">
      <c r="E226" s="23"/>
      <c r="L226" s="16"/>
    </row>
    <row r="227">
      <c r="E227" s="23"/>
      <c r="L227" s="16"/>
    </row>
    <row r="228">
      <c r="E228" s="23"/>
      <c r="L228" s="16"/>
    </row>
    <row r="229">
      <c r="E229" s="23"/>
      <c r="L229" s="16"/>
    </row>
    <row r="230">
      <c r="E230" s="23"/>
      <c r="L230" s="16"/>
    </row>
    <row r="231">
      <c r="E231" s="23"/>
      <c r="L231" s="16"/>
    </row>
    <row r="232">
      <c r="E232" s="23"/>
      <c r="L232" s="16"/>
    </row>
    <row r="233">
      <c r="E233" s="23"/>
      <c r="L233" s="16"/>
    </row>
    <row r="234">
      <c r="E234" s="23"/>
      <c r="L234" s="16"/>
    </row>
    <row r="235">
      <c r="E235" s="23"/>
      <c r="L235" s="16"/>
    </row>
    <row r="236">
      <c r="E236" s="23"/>
      <c r="L236" s="16"/>
    </row>
    <row r="237">
      <c r="E237" s="23"/>
      <c r="L237" s="16"/>
    </row>
    <row r="238">
      <c r="E238" s="23"/>
      <c r="L238" s="16"/>
    </row>
    <row r="239">
      <c r="E239" s="23"/>
      <c r="L239" s="16"/>
    </row>
    <row r="240">
      <c r="E240" s="23"/>
      <c r="L240" s="16"/>
    </row>
    <row r="241">
      <c r="E241" s="23"/>
      <c r="L241" s="16"/>
    </row>
    <row r="242">
      <c r="E242" s="23"/>
      <c r="L242" s="16"/>
    </row>
    <row r="243">
      <c r="E243" s="23"/>
      <c r="L243" s="16"/>
    </row>
    <row r="244">
      <c r="E244" s="23"/>
      <c r="L244" s="16"/>
    </row>
    <row r="245">
      <c r="E245" s="23"/>
      <c r="L245" s="16"/>
    </row>
    <row r="246">
      <c r="E246" s="23"/>
      <c r="L246" s="16"/>
    </row>
    <row r="247">
      <c r="E247" s="23"/>
      <c r="L247" s="16"/>
    </row>
    <row r="248">
      <c r="E248" s="23"/>
      <c r="L248" s="16"/>
    </row>
    <row r="249">
      <c r="E249" s="23"/>
      <c r="L249" s="16"/>
    </row>
    <row r="250">
      <c r="E250" s="23"/>
      <c r="L250" s="16"/>
    </row>
    <row r="251">
      <c r="E251" s="23"/>
      <c r="L251" s="16"/>
    </row>
    <row r="252">
      <c r="E252" s="23"/>
      <c r="L252" s="16"/>
    </row>
    <row r="253">
      <c r="E253" s="23"/>
      <c r="L253" s="16"/>
    </row>
    <row r="254">
      <c r="E254" s="23"/>
      <c r="L254" s="16"/>
    </row>
    <row r="255">
      <c r="E255" s="23"/>
      <c r="L255" s="16"/>
    </row>
    <row r="256">
      <c r="E256" s="23"/>
      <c r="L256" s="16"/>
    </row>
    <row r="257">
      <c r="E257" s="23"/>
      <c r="L257" s="16"/>
    </row>
    <row r="258">
      <c r="E258" s="23"/>
      <c r="L258" s="16"/>
    </row>
    <row r="259">
      <c r="E259" s="23"/>
      <c r="L259" s="16"/>
    </row>
    <row r="260">
      <c r="E260" s="23"/>
      <c r="L260" s="16"/>
    </row>
    <row r="261">
      <c r="E261" s="23"/>
      <c r="L261" s="16"/>
    </row>
    <row r="262">
      <c r="E262" s="23"/>
      <c r="L262" s="16"/>
    </row>
    <row r="263">
      <c r="E263" s="23"/>
      <c r="L263" s="16"/>
    </row>
    <row r="264">
      <c r="E264" s="23"/>
      <c r="L264" s="16"/>
    </row>
    <row r="265">
      <c r="E265" s="23"/>
      <c r="L265" s="16"/>
    </row>
    <row r="266">
      <c r="E266" s="23"/>
      <c r="L266" s="16"/>
    </row>
    <row r="267">
      <c r="E267" s="23"/>
      <c r="L267" s="16"/>
    </row>
    <row r="268">
      <c r="E268" s="23"/>
      <c r="L268" s="16"/>
    </row>
    <row r="269">
      <c r="E269" s="23"/>
      <c r="L269" s="16"/>
    </row>
    <row r="270">
      <c r="E270" s="23"/>
      <c r="L270" s="16"/>
    </row>
    <row r="271">
      <c r="E271" s="23"/>
      <c r="L271" s="16"/>
    </row>
    <row r="272">
      <c r="E272" s="23"/>
      <c r="L272" s="16"/>
    </row>
    <row r="273">
      <c r="E273" s="23"/>
      <c r="L273" s="16"/>
    </row>
    <row r="274">
      <c r="E274" s="23"/>
      <c r="L274" s="16"/>
    </row>
    <row r="275">
      <c r="E275" s="23"/>
      <c r="L275" s="16"/>
    </row>
    <row r="276">
      <c r="E276" s="23"/>
      <c r="L276" s="16"/>
    </row>
    <row r="277">
      <c r="E277" s="23"/>
      <c r="L277" s="16"/>
    </row>
    <row r="278">
      <c r="E278" s="23"/>
      <c r="L278" s="16"/>
    </row>
    <row r="279">
      <c r="E279" s="23"/>
      <c r="L279" s="16"/>
    </row>
    <row r="280">
      <c r="E280" s="23"/>
      <c r="L280" s="16"/>
    </row>
    <row r="281">
      <c r="E281" s="23"/>
      <c r="L281" s="16"/>
    </row>
    <row r="282">
      <c r="E282" s="23"/>
      <c r="L282" s="16"/>
    </row>
    <row r="283">
      <c r="E283" s="23"/>
      <c r="L283" s="16"/>
    </row>
    <row r="284">
      <c r="E284" s="23"/>
      <c r="L284" s="16"/>
    </row>
    <row r="285">
      <c r="E285" s="23"/>
      <c r="L285" s="16"/>
    </row>
    <row r="286">
      <c r="E286" s="23"/>
      <c r="L286" s="16"/>
    </row>
    <row r="287">
      <c r="E287" s="23"/>
      <c r="L287" s="16"/>
    </row>
    <row r="288">
      <c r="E288" s="23"/>
      <c r="L288" s="16"/>
    </row>
    <row r="289">
      <c r="E289" s="23"/>
      <c r="L289" s="16"/>
    </row>
    <row r="290">
      <c r="E290" s="23"/>
      <c r="L290" s="16"/>
    </row>
    <row r="291">
      <c r="E291" s="23"/>
      <c r="L291" s="16"/>
    </row>
    <row r="292">
      <c r="E292" s="23"/>
      <c r="L292" s="16"/>
    </row>
    <row r="293">
      <c r="E293" s="23"/>
      <c r="L293" s="16"/>
    </row>
    <row r="294">
      <c r="E294" s="23"/>
      <c r="L294" s="16"/>
    </row>
    <row r="295">
      <c r="E295" s="23"/>
      <c r="L295" s="16"/>
    </row>
    <row r="296">
      <c r="E296" s="23"/>
      <c r="L296" s="16"/>
    </row>
    <row r="297">
      <c r="E297" s="23"/>
      <c r="L297" s="16"/>
    </row>
    <row r="298">
      <c r="E298" s="23"/>
      <c r="L298" s="16"/>
    </row>
    <row r="299">
      <c r="E299" s="23"/>
      <c r="L299" s="16"/>
    </row>
    <row r="300">
      <c r="E300" s="23"/>
      <c r="L300" s="16"/>
    </row>
    <row r="301">
      <c r="E301" s="23"/>
      <c r="L301" s="16"/>
    </row>
    <row r="302">
      <c r="E302" s="23"/>
      <c r="L302" s="16"/>
    </row>
    <row r="303">
      <c r="E303" s="23"/>
      <c r="L303" s="16"/>
    </row>
    <row r="304">
      <c r="E304" s="23"/>
      <c r="L304" s="16"/>
    </row>
    <row r="305">
      <c r="E305" s="23"/>
      <c r="L305" s="16"/>
    </row>
    <row r="306">
      <c r="E306" s="23"/>
      <c r="L306" s="16"/>
    </row>
    <row r="307">
      <c r="E307" s="23"/>
      <c r="L307" s="16"/>
    </row>
    <row r="308">
      <c r="E308" s="23"/>
      <c r="L308" s="16"/>
    </row>
    <row r="309">
      <c r="E309" s="23"/>
      <c r="L309" s="16"/>
    </row>
    <row r="310">
      <c r="E310" s="23"/>
      <c r="L310" s="16"/>
    </row>
    <row r="311">
      <c r="E311" s="23"/>
      <c r="L311" s="16"/>
    </row>
    <row r="312">
      <c r="E312" s="23"/>
      <c r="L312" s="16"/>
    </row>
    <row r="313">
      <c r="E313" s="23"/>
      <c r="L313" s="16"/>
    </row>
    <row r="314">
      <c r="E314" s="23"/>
      <c r="L314" s="16"/>
    </row>
    <row r="315">
      <c r="E315" s="23"/>
      <c r="L315" s="16"/>
    </row>
    <row r="316">
      <c r="E316" s="23"/>
      <c r="L316" s="16"/>
    </row>
    <row r="317">
      <c r="E317" s="23"/>
      <c r="L317" s="16"/>
    </row>
    <row r="318">
      <c r="E318" s="23"/>
      <c r="L318" s="16"/>
    </row>
    <row r="319">
      <c r="E319" s="23"/>
      <c r="L319" s="16"/>
    </row>
    <row r="320">
      <c r="E320" s="23"/>
      <c r="L320" s="16"/>
    </row>
    <row r="321">
      <c r="E321" s="23"/>
      <c r="L321" s="16"/>
    </row>
    <row r="322">
      <c r="E322" s="23"/>
      <c r="L322" s="16"/>
    </row>
    <row r="323">
      <c r="E323" s="23"/>
      <c r="L323" s="16"/>
    </row>
    <row r="324">
      <c r="E324" s="23"/>
      <c r="L324" s="16"/>
    </row>
    <row r="325">
      <c r="E325" s="23"/>
      <c r="L325" s="16"/>
    </row>
    <row r="326">
      <c r="E326" s="23"/>
      <c r="L326" s="16"/>
    </row>
    <row r="327">
      <c r="E327" s="23"/>
      <c r="L327" s="16"/>
    </row>
    <row r="328">
      <c r="E328" s="23"/>
      <c r="L328" s="16"/>
    </row>
    <row r="329">
      <c r="E329" s="23"/>
      <c r="L329" s="16"/>
    </row>
    <row r="330">
      <c r="E330" s="23"/>
      <c r="L330" s="16"/>
    </row>
    <row r="331">
      <c r="E331" s="23"/>
      <c r="L331" s="16"/>
    </row>
    <row r="332">
      <c r="E332" s="23"/>
      <c r="L332" s="16"/>
    </row>
    <row r="333">
      <c r="E333" s="23"/>
      <c r="L333" s="16"/>
    </row>
    <row r="334">
      <c r="E334" s="23"/>
      <c r="L334" s="16"/>
    </row>
    <row r="335">
      <c r="E335" s="23"/>
      <c r="L335" s="16"/>
    </row>
    <row r="336">
      <c r="E336" s="23"/>
      <c r="L336" s="16"/>
    </row>
    <row r="337">
      <c r="E337" s="23"/>
      <c r="L337" s="16"/>
    </row>
    <row r="338">
      <c r="E338" s="23"/>
      <c r="L338" s="16"/>
    </row>
    <row r="339">
      <c r="E339" s="23"/>
      <c r="L339" s="16"/>
    </row>
    <row r="340">
      <c r="E340" s="23"/>
      <c r="L340" s="16"/>
    </row>
    <row r="341">
      <c r="E341" s="23"/>
      <c r="L341" s="16"/>
    </row>
    <row r="342">
      <c r="E342" s="23"/>
      <c r="L342" s="16"/>
    </row>
    <row r="343">
      <c r="E343" s="23"/>
      <c r="L343" s="16"/>
    </row>
    <row r="344">
      <c r="E344" s="23"/>
      <c r="L344" s="16"/>
    </row>
    <row r="345">
      <c r="E345" s="23"/>
      <c r="L345" s="16"/>
    </row>
    <row r="346">
      <c r="E346" s="23"/>
      <c r="L346" s="16"/>
    </row>
    <row r="347">
      <c r="E347" s="23"/>
      <c r="L347" s="16"/>
    </row>
    <row r="348">
      <c r="E348" s="23"/>
      <c r="L348" s="16"/>
    </row>
    <row r="349">
      <c r="E349" s="23"/>
      <c r="L349" s="16"/>
    </row>
    <row r="350">
      <c r="E350" s="23"/>
      <c r="L350" s="16"/>
    </row>
    <row r="351">
      <c r="E351" s="23"/>
      <c r="L351" s="16"/>
    </row>
    <row r="352">
      <c r="E352" s="23"/>
      <c r="L352" s="16"/>
    </row>
    <row r="353">
      <c r="E353" s="23"/>
      <c r="L353" s="16"/>
    </row>
    <row r="354">
      <c r="E354" s="23"/>
      <c r="L354" s="16"/>
    </row>
    <row r="355">
      <c r="E355" s="23"/>
      <c r="L355" s="16"/>
    </row>
    <row r="356">
      <c r="E356" s="23"/>
      <c r="L356" s="16"/>
    </row>
    <row r="357">
      <c r="E357" s="23"/>
      <c r="L357" s="16"/>
    </row>
    <row r="358">
      <c r="E358" s="23"/>
      <c r="L358" s="16"/>
    </row>
    <row r="359">
      <c r="E359" s="23"/>
      <c r="L359" s="16"/>
    </row>
    <row r="360">
      <c r="E360" s="23"/>
      <c r="L360" s="16"/>
    </row>
    <row r="361">
      <c r="E361" s="23"/>
      <c r="L361" s="16"/>
    </row>
    <row r="362">
      <c r="E362" s="23"/>
      <c r="L362" s="16"/>
    </row>
    <row r="363">
      <c r="E363" s="23"/>
      <c r="L363" s="16"/>
    </row>
    <row r="364">
      <c r="E364" s="23"/>
      <c r="L364" s="16"/>
    </row>
    <row r="365">
      <c r="E365" s="23"/>
      <c r="L365" s="16"/>
    </row>
    <row r="366">
      <c r="E366" s="23"/>
      <c r="L366" s="16"/>
    </row>
    <row r="367">
      <c r="E367" s="23"/>
      <c r="L367" s="16"/>
    </row>
    <row r="368">
      <c r="E368" s="23"/>
      <c r="L368" s="16"/>
    </row>
    <row r="369">
      <c r="E369" s="23"/>
      <c r="L369" s="16"/>
    </row>
    <row r="370">
      <c r="E370" s="23"/>
      <c r="L370" s="16"/>
    </row>
    <row r="371">
      <c r="E371" s="23"/>
      <c r="L371" s="16"/>
    </row>
    <row r="372">
      <c r="E372" s="23"/>
      <c r="L372" s="16"/>
    </row>
    <row r="373">
      <c r="E373" s="23"/>
      <c r="L373" s="16"/>
    </row>
    <row r="374">
      <c r="E374" s="23"/>
      <c r="L374" s="16"/>
    </row>
    <row r="375">
      <c r="E375" s="23"/>
      <c r="L375" s="16"/>
    </row>
    <row r="376">
      <c r="E376" s="23"/>
      <c r="L376" s="16"/>
    </row>
    <row r="377">
      <c r="E377" s="23"/>
      <c r="L377" s="16"/>
    </row>
    <row r="378">
      <c r="E378" s="23"/>
      <c r="L378" s="16"/>
    </row>
    <row r="379">
      <c r="E379" s="23"/>
      <c r="L379" s="16"/>
    </row>
    <row r="380">
      <c r="E380" s="23"/>
      <c r="L380" s="16"/>
    </row>
    <row r="381">
      <c r="E381" s="23"/>
      <c r="L381" s="16"/>
    </row>
    <row r="382">
      <c r="E382" s="23"/>
      <c r="L382" s="16"/>
    </row>
    <row r="383">
      <c r="E383" s="23"/>
      <c r="L383" s="16"/>
    </row>
    <row r="384">
      <c r="E384" s="23"/>
      <c r="L384" s="16"/>
    </row>
    <row r="385">
      <c r="E385" s="23"/>
      <c r="L385" s="16"/>
    </row>
    <row r="386">
      <c r="E386" s="23"/>
      <c r="L386" s="16"/>
    </row>
    <row r="387">
      <c r="E387" s="23"/>
      <c r="L387" s="16"/>
    </row>
    <row r="388">
      <c r="E388" s="23"/>
      <c r="L388" s="16"/>
    </row>
    <row r="389">
      <c r="E389" s="23"/>
      <c r="L389" s="16"/>
    </row>
    <row r="390">
      <c r="E390" s="23"/>
      <c r="L390" s="16"/>
    </row>
    <row r="391">
      <c r="E391" s="23"/>
      <c r="L391" s="16"/>
    </row>
    <row r="392">
      <c r="E392" s="23"/>
      <c r="L392" s="16"/>
    </row>
    <row r="393">
      <c r="E393" s="23"/>
      <c r="L393" s="16"/>
    </row>
    <row r="394">
      <c r="E394" s="23"/>
      <c r="L394" s="16"/>
    </row>
    <row r="395">
      <c r="E395" s="23"/>
      <c r="L395" s="16"/>
    </row>
    <row r="396">
      <c r="E396" s="23"/>
      <c r="L396" s="16"/>
    </row>
    <row r="397">
      <c r="E397" s="23"/>
      <c r="L397" s="16"/>
    </row>
    <row r="398">
      <c r="E398" s="23"/>
      <c r="L398" s="16"/>
    </row>
    <row r="399">
      <c r="E399" s="23"/>
      <c r="L399" s="16"/>
    </row>
    <row r="400">
      <c r="E400" s="23"/>
      <c r="L400" s="16"/>
    </row>
    <row r="401">
      <c r="E401" s="23"/>
      <c r="L401" s="16"/>
    </row>
    <row r="402">
      <c r="E402" s="23"/>
      <c r="L402" s="16"/>
    </row>
    <row r="403">
      <c r="E403" s="23"/>
      <c r="L403" s="16"/>
    </row>
    <row r="404">
      <c r="E404" s="23"/>
      <c r="L404" s="16"/>
    </row>
    <row r="405">
      <c r="E405" s="23"/>
      <c r="L405" s="16"/>
    </row>
    <row r="406">
      <c r="E406" s="23"/>
      <c r="L406" s="16"/>
    </row>
    <row r="407">
      <c r="E407" s="23"/>
      <c r="L407" s="16"/>
    </row>
    <row r="408">
      <c r="E408" s="23"/>
      <c r="L408" s="16"/>
    </row>
    <row r="409">
      <c r="E409" s="23"/>
      <c r="L409" s="16"/>
    </row>
    <row r="410">
      <c r="E410" s="23"/>
      <c r="L410" s="16"/>
    </row>
    <row r="411">
      <c r="E411" s="23"/>
      <c r="L411" s="16"/>
    </row>
    <row r="412">
      <c r="E412" s="23"/>
      <c r="L412" s="16"/>
    </row>
    <row r="413">
      <c r="E413" s="23"/>
      <c r="L413" s="16"/>
    </row>
    <row r="414">
      <c r="E414" s="23"/>
      <c r="L414" s="16"/>
    </row>
    <row r="415">
      <c r="E415" s="23"/>
      <c r="L415" s="16"/>
    </row>
    <row r="416">
      <c r="E416" s="23"/>
      <c r="L416" s="16"/>
    </row>
    <row r="417">
      <c r="E417" s="23"/>
      <c r="L417" s="16"/>
    </row>
    <row r="418">
      <c r="E418" s="23"/>
      <c r="L418" s="16"/>
    </row>
    <row r="419">
      <c r="E419" s="23"/>
      <c r="L419" s="16"/>
    </row>
    <row r="420">
      <c r="E420" s="23"/>
      <c r="L420" s="16"/>
    </row>
    <row r="421">
      <c r="E421" s="23"/>
      <c r="L421" s="16"/>
    </row>
    <row r="422">
      <c r="E422" s="23"/>
      <c r="L422" s="16"/>
    </row>
    <row r="423">
      <c r="E423" s="23"/>
      <c r="L423" s="16"/>
    </row>
    <row r="424">
      <c r="E424" s="23"/>
      <c r="L424" s="16"/>
    </row>
    <row r="425">
      <c r="E425" s="23"/>
      <c r="L425" s="16"/>
    </row>
    <row r="426">
      <c r="E426" s="23"/>
      <c r="L426" s="16"/>
    </row>
    <row r="427">
      <c r="E427" s="23"/>
      <c r="L427" s="16"/>
    </row>
    <row r="428">
      <c r="E428" s="23"/>
      <c r="L428" s="16"/>
    </row>
    <row r="429">
      <c r="E429" s="23"/>
      <c r="L429" s="16"/>
    </row>
    <row r="430">
      <c r="E430" s="23"/>
      <c r="L430" s="16"/>
    </row>
    <row r="431">
      <c r="E431" s="23"/>
      <c r="L431" s="16"/>
    </row>
    <row r="432">
      <c r="E432" s="23"/>
      <c r="L432" s="16"/>
    </row>
    <row r="433">
      <c r="E433" s="23"/>
      <c r="L433" s="16"/>
    </row>
    <row r="434">
      <c r="E434" s="23"/>
      <c r="L434" s="16"/>
    </row>
    <row r="435">
      <c r="E435" s="23"/>
      <c r="L435" s="16"/>
    </row>
    <row r="436">
      <c r="E436" s="23"/>
      <c r="L436" s="16"/>
    </row>
    <row r="437">
      <c r="E437" s="23"/>
      <c r="L437" s="16"/>
    </row>
    <row r="438">
      <c r="E438" s="23"/>
      <c r="L438" s="16"/>
    </row>
    <row r="439">
      <c r="E439" s="23"/>
      <c r="L439" s="16"/>
    </row>
    <row r="440">
      <c r="E440" s="23"/>
      <c r="L440" s="16"/>
    </row>
    <row r="441">
      <c r="E441" s="23"/>
      <c r="L441" s="16"/>
    </row>
    <row r="442">
      <c r="E442" s="23"/>
      <c r="L442" s="16"/>
    </row>
    <row r="443">
      <c r="E443" s="23"/>
      <c r="L443" s="16"/>
    </row>
    <row r="444">
      <c r="E444" s="23"/>
      <c r="L444" s="16"/>
    </row>
    <row r="445">
      <c r="E445" s="23"/>
      <c r="L445" s="16"/>
    </row>
    <row r="446">
      <c r="E446" s="23"/>
      <c r="L446" s="16"/>
    </row>
    <row r="447">
      <c r="E447" s="23"/>
      <c r="L447" s="16"/>
    </row>
    <row r="448">
      <c r="E448" s="23"/>
      <c r="L448" s="16"/>
    </row>
    <row r="449">
      <c r="E449" s="23"/>
      <c r="L449" s="16"/>
    </row>
    <row r="450">
      <c r="E450" s="23"/>
      <c r="L450" s="16"/>
    </row>
    <row r="451">
      <c r="E451" s="23"/>
      <c r="L451" s="16"/>
    </row>
    <row r="452">
      <c r="E452" s="23"/>
      <c r="L452" s="16"/>
    </row>
    <row r="453">
      <c r="E453" s="23"/>
      <c r="L453" s="16"/>
    </row>
    <row r="454">
      <c r="E454" s="23"/>
      <c r="L454" s="16"/>
    </row>
    <row r="455">
      <c r="E455" s="23"/>
      <c r="L455" s="16"/>
    </row>
    <row r="456">
      <c r="E456" s="23"/>
      <c r="L456" s="16"/>
    </row>
    <row r="457">
      <c r="E457" s="23"/>
      <c r="L457" s="16"/>
    </row>
    <row r="458">
      <c r="E458" s="23"/>
      <c r="L458" s="16"/>
    </row>
    <row r="459">
      <c r="E459" s="23"/>
      <c r="L459" s="16"/>
    </row>
    <row r="460">
      <c r="E460" s="23"/>
      <c r="L460" s="16"/>
    </row>
    <row r="461">
      <c r="E461" s="23"/>
      <c r="L461" s="16"/>
    </row>
    <row r="462">
      <c r="E462" s="23"/>
      <c r="L462" s="16"/>
    </row>
    <row r="463">
      <c r="E463" s="23"/>
      <c r="L463" s="16"/>
    </row>
    <row r="464">
      <c r="E464" s="23"/>
      <c r="L464" s="16"/>
    </row>
    <row r="465">
      <c r="E465" s="23"/>
      <c r="L465" s="16"/>
    </row>
    <row r="466">
      <c r="E466" s="23"/>
      <c r="L466" s="16"/>
    </row>
    <row r="467">
      <c r="E467" s="23"/>
      <c r="L467" s="16"/>
    </row>
    <row r="468">
      <c r="E468" s="23"/>
      <c r="L468" s="16"/>
    </row>
    <row r="469">
      <c r="E469" s="23"/>
      <c r="L469" s="16"/>
    </row>
    <row r="470">
      <c r="E470" s="23"/>
      <c r="L470" s="16"/>
    </row>
    <row r="471">
      <c r="E471" s="23"/>
      <c r="L471" s="16"/>
    </row>
    <row r="472">
      <c r="E472" s="23"/>
      <c r="L472" s="16"/>
    </row>
    <row r="473">
      <c r="E473" s="23"/>
      <c r="L473" s="16"/>
    </row>
    <row r="474">
      <c r="E474" s="23"/>
      <c r="L474" s="16"/>
    </row>
    <row r="475">
      <c r="E475" s="23"/>
      <c r="L475" s="16"/>
    </row>
    <row r="476">
      <c r="E476" s="23"/>
      <c r="L476" s="16"/>
    </row>
    <row r="477">
      <c r="E477" s="23"/>
      <c r="L477" s="16"/>
    </row>
    <row r="478">
      <c r="E478" s="23"/>
      <c r="L478" s="16"/>
    </row>
    <row r="479">
      <c r="E479" s="23"/>
      <c r="L479" s="16"/>
    </row>
    <row r="480">
      <c r="E480" s="23"/>
      <c r="L480" s="16"/>
    </row>
    <row r="481">
      <c r="E481" s="23"/>
      <c r="L481" s="16"/>
    </row>
    <row r="482">
      <c r="E482" s="23"/>
      <c r="L482" s="16"/>
    </row>
    <row r="483">
      <c r="E483" s="23"/>
      <c r="L483" s="16"/>
    </row>
    <row r="484">
      <c r="E484" s="23"/>
      <c r="L484" s="16"/>
    </row>
    <row r="485">
      <c r="E485" s="23"/>
      <c r="L485" s="16"/>
    </row>
    <row r="486">
      <c r="E486" s="23"/>
      <c r="L486" s="16"/>
    </row>
    <row r="487">
      <c r="E487" s="23"/>
      <c r="L487" s="16"/>
    </row>
    <row r="488">
      <c r="E488" s="23"/>
      <c r="L488" s="16"/>
    </row>
    <row r="489">
      <c r="E489" s="23"/>
      <c r="L489" s="16"/>
    </row>
    <row r="490">
      <c r="E490" s="23"/>
      <c r="L490" s="16"/>
    </row>
    <row r="491">
      <c r="E491" s="23"/>
      <c r="L491" s="16"/>
    </row>
    <row r="492">
      <c r="E492" s="23"/>
      <c r="L492" s="16"/>
    </row>
    <row r="493">
      <c r="E493" s="23"/>
      <c r="L493" s="16"/>
    </row>
    <row r="494">
      <c r="E494" s="23"/>
      <c r="L494" s="16"/>
    </row>
    <row r="495">
      <c r="E495" s="23"/>
      <c r="L495" s="16"/>
    </row>
    <row r="496">
      <c r="E496" s="23"/>
      <c r="L496" s="16"/>
    </row>
    <row r="497">
      <c r="E497" s="23"/>
      <c r="L497" s="16"/>
    </row>
    <row r="498">
      <c r="E498" s="23"/>
      <c r="L498" s="16"/>
    </row>
    <row r="499">
      <c r="E499" s="23"/>
      <c r="L499" s="16"/>
    </row>
    <row r="500">
      <c r="E500" s="23"/>
      <c r="L500" s="16"/>
    </row>
    <row r="501">
      <c r="E501" s="23"/>
      <c r="L501" s="16"/>
    </row>
    <row r="502">
      <c r="E502" s="23"/>
      <c r="L502" s="16"/>
    </row>
    <row r="503">
      <c r="E503" s="23"/>
      <c r="L503" s="16"/>
    </row>
    <row r="504">
      <c r="E504" s="23"/>
      <c r="L504" s="16"/>
    </row>
    <row r="505">
      <c r="E505" s="23"/>
      <c r="L505" s="16"/>
    </row>
    <row r="506">
      <c r="E506" s="23"/>
      <c r="L506" s="16"/>
    </row>
    <row r="507">
      <c r="E507" s="23"/>
      <c r="L507" s="16"/>
    </row>
    <row r="508">
      <c r="E508" s="23"/>
      <c r="L508" s="16"/>
    </row>
    <row r="509">
      <c r="E509" s="23"/>
      <c r="L509" s="16"/>
    </row>
    <row r="510">
      <c r="E510" s="23"/>
      <c r="L510" s="16"/>
    </row>
    <row r="511">
      <c r="E511" s="23"/>
      <c r="L511" s="16"/>
    </row>
    <row r="512">
      <c r="E512" s="23"/>
      <c r="L512" s="16"/>
    </row>
    <row r="513">
      <c r="E513" s="23"/>
      <c r="L513" s="16"/>
    </row>
    <row r="514">
      <c r="E514" s="23"/>
      <c r="L514" s="16"/>
    </row>
    <row r="515">
      <c r="E515" s="23"/>
      <c r="L515" s="16"/>
    </row>
    <row r="516">
      <c r="E516" s="23"/>
      <c r="L516" s="16"/>
    </row>
    <row r="517">
      <c r="E517" s="23"/>
      <c r="L517" s="16"/>
    </row>
    <row r="518">
      <c r="E518" s="23"/>
      <c r="L518" s="16"/>
    </row>
    <row r="519">
      <c r="E519" s="23"/>
      <c r="L519" s="16"/>
    </row>
    <row r="520">
      <c r="E520" s="23"/>
      <c r="L520" s="16"/>
    </row>
    <row r="521">
      <c r="E521" s="23"/>
      <c r="L521" s="16"/>
    </row>
    <row r="522">
      <c r="E522" s="23"/>
      <c r="L522" s="16"/>
    </row>
    <row r="523">
      <c r="E523" s="23"/>
      <c r="L523" s="16"/>
    </row>
    <row r="524">
      <c r="E524" s="23"/>
      <c r="L524" s="16"/>
    </row>
    <row r="525">
      <c r="E525" s="23"/>
      <c r="L525" s="16"/>
    </row>
    <row r="526">
      <c r="E526" s="23"/>
      <c r="L526" s="16"/>
    </row>
    <row r="527">
      <c r="E527" s="23"/>
      <c r="L527" s="16"/>
    </row>
    <row r="528">
      <c r="E528" s="23"/>
      <c r="L528" s="16"/>
    </row>
    <row r="529">
      <c r="E529" s="23"/>
      <c r="L529" s="16"/>
    </row>
    <row r="530">
      <c r="E530" s="23"/>
      <c r="L530" s="16"/>
    </row>
    <row r="531">
      <c r="E531" s="23"/>
      <c r="L531" s="16"/>
    </row>
    <row r="532">
      <c r="E532" s="23"/>
      <c r="L532" s="16"/>
    </row>
    <row r="533">
      <c r="E533" s="23"/>
      <c r="L533" s="16"/>
    </row>
    <row r="534">
      <c r="E534" s="23"/>
      <c r="L534" s="16"/>
    </row>
    <row r="535">
      <c r="E535" s="23"/>
      <c r="L535" s="16"/>
    </row>
    <row r="536">
      <c r="E536" s="23"/>
      <c r="L536" s="16"/>
    </row>
    <row r="537">
      <c r="E537" s="23"/>
      <c r="L537" s="16"/>
    </row>
    <row r="538">
      <c r="E538" s="23"/>
      <c r="L538" s="16"/>
    </row>
    <row r="539">
      <c r="E539" s="23"/>
      <c r="L539" s="16"/>
    </row>
    <row r="540">
      <c r="E540" s="23"/>
      <c r="L540" s="16"/>
    </row>
    <row r="541">
      <c r="E541" s="23"/>
      <c r="L541" s="16"/>
    </row>
    <row r="542">
      <c r="E542" s="23"/>
      <c r="L542" s="16"/>
    </row>
    <row r="543">
      <c r="E543" s="23"/>
      <c r="L543" s="16"/>
    </row>
    <row r="544">
      <c r="E544" s="23"/>
      <c r="L544" s="16"/>
    </row>
    <row r="545">
      <c r="E545" s="23"/>
      <c r="L545" s="16"/>
    </row>
    <row r="546">
      <c r="E546" s="23"/>
      <c r="L546" s="16"/>
    </row>
    <row r="547">
      <c r="E547" s="23"/>
      <c r="L547" s="16"/>
    </row>
    <row r="548">
      <c r="E548" s="23"/>
      <c r="L548" s="16"/>
    </row>
    <row r="549">
      <c r="E549" s="23"/>
      <c r="L549" s="16"/>
    </row>
    <row r="550">
      <c r="E550" s="23"/>
      <c r="L550" s="16"/>
    </row>
    <row r="551">
      <c r="E551" s="23"/>
      <c r="L551" s="16"/>
    </row>
    <row r="552">
      <c r="E552" s="23"/>
      <c r="L552" s="16"/>
    </row>
    <row r="553">
      <c r="E553" s="23"/>
      <c r="L553" s="16"/>
    </row>
    <row r="554">
      <c r="E554" s="23"/>
      <c r="L554" s="16"/>
    </row>
    <row r="555">
      <c r="E555" s="23"/>
      <c r="L555" s="16"/>
    </row>
    <row r="556">
      <c r="E556" s="23"/>
      <c r="L556" s="16"/>
    </row>
    <row r="557">
      <c r="E557" s="23"/>
      <c r="L557" s="16"/>
    </row>
    <row r="558">
      <c r="E558" s="23"/>
      <c r="L558" s="16"/>
    </row>
    <row r="559">
      <c r="E559" s="23"/>
      <c r="L559" s="16"/>
    </row>
    <row r="560">
      <c r="E560" s="23"/>
      <c r="L560" s="16"/>
    </row>
    <row r="561">
      <c r="E561" s="23"/>
      <c r="L561" s="16"/>
    </row>
    <row r="562">
      <c r="E562" s="23"/>
      <c r="L562" s="16"/>
    </row>
    <row r="563">
      <c r="E563" s="23"/>
      <c r="L563" s="16"/>
    </row>
    <row r="564">
      <c r="E564" s="23"/>
      <c r="L564" s="16"/>
    </row>
    <row r="565">
      <c r="E565" s="23"/>
      <c r="L565" s="16"/>
    </row>
    <row r="566">
      <c r="E566" s="23"/>
      <c r="L566" s="16"/>
    </row>
    <row r="567">
      <c r="E567" s="23"/>
      <c r="L567" s="16"/>
    </row>
    <row r="568">
      <c r="E568" s="23"/>
      <c r="L568" s="16"/>
    </row>
    <row r="569">
      <c r="E569" s="23"/>
      <c r="L569" s="16"/>
    </row>
    <row r="570">
      <c r="E570" s="23"/>
      <c r="L570" s="16"/>
    </row>
    <row r="571">
      <c r="E571" s="23"/>
      <c r="L571" s="16"/>
    </row>
    <row r="572">
      <c r="E572" s="23"/>
      <c r="L572" s="16"/>
    </row>
    <row r="573">
      <c r="E573" s="23"/>
      <c r="L573" s="16"/>
    </row>
    <row r="574">
      <c r="E574" s="23"/>
      <c r="L574" s="16"/>
    </row>
    <row r="575">
      <c r="E575" s="23"/>
      <c r="L575" s="16"/>
    </row>
    <row r="576">
      <c r="E576" s="23"/>
      <c r="L576" s="16"/>
    </row>
    <row r="577">
      <c r="E577" s="23"/>
      <c r="L577" s="16"/>
    </row>
    <row r="578">
      <c r="E578" s="23"/>
      <c r="L578" s="16"/>
    </row>
    <row r="579">
      <c r="E579" s="23"/>
      <c r="L579" s="16"/>
    </row>
    <row r="580">
      <c r="E580" s="23"/>
      <c r="L580" s="16"/>
    </row>
    <row r="581">
      <c r="E581" s="23"/>
      <c r="L581" s="16"/>
    </row>
    <row r="582">
      <c r="E582" s="23"/>
      <c r="L582" s="16"/>
    </row>
    <row r="583">
      <c r="E583" s="23"/>
      <c r="L583" s="16"/>
    </row>
    <row r="584">
      <c r="E584" s="23"/>
      <c r="L584" s="16"/>
    </row>
    <row r="585">
      <c r="E585" s="23"/>
      <c r="L585" s="16"/>
    </row>
    <row r="586">
      <c r="E586" s="23"/>
      <c r="L586" s="16"/>
    </row>
    <row r="587">
      <c r="E587" s="23"/>
      <c r="L587" s="16"/>
    </row>
    <row r="588">
      <c r="E588" s="23"/>
      <c r="L588" s="16"/>
    </row>
    <row r="589">
      <c r="E589" s="23"/>
      <c r="L589" s="16"/>
    </row>
    <row r="590">
      <c r="E590" s="23"/>
      <c r="L590" s="16"/>
    </row>
    <row r="591">
      <c r="E591" s="23"/>
      <c r="L591" s="16"/>
    </row>
    <row r="592">
      <c r="E592" s="23"/>
      <c r="L592" s="16"/>
    </row>
    <row r="593">
      <c r="E593" s="23"/>
      <c r="L593" s="16"/>
    </row>
    <row r="594">
      <c r="E594" s="23"/>
      <c r="L594" s="16"/>
    </row>
    <row r="595">
      <c r="E595" s="23"/>
      <c r="L595" s="16"/>
    </row>
    <row r="596">
      <c r="E596" s="23"/>
      <c r="L596" s="16"/>
    </row>
    <row r="597">
      <c r="E597" s="23"/>
      <c r="L597" s="16"/>
    </row>
    <row r="598">
      <c r="E598" s="23"/>
      <c r="L598" s="16"/>
    </row>
    <row r="599">
      <c r="E599" s="23"/>
      <c r="L599" s="16"/>
    </row>
    <row r="600">
      <c r="E600" s="23"/>
      <c r="L600" s="16"/>
    </row>
    <row r="601">
      <c r="E601" s="23"/>
      <c r="L601" s="16"/>
    </row>
    <row r="602">
      <c r="E602" s="23"/>
      <c r="L602" s="16"/>
    </row>
    <row r="603">
      <c r="E603" s="23"/>
      <c r="L603" s="16"/>
    </row>
    <row r="604">
      <c r="E604" s="23"/>
      <c r="L604" s="16"/>
    </row>
    <row r="605">
      <c r="E605" s="23"/>
      <c r="L605" s="16"/>
    </row>
    <row r="606">
      <c r="E606" s="23"/>
      <c r="L606" s="16"/>
    </row>
    <row r="607">
      <c r="E607" s="23"/>
      <c r="L607" s="16"/>
    </row>
    <row r="608">
      <c r="E608" s="23"/>
      <c r="L608" s="16"/>
    </row>
    <row r="609">
      <c r="E609" s="23"/>
      <c r="L609" s="16"/>
    </row>
    <row r="610">
      <c r="E610" s="23"/>
      <c r="L610" s="16"/>
    </row>
    <row r="611">
      <c r="E611" s="23"/>
      <c r="L611" s="16"/>
    </row>
    <row r="612">
      <c r="E612" s="23"/>
      <c r="L612" s="16"/>
    </row>
    <row r="613">
      <c r="E613" s="23"/>
      <c r="L613" s="16"/>
    </row>
    <row r="614">
      <c r="E614" s="23"/>
      <c r="L614" s="16"/>
    </row>
    <row r="615">
      <c r="E615" s="23"/>
      <c r="L615" s="16"/>
    </row>
    <row r="616">
      <c r="E616" s="23"/>
      <c r="L616" s="16"/>
    </row>
    <row r="617">
      <c r="E617" s="23"/>
      <c r="L617" s="16"/>
    </row>
    <row r="618">
      <c r="E618" s="23"/>
      <c r="L618" s="16"/>
    </row>
    <row r="619">
      <c r="E619" s="23"/>
      <c r="L619" s="16"/>
    </row>
    <row r="620">
      <c r="E620" s="23"/>
      <c r="L620" s="16"/>
    </row>
    <row r="621">
      <c r="E621" s="23"/>
      <c r="L621" s="16"/>
    </row>
    <row r="622">
      <c r="E622" s="23"/>
      <c r="L622" s="16"/>
    </row>
    <row r="623">
      <c r="E623" s="23"/>
      <c r="L623" s="16"/>
    </row>
    <row r="624">
      <c r="E624" s="23"/>
      <c r="L624" s="16"/>
    </row>
    <row r="625">
      <c r="E625" s="23"/>
      <c r="L625" s="16"/>
    </row>
    <row r="626">
      <c r="E626" s="23"/>
      <c r="L626" s="16"/>
    </row>
    <row r="627">
      <c r="E627" s="23"/>
      <c r="L627" s="16"/>
    </row>
    <row r="628">
      <c r="E628" s="23"/>
      <c r="L628" s="16"/>
    </row>
    <row r="629">
      <c r="E629" s="23"/>
      <c r="L629" s="16"/>
    </row>
    <row r="630">
      <c r="E630" s="23"/>
      <c r="L630" s="16"/>
    </row>
    <row r="631">
      <c r="E631" s="23"/>
      <c r="L631" s="16"/>
    </row>
    <row r="632">
      <c r="E632" s="23"/>
      <c r="L632" s="16"/>
    </row>
    <row r="633">
      <c r="E633" s="23"/>
      <c r="L633" s="16"/>
    </row>
    <row r="634">
      <c r="E634" s="23"/>
      <c r="L634" s="16"/>
    </row>
    <row r="635">
      <c r="E635" s="23"/>
      <c r="L635" s="16"/>
    </row>
    <row r="636">
      <c r="E636" s="23"/>
      <c r="L636" s="16"/>
    </row>
    <row r="637">
      <c r="E637" s="23"/>
      <c r="L637" s="16"/>
    </row>
    <row r="638">
      <c r="E638" s="23"/>
      <c r="L638" s="16"/>
    </row>
    <row r="639">
      <c r="E639" s="23"/>
      <c r="L639" s="16"/>
    </row>
    <row r="640">
      <c r="E640" s="23"/>
      <c r="L640" s="16"/>
    </row>
    <row r="641">
      <c r="E641" s="23"/>
      <c r="L641" s="16"/>
    </row>
    <row r="642">
      <c r="E642" s="23"/>
      <c r="L642" s="16"/>
    </row>
    <row r="643">
      <c r="E643" s="23"/>
      <c r="L643" s="16"/>
    </row>
    <row r="644">
      <c r="E644" s="23"/>
      <c r="L644" s="16"/>
    </row>
    <row r="645">
      <c r="E645" s="23"/>
      <c r="L645" s="16"/>
    </row>
    <row r="646">
      <c r="E646" s="23"/>
      <c r="L646" s="16"/>
    </row>
    <row r="647">
      <c r="E647" s="23"/>
      <c r="L647" s="16"/>
    </row>
    <row r="648">
      <c r="E648" s="23"/>
      <c r="L648" s="16"/>
    </row>
    <row r="649">
      <c r="E649" s="23"/>
      <c r="L649" s="16"/>
    </row>
    <row r="650">
      <c r="E650" s="23"/>
      <c r="L650" s="16"/>
    </row>
    <row r="651">
      <c r="E651" s="23"/>
      <c r="L651" s="16"/>
    </row>
    <row r="652">
      <c r="E652" s="23"/>
      <c r="L652" s="16"/>
    </row>
    <row r="653">
      <c r="E653" s="23"/>
      <c r="L653" s="16"/>
    </row>
    <row r="654">
      <c r="E654" s="23"/>
      <c r="L654" s="16"/>
    </row>
    <row r="655">
      <c r="E655" s="23"/>
      <c r="L655" s="16"/>
    </row>
    <row r="656">
      <c r="E656" s="23"/>
      <c r="L656" s="16"/>
    </row>
    <row r="657">
      <c r="E657" s="23"/>
      <c r="L657" s="16"/>
    </row>
    <row r="658">
      <c r="E658" s="23"/>
      <c r="L658" s="16"/>
    </row>
    <row r="659">
      <c r="E659" s="23"/>
      <c r="L659" s="16"/>
    </row>
    <row r="660">
      <c r="E660" s="23"/>
      <c r="L660" s="16"/>
    </row>
    <row r="661">
      <c r="E661" s="23"/>
      <c r="L661" s="16"/>
    </row>
    <row r="662">
      <c r="E662" s="23"/>
      <c r="L662" s="16"/>
    </row>
    <row r="663">
      <c r="E663" s="23"/>
      <c r="L663" s="16"/>
    </row>
    <row r="664">
      <c r="E664" s="23"/>
      <c r="L664" s="16"/>
    </row>
    <row r="665">
      <c r="E665" s="23"/>
      <c r="L665" s="16"/>
    </row>
    <row r="666">
      <c r="E666" s="23"/>
      <c r="L666" s="16"/>
    </row>
    <row r="667">
      <c r="E667" s="23"/>
      <c r="L667" s="16"/>
    </row>
    <row r="668">
      <c r="E668" s="23"/>
      <c r="L668" s="16"/>
    </row>
    <row r="669">
      <c r="E669" s="23"/>
      <c r="L669" s="16"/>
    </row>
    <row r="670">
      <c r="E670" s="23"/>
      <c r="L670" s="16"/>
    </row>
    <row r="671">
      <c r="E671" s="23"/>
      <c r="L671" s="16"/>
    </row>
    <row r="672">
      <c r="E672" s="23"/>
      <c r="L672" s="16"/>
    </row>
    <row r="673">
      <c r="E673" s="23"/>
      <c r="L673" s="16"/>
    </row>
    <row r="674">
      <c r="E674" s="23"/>
      <c r="L674" s="16"/>
    </row>
    <row r="675">
      <c r="E675" s="23"/>
      <c r="L675" s="16"/>
    </row>
    <row r="676">
      <c r="E676" s="23"/>
      <c r="L676" s="16"/>
    </row>
    <row r="677">
      <c r="E677" s="23"/>
      <c r="L677" s="16"/>
    </row>
    <row r="678">
      <c r="E678" s="23"/>
      <c r="L678" s="16"/>
    </row>
    <row r="679">
      <c r="E679" s="23"/>
      <c r="L679" s="16"/>
    </row>
    <row r="680">
      <c r="E680" s="23"/>
      <c r="L680" s="16"/>
    </row>
    <row r="681">
      <c r="E681" s="23"/>
      <c r="L681" s="16"/>
    </row>
    <row r="682">
      <c r="E682" s="23"/>
      <c r="L682" s="16"/>
    </row>
    <row r="683">
      <c r="E683" s="23"/>
      <c r="L683" s="16"/>
    </row>
    <row r="684">
      <c r="E684" s="23"/>
      <c r="L684" s="16"/>
    </row>
    <row r="685">
      <c r="E685" s="23"/>
      <c r="L685" s="16"/>
    </row>
    <row r="686">
      <c r="E686" s="23"/>
      <c r="L686" s="16"/>
    </row>
    <row r="687">
      <c r="E687" s="23"/>
      <c r="L687" s="16"/>
    </row>
    <row r="688">
      <c r="E688" s="23"/>
      <c r="L688" s="16"/>
    </row>
    <row r="689">
      <c r="E689" s="23"/>
      <c r="L689" s="16"/>
    </row>
    <row r="690">
      <c r="E690" s="23"/>
      <c r="L690" s="16"/>
    </row>
    <row r="691">
      <c r="E691" s="23"/>
      <c r="L691" s="16"/>
    </row>
    <row r="692">
      <c r="E692" s="23"/>
      <c r="L692" s="16"/>
    </row>
    <row r="693">
      <c r="E693" s="23"/>
      <c r="L693" s="16"/>
    </row>
    <row r="694">
      <c r="E694" s="23"/>
      <c r="L694" s="16"/>
    </row>
    <row r="695">
      <c r="E695" s="23"/>
      <c r="L695" s="16"/>
    </row>
    <row r="696">
      <c r="E696" s="23"/>
      <c r="L696" s="16"/>
    </row>
    <row r="697">
      <c r="E697" s="23"/>
      <c r="L697" s="16"/>
    </row>
    <row r="698">
      <c r="E698" s="23"/>
      <c r="L698" s="16"/>
    </row>
    <row r="699">
      <c r="E699" s="23"/>
      <c r="L699" s="16"/>
    </row>
    <row r="700">
      <c r="E700" s="23"/>
      <c r="L700" s="16"/>
    </row>
    <row r="701">
      <c r="E701" s="23"/>
      <c r="L701" s="16"/>
    </row>
    <row r="702">
      <c r="E702" s="23"/>
      <c r="L702" s="16"/>
    </row>
    <row r="703">
      <c r="E703" s="23"/>
      <c r="L703" s="16"/>
    </row>
    <row r="704">
      <c r="E704" s="23"/>
      <c r="L704" s="16"/>
    </row>
    <row r="705">
      <c r="E705" s="23"/>
      <c r="L705" s="16"/>
    </row>
    <row r="706">
      <c r="E706" s="23"/>
      <c r="L706" s="16"/>
    </row>
    <row r="707">
      <c r="E707" s="23"/>
      <c r="L707" s="16"/>
    </row>
    <row r="708">
      <c r="E708" s="23"/>
      <c r="L708" s="16"/>
    </row>
    <row r="709">
      <c r="E709" s="23"/>
      <c r="L709" s="16"/>
    </row>
    <row r="710">
      <c r="E710" s="23"/>
      <c r="L710" s="16"/>
    </row>
    <row r="711">
      <c r="E711" s="23"/>
      <c r="L711" s="16"/>
    </row>
    <row r="712">
      <c r="E712" s="23"/>
      <c r="L712" s="16"/>
    </row>
    <row r="713">
      <c r="E713" s="23"/>
      <c r="L713" s="16"/>
    </row>
    <row r="714">
      <c r="E714" s="23"/>
      <c r="L714" s="16"/>
    </row>
    <row r="715">
      <c r="E715" s="23"/>
      <c r="L715" s="16"/>
    </row>
    <row r="716">
      <c r="E716" s="23"/>
      <c r="L716" s="16"/>
    </row>
    <row r="717">
      <c r="E717" s="23"/>
      <c r="L717" s="16"/>
    </row>
    <row r="718">
      <c r="E718" s="23"/>
      <c r="L718" s="16"/>
    </row>
    <row r="719">
      <c r="E719" s="23"/>
      <c r="L719" s="16"/>
    </row>
    <row r="720">
      <c r="E720" s="23"/>
      <c r="L720" s="16"/>
    </row>
    <row r="721">
      <c r="E721" s="23"/>
      <c r="L721" s="16"/>
    </row>
    <row r="722">
      <c r="E722" s="23"/>
      <c r="L722" s="16"/>
    </row>
    <row r="723">
      <c r="E723" s="23"/>
      <c r="L723" s="16"/>
    </row>
    <row r="724">
      <c r="E724" s="23"/>
      <c r="L724" s="16"/>
    </row>
    <row r="725">
      <c r="E725" s="23"/>
      <c r="L725" s="16"/>
    </row>
    <row r="726">
      <c r="E726" s="23"/>
      <c r="L726" s="16"/>
    </row>
    <row r="727">
      <c r="E727" s="23"/>
      <c r="L727" s="16"/>
    </row>
    <row r="728">
      <c r="E728" s="23"/>
      <c r="L728" s="16"/>
    </row>
    <row r="729">
      <c r="E729" s="23"/>
      <c r="L729" s="16"/>
    </row>
    <row r="730">
      <c r="E730" s="23"/>
      <c r="L730" s="16"/>
    </row>
    <row r="731">
      <c r="E731" s="23"/>
      <c r="L731" s="16"/>
    </row>
    <row r="732">
      <c r="E732" s="23"/>
      <c r="L732" s="16"/>
    </row>
    <row r="733">
      <c r="E733" s="23"/>
      <c r="L733" s="16"/>
    </row>
    <row r="734">
      <c r="E734" s="23"/>
      <c r="L734" s="16"/>
    </row>
    <row r="735">
      <c r="E735" s="23"/>
      <c r="L735" s="16"/>
    </row>
    <row r="736">
      <c r="E736" s="23"/>
      <c r="L736" s="16"/>
    </row>
    <row r="737">
      <c r="E737" s="23"/>
      <c r="L737" s="16"/>
    </row>
    <row r="738">
      <c r="E738" s="23"/>
      <c r="L738" s="16"/>
    </row>
    <row r="739">
      <c r="E739" s="23"/>
      <c r="L739" s="16"/>
    </row>
    <row r="740">
      <c r="E740" s="23"/>
      <c r="L740" s="16"/>
    </row>
    <row r="741">
      <c r="E741" s="23"/>
      <c r="L741" s="16"/>
    </row>
    <row r="742">
      <c r="E742" s="23"/>
      <c r="L742" s="16"/>
    </row>
    <row r="743">
      <c r="E743" s="23"/>
      <c r="L743" s="16"/>
    </row>
    <row r="744">
      <c r="E744" s="23"/>
      <c r="L744" s="16"/>
    </row>
    <row r="745">
      <c r="E745" s="23"/>
      <c r="L745" s="16"/>
    </row>
    <row r="746">
      <c r="E746" s="23"/>
      <c r="L746" s="16"/>
    </row>
    <row r="747">
      <c r="E747" s="23"/>
      <c r="L747" s="16"/>
    </row>
    <row r="748">
      <c r="E748" s="23"/>
      <c r="L748" s="16"/>
    </row>
    <row r="749">
      <c r="E749" s="23"/>
      <c r="L749" s="16"/>
    </row>
    <row r="750">
      <c r="E750" s="23"/>
      <c r="L750" s="16"/>
    </row>
    <row r="751">
      <c r="E751" s="23"/>
      <c r="L751" s="16"/>
    </row>
    <row r="752">
      <c r="E752" s="23"/>
      <c r="L752" s="16"/>
    </row>
    <row r="753">
      <c r="E753" s="23"/>
      <c r="L753" s="16"/>
    </row>
    <row r="754">
      <c r="E754" s="23"/>
      <c r="L754" s="16"/>
    </row>
    <row r="755">
      <c r="E755" s="23"/>
      <c r="L755" s="16"/>
    </row>
    <row r="756">
      <c r="E756" s="23"/>
      <c r="L756" s="16"/>
    </row>
    <row r="757">
      <c r="E757" s="23"/>
      <c r="L757" s="16"/>
    </row>
    <row r="758">
      <c r="E758" s="23"/>
      <c r="L758" s="16"/>
    </row>
    <row r="759">
      <c r="E759" s="23"/>
      <c r="L759" s="16"/>
    </row>
    <row r="760">
      <c r="E760" s="23"/>
      <c r="L760" s="16"/>
    </row>
    <row r="761">
      <c r="E761" s="23"/>
      <c r="L761" s="16"/>
    </row>
    <row r="762">
      <c r="E762" s="23"/>
      <c r="L762" s="16"/>
    </row>
    <row r="763">
      <c r="E763" s="23"/>
      <c r="L763" s="16"/>
    </row>
    <row r="764">
      <c r="E764" s="23"/>
      <c r="L764" s="16"/>
    </row>
    <row r="765">
      <c r="E765" s="23"/>
      <c r="L765" s="16"/>
    </row>
    <row r="766">
      <c r="E766" s="23"/>
      <c r="L766" s="16"/>
    </row>
    <row r="767">
      <c r="E767" s="23"/>
      <c r="L767" s="16"/>
    </row>
    <row r="768">
      <c r="E768" s="23"/>
      <c r="L768" s="16"/>
    </row>
    <row r="769">
      <c r="E769" s="23"/>
      <c r="L769" s="16"/>
    </row>
    <row r="770">
      <c r="E770" s="23"/>
      <c r="L770" s="16"/>
    </row>
    <row r="771">
      <c r="E771" s="23"/>
      <c r="L771" s="16"/>
    </row>
    <row r="772">
      <c r="E772" s="23"/>
      <c r="L772" s="16"/>
    </row>
    <row r="773">
      <c r="E773" s="23"/>
      <c r="L773" s="16"/>
    </row>
    <row r="774">
      <c r="E774" s="23"/>
      <c r="L774" s="16"/>
    </row>
    <row r="775">
      <c r="E775" s="23"/>
      <c r="L775" s="16"/>
    </row>
    <row r="776">
      <c r="E776" s="23"/>
      <c r="L776" s="16"/>
    </row>
    <row r="777">
      <c r="E777" s="23"/>
      <c r="L777" s="16"/>
    </row>
    <row r="778">
      <c r="E778" s="23"/>
      <c r="L778" s="16"/>
    </row>
    <row r="779">
      <c r="E779" s="23"/>
      <c r="L779" s="16"/>
    </row>
    <row r="780">
      <c r="E780" s="23"/>
      <c r="L780" s="16"/>
    </row>
    <row r="781">
      <c r="E781" s="23"/>
      <c r="L781" s="16"/>
    </row>
    <row r="782">
      <c r="E782" s="23"/>
      <c r="L782" s="16"/>
    </row>
    <row r="783">
      <c r="E783" s="23"/>
      <c r="L783" s="16"/>
    </row>
    <row r="784">
      <c r="E784" s="23"/>
      <c r="L784" s="16"/>
    </row>
    <row r="785">
      <c r="E785" s="23"/>
      <c r="L785" s="16"/>
    </row>
    <row r="786">
      <c r="E786" s="23"/>
      <c r="L786" s="16"/>
    </row>
    <row r="787">
      <c r="E787" s="23"/>
      <c r="L787" s="16"/>
    </row>
    <row r="788">
      <c r="E788" s="23"/>
      <c r="L788" s="16"/>
    </row>
    <row r="789">
      <c r="E789" s="23"/>
      <c r="L789" s="16"/>
    </row>
    <row r="790">
      <c r="E790" s="23"/>
      <c r="L790" s="16"/>
    </row>
    <row r="791">
      <c r="E791" s="23"/>
      <c r="L791" s="16"/>
    </row>
    <row r="792">
      <c r="E792" s="23"/>
      <c r="L792" s="16"/>
    </row>
    <row r="793">
      <c r="E793" s="23"/>
      <c r="L793" s="16"/>
    </row>
    <row r="794">
      <c r="E794" s="23"/>
      <c r="L794" s="16"/>
    </row>
    <row r="795">
      <c r="E795" s="23"/>
      <c r="L795" s="16"/>
    </row>
    <row r="796">
      <c r="E796" s="23"/>
      <c r="L796" s="16"/>
    </row>
    <row r="797">
      <c r="E797" s="23"/>
      <c r="L797" s="16"/>
    </row>
    <row r="798">
      <c r="E798" s="23"/>
      <c r="L798" s="16"/>
    </row>
    <row r="799">
      <c r="E799" s="23"/>
      <c r="L799" s="16"/>
    </row>
    <row r="800">
      <c r="E800" s="23"/>
      <c r="L800" s="16"/>
    </row>
    <row r="801">
      <c r="E801" s="23"/>
      <c r="L801" s="16"/>
    </row>
    <row r="802">
      <c r="E802" s="23"/>
      <c r="L802" s="16"/>
    </row>
    <row r="803">
      <c r="E803" s="23"/>
      <c r="L803" s="16"/>
    </row>
    <row r="804">
      <c r="E804" s="23"/>
      <c r="L804" s="16"/>
    </row>
    <row r="805">
      <c r="E805" s="23"/>
      <c r="L805" s="16"/>
    </row>
    <row r="806">
      <c r="E806" s="23"/>
      <c r="L806" s="16"/>
    </row>
    <row r="807">
      <c r="E807" s="23"/>
      <c r="L807" s="16"/>
    </row>
    <row r="808">
      <c r="E808" s="23"/>
      <c r="L808" s="16"/>
    </row>
    <row r="809">
      <c r="E809" s="23"/>
      <c r="L809" s="16"/>
    </row>
    <row r="810">
      <c r="E810" s="23"/>
      <c r="L810" s="16"/>
    </row>
    <row r="811">
      <c r="E811" s="23"/>
      <c r="L811" s="16"/>
    </row>
    <row r="812">
      <c r="E812" s="23"/>
      <c r="L812" s="16"/>
    </row>
    <row r="813">
      <c r="E813" s="23"/>
      <c r="L813" s="16"/>
    </row>
    <row r="814">
      <c r="E814" s="23"/>
      <c r="L814" s="16"/>
    </row>
    <row r="815">
      <c r="E815" s="23"/>
      <c r="L815" s="16"/>
    </row>
    <row r="816">
      <c r="E816" s="23"/>
      <c r="L816" s="16"/>
    </row>
    <row r="817">
      <c r="E817" s="23"/>
      <c r="L817" s="16"/>
    </row>
    <row r="818">
      <c r="E818" s="23"/>
      <c r="L818" s="16"/>
    </row>
    <row r="819">
      <c r="E819" s="23"/>
      <c r="L819" s="16"/>
    </row>
    <row r="820">
      <c r="E820" s="23"/>
      <c r="L820" s="16"/>
    </row>
    <row r="821">
      <c r="E821" s="23"/>
      <c r="L821" s="16"/>
    </row>
    <row r="822">
      <c r="E822" s="23"/>
      <c r="L822" s="16"/>
    </row>
    <row r="823">
      <c r="E823" s="23"/>
      <c r="L823" s="16"/>
    </row>
    <row r="824">
      <c r="E824" s="23"/>
      <c r="L824" s="16"/>
    </row>
    <row r="825">
      <c r="E825" s="23"/>
      <c r="L825" s="16"/>
    </row>
    <row r="826">
      <c r="E826" s="23"/>
      <c r="L826" s="16"/>
    </row>
    <row r="827">
      <c r="E827" s="23"/>
      <c r="L827" s="16"/>
    </row>
    <row r="828">
      <c r="E828" s="23"/>
      <c r="L828" s="16"/>
    </row>
    <row r="829">
      <c r="E829" s="23"/>
      <c r="L829" s="16"/>
    </row>
    <row r="830">
      <c r="E830" s="23"/>
      <c r="L830" s="16"/>
    </row>
    <row r="831">
      <c r="E831" s="23"/>
      <c r="L831" s="16"/>
    </row>
    <row r="832">
      <c r="E832" s="23"/>
      <c r="L832" s="16"/>
    </row>
    <row r="833">
      <c r="E833" s="23"/>
      <c r="L833" s="16"/>
    </row>
    <row r="834">
      <c r="E834" s="23"/>
      <c r="L834" s="16"/>
    </row>
    <row r="835">
      <c r="E835" s="23"/>
      <c r="L835" s="16"/>
    </row>
    <row r="836">
      <c r="E836" s="23"/>
      <c r="L836" s="16"/>
    </row>
    <row r="837">
      <c r="E837" s="23"/>
      <c r="L837" s="16"/>
    </row>
    <row r="838">
      <c r="E838" s="23"/>
      <c r="L838" s="16"/>
    </row>
    <row r="839">
      <c r="E839" s="23"/>
      <c r="L839" s="16"/>
    </row>
    <row r="840">
      <c r="E840" s="23"/>
      <c r="L840" s="16"/>
    </row>
    <row r="841">
      <c r="E841" s="23"/>
      <c r="L841" s="16"/>
    </row>
    <row r="842">
      <c r="E842" s="23"/>
      <c r="L842" s="16"/>
    </row>
    <row r="843">
      <c r="E843" s="23"/>
      <c r="L843" s="16"/>
    </row>
    <row r="844">
      <c r="E844" s="23"/>
      <c r="L844" s="16"/>
    </row>
    <row r="845">
      <c r="E845" s="23"/>
      <c r="L845" s="16"/>
    </row>
    <row r="846">
      <c r="E846" s="23"/>
      <c r="L846" s="16"/>
    </row>
    <row r="847">
      <c r="E847" s="23"/>
      <c r="L847" s="16"/>
    </row>
    <row r="848">
      <c r="E848" s="23"/>
      <c r="L848" s="16"/>
    </row>
    <row r="849">
      <c r="E849" s="23"/>
      <c r="L849" s="16"/>
    </row>
    <row r="850">
      <c r="E850" s="23"/>
      <c r="L850" s="16"/>
    </row>
    <row r="851">
      <c r="E851" s="23"/>
      <c r="L851" s="16"/>
    </row>
    <row r="852">
      <c r="E852" s="23"/>
      <c r="L852" s="16"/>
    </row>
    <row r="853">
      <c r="E853" s="23"/>
      <c r="L853" s="16"/>
    </row>
    <row r="854">
      <c r="E854" s="23"/>
      <c r="L854" s="16"/>
    </row>
    <row r="855">
      <c r="E855" s="23"/>
      <c r="L855" s="16"/>
    </row>
    <row r="856">
      <c r="E856" s="23"/>
      <c r="L856" s="16"/>
    </row>
    <row r="857">
      <c r="E857" s="23"/>
      <c r="L857" s="16"/>
    </row>
    <row r="858">
      <c r="E858" s="23"/>
      <c r="L858" s="16"/>
    </row>
    <row r="859">
      <c r="E859" s="23"/>
      <c r="L859" s="16"/>
    </row>
    <row r="860">
      <c r="E860" s="23"/>
      <c r="L860" s="16"/>
    </row>
    <row r="861">
      <c r="E861" s="23"/>
      <c r="L861" s="16"/>
    </row>
    <row r="862">
      <c r="E862" s="23"/>
      <c r="L862" s="16"/>
    </row>
    <row r="863">
      <c r="E863" s="23"/>
      <c r="L863" s="16"/>
    </row>
    <row r="864">
      <c r="E864" s="23"/>
      <c r="L864" s="16"/>
    </row>
    <row r="865">
      <c r="E865" s="23"/>
      <c r="L865" s="16"/>
    </row>
    <row r="866">
      <c r="E866" s="23"/>
      <c r="L866" s="16"/>
    </row>
    <row r="867">
      <c r="E867" s="23"/>
      <c r="L867" s="16"/>
    </row>
    <row r="868">
      <c r="E868" s="23"/>
      <c r="L868" s="16"/>
    </row>
    <row r="869">
      <c r="E869" s="23"/>
      <c r="L869" s="16"/>
    </row>
    <row r="870">
      <c r="E870" s="23"/>
      <c r="L870" s="16"/>
    </row>
    <row r="871">
      <c r="E871" s="23"/>
      <c r="L871" s="16"/>
    </row>
    <row r="872">
      <c r="E872" s="23"/>
      <c r="L872" s="16"/>
    </row>
    <row r="873">
      <c r="E873" s="23"/>
      <c r="L873" s="16"/>
    </row>
    <row r="874">
      <c r="E874" s="23"/>
      <c r="L874" s="16"/>
    </row>
    <row r="875">
      <c r="E875" s="23"/>
      <c r="L875" s="16"/>
    </row>
    <row r="876">
      <c r="E876" s="23"/>
      <c r="L876" s="16"/>
    </row>
    <row r="877">
      <c r="E877" s="23"/>
      <c r="L877" s="16"/>
    </row>
    <row r="878">
      <c r="E878" s="23"/>
      <c r="L878" s="16"/>
    </row>
    <row r="879">
      <c r="E879" s="23"/>
      <c r="L879" s="16"/>
    </row>
    <row r="880">
      <c r="E880" s="23"/>
      <c r="L880" s="16"/>
    </row>
    <row r="881">
      <c r="E881" s="23"/>
      <c r="L881" s="16"/>
    </row>
    <row r="882">
      <c r="E882" s="23"/>
      <c r="L882" s="16"/>
    </row>
    <row r="883">
      <c r="E883" s="23"/>
      <c r="L883" s="16"/>
    </row>
    <row r="884">
      <c r="E884" s="23"/>
      <c r="L884" s="16"/>
    </row>
    <row r="885">
      <c r="E885" s="23"/>
      <c r="L885" s="16"/>
    </row>
    <row r="886">
      <c r="E886" s="23"/>
      <c r="L886" s="16"/>
    </row>
    <row r="887">
      <c r="E887" s="23"/>
      <c r="L887" s="16"/>
    </row>
    <row r="888">
      <c r="E888" s="23"/>
      <c r="L888" s="16"/>
    </row>
    <row r="889">
      <c r="E889" s="23"/>
      <c r="L889" s="16"/>
    </row>
    <row r="890">
      <c r="E890" s="23"/>
      <c r="L890" s="16"/>
    </row>
    <row r="891">
      <c r="E891" s="23"/>
      <c r="L891" s="16"/>
    </row>
    <row r="892">
      <c r="E892" s="23"/>
      <c r="L892" s="16"/>
    </row>
    <row r="893">
      <c r="E893" s="23"/>
      <c r="L893" s="16"/>
    </row>
    <row r="894">
      <c r="E894" s="23"/>
      <c r="L894" s="16"/>
    </row>
    <row r="895">
      <c r="E895" s="23"/>
      <c r="L895" s="16"/>
    </row>
    <row r="896">
      <c r="E896" s="23"/>
      <c r="L896" s="16"/>
    </row>
    <row r="897">
      <c r="E897" s="23"/>
      <c r="L897" s="16"/>
    </row>
    <row r="898">
      <c r="E898" s="23"/>
      <c r="L898" s="16"/>
    </row>
    <row r="899">
      <c r="E899" s="23"/>
      <c r="L899" s="16"/>
    </row>
    <row r="900">
      <c r="E900" s="23"/>
      <c r="L900" s="16"/>
    </row>
    <row r="901">
      <c r="E901" s="23"/>
      <c r="L901" s="16"/>
    </row>
    <row r="902">
      <c r="E902" s="23"/>
      <c r="L902" s="16"/>
    </row>
    <row r="903">
      <c r="E903" s="23"/>
      <c r="L903" s="16"/>
    </row>
    <row r="904">
      <c r="E904" s="23"/>
      <c r="L904" s="16"/>
    </row>
    <row r="905">
      <c r="E905" s="23"/>
      <c r="L905" s="16"/>
    </row>
    <row r="906">
      <c r="E906" s="23"/>
      <c r="L906" s="16"/>
    </row>
    <row r="907">
      <c r="E907" s="23"/>
      <c r="L907" s="16"/>
    </row>
    <row r="908">
      <c r="E908" s="23"/>
      <c r="L908" s="16"/>
    </row>
    <row r="909">
      <c r="E909" s="23"/>
      <c r="L909" s="16"/>
    </row>
    <row r="910">
      <c r="E910" s="23"/>
      <c r="L910" s="16"/>
    </row>
    <row r="911">
      <c r="E911" s="23"/>
      <c r="L911" s="16"/>
    </row>
    <row r="912">
      <c r="E912" s="23"/>
      <c r="L912" s="16"/>
    </row>
    <row r="913">
      <c r="E913" s="23"/>
      <c r="L913" s="16"/>
    </row>
    <row r="914">
      <c r="E914" s="23"/>
      <c r="L914" s="16"/>
    </row>
    <row r="915">
      <c r="E915" s="23"/>
      <c r="L915" s="16"/>
    </row>
    <row r="916">
      <c r="E916" s="23"/>
      <c r="L916" s="16"/>
    </row>
    <row r="917">
      <c r="E917" s="23"/>
      <c r="L917" s="16"/>
    </row>
    <row r="918">
      <c r="E918" s="23"/>
      <c r="L918" s="16"/>
    </row>
    <row r="919">
      <c r="E919" s="23"/>
      <c r="L919" s="16"/>
    </row>
    <row r="920">
      <c r="E920" s="23"/>
      <c r="L920" s="16"/>
    </row>
    <row r="921">
      <c r="E921" s="23"/>
      <c r="L921" s="16"/>
    </row>
    <row r="922">
      <c r="E922" s="23"/>
      <c r="L922" s="16"/>
    </row>
    <row r="923">
      <c r="E923" s="23"/>
      <c r="L923" s="16"/>
    </row>
    <row r="924">
      <c r="E924" s="23"/>
      <c r="L924" s="16"/>
    </row>
    <row r="925">
      <c r="E925" s="23"/>
      <c r="L925" s="16"/>
    </row>
    <row r="926">
      <c r="E926" s="23"/>
      <c r="L926" s="16"/>
    </row>
    <row r="927">
      <c r="E927" s="23"/>
      <c r="L927" s="16"/>
    </row>
    <row r="928">
      <c r="E928" s="23"/>
      <c r="L928" s="16"/>
    </row>
    <row r="929">
      <c r="E929" s="23"/>
      <c r="L929" s="16"/>
    </row>
    <row r="930">
      <c r="E930" s="23"/>
      <c r="L930" s="16"/>
    </row>
    <row r="931">
      <c r="E931" s="23"/>
      <c r="L931" s="16"/>
    </row>
    <row r="932">
      <c r="E932" s="23"/>
      <c r="L932" s="16"/>
    </row>
    <row r="933">
      <c r="E933" s="23"/>
      <c r="L933" s="16"/>
    </row>
    <row r="934">
      <c r="E934" s="23"/>
      <c r="L934" s="16"/>
    </row>
    <row r="935">
      <c r="E935" s="23"/>
      <c r="L935" s="16"/>
    </row>
    <row r="936">
      <c r="E936" s="23"/>
      <c r="L936" s="16"/>
    </row>
    <row r="937">
      <c r="E937" s="23"/>
      <c r="L937" s="16"/>
    </row>
    <row r="938">
      <c r="E938" s="23"/>
      <c r="L938" s="16"/>
    </row>
    <row r="939">
      <c r="E939" s="23"/>
      <c r="L939" s="16"/>
    </row>
    <row r="940">
      <c r="E940" s="23"/>
      <c r="L940" s="16"/>
    </row>
    <row r="941">
      <c r="E941" s="23"/>
      <c r="L941" s="16"/>
    </row>
    <row r="942">
      <c r="E942" s="23"/>
      <c r="L942" s="16"/>
    </row>
    <row r="943">
      <c r="E943" s="23"/>
      <c r="L943" s="16"/>
    </row>
    <row r="944">
      <c r="E944" s="23"/>
      <c r="L944" s="16"/>
    </row>
    <row r="945">
      <c r="E945" s="23"/>
      <c r="L945" s="16"/>
    </row>
    <row r="946">
      <c r="E946" s="23"/>
      <c r="L946" s="16"/>
    </row>
    <row r="947">
      <c r="E947" s="23"/>
      <c r="L947" s="16"/>
    </row>
    <row r="948">
      <c r="E948" s="23"/>
      <c r="L948" s="16"/>
    </row>
    <row r="949">
      <c r="E949" s="23"/>
      <c r="L949" s="16"/>
    </row>
    <row r="950">
      <c r="E950" s="23"/>
      <c r="L950" s="16"/>
    </row>
    <row r="951">
      <c r="E951" s="23"/>
      <c r="L951" s="16"/>
    </row>
    <row r="952">
      <c r="E952" s="23"/>
      <c r="L952" s="16"/>
    </row>
    <row r="953">
      <c r="E953" s="23"/>
      <c r="L953" s="16"/>
    </row>
    <row r="954">
      <c r="E954" s="23"/>
      <c r="L954" s="16"/>
    </row>
    <row r="955">
      <c r="E955" s="23"/>
      <c r="L955" s="16"/>
    </row>
    <row r="956">
      <c r="E956" s="23"/>
      <c r="L956" s="16"/>
    </row>
    <row r="957">
      <c r="E957" s="23"/>
      <c r="L957" s="16"/>
    </row>
    <row r="958">
      <c r="E958" s="23"/>
      <c r="L958" s="16"/>
    </row>
    <row r="959">
      <c r="E959" s="23"/>
      <c r="L959" s="16"/>
    </row>
    <row r="960">
      <c r="E960" s="23"/>
      <c r="L960" s="16"/>
    </row>
    <row r="961">
      <c r="E961" s="23"/>
      <c r="L961" s="16"/>
    </row>
    <row r="962">
      <c r="E962" s="23"/>
      <c r="L962" s="16"/>
    </row>
    <row r="963">
      <c r="E963" s="23"/>
      <c r="L963" s="16"/>
    </row>
    <row r="964">
      <c r="E964" s="23"/>
      <c r="L964" s="16"/>
    </row>
    <row r="965">
      <c r="E965" s="23"/>
      <c r="L965" s="16"/>
    </row>
    <row r="966">
      <c r="E966" s="23"/>
      <c r="L966" s="16"/>
    </row>
    <row r="967">
      <c r="E967" s="23"/>
      <c r="L967" s="16"/>
    </row>
    <row r="968">
      <c r="E968" s="23"/>
      <c r="L968" s="16"/>
    </row>
    <row r="969">
      <c r="E969" s="23"/>
      <c r="L969" s="16"/>
    </row>
    <row r="970">
      <c r="E970" s="23"/>
      <c r="L970" s="16"/>
    </row>
    <row r="971">
      <c r="E971" s="23"/>
      <c r="L971" s="16"/>
    </row>
    <row r="972">
      <c r="E972" s="23"/>
      <c r="L972" s="16"/>
    </row>
    <row r="973">
      <c r="E973" s="23"/>
      <c r="L973" s="16"/>
    </row>
    <row r="974">
      <c r="E974" s="23"/>
      <c r="L974" s="16"/>
    </row>
    <row r="975">
      <c r="E975" s="23"/>
      <c r="L975" s="16"/>
    </row>
    <row r="976">
      <c r="E976" s="23"/>
      <c r="L976" s="16"/>
    </row>
    <row r="977">
      <c r="E977" s="23"/>
      <c r="L977" s="16"/>
    </row>
    <row r="978">
      <c r="E978" s="23"/>
      <c r="L978" s="16"/>
    </row>
    <row r="979">
      <c r="E979" s="23"/>
      <c r="L979" s="16"/>
    </row>
    <row r="980">
      <c r="E980" s="23"/>
      <c r="L980" s="16"/>
    </row>
    <row r="981">
      <c r="E981" s="23"/>
      <c r="L981" s="16"/>
    </row>
    <row r="982">
      <c r="E982" s="23"/>
      <c r="L982" s="16"/>
    </row>
    <row r="983">
      <c r="E983" s="23"/>
      <c r="L983" s="16"/>
    </row>
    <row r="984">
      <c r="E984" s="23"/>
      <c r="L984" s="16"/>
    </row>
    <row r="985">
      <c r="E985" s="23"/>
      <c r="L985" s="16"/>
    </row>
    <row r="986">
      <c r="E986" s="23"/>
      <c r="L986" s="16"/>
    </row>
    <row r="987">
      <c r="E987" s="23"/>
      <c r="L987" s="16"/>
    </row>
    <row r="988">
      <c r="E988" s="23"/>
      <c r="L988" s="16"/>
    </row>
    <row r="989">
      <c r="E989" s="23"/>
      <c r="L989" s="16"/>
    </row>
    <row r="990">
      <c r="E990" s="23"/>
      <c r="L990" s="16"/>
    </row>
    <row r="991">
      <c r="E991" s="23"/>
      <c r="L991" s="16"/>
    </row>
    <row r="992">
      <c r="E992" s="23"/>
      <c r="L992" s="16"/>
    </row>
    <row r="993">
      <c r="E993" s="23"/>
      <c r="L993" s="16"/>
    </row>
    <row r="994">
      <c r="E994" s="23"/>
      <c r="L994" s="16"/>
    </row>
    <row r="995">
      <c r="E995" s="23"/>
      <c r="L995" s="16"/>
    </row>
    <row r="996">
      <c r="E996" s="23"/>
      <c r="L996" s="16"/>
    </row>
    <row r="997">
      <c r="E997" s="23"/>
      <c r="L997" s="16"/>
    </row>
    <row r="998">
      <c r="E998" s="23"/>
      <c r="L998" s="16"/>
    </row>
    <row r="999">
      <c r="E999" s="23"/>
      <c r="L999" s="16"/>
    </row>
    <row r="1000">
      <c r="E1000" s="23"/>
      <c r="L1000" s="16"/>
    </row>
    <row r="1001">
      <c r="E1001" s="23"/>
      <c r="L1001" s="16"/>
    </row>
    <row r="1002">
      <c r="E1002" s="23"/>
      <c r="L1002" s="16"/>
    </row>
    <row r="1003">
      <c r="E1003" s="23"/>
    </row>
  </sheetData>
  <autoFilter ref="$A$3:$AA$53">
    <sortState ref="A3:AA53">
      <sortCondition ref="W3:W53"/>
      <sortCondition ref="X3:X53"/>
      <sortCondition ref="A3:A53"/>
      <sortCondition descending="1" ref="E3:E53"/>
    </sortState>
  </autoFilter>
  <conditionalFormatting sqref="Q1:T1 Q4:T103">
    <cfRule type="cellIs" dxfId="0" priority="1" operator="greaterThan">
      <formula>0</formula>
    </cfRule>
  </conditionalFormatting>
  <conditionalFormatting sqref="L4:L53">
    <cfRule type="cellIs" dxfId="0" priority="2" operator="greaterThanOrEqual">
      <formula>"0%"</formula>
    </cfRule>
  </conditionalFormatting>
  <hyperlinks>
    <hyperlink r:id="rId1" ref="A3"/>
    <hyperlink r:id="rId2" ref="B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8.86"/>
    <col customWidth="1" min="4" max="4" width="13.86"/>
    <col customWidth="1" min="5" max="5" width="10.14"/>
    <col customWidth="1" min="6" max="6" width="8.0"/>
    <col customWidth="1" hidden="1" min="7" max="11" width="9.14"/>
    <col customWidth="1" min="12" max="12" width="8.14"/>
    <col customWidth="1" min="13" max="14" width="8.57"/>
    <col customWidth="1" min="15" max="16" width="8.29"/>
    <col customWidth="1" min="17" max="18" width="10.0"/>
    <col customWidth="1" min="19" max="20" width="9.86"/>
    <col customWidth="1" min="21" max="22" width="6.86"/>
    <col customWidth="1" min="23" max="24" width="6.71"/>
  </cols>
  <sheetData>
    <row r="1">
      <c r="A1" s="21">
        <v>0.0</v>
      </c>
      <c r="B1" s="22" t="s">
        <v>639</v>
      </c>
      <c r="C1" s="22"/>
      <c r="D1" s="22" t="s">
        <v>639</v>
      </c>
      <c r="E1" s="23"/>
      <c r="F1" s="17">
        <f>IFERROR(__xludf.DUMMYFUNCTION("GOOGLEFINANCE(""INDEXNSE:""&amp;D1)"),18085.8)</f>
        <v>18085.8</v>
      </c>
      <c r="G1" s="17">
        <f>IFERROR(__xludf.DUMMYFUNCTION("GOOGLEFINANCE(""INDEXNSE:""&amp;D1,""closeyest"")"),17817.7)</f>
        <v>17817.7</v>
      </c>
      <c r="H1" s="17">
        <f>IFERROR(__xludf.DUMMYFUNCTION("INDEX(GOOGLEFINANCE(""INDEXNSE:""&amp;D1,""PRICE"",TODAY()-7),2,2)"),17864.55)</f>
        <v>17864.55</v>
      </c>
      <c r="I1" s="17">
        <f>IFERROR(__xludf.DUMMYFUNCTION("INDEX(GOOGLEFINANCE(""INDEXNSE:""&amp;D1,""PRICE"",TODAY()-14),2,2)"),17648.6)</f>
        <v>17648.6</v>
      </c>
      <c r="J1" s="17">
        <f>IFERROR(__xludf.DUMMYFUNCTION("INDEX(GOOGLEFINANCE(""INDEXNSE:""&amp;D1,""PRICE"",TODAY()-28),2,2)"),16930.85)</f>
        <v>16930.85</v>
      </c>
      <c r="K1" s="17">
        <f>IFERROR(__xludf.DUMMYFUNCTION("INDEX(GOOGLEFINANCE(""INDEXNSE:""&amp;D1,""PRICE"",TODAY()-84),2,2)"),15957.1)</f>
        <v>15957.1</v>
      </c>
      <c r="L1" s="16">
        <f>F1/G1-1</f>
        <v>0.01504683545</v>
      </c>
      <c r="M1" s="16">
        <f>F1/H1-1</f>
        <v>0.01238486276</v>
      </c>
      <c r="N1" s="16">
        <f>F1/I1-1</f>
        <v>0.0247725032</v>
      </c>
      <c r="O1" s="16">
        <f>F1/J1-1</f>
        <v>0.06821571274</v>
      </c>
      <c r="P1" s="16">
        <f>F1/K1-1</f>
        <v>0.1334014326</v>
      </c>
      <c r="U1" s="4"/>
      <c r="V1" s="4"/>
      <c r="W1" s="4"/>
      <c r="X1" s="4"/>
    </row>
    <row r="2">
      <c r="A2" s="3"/>
      <c r="B2" s="3"/>
      <c r="C2" s="3"/>
      <c r="D2" s="3"/>
      <c r="E2" s="24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7"/>
      <c r="R2" s="27"/>
      <c r="S2" s="27"/>
      <c r="T2" s="27"/>
      <c r="U2" s="4"/>
      <c r="V2" s="4"/>
      <c r="W2" s="4"/>
      <c r="X2" s="4"/>
    </row>
    <row r="3">
      <c r="A3" s="3" t="s">
        <v>3</v>
      </c>
      <c r="B3" s="3" t="s">
        <v>4</v>
      </c>
      <c r="C3" s="3" t="s">
        <v>506</v>
      </c>
      <c r="D3" s="3" t="s">
        <v>507</v>
      </c>
      <c r="E3" s="24" t="s">
        <v>508</v>
      </c>
      <c r="F3" s="25" t="s">
        <v>5</v>
      </c>
      <c r="G3" s="25" t="s">
        <v>12</v>
      </c>
      <c r="H3" s="25" t="s">
        <v>509</v>
      </c>
      <c r="I3" s="25" t="s">
        <v>14</v>
      </c>
      <c r="J3" s="25" t="s">
        <v>510</v>
      </c>
      <c r="K3" s="25" t="s">
        <v>511</v>
      </c>
      <c r="L3" s="26" t="s">
        <v>512</v>
      </c>
      <c r="M3" s="26" t="s">
        <v>513</v>
      </c>
      <c r="N3" s="26" t="s">
        <v>514</v>
      </c>
      <c r="O3" s="26" t="s">
        <v>515</v>
      </c>
      <c r="P3" s="26" t="s">
        <v>516</v>
      </c>
      <c r="Q3" s="27" t="s">
        <v>517</v>
      </c>
      <c r="R3" s="27" t="s">
        <v>518</v>
      </c>
      <c r="S3" s="27" t="s">
        <v>519</v>
      </c>
      <c r="T3" s="27" t="s">
        <v>520</v>
      </c>
      <c r="U3" s="29" t="s">
        <v>509</v>
      </c>
      <c r="V3" s="29" t="s">
        <v>14</v>
      </c>
      <c r="W3" s="29" t="s">
        <v>510</v>
      </c>
      <c r="X3" s="29" t="s">
        <v>511</v>
      </c>
    </row>
    <row r="4">
      <c r="A4" s="1">
        <v>1.0</v>
      </c>
      <c r="B4" s="22" t="s">
        <v>521</v>
      </c>
      <c r="C4" s="22" t="s">
        <v>522</v>
      </c>
      <c r="D4" s="22" t="s">
        <v>9</v>
      </c>
      <c r="E4" s="23">
        <f>IFERROR(__xludf.DUMMYFUNCTION("GOOGLEFINANCE(""NSE:""&amp;D4,""marketcap"")/10000000"),1655705.3186651)</f>
        <v>1655705.319</v>
      </c>
      <c r="F4" s="17">
        <f>IFERROR(__xludf.DUMMYFUNCTION("GOOGLEFINANCE(""NSE:""&amp;D4)"),2488.1)</f>
        <v>2488.1</v>
      </c>
      <c r="G4" s="17">
        <f>IFERROR(__xludf.DUMMYFUNCTION("GOOGLEFINANCE(""NSE:""&amp;D4,""closeyest"")"),2430.5)</f>
        <v>2430.5</v>
      </c>
      <c r="H4" s="17">
        <f>IFERROR(__xludf.DUMMYFUNCTION("INDEX(GOOGLEFINANCE(""NSE:""&amp;D4,""PRICE"",TODAY()-7),2,2)"),2390.55)</f>
        <v>2390.55</v>
      </c>
      <c r="I4" s="17">
        <f>IFERROR(__xludf.DUMMYFUNCTION("INDEX(GOOGLEFINANCE(""NSE:""&amp;D4,""PRICE"",TODAY()-14),2,2)"),2371.55)</f>
        <v>2371.55</v>
      </c>
      <c r="J4" s="17">
        <f>IFERROR(__xludf.DUMMYFUNCTION("INDEX(GOOGLEFINANCE(""NSE:""&amp;D4,""PRICE"",TODAY()-28),2,2)"),2227.4)</f>
        <v>2227.4</v>
      </c>
      <c r="K4" s="17">
        <f>IFERROR(__xludf.DUMMYFUNCTION("INDEX(GOOGLEFINANCE(""NSE:""&amp;D4,""PRICE"",TODAY()-84),2,2)"),2129.05)</f>
        <v>2129.05</v>
      </c>
      <c r="L4" s="16">
        <f t="shared" ref="L4:L103" si="1">F4/G4-1</f>
        <v>0.0236988274</v>
      </c>
      <c r="M4" s="16">
        <f t="shared" ref="M4:M103" si="2">F4/H4-1</f>
        <v>0.04080650896</v>
      </c>
      <c r="N4" s="16">
        <f t="shared" ref="N4:N103" si="3">F4/I4-1</f>
        <v>0.0491450739</v>
      </c>
      <c r="O4" s="16">
        <f t="shared" ref="O4:O103" si="4">F4/J4-1</f>
        <v>0.1170422915</v>
      </c>
      <c r="P4" s="16">
        <f t="shared" ref="P4:P103" si="5">F4/K4-1</f>
        <v>0.1686432916</v>
      </c>
      <c r="Q4" s="30">
        <f t="shared" ref="Q4:Q103" si="6">M4-$M$1</f>
        <v>0.0284216462</v>
      </c>
      <c r="R4" s="30">
        <f t="shared" ref="R4:R103" si="7">N4-$N$1</f>
        <v>0.0243725707</v>
      </c>
      <c r="S4" s="30">
        <f t="shared" ref="S4:S103" si="8">O4-$O$1</f>
        <v>0.04882657872</v>
      </c>
      <c r="T4" s="30">
        <f t="shared" ref="T4:T103" si="9">P4-$P$1</f>
        <v>0.03524185902</v>
      </c>
      <c r="U4" s="31" t="str">
        <f t="shared" ref="U4:U103" si="10">RANK(Q4,$Q$4:$Q$103)</f>
        <v>#N/A</v>
      </c>
      <c r="V4" s="31">
        <f t="shared" ref="V4:V103" si="11">rank(R4,$R$4:$R$103)</f>
        <v>25</v>
      </c>
      <c r="W4" s="31">
        <f t="shared" ref="W4:W103" si="12">rank(S4,$S$4:$S$103)</f>
        <v>25</v>
      </c>
      <c r="X4" s="31">
        <f t="shared" ref="X4:X103" si="13">rank(T4,$T$4:$T$103)</f>
        <v>30</v>
      </c>
    </row>
    <row r="5">
      <c r="A5" s="1">
        <v>2.0</v>
      </c>
      <c r="B5" s="22" t="s">
        <v>523</v>
      </c>
      <c r="C5" s="22" t="s">
        <v>524</v>
      </c>
      <c r="D5" s="22" t="s">
        <v>24</v>
      </c>
      <c r="E5" s="23">
        <f>IFERROR(__xludf.DUMMYFUNCTION("GOOGLEFINANCE(""NSE:""&amp;D5,""marketcap"")/10000000"),1430311.3731375)</f>
        <v>1430311.373</v>
      </c>
      <c r="F5" s="17">
        <f>IFERROR(__xludf.DUMMYFUNCTION("GOOGLEFINANCE(""NSE:""&amp;D5)"),3872.0)</f>
        <v>3872</v>
      </c>
      <c r="G5" s="17">
        <f>IFERROR(__xludf.DUMMYFUNCTION("GOOGLEFINANCE(""NSE:""&amp;D5,""closeyest"")"),3862.15)</f>
        <v>3862.15</v>
      </c>
      <c r="H5" s="17">
        <f>IFERROR(__xludf.DUMMYFUNCTION("INDEX(GOOGLEFINANCE(""NSE:""&amp;D5,""PRICE"",TODAY()-7),2,2)"),3827.85)</f>
        <v>3827.85</v>
      </c>
      <c r="I5" s="17">
        <f>IFERROR(__xludf.DUMMYFUNCTION("INDEX(GOOGLEFINANCE(""NSE:""&amp;D5,""PRICE"",TODAY()-14),2,2)"),3845.35)</f>
        <v>3845.35</v>
      </c>
      <c r="J5" s="17">
        <f>IFERROR(__xludf.DUMMYFUNCTION("INDEX(GOOGLEFINANCE(""NSE:""&amp;D5,""PRICE"",TODAY()-28),2,2)"),3720.15)</f>
        <v>3720.15</v>
      </c>
      <c r="K5" s="17">
        <f>IFERROR(__xludf.DUMMYFUNCTION("INDEX(GOOGLEFINANCE(""NSE:""&amp;D5,""PRICE"",TODAY()-84),2,2)"),3325.45)</f>
        <v>3325.45</v>
      </c>
      <c r="L5" s="16">
        <f t="shared" si="1"/>
        <v>0.002550392916</v>
      </c>
      <c r="M5" s="16">
        <f t="shared" si="2"/>
        <v>0.01153388978</v>
      </c>
      <c r="N5" s="16">
        <f t="shared" si="3"/>
        <v>0.006930448464</v>
      </c>
      <c r="O5" s="16">
        <f t="shared" si="4"/>
        <v>0.04081824658</v>
      </c>
      <c r="P5" s="16">
        <f t="shared" si="5"/>
        <v>0.1643536965</v>
      </c>
      <c r="Q5" s="30">
        <f t="shared" si="6"/>
        <v>-0.0008509729775</v>
      </c>
      <c r="R5" s="30">
        <f t="shared" si="7"/>
        <v>-0.01784205474</v>
      </c>
      <c r="S5" s="30">
        <f t="shared" si="8"/>
        <v>-0.02739746616</v>
      </c>
      <c r="T5" s="30">
        <f t="shared" si="9"/>
        <v>0.0309522639</v>
      </c>
      <c r="U5" s="31" t="str">
        <f t="shared" si="10"/>
        <v>#N/A</v>
      </c>
      <c r="V5" s="31">
        <f t="shared" si="11"/>
        <v>59</v>
      </c>
      <c r="W5" s="31">
        <f t="shared" si="12"/>
        <v>60</v>
      </c>
      <c r="X5" s="31">
        <f t="shared" si="13"/>
        <v>31</v>
      </c>
    </row>
    <row r="6">
      <c r="A6" s="1">
        <v>3.0</v>
      </c>
      <c r="B6" s="22" t="s">
        <v>525</v>
      </c>
      <c r="C6" s="22" t="s">
        <v>526</v>
      </c>
      <c r="D6" s="22" t="s">
        <v>30</v>
      </c>
      <c r="E6" s="23">
        <f>IFERROR(__xludf.DUMMYFUNCTION("GOOGLEFINANCE(""NSE:""&amp;D6,""marketcap"")/10000000"),653713.9090734)</f>
        <v>653713.9091</v>
      </c>
      <c r="F6" s="17">
        <f>IFERROR(__xludf.DUMMYFUNCTION("GOOGLEFINANCE(""NSE:""&amp;D6)"),2782.0)</f>
        <v>2782</v>
      </c>
      <c r="G6" s="17">
        <f>IFERROR(__xludf.DUMMYFUNCTION("GOOGLEFINANCE(""NSE:""&amp;D6,""closeyest"")"),2784.5)</f>
        <v>2784.5</v>
      </c>
      <c r="H6" s="17">
        <f>IFERROR(__xludf.DUMMYFUNCTION("INDEX(GOOGLEFINANCE(""NSE:""&amp;D6,""PRICE"",TODAY()-7),2,2)"),2722.25)</f>
        <v>2722.25</v>
      </c>
      <c r="I6" s="17">
        <f>IFERROR(__xludf.DUMMYFUNCTION("INDEX(GOOGLEFINANCE(""NSE:""&amp;D6,""PRICE"",TODAY()-14),2,2)"),2786.35)</f>
        <v>2786.35</v>
      </c>
      <c r="J6" s="17">
        <f>IFERROR(__xludf.DUMMYFUNCTION("INDEX(GOOGLEFINANCE(""NSE:""&amp;D6,""PRICE"",TODAY()-28),2,2)"),2677.95)</f>
        <v>2677.95</v>
      </c>
      <c r="K6" s="17">
        <f>IFERROR(__xludf.DUMMYFUNCTION("INDEX(GOOGLEFINANCE(""NSE:""&amp;D6,""PRICE"",TODAY()-84),2,2)"),2487.3)</f>
        <v>2487.3</v>
      </c>
      <c r="L6" s="16">
        <f t="shared" si="1"/>
        <v>-0.000897827258</v>
      </c>
      <c r="M6" s="16">
        <f t="shared" si="2"/>
        <v>0.02194875562</v>
      </c>
      <c r="N6" s="16">
        <f t="shared" si="3"/>
        <v>-0.001561182192</v>
      </c>
      <c r="O6" s="16">
        <f t="shared" si="4"/>
        <v>0.03885434754</v>
      </c>
      <c r="P6" s="16">
        <f t="shared" si="5"/>
        <v>0.118481888</v>
      </c>
      <c r="Q6" s="30">
        <f t="shared" si="6"/>
        <v>0.009563892866</v>
      </c>
      <c r="R6" s="30">
        <f t="shared" si="7"/>
        <v>-0.02633368539</v>
      </c>
      <c r="S6" s="30">
        <f t="shared" si="8"/>
        <v>-0.0293613652</v>
      </c>
      <c r="T6" s="30">
        <f t="shared" si="9"/>
        <v>-0.0149195446</v>
      </c>
      <c r="U6" s="31" t="str">
        <f t="shared" si="10"/>
        <v>#N/A</v>
      </c>
      <c r="V6" s="31">
        <f t="shared" si="11"/>
        <v>62</v>
      </c>
      <c r="W6" s="31">
        <f t="shared" si="12"/>
        <v>62</v>
      </c>
      <c r="X6" s="31">
        <f t="shared" si="13"/>
        <v>49</v>
      </c>
    </row>
    <row r="7">
      <c r="A7" s="1">
        <v>4.0</v>
      </c>
      <c r="B7" s="22" t="s">
        <v>527</v>
      </c>
      <c r="C7" s="22" t="s">
        <v>528</v>
      </c>
      <c r="D7" s="22" t="s">
        <v>32</v>
      </c>
      <c r="E7" s="23">
        <f>IFERROR(__xludf.DUMMYFUNCTION("GOOGLEFINANCE(""NSE:""&amp;D7,""marketcap"")/10000000"),509516.0668263)</f>
        <v>509516.0668</v>
      </c>
      <c r="F7" s="17">
        <f>IFERROR(__xludf.DUMMYFUNCTION("GOOGLEFINANCE(""NSE:""&amp;D7)"),2825.15)</f>
        <v>2825.15</v>
      </c>
      <c r="G7" s="17">
        <f>IFERROR(__xludf.DUMMYFUNCTION("GOOGLEFINANCE(""NSE:""&amp;D7,""closeyest"")"),2734.7)</f>
        <v>2734.7</v>
      </c>
      <c r="H7" s="17">
        <f>IFERROR(__xludf.DUMMYFUNCTION("INDEX(GOOGLEFINANCE(""NSE:""&amp;D7,""PRICE"",TODAY()-7),2,2)"),2825.65)</f>
        <v>2825.65</v>
      </c>
      <c r="I7" s="17">
        <f>IFERROR(__xludf.DUMMYFUNCTION("INDEX(GOOGLEFINANCE(""NSE:""&amp;D7,""PRICE"",TODAY()-14),2,2)"),2849.8)</f>
        <v>2849.8</v>
      </c>
      <c r="J7" s="17">
        <f>IFERROR(__xludf.DUMMYFUNCTION("INDEX(GOOGLEFINANCE(""NSE:""&amp;D7,""PRICE"",TODAY()-28),2,2)"),2718.2)</f>
        <v>2718.2</v>
      </c>
      <c r="K7" s="17">
        <f>IFERROR(__xludf.DUMMYFUNCTION("INDEX(GOOGLEFINANCE(""NSE:""&amp;D7,""PRICE"",TODAY()-84),2,2)"),2475.7)</f>
        <v>2475.7</v>
      </c>
      <c r="L7" s="16">
        <f t="shared" si="1"/>
        <v>0.03307492595</v>
      </c>
      <c r="M7" s="16">
        <f t="shared" si="2"/>
        <v>-0.0001769504362</v>
      </c>
      <c r="N7" s="16">
        <f t="shared" si="3"/>
        <v>-0.008649729806</v>
      </c>
      <c r="O7" s="16">
        <f t="shared" si="4"/>
        <v>0.03934589066</v>
      </c>
      <c r="P7" s="16">
        <f t="shared" si="5"/>
        <v>0.1411519974</v>
      </c>
      <c r="Q7" s="30">
        <f t="shared" si="6"/>
        <v>-0.0125618132</v>
      </c>
      <c r="R7" s="30">
        <f t="shared" si="7"/>
        <v>-0.03342223301</v>
      </c>
      <c r="S7" s="30">
        <f t="shared" si="8"/>
        <v>-0.02886982207</v>
      </c>
      <c r="T7" s="30">
        <f t="shared" si="9"/>
        <v>0.007750564824</v>
      </c>
      <c r="U7" s="31" t="str">
        <f t="shared" si="10"/>
        <v>#N/A</v>
      </c>
      <c r="V7" s="31">
        <f t="shared" si="11"/>
        <v>67</v>
      </c>
      <c r="W7" s="31">
        <f t="shared" si="12"/>
        <v>61</v>
      </c>
      <c r="X7" s="31">
        <f t="shared" si="13"/>
        <v>39</v>
      </c>
    </row>
    <row r="8">
      <c r="A8" s="1">
        <v>5.0</v>
      </c>
      <c r="B8" s="22" t="s">
        <v>529</v>
      </c>
      <c r="C8" s="22" t="s">
        <v>528</v>
      </c>
      <c r="D8" s="22" t="s">
        <v>36</v>
      </c>
      <c r="E8" s="23">
        <f>IFERROR(__xludf.DUMMYFUNCTION("GOOGLEFINANCE(""NSE:""&amp;D8,""marketcap"")/10000000"),476076.6988323)</f>
        <v>476076.6988</v>
      </c>
      <c r="F8" s="17">
        <f>IFERROR(__xludf.DUMMYFUNCTION("GOOGLEFINANCE(""NSE:""&amp;D8)"),7890.05)</f>
        <v>7890.05</v>
      </c>
      <c r="G8" s="17">
        <f>IFERROR(__xludf.DUMMYFUNCTION("GOOGLEFINANCE(""NSE:""&amp;D8,""closeyest"")"),7793.65)</f>
        <v>7793.65</v>
      </c>
      <c r="H8" s="17">
        <f>IFERROR(__xludf.DUMMYFUNCTION("INDEX(GOOGLEFINANCE(""NSE:""&amp;D8,""PRICE"",TODAY()-7),2,2)"),7428.8)</f>
        <v>7428.8</v>
      </c>
      <c r="I8" s="17">
        <f>IFERROR(__xludf.DUMMYFUNCTION("INDEX(GOOGLEFINANCE(""NSE:""&amp;D8,""PRICE"",TODAY()-14),2,2)"),7445.55)</f>
        <v>7445.55</v>
      </c>
      <c r="J8" s="17">
        <f>IFERROR(__xludf.DUMMYFUNCTION("INDEX(GOOGLEFINANCE(""NSE:""&amp;D8,""PRICE"",TODAY()-28),2,2)"),6966.6)</f>
        <v>6966.6</v>
      </c>
      <c r="K8" s="17">
        <f>IFERROR(__xludf.DUMMYFUNCTION("INDEX(GOOGLEFINANCE(""NSE:""&amp;D8,""PRICE"",TODAY()-84),2,2)"),5997.75)</f>
        <v>5997.75</v>
      </c>
      <c r="L8" s="16">
        <f t="shared" si="1"/>
        <v>0.01236904403</v>
      </c>
      <c r="M8" s="16">
        <f t="shared" si="2"/>
        <v>0.06208943571</v>
      </c>
      <c r="N8" s="16">
        <f t="shared" si="3"/>
        <v>0.05970008932</v>
      </c>
      <c r="O8" s="16">
        <f t="shared" si="4"/>
        <v>0.1325539</v>
      </c>
      <c r="P8" s="16">
        <f t="shared" si="5"/>
        <v>0.3155016465</v>
      </c>
      <c r="Q8" s="30">
        <f t="shared" si="6"/>
        <v>0.04970457295</v>
      </c>
      <c r="R8" s="30">
        <f t="shared" si="7"/>
        <v>0.03492758611</v>
      </c>
      <c r="S8" s="30">
        <f t="shared" si="8"/>
        <v>0.0643381873</v>
      </c>
      <c r="T8" s="30">
        <f t="shared" si="9"/>
        <v>0.1821002139</v>
      </c>
      <c r="U8" s="31" t="str">
        <f t="shared" si="10"/>
        <v>#N/A</v>
      </c>
      <c r="V8" s="31">
        <f t="shared" si="11"/>
        <v>22</v>
      </c>
      <c r="W8" s="31">
        <f t="shared" si="12"/>
        <v>22</v>
      </c>
      <c r="X8" s="31">
        <f t="shared" si="13"/>
        <v>13</v>
      </c>
    </row>
    <row r="9">
      <c r="A9" s="1">
        <v>6.0</v>
      </c>
      <c r="B9" s="22" t="s">
        <v>530</v>
      </c>
      <c r="C9" s="22" t="s">
        <v>531</v>
      </c>
      <c r="D9" s="22" t="s">
        <v>44</v>
      </c>
      <c r="E9" s="23">
        <f>IFERROR(__xludf.DUMMYFUNCTION("GOOGLEFINANCE(""NSE:""&amp;D9,""marketcap"")/10000000"),398540.9631592)</f>
        <v>398540.9632</v>
      </c>
      <c r="F9" s="17">
        <f>IFERROR(__xludf.DUMMYFUNCTION("GOOGLEFINANCE(""NSE:""&amp;D9)"),726.95)</f>
        <v>726.95</v>
      </c>
      <c r="G9" s="17">
        <f>IFERROR(__xludf.DUMMYFUNCTION("GOOGLEFINANCE(""NSE:""&amp;D9,""closeyest"")"),726.75)</f>
        <v>726.75</v>
      </c>
      <c r="H9" s="17">
        <f>IFERROR(__xludf.DUMMYFUNCTION("INDEX(GOOGLEFINANCE(""NSE:""&amp;D9,""PRICE"",TODAY()-7),2,2)"),728.15)</f>
        <v>728.15</v>
      </c>
      <c r="I9" s="17">
        <f>IFERROR(__xludf.DUMMYFUNCTION("INDEX(GOOGLEFINANCE(""NSE:""&amp;D9,""PRICE"",TODAY()-14),2,2)"),693.3)</f>
        <v>693.3</v>
      </c>
      <c r="J9" s="17">
        <f>IFERROR(__xludf.DUMMYFUNCTION("INDEX(GOOGLEFINANCE(""NSE:""&amp;D9,""PRICE"",TODAY()-28),2,2)"),595.15)</f>
        <v>595.15</v>
      </c>
      <c r="K9" s="17">
        <f>IFERROR(__xludf.DUMMYFUNCTION("INDEX(GOOGLEFINANCE(""NSE:""&amp;D9,""PRICE"",TODAY()-84),2,2)"),525.0)</f>
        <v>525</v>
      </c>
      <c r="L9" s="16">
        <f t="shared" si="1"/>
        <v>0.0002751977984</v>
      </c>
      <c r="M9" s="16">
        <f t="shared" si="2"/>
        <v>-0.001648012085</v>
      </c>
      <c r="N9" s="16">
        <f t="shared" si="3"/>
        <v>0.04853598731</v>
      </c>
      <c r="O9" s="16">
        <f t="shared" si="4"/>
        <v>0.2214567756</v>
      </c>
      <c r="P9" s="16">
        <f t="shared" si="5"/>
        <v>0.3846666667</v>
      </c>
      <c r="Q9" s="30">
        <f t="shared" si="6"/>
        <v>-0.01403287484</v>
      </c>
      <c r="R9" s="30">
        <f t="shared" si="7"/>
        <v>0.02376348411</v>
      </c>
      <c r="S9" s="30">
        <f t="shared" si="8"/>
        <v>0.1532410629</v>
      </c>
      <c r="T9" s="30">
        <f t="shared" si="9"/>
        <v>0.2512652341</v>
      </c>
      <c r="U9" s="31" t="str">
        <f t="shared" si="10"/>
        <v>#N/A</v>
      </c>
      <c r="V9" s="31">
        <f t="shared" si="11"/>
        <v>26</v>
      </c>
      <c r="W9" s="31">
        <f t="shared" si="12"/>
        <v>4</v>
      </c>
      <c r="X9" s="31">
        <f t="shared" si="13"/>
        <v>7</v>
      </c>
    </row>
    <row r="10">
      <c r="A10" s="1">
        <v>7.0</v>
      </c>
      <c r="B10" s="22" t="s">
        <v>532</v>
      </c>
      <c r="C10" s="22" t="s">
        <v>528</v>
      </c>
      <c r="D10" s="22" t="s">
        <v>42</v>
      </c>
      <c r="E10" s="23">
        <f>IFERROR(__xludf.DUMMYFUNCTION("GOOGLEFINANCE(""NSE:""&amp;D10,""marketcap"")/10000000"),401938.0815719)</f>
        <v>401938.0816</v>
      </c>
      <c r="F10" s="17">
        <f>IFERROR(__xludf.DUMMYFUNCTION("GOOGLEFINANCE(""NSE:""&amp;D10)"),2024.05)</f>
        <v>2024.05</v>
      </c>
      <c r="G10" s="17">
        <f>IFERROR(__xludf.DUMMYFUNCTION("GOOGLEFINANCE(""NSE:""&amp;D10,""closeyest"")"),1985.55)</f>
        <v>1985.55</v>
      </c>
      <c r="H10" s="17">
        <f>IFERROR(__xludf.DUMMYFUNCTION("INDEX(GOOGLEFINANCE(""NSE:""&amp;D10,""PRICE"",TODAY()-7),2,2)"),2007.95)</f>
        <v>2007.95</v>
      </c>
      <c r="I10" s="17">
        <f>IFERROR(__xludf.DUMMYFUNCTION("INDEX(GOOGLEFINANCE(""NSE:""&amp;D10,""PRICE"",TODAY()-14),2,2)"),1840.05)</f>
        <v>1840.05</v>
      </c>
      <c r="J10" s="17">
        <f>IFERROR(__xludf.DUMMYFUNCTION("INDEX(GOOGLEFINANCE(""NSE:""&amp;D10,""PRICE"",TODAY()-28),2,2)"),1713.55)</f>
        <v>1713.55</v>
      </c>
      <c r="K10" s="17">
        <f>IFERROR(__xludf.DUMMYFUNCTION("INDEX(GOOGLEFINANCE(""NSE:""&amp;D10,""PRICE"",TODAY()-84),2,2)"),1715.15)</f>
        <v>1715.15</v>
      </c>
      <c r="L10" s="16">
        <f t="shared" si="1"/>
        <v>0.01939009342</v>
      </c>
      <c r="M10" s="16">
        <f t="shared" si="2"/>
        <v>0.008018127941</v>
      </c>
      <c r="N10" s="16">
        <f t="shared" si="3"/>
        <v>0.09999728268</v>
      </c>
      <c r="O10" s="16">
        <f t="shared" si="4"/>
        <v>0.1812027662</v>
      </c>
      <c r="P10" s="16">
        <f t="shared" si="5"/>
        <v>0.1801008658</v>
      </c>
      <c r="Q10" s="30">
        <f t="shared" si="6"/>
        <v>-0.004366734817</v>
      </c>
      <c r="R10" s="30">
        <f t="shared" si="7"/>
        <v>0.07522477948</v>
      </c>
      <c r="S10" s="30">
        <f t="shared" si="8"/>
        <v>0.1129870534</v>
      </c>
      <c r="T10" s="30">
        <f t="shared" si="9"/>
        <v>0.04669943322</v>
      </c>
      <c r="U10" s="31" t="str">
        <f t="shared" si="10"/>
        <v>#N/A</v>
      </c>
      <c r="V10" s="31">
        <f t="shared" si="11"/>
        <v>11</v>
      </c>
      <c r="W10" s="31">
        <f t="shared" si="12"/>
        <v>8</v>
      </c>
      <c r="X10" s="31">
        <f t="shared" si="13"/>
        <v>29</v>
      </c>
    </row>
    <row r="11">
      <c r="A11" s="1">
        <v>8.0</v>
      </c>
      <c r="B11" s="22" t="s">
        <v>533</v>
      </c>
      <c r="C11" s="22" t="s">
        <v>528</v>
      </c>
      <c r="D11" s="22" t="s">
        <v>38</v>
      </c>
      <c r="E11" s="23">
        <f>IFERROR(__xludf.DUMMYFUNCTION("GOOGLEFINANCE(""NSE:""&amp;D11,""marketcap"")/10000000"),401291.3530894)</f>
        <v>401291.3531</v>
      </c>
      <c r="F11" s="17">
        <f>IFERROR(__xludf.DUMMYFUNCTION("GOOGLEFINANCE(""NSE:""&amp;D11)"),450.0)</f>
        <v>450</v>
      </c>
      <c r="G11" s="17">
        <f>IFERROR(__xludf.DUMMYFUNCTION("GOOGLEFINANCE(""NSE:""&amp;D11,""closeyest"")"),438.85)</f>
        <v>438.85</v>
      </c>
      <c r="H11" s="17">
        <f>IFERROR(__xludf.DUMMYFUNCTION("INDEX(GOOGLEFINANCE(""NSE:""&amp;D11,""PRICE"",TODAY()-7),2,2)"),454.1)</f>
        <v>454.1</v>
      </c>
      <c r="I11" s="17">
        <f>IFERROR(__xludf.DUMMYFUNCTION("INDEX(GOOGLEFINANCE(""NSE:""&amp;D11,""PRICE"",TODAY()-14),2,2)"),432.85)</f>
        <v>432.85</v>
      </c>
      <c r="J11" s="17">
        <f>IFERROR(__xludf.DUMMYFUNCTION("INDEX(GOOGLEFINANCE(""NSE:""&amp;D11,""PRICE"",TODAY()-28),2,2)"),412.45)</f>
        <v>412.45</v>
      </c>
      <c r="K11" s="17">
        <f>IFERROR(__xludf.DUMMYFUNCTION("INDEX(GOOGLEFINANCE(""NSE:""&amp;D11,""PRICE"",TODAY()-84),2,2)"),424.4)</f>
        <v>424.4</v>
      </c>
      <c r="L11" s="16">
        <f t="shared" si="1"/>
        <v>0.02540731457</v>
      </c>
      <c r="M11" s="16">
        <f t="shared" si="2"/>
        <v>-0.009028848271</v>
      </c>
      <c r="N11" s="16">
        <f t="shared" si="3"/>
        <v>0.03962111586</v>
      </c>
      <c r="O11" s="16">
        <f t="shared" si="4"/>
        <v>0.09104133834</v>
      </c>
      <c r="P11" s="16">
        <f t="shared" si="5"/>
        <v>0.0603204524</v>
      </c>
      <c r="Q11" s="30">
        <f t="shared" si="6"/>
        <v>-0.02141371103</v>
      </c>
      <c r="R11" s="30">
        <f t="shared" si="7"/>
        <v>0.01484861266</v>
      </c>
      <c r="S11" s="30">
        <f t="shared" si="8"/>
        <v>0.02282562561</v>
      </c>
      <c r="T11" s="30">
        <f t="shared" si="9"/>
        <v>-0.07308098019</v>
      </c>
      <c r="U11" s="31" t="str">
        <f t="shared" si="10"/>
        <v>#N/A</v>
      </c>
      <c r="V11" s="31">
        <f t="shared" si="11"/>
        <v>28</v>
      </c>
      <c r="W11" s="31">
        <f t="shared" si="12"/>
        <v>35</v>
      </c>
      <c r="X11" s="31">
        <f t="shared" si="13"/>
        <v>67</v>
      </c>
    </row>
    <row r="12">
      <c r="A12" s="1">
        <v>9.0</v>
      </c>
      <c r="B12" s="22" t="s">
        <v>534</v>
      </c>
      <c r="C12" s="22" t="s">
        <v>524</v>
      </c>
      <c r="D12" s="22" t="s">
        <v>40</v>
      </c>
      <c r="E12" s="23">
        <f>IFERROR(__xludf.DUMMYFUNCTION("GOOGLEFINANCE(""NSE:""&amp;D12,""marketcap"")/10000000"),5092.4768245)</f>
        <v>5092.476825</v>
      </c>
      <c r="F12" s="17">
        <f>IFERROR(__xludf.DUMMYFUNCTION("GOOGLEFINANCE(""NSE:""&amp;D12)"),674.0)</f>
        <v>674</v>
      </c>
      <c r="G12" s="17">
        <f>IFERROR(__xludf.DUMMYFUNCTION("GOOGLEFINANCE(""NSE:""&amp;D12,""closeyest"")"),668.15)</f>
        <v>668.15</v>
      </c>
      <c r="H12" s="17">
        <f>IFERROR(__xludf.DUMMYFUNCTION("INDEX(GOOGLEFINANCE(""NSE:""&amp;D12,""PRICE"",TODAY()-7),2,2)"),665.25)</f>
        <v>665.25</v>
      </c>
      <c r="I12" s="17">
        <f>IFERROR(__xludf.DUMMYFUNCTION("INDEX(GOOGLEFINANCE(""NSE:""&amp;D12,""PRICE"",TODAY()-14),2,2)"),670.75)</f>
        <v>670.75</v>
      </c>
      <c r="J12" s="17">
        <f>IFERROR(__xludf.DUMMYFUNCTION("INDEX(GOOGLEFINANCE(""NSE:""&amp;D12,""PRICE"",TODAY()-28),2,2)"),634.95)</f>
        <v>634.95</v>
      </c>
      <c r="K12" s="17">
        <f>IFERROR(__xludf.DUMMYFUNCTION("INDEX(GOOGLEFINANCE(""NSE:""&amp;D12,""PRICE"",TODAY()-84),2,2)"),538.6)</f>
        <v>538.6</v>
      </c>
      <c r="L12" s="16">
        <f t="shared" si="1"/>
        <v>0.00875551897</v>
      </c>
      <c r="M12" s="16">
        <f t="shared" si="2"/>
        <v>0.01315295002</v>
      </c>
      <c r="N12" s="16">
        <f t="shared" si="3"/>
        <v>0.0048453224</v>
      </c>
      <c r="O12" s="16">
        <f t="shared" si="4"/>
        <v>0.06150090558</v>
      </c>
      <c r="P12" s="16">
        <f t="shared" si="5"/>
        <v>0.2513924991</v>
      </c>
      <c r="Q12" s="30">
        <f t="shared" si="6"/>
        <v>0.0007680872599</v>
      </c>
      <c r="R12" s="30">
        <f t="shared" si="7"/>
        <v>-0.0199271808</v>
      </c>
      <c r="S12" s="30">
        <f t="shared" si="8"/>
        <v>-0.006714807154</v>
      </c>
      <c r="T12" s="30">
        <f t="shared" si="9"/>
        <v>0.1179910665</v>
      </c>
      <c r="U12" s="31" t="str">
        <f t="shared" si="10"/>
        <v>#N/A</v>
      </c>
      <c r="V12" s="31">
        <f t="shared" si="11"/>
        <v>60</v>
      </c>
      <c r="W12" s="31">
        <f t="shared" si="12"/>
        <v>50</v>
      </c>
      <c r="X12" s="31">
        <f t="shared" si="13"/>
        <v>18</v>
      </c>
    </row>
    <row r="13">
      <c r="A13" s="1">
        <v>10.0</v>
      </c>
      <c r="B13" s="22" t="s">
        <v>535</v>
      </c>
      <c r="C13" s="22" t="s">
        <v>524</v>
      </c>
      <c r="D13" s="22" t="s">
        <v>46</v>
      </c>
      <c r="E13" s="23">
        <f>IFERROR(__xludf.DUMMYFUNCTION("GOOGLEFINANCE(""NSE:""&amp;D13,""marketcap"")/10000000"),360499.7683995)</f>
        <v>360499.7684</v>
      </c>
      <c r="F13" s="17">
        <f>IFERROR(__xludf.DUMMYFUNCTION("GOOGLEFINANCE(""NSE:""&amp;D13)"),1327.0)</f>
        <v>1327</v>
      </c>
      <c r="G13" s="17">
        <f>IFERROR(__xludf.DUMMYFUNCTION("GOOGLEFINANCE(""NSE:""&amp;D13,""closeyest"")"),1315.5)</f>
        <v>1315.5</v>
      </c>
      <c r="H13" s="17">
        <f>IFERROR(__xludf.DUMMYFUNCTION("INDEX(GOOGLEFINANCE(""NSE:""&amp;D13,""PRICE"",TODAY()-7),2,2)"),1263.3)</f>
        <v>1263.3</v>
      </c>
      <c r="I13" s="17">
        <f>IFERROR(__xludf.DUMMYFUNCTION("INDEX(GOOGLEFINANCE(""NSE:""&amp;D13,""PRICE"",TODAY()-14),2,2)"),1208.4)</f>
        <v>1208.4</v>
      </c>
      <c r="J13" s="17">
        <f>IFERROR(__xludf.DUMMYFUNCTION("INDEX(GOOGLEFINANCE(""NSE:""&amp;D13,""PRICE"",TODAY()-28),2,2)"),1162.95)</f>
        <v>1162.95</v>
      </c>
      <c r="K13" s="17">
        <f>IFERROR(__xludf.DUMMYFUNCTION("INDEX(GOOGLEFINANCE(""NSE:""&amp;D13,""PRICE"",TODAY()-84),2,2)"),984.65)</f>
        <v>984.65</v>
      </c>
      <c r="L13" s="16">
        <f t="shared" si="1"/>
        <v>0.008741923223</v>
      </c>
      <c r="M13" s="16">
        <f t="shared" si="2"/>
        <v>0.05042349402</v>
      </c>
      <c r="N13" s="16">
        <f t="shared" si="3"/>
        <v>0.09814630917</v>
      </c>
      <c r="O13" s="16">
        <f t="shared" si="4"/>
        <v>0.1410636743</v>
      </c>
      <c r="P13" s="16">
        <f t="shared" si="5"/>
        <v>0.3476869954</v>
      </c>
      <c r="Q13" s="30">
        <f t="shared" si="6"/>
        <v>0.03803863126</v>
      </c>
      <c r="R13" s="30">
        <f t="shared" si="7"/>
        <v>0.07337380597</v>
      </c>
      <c r="S13" s="30">
        <f t="shared" si="8"/>
        <v>0.07284796154</v>
      </c>
      <c r="T13" s="30">
        <f t="shared" si="9"/>
        <v>0.2142855628</v>
      </c>
      <c r="U13" s="31" t="str">
        <f t="shared" si="10"/>
        <v>#N/A</v>
      </c>
      <c r="V13" s="31">
        <f t="shared" si="11"/>
        <v>12</v>
      </c>
      <c r="W13" s="31">
        <f t="shared" si="12"/>
        <v>19</v>
      </c>
      <c r="X13" s="31">
        <f t="shared" si="13"/>
        <v>9</v>
      </c>
    </row>
    <row r="14">
      <c r="A14" s="1">
        <v>11.0</v>
      </c>
      <c r="B14" s="22" t="s">
        <v>536</v>
      </c>
      <c r="C14" s="22" t="s">
        <v>526</v>
      </c>
      <c r="D14" s="22" t="s">
        <v>48</v>
      </c>
      <c r="E14" s="23">
        <f>IFERROR(__xludf.DUMMYFUNCTION("GOOGLEFINANCE(""NSE:""&amp;D14,""marketcap"")/10000000"),318708.7923473)</f>
        <v>318708.7923</v>
      </c>
      <c r="F14" s="17">
        <f>IFERROR(__xludf.DUMMYFUNCTION("GOOGLEFINANCE(""NSE:""&amp;D14)"),3326.0)</f>
        <v>3326</v>
      </c>
      <c r="G14" s="17">
        <f>IFERROR(__xludf.DUMMYFUNCTION("GOOGLEFINANCE(""NSE:""&amp;D14,""closeyest"")"),3317.5)</f>
        <v>3317.5</v>
      </c>
      <c r="H14" s="17">
        <f>IFERROR(__xludf.DUMMYFUNCTION("INDEX(GOOGLEFINANCE(""NSE:""&amp;D14,""PRICE"",TODAY()-7),2,2)"),3303.05)</f>
        <v>3303.05</v>
      </c>
      <c r="I14" s="17">
        <f>IFERROR(__xludf.DUMMYFUNCTION("INDEX(GOOGLEFINANCE(""NSE:""&amp;D14,""PRICE"",TODAY()-14),2,2)"),3367.05)</f>
        <v>3367.05</v>
      </c>
      <c r="J14" s="17">
        <f>IFERROR(__xludf.DUMMYFUNCTION("INDEX(GOOGLEFINANCE(""NSE:""&amp;D14,""PRICE"",TODAY()-28),2,2)"),3036.8)</f>
        <v>3036.8</v>
      </c>
      <c r="K14" s="17">
        <f>IFERROR(__xludf.DUMMYFUNCTION("INDEX(GOOGLEFINANCE(""NSE:""&amp;D14,""PRICE"",TODAY()-84),2,2)"),3005.0)</f>
        <v>3005</v>
      </c>
      <c r="L14" s="16">
        <f t="shared" si="1"/>
        <v>0.002562170309</v>
      </c>
      <c r="M14" s="16">
        <f t="shared" si="2"/>
        <v>0.006948123704</v>
      </c>
      <c r="N14" s="16">
        <f t="shared" si="3"/>
        <v>-0.01219168115</v>
      </c>
      <c r="O14" s="16">
        <f t="shared" si="4"/>
        <v>0.09523182297</v>
      </c>
      <c r="P14" s="16">
        <f t="shared" si="5"/>
        <v>0.1068219634</v>
      </c>
      <c r="Q14" s="30">
        <f t="shared" si="6"/>
        <v>-0.005436739055</v>
      </c>
      <c r="R14" s="30">
        <f t="shared" si="7"/>
        <v>-0.03696418435</v>
      </c>
      <c r="S14" s="30">
        <f t="shared" si="8"/>
        <v>0.02701611023</v>
      </c>
      <c r="T14" s="30">
        <f t="shared" si="9"/>
        <v>-0.0265794692</v>
      </c>
      <c r="U14" s="31" t="str">
        <f t="shared" si="10"/>
        <v>#N/A</v>
      </c>
      <c r="V14" s="31">
        <f t="shared" si="11"/>
        <v>72</v>
      </c>
      <c r="W14" s="31">
        <f t="shared" si="12"/>
        <v>32</v>
      </c>
      <c r="X14" s="31">
        <f t="shared" si="13"/>
        <v>53</v>
      </c>
    </row>
    <row r="15">
      <c r="A15" s="1">
        <v>12.0</v>
      </c>
      <c r="B15" s="22" t="s">
        <v>537</v>
      </c>
      <c r="C15" s="22" t="s">
        <v>526</v>
      </c>
      <c r="D15" s="22" t="s">
        <v>51</v>
      </c>
      <c r="E15" s="23">
        <f>IFERROR(__xludf.DUMMYFUNCTION("GOOGLEFINANCE(""NSE:""&amp;D15,""marketcap"")/10000000"),298706.3612787)</f>
        <v>298706.3613</v>
      </c>
      <c r="F15" s="17">
        <f>IFERROR(__xludf.DUMMYFUNCTION("GOOGLEFINANCE(""NSE:""&amp;D15)"),242.35)</f>
        <v>242.35</v>
      </c>
      <c r="G15" s="17">
        <f>IFERROR(__xludf.DUMMYFUNCTION("GOOGLEFINANCE(""NSE:""&amp;D15,""closeyest"")"),243.5)</f>
        <v>243.5</v>
      </c>
      <c r="H15" s="17">
        <f>IFERROR(__xludf.DUMMYFUNCTION("INDEX(GOOGLEFINANCE(""NSE:""&amp;D15,""PRICE"",TODAY()-7),2,2)"),231.15)</f>
        <v>231.15</v>
      </c>
      <c r="I15" s="17">
        <f>IFERROR(__xludf.DUMMYFUNCTION("INDEX(GOOGLEFINANCE(""NSE:""&amp;D15,""PRICE"",TODAY()-14),2,2)"),214.15)</f>
        <v>214.15</v>
      </c>
      <c r="J15" s="17">
        <f>IFERROR(__xludf.DUMMYFUNCTION("INDEX(GOOGLEFINANCE(""NSE:""&amp;D15,""PRICE"",TODAY()-28),2,2)"),205.9)</f>
        <v>205.9</v>
      </c>
      <c r="K15" s="17">
        <f>IFERROR(__xludf.DUMMYFUNCTION("INDEX(GOOGLEFINANCE(""NSE:""&amp;D15,""PRICE"",TODAY()-84),2,2)"),202.4)</f>
        <v>202.4</v>
      </c>
      <c r="L15" s="16">
        <f t="shared" si="1"/>
        <v>-0.004722792608</v>
      </c>
      <c r="M15" s="16">
        <f t="shared" si="2"/>
        <v>0.04845338525</v>
      </c>
      <c r="N15" s="16">
        <f t="shared" si="3"/>
        <v>0.1316833995</v>
      </c>
      <c r="O15" s="16">
        <f t="shared" si="4"/>
        <v>0.1770276833</v>
      </c>
      <c r="P15" s="16">
        <f t="shared" si="5"/>
        <v>0.1973814229</v>
      </c>
      <c r="Q15" s="30">
        <f t="shared" si="6"/>
        <v>0.03606852249</v>
      </c>
      <c r="R15" s="30">
        <f t="shared" si="7"/>
        <v>0.1069108963</v>
      </c>
      <c r="S15" s="30">
        <f t="shared" si="8"/>
        <v>0.1088119706</v>
      </c>
      <c r="T15" s="30">
        <f t="shared" si="9"/>
        <v>0.06397999033</v>
      </c>
      <c r="U15" s="31" t="str">
        <f t="shared" si="10"/>
        <v>#N/A</v>
      </c>
      <c r="V15" s="31">
        <f t="shared" si="11"/>
        <v>7</v>
      </c>
      <c r="W15" s="31">
        <f t="shared" si="12"/>
        <v>11</v>
      </c>
      <c r="X15" s="31">
        <f t="shared" si="13"/>
        <v>24</v>
      </c>
    </row>
    <row r="16">
      <c r="A16" s="1">
        <v>13.0</v>
      </c>
      <c r="B16" s="22" t="s">
        <v>596</v>
      </c>
      <c r="C16" s="22" t="s">
        <v>590</v>
      </c>
      <c r="D16" s="22" t="s">
        <v>53</v>
      </c>
      <c r="E16" s="23">
        <f>IFERROR(__xludf.DUMMYFUNCTION("GOOGLEFINANCE(""NSE:""&amp;D16,""marketcap"")/10000000"),285370.5897664)</f>
        <v>285370.5898</v>
      </c>
      <c r="F16" s="17">
        <f>IFERROR(__xludf.DUMMYFUNCTION("GOOGLEFINANCE(""NSE:""&amp;D16)"),4408.55)</f>
        <v>4408.55</v>
      </c>
      <c r="G16" s="17">
        <f>IFERROR(__xludf.DUMMYFUNCTION("GOOGLEFINANCE(""NSE:""&amp;D16,""closeyest"")"),4378.65)</f>
        <v>4378.65</v>
      </c>
      <c r="H16" s="17">
        <f>IFERROR(__xludf.DUMMYFUNCTION("INDEX(GOOGLEFINANCE(""NSE:""&amp;D16,""PRICE"",TODAY()-7),2,2)"),4239.65)</f>
        <v>4239.65</v>
      </c>
      <c r="I16" s="17">
        <f>IFERROR(__xludf.DUMMYFUNCTION("INDEX(GOOGLEFINANCE(""NSE:""&amp;D16,""PRICE"",TODAY()-14),2,2)"),3961.85)</f>
        <v>3961.85</v>
      </c>
      <c r="J16" s="17">
        <f>IFERROR(__xludf.DUMMYFUNCTION("INDEX(GOOGLEFINANCE(""NSE:""&amp;D16,""PRICE"",TODAY()-28),2,2)"),3833.05)</f>
        <v>3833.05</v>
      </c>
      <c r="K16" s="17">
        <f>IFERROR(__xludf.DUMMYFUNCTION("INDEX(GOOGLEFINANCE(""NSE:""&amp;D16,""PRICE"",TODAY()-84),2,2)"),3314.3)</f>
        <v>3314.3</v>
      </c>
      <c r="L16" s="16">
        <f t="shared" si="1"/>
        <v>0.00682858872</v>
      </c>
      <c r="M16" s="16">
        <f t="shared" si="2"/>
        <v>0.03983819419</v>
      </c>
      <c r="N16" s="16">
        <f t="shared" si="3"/>
        <v>0.1127503565</v>
      </c>
      <c r="O16" s="16">
        <f t="shared" si="4"/>
        <v>0.1501415322</v>
      </c>
      <c r="P16" s="16">
        <f t="shared" si="5"/>
        <v>0.3301602148</v>
      </c>
      <c r="Q16" s="30">
        <f t="shared" si="6"/>
        <v>0.02745333143</v>
      </c>
      <c r="R16" s="30">
        <f t="shared" si="7"/>
        <v>0.08797785332</v>
      </c>
      <c r="S16" s="30">
        <f t="shared" si="8"/>
        <v>0.08192581946</v>
      </c>
      <c r="T16" s="30">
        <f t="shared" si="9"/>
        <v>0.1967587822</v>
      </c>
      <c r="U16" s="31" t="str">
        <f t="shared" si="10"/>
        <v>#N/A</v>
      </c>
      <c r="V16" s="31">
        <f t="shared" si="11"/>
        <v>9</v>
      </c>
      <c r="W16" s="31">
        <f t="shared" si="12"/>
        <v>17</v>
      </c>
      <c r="X16" s="31">
        <f t="shared" si="13"/>
        <v>11</v>
      </c>
    </row>
    <row r="17">
      <c r="A17" s="1">
        <v>14.0</v>
      </c>
      <c r="B17" s="22" t="s">
        <v>538</v>
      </c>
      <c r="C17" s="22" t="s">
        <v>528</v>
      </c>
      <c r="D17" s="22" t="s">
        <v>50</v>
      </c>
      <c r="E17" s="23">
        <f>IFERROR(__xludf.DUMMYFUNCTION("GOOGLEFINANCE(""NSE:""&amp;D17,""marketcap"")/10000000"),294144.3113936)</f>
        <v>294144.3114</v>
      </c>
      <c r="F17" s="17">
        <f>IFERROR(__xludf.DUMMYFUNCTION("GOOGLEFINANCE(""NSE:""&amp;D17)"),18430.0)</f>
        <v>18430</v>
      </c>
      <c r="G17" s="17">
        <f>IFERROR(__xludf.DUMMYFUNCTION("GOOGLEFINANCE(""NSE:""&amp;D17,""closeyest"")"),17614.75)</f>
        <v>17614.75</v>
      </c>
      <c r="H17" s="17">
        <f>IFERROR(__xludf.DUMMYFUNCTION("INDEX(GOOGLEFINANCE(""NSE:""&amp;D17,""PRICE"",TODAY()-7),2,2)"),16840.2)</f>
        <v>16840.2</v>
      </c>
      <c r="I17" s="17">
        <f>IFERROR(__xludf.DUMMYFUNCTION("INDEX(GOOGLEFINANCE(""NSE:""&amp;D17,""PRICE"",TODAY()-14),2,2)"),16938.2)</f>
        <v>16938.2</v>
      </c>
      <c r="J17" s="17">
        <f>IFERROR(__xludf.DUMMYFUNCTION("INDEX(GOOGLEFINANCE(""NSE:""&amp;D17,""PRICE"",TODAY()-28),2,2)"),16195.6)</f>
        <v>16195.6</v>
      </c>
      <c r="K17" s="17">
        <f>IFERROR(__xludf.DUMMYFUNCTION("INDEX(GOOGLEFINANCE(""NSE:""&amp;D17,""PRICE"",TODAY()-84),2,2)"),11750.45)</f>
        <v>11750.45</v>
      </c>
      <c r="L17" s="16">
        <f t="shared" si="1"/>
        <v>0.04628223506</v>
      </c>
      <c r="M17" s="16">
        <f t="shared" si="2"/>
        <v>0.09440505457</v>
      </c>
      <c r="N17" s="16">
        <f t="shared" si="3"/>
        <v>0.08807311285</v>
      </c>
      <c r="O17" s="16">
        <f t="shared" si="4"/>
        <v>0.1379633975</v>
      </c>
      <c r="P17" s="16">
        <f t="shared" si="5"/>
        <v>0.56845057</v>
      </c>
      <c r="Q17" s="30">
        <f t="shared" si="6"/>
        <v>0.08202019181</v>
      </c>
      <c r="R17" s="30">
        <f t="shared" si="7"/>
        <v>0.06330060964</v>
      </c>
      <c r="S17" s="30">
        <f t="shared" si="8"/>
        <v>0.06974768473</v>
      </c>
      <c r="T17" s="30">
        <f t="shared" si="9"/>
        <v>0.4350491374</v>
      </c>
      <c r="U17" s="31" t="str">
        <f t="shared" si="10"/>
        <v>#N/A</v>
      </c>
      <c r="V17" s="31">
        <f t="shared" si="11"/>
        <v>15</v>
      </c>
      <c r="W17" s="31">
        <f t="shared" si="12"/>
        <v>20</v>
      </c>
      <c r="X17" s="31">
        <f t="shared" si="13"/>
        <v>2</v>
      </c>
    </row>
    <row r="18">
      <c r="A18" s="1">
        <v>15.0</v>
      </c>
      <c r="B18" s="22" t="s">
        <v>539</v>
      </c>
      <c r="C18" s="22" t="s">
        <v>528</v>
      </c>
      <c r="D18" s="22" t="s">
        <v>55</v>
      </c>
      <c r="E18" s="23">
        <f>IFERROR(__xludf.DUMMYFUNCTION("GOOGLEFINANCE(""NSE:""&amp;D18,""marketcap"")/10000000"),249162.2785767)</f>
        <v>249162.2786</v>
      </c>
      <c r="F18" s="17">
        <f>IFERROR(__xludf.DUMMYFUNCTION("GOOGLEFINANCE(""NSE:""&amp;D18)"),813.0)</f>
        <v>813</v>
      </c>
      <c r="G18" s="17">
        <f>IFERROR(__xludf.DUMMYFUNCTION("GOOGLEFINANCE(""NSE:""&amp;D18,""closeyest"")"),788.35)</f>
        <v>788.35</v>
      </c>
      <c r="H18" s="17">
        <f>IFERROR(__xludf.DUMMYFUNCTION("INDEX(GOOGLEFINANCE(""NSE:""&amp;D18,""PRICE"",TODAY()-7),2,2)"),807.35)</f>
        <v>807.35</v>
      </c>
      <c r="I18" s="17">
        <f>IFERROR(__xludf.DUMMYFUNCTION("INDEX(GOOGLEFINANCE(""NSE:""&amp;D18,""PRICE"",TODAY()-14),2,2)"),788.35)</f>
        <v>788.35</v>
      </c>
      <c r="J18" s="17">
        <f>IFERROR(__xludf.DUMMYFUNCTION("INDEX(GOOGLEFINANCE(""NSE:""&amp;D18,""PRICE"",TODAY()-28),2,2)"),752.4)</f>
        <v>752.4</v>
      </c>
      <c r="K18" s="17">
        <f>IFERROR(__xludf.DUMMYFUNCTION("INDEX(GOOGLEFINANCE(""NSE:""&amp;D18,""PRICE"",TODAY()-84),2,2)"),750.65)</f>
        <v>750.65</v>
      </c>
      <c r="L18" s="16">
        <f t="shared" si="1"/>
        <v>0.03126783789</v>
      </c>
      <c r="M18" s="16">
        <f t="shared" si="2"/>
        <v>0.006998204001</v>
      </c>
      <c r="N18" s="16">
        <f t="shared" si="3"/>
        <v>0.03126783789</v>
      </c>
      <c r="O18" s="16">
        <f t="shared" si="4"/>
        <v>0.08054226475</v>
      </c>
      <c r="P18" s="16">
        <f t="shared" si="5"/>
        <v>0.08306134683</v>
      </c>
      <c r="Q18" s="30">
        <f t="shared" si="6"/>
        <v>-0.005386658758</v>
      </c>
      <c r="R18" s="30">
        <f t="shared" si="7"/>
        <v>0.006495334688</v>
      </c>
      <c r="S18" s="30">
        <f t="shared" si="8"/>
        <v>0.01232655202</v>
      </c>
      <c r="T18" s="30">
        <f t="shared" si="9"/>
        <v>-0.05034008576</v>
      </c>
      <c r="U18" s="31" t="str">
        <f t="shared" si="10"/>
        <v>#N/A</v>
      </c>
      <c r="V18" s="31">
        <f t="shared" si="11"/>
        <v>36</v>
      </c>
      <c r="W18" s="31">
        <f t="shared" si="12"/>
        <v>41</v>
      </c>
      <c r="X18" s="31">
        <f t="shared" si="13"/>
        <v>59</v>
      </c>
    </row>
    <row r="19">
      <c r="A19" s="1">
        <v>16.0</v>
      </c>
      <c r="B19" s="22" t="s">
        <v>540</v>
      </c>
      <c r="C19" s="22" t="s">
        <v>541</v>
      </c>
      <c r="D19" s="22" t="s">
        <v>57</v>
      </c>
      <c r="E19" s="23">
        <f>IFERROR(__xludf.DUMMYFUNCTION("GOOGLEFINANCE(""NSE:""&amp;D19,""marketcap"")/10000000"),249029.265)</f>
        <v>249029.265</v>
      </c>
      <c r="F19" s="17">
        <f>IFERROR(__xludf.DUMMYFUNCTION("GOOGLEFINANCE(""NSE:""&amp;D19)"),1774.55)</f>
        <v>1774.55</v>
      </c>
      <c r="G19" s="17">
        <f>IFERROR(__xludf.DUMMYFUNCTION("GOOGLEFINANCE(""NSE:""&amp;D19,""closeyest"")"),1710.9)</f>
        <v>1710.9</v>
      </c>
      <c r="H19" s="17">
        <f>IFERROR(__xludf.DUMMYFUNCTION("INDEX(GOOGLEFINANCE(""NSE:""&amp;D19,""PRICE"",TODAY()-7),2,2)"),1716.2)</f>
        <v>1716.2</v>
      </c>
      <c r="I19" s="17">
        <f>IFERROR(__xludf.DUMMYFUNCTION("INDEX(GOOGLEFINANCE(""NSE:""&amp;D19,""PRICE"",TODAY()-14),2,2)"),1671.7)</f>
        <v>1671.7</v>
      </c>
      <c r="J19" s="17">
        <f>IFERROR(__xludf.DUMMYFUNCTION("INDEX(GOOGLEFINANCE(""NSE:""&amp;D19,""PRICE"",TODAY()-28),2,2)"),1638.1)</f>
        <v>1638.1</v>
      </c>
      <c r="K19" s="17">
        <f>IFERROR(__xludf.DUMMYFUNCTION("INDEX(GOOGLEFINANCE(""NSE:""&amp;D19,""PRICE"",TODAY()-84),2,2)"),1485.65)</f>
        <v>1485.65</v>
      </c>
      <c r="L19" s="16">
        <f t="shared" si="1"/>
        <v>0.03720264188</v>
      </c>
      <c r="M19" s="16">
        <f t="shared" si="2"/>
        <v>0.03399953385</v>
      </c>
      <c r="N19" s="16">
        <f t="shared" si="3"/>
        <v>0.06152419693</v>
      </c>
      <c r="O19" s="16">
        <f t="shared" si="4"/>
        <v>0.08329772297</v>
      </c>
      <c r="P19" s="16">
        <f t="shared" si="5"/>
        <v>0.1944603372</v>
      </c>
      <c r="Q19" s="30">
        <f t="shared" si="6"/>
        <v>0.02161467109</v>
      </c>
      <c r="R19" s="30">
        <f t="shared" si="7"/>
        <v>0.03675169372</v>
      </c>
      <c r="S19" s="30">
        <f t="shared" si="8"/>
        <v>0.01508201023</v>
      </c>
      <c r="T19" s="30">
        <f t="shared" si="9"/>
        <v>0.06105890463</v>
      </c>
      <c r="U19" s="31" t="str">
        <f t="shared" si="10"/>
        <v>#N/A</v>
      </c>
      <c r="V19" s="31">
        <f t="shared" si="11"/>
        <v>21</v>
      </c>
      <c r="W19" s="31">
        <f t="shared" si="12"/>
        <v>39</v>
      </c>
      <c r="X19" s="31">
        <f t="shared" si="13"/>
        <v>25</v>
      </c>
    </row>
    <row r="20">
      <c r="A20" s="1">
        <v>17.0</v>
      </c>
      <c r="B20" s="22" t="s">
        <v>542</v>
      </c>
      <c r="C20" s="22" t="s">
        <v>543</v>
      </c>
      <c r="D20" s="22" t="s">
        <v>59</v>
      </c>
      <c r="E20" s="23">
        <f>IFERROR(__xludf.DUMMYFUNCTION("GOOGLEFINANCE(""NSE:""&amp;D20,""marketcap"")/10000000"),220045.44996)</f>
        <v>220045.45</v>
      </c>
      <c r="F20" s="17">
        <f>IFERROR(__xludf.DUMMYFUNCTION("GOOGLEFINANCE(""NSE:""&amp;D20)"),7628.0)</f>
        <v>7628</v>
      </c>
      <c r="G20" s="17">
        <f>IFERROR(__xludf.DUMMYFUNCTION("GOOGLEFINANCE(""NSE:""&amp;D20,""closeyest"")"),7625.6)</f>
        <v>7625.6</v>
      </c>
      <c r="H20" s="17">
        <f>IFERROR(__xludf.DUMMYFUNCTION("INDEX(GOOGLEFINANCE(""NSE:""&amp;D20,""PRICE"",TODAY()-7),2,2)"),7711.85)</f>
        <v>7711.85</v>
      </c>
      <c r="I20" s="17">
        <f>IFERROR(__xludf.DUMMYFUNCTION("INDEX(GOOGLEFINANCE(""NSE:""&amp;D20,""PRICE"",TODAY()-14),2,2)"),7944.45)</f>
        <v>7944.45</v>
      </c>
      <c r="J20" s="17">
        <f>IFERROR(__xludf.DUMMYFUNCTION("INDEX(GOOGLEFINANCE(""NSE:""&amp;D20,""PRICE"",TODAY()-28),2,2)"),7565.6)</f>
        <v>7565.6</v>
      </c>
      <c r="K20" s="17">
        <f>IFERROR(__xludf.DUMMYFUNCTION("INDEX(GOOGLEFINANCE(""NSE:""&amp;D20,""PRICE"",TODAY()-84),2,2)"),6719.9)</f>
        <v>6719.9</v>
      </c>
      <c r="L20" s="16">
        <f t="shared" si="1"/>
        <v>0.0003147293328</v>
      </c>
      <c r="M20" s="16">
        <f t="shared" si="2"/>
        <v>-0.01087287745</v>
      </c>
      <c r="N20" s="16">
        <f t="shared" si="3"/>
        <v>-0.03983283928</v>
      </c>
      <c r="O20" s="16">
        <f t="shared" si="4"/>
        <v>0.008247858729</v>
      </c>
      <c r="P20" s="16">
        <f t="shared" si="5"/>
        <v>0.1351359395</v>
      </c>
      <c r="Q20" s="30">
        <f t="shared" si="6"/>
        <v>-0.02325774021</v>
      </c>
      <c r="R20" s="30">
        <f t="shared" si="7"/>
        <v>-0.06460534248</v>
      </c>
      <c r="S20" s="30">
        <f t="shared" si="8"/>
        <v>-0.05996785401</v>
      </c>
      <c r="T20" s="30">
        <f t="shared" si="9"/>
        <v>0.001734506932</v>
      </c>
      <c r="U20" s="31" t="str">
        <f t="shared" si="10"/>
        <v>#N/A</v>
      </c>
      <c r="V20" s="31">
        <f t="shared" si="11"/>
        <v>89</v>
      </c>
      <c r="W20" s="31">
        <f t="shared" si="12"/>
        <v>84</v>
      </c>
      <c r="X20" s="31">
        <f t="shared" si="13"/>
        <v>41</v>
      </c>
    </row>
    <row r="21">
      <c r="A21" s="1">
        <v>18.0</v>
      </c>
      <c r="B21" s="22" t="s">
        <v>544</v>
      </c>
      <c r="C21" s="22" t="s">
        <v>545</v>
      </c>
      <c r="D21" s="22" t="s">
        <v>61</v>
      </c>
      <c r="E21" s="23">
        <f>IFERROR(__xludf.DUMMYFUNCTION("GOOGLEFINANCE(""NSE:""&amp;D21,""marketcap"")/10000000"),206723.7284232)</f>
        <v>206723.7284</v>
      </c>
      <c r="F21" s="17">
        <f>IFERROR(__xludf.DUMMYFUNCTION("GOOGLEFINANCE(""NSE:""&amp;D21)"),6843.0)</f>
        <v>6843</v>
      </c>
      <c r="G21" s="17">
        <f>IFERROR(__xludf.DUMMYFUNCTION("GOOGLEFINANCE(""NSE:""&amp;D21,""closeyest"")"),6831.0)</f>
        <v>6831</v>
      </c>
      <c r="H21" s="17">
        <f>IFERROR(__xludf.DUMMYFUNCTION("INDEX(GOOGLEFINANCE(""NSE:""&amp;D21,""PRICE"",TODAY()-7),2,2)"),7014.45)</f>
        <v>7014.45</v>
      </c>
      <c r="I21" s="17">
        <f>IFERROR(__xludf.DUMMYFUNCTION("INDEX(GOOGLEFINANCE(""NSE:""&amp;D21,""PRICE"",TODAY()-14),2,2)"),6873.7)</f>
        <v>6873.7</v>
      </c>
      <c r="J21" s="17">
        <f>IFERROR(__xludf.DUMMYFUNCTION("INDEX(GOOGLEFINANCE(""NSE:""&amp;D21,""PRICE"",TODAY()-28),2,2)"),6624.85)</f>
        <v>6624.85</v>
      </c>
      <c r="K21" s="17">
        <f>IFERROR(__xludf.DUMMYFUNCTION("INDEX(GOOGLEFINANCE(""NSE:""&amp;D21,""PRICE"",TODAY()-84),2,2)"),7573.85)</f>
        <v>7573.85</v>
      </c>
      <c r="L21" s="16">
        <f t="shared" si="1"/>
        <v>0.001756697409</v>
      </c>
      <c r="M21" s="16">
        <f t="shared" si="2"/>
        <v>-0.02444240104</v>
      </c>
      <c r="N21" s="16">
        <f t="shared" si="3"/>
        <v>-0.004466299082</v>
      </c>
      <c r="O21" s="16">
        <f t="shared" si="4"/>
        <v>0.03292904745</v>
      </c>
      <c r="P21" s="16">
        <f t="shared" si="5"/>
        <v>-0.09649649782</v>
      </c>
      <c r="Q21" s="30">
        <f t="shared" si="6"/>
        <v>-0.0368272638</v>
      </c>
      <c r="R21" s="30">
        <f t="shared" si="7"/>
        <v>-0.02923880228</v>
      </c>
      <c r="S21" s="30">
        <f t="shared" si="8"/>
        <v>-0.03528666529</v>
      </c>
      <c r="T21" s="30">
        <f t="shared" si="9"/>
        <v>-0.2298979304</v>
      </c>
      <c r="U21" s="31" t="str">
        <f t="shared" si="10"/>
        <v>#N/A</v>
      </c>
      <c r="V21" s="31">
        <f t="shared" si="11"/>
        <v>64</v>
      </c>
      <c r="W21" s="31">
        <f t="shared" si="12"/>
        <v>64</v>
      </c>
      <c r="X21" s="31">
        <f t="shared" si="13"/>
        <v>93</v>
      </c>
    </row>
    <row r="22">
      <c r="A22" s="1">
        <v>19.0</v>
      </c>
      <c r="B22" s="22" t="s">
        <v>546</v>
      </c>
      <c r="C22" s="22" t="s">
        <v>526</v>
      </c>
      <c r="D22" s="22" t="s">
        <v>63</v>
      </c>
      <c r="E22" s="23">
        <f>IFERROR(__xludf.DUMMYFUNCTION("GOOGLEFINANCE(""NSE:""&amp;D22,""marketcap"")/10000000"),191327.354768)</f>
        <v>191327.3548</v>
      </c>
      <c r="F22" s="17">
        <f>IFERROR(__xludf.DUMMYFUNCTION("GOOGLEFINANCE(""NSE:""&amp;D22)"),19844.0)</f>
        <v>19844</v>
      </c>
      <c r="G22" s="17">
        <f>IFERROR(__xludf.DUMMYFUNCTION("GOOGLEFINANCE(""NSE:""&amp;D22,""closeyest"")"),19925.2)</f>
        <v>19925.2</v>
      </c>
      <c r="H22" s="17">
        <f>IFERROR(__xludf.DUMMYFUNCTION("INDEX(GOOGLEFINANCE(""NSE:""&amp;D22,""PRICE"",TODAY()-7),2,2)"),20175.7)</f>
        <v>20175.7</v>
      </c>
      <c r="I22" s="17">
        <f>IFERROR(__xludf.DUMMYFUNCTION("INDEX(GOOGLEFINANCE(""NSE:""&amp;D22,""PRICE"",TODAY()-14),2,2)"),20452.25)</f>
        <v>20452.25</v>
      </c>
      <c r="J22" s="17">
        <f>IFERROR(__xludf.DUMMYFUNCTION("INDEX(GOOGLEFINANCE(""NSE:""&amp;D22,""PRICE"",TODAY()-28),2,2)"),19957.35)</f>
        <v>19957.35</v>
      </c>
      <c r="K22" s="17">
        <f>IFERROR(__xludf.DUMMYFUNCTION("INDEX(GOOGLEFINANCE(""NSE:""&amp;D22,""PRICE"",TODAY()-84),2,2)"),17602.0)</f>
        <v>17602</v>
      </c>
      <c r="L22" s="16">
        <f t="shared" si="1"/>
        <v>-0.004075241403</v>
      </c>
      <c r="M22" s="16">
        <f t="shared" si="2"/>
        <v>-0.0164405696</v>
      </c>
      <c r="N22" s="16">
        <f t="shared" si="3"/>
        <v>-0.02974000416</v>
      </c>
      <c r="O22" s="16">
        <f t="shared" si="4"/>
        <v>-0.005679611772</v>
      </c>
      <c r="P22" s="16">
        <f t="shared" si="5"/>
        <v>0.1273718896</v>
      </c>
      <c r="Q22" s="30">
        <f t="shared" si="6"/>
        <v>-0.02882543236</v>
      </c>
      <c r="R22" s="30">
        <f t="shared" si="7"/>
        <v>-0.05451250736</v>
      </c>
      <c r="S22" s="30">
        <f t="shared" si="8"/>
        <v>-0.07389532451</v>
      </c>
      <c r="T22" s="30">
        <f t="shared" si="9"/>
        <v>-0.006029543033</v>
      </c>
      <c r="U22" s="31" t="str">
        <f t="shared" si="10"/>
        <v>#N/A</v>
      </c>
      <c r="V22" s="31">
        <f t="shared" si="11"/>
        <v>83</v>
      </c>
      <c r="W22" s="31">
        <f t="shared" si="12"/>
        <v>92</v>
      </c>
      <c r="X22" s="31">
        <f t="shared" si="13"/>
        <v>44</v>
      </c>
    </row>
    <row r="23">
      <c r="A23" s="1">
        <v>20.0</v>
      </c>
      <c r="B23" s="22" t="s">
        <v>547</v>
      </c>
      <c r="C23" s="22" t="s">
        <v>526</v>
      </c>
      <c r="D23" s="22" t="s">
        <v>71</v>
      </c>
      <c r="E23" s="23">
        <f>IFERROR(__xludf.DUMMYFUNCTION("GOOGLEFINANCE(""NSE:""&amp;D23,""marketcap"")/10000000"),186763.36944)</f>
        <v>186763.3694</v>
      </c>
      <c r="F23" s="17">
        <f>IFERROR(__xludf.DUMMYFUNCTION("GOOGLEFINANCE(""NSE:""&amp;D23)"),2106.0)</f>
        <v>2106</v>
      </c>
      <c r="G23" s="17">
        <f>IFERROR(__xludf.DUMMYFUNCTION("GOOGLEFINANCE(""NSE:""&amp;D23,""closeyest"")"),2081.05)</f>
        <v>2081.05</v>
      </c>
      <c r="H23" s="17">
        <f>IFERROR(__xludf.DUMMYFUNCTION("INDEX(GOOGLEFINANCE(""NSE:""&amp;D23,""PRICE"",TODAY()-7),2,2)"),2095.6)</f>
        <v>2095.6</v>
      </c>
      <c r="I23" s="17">
        <f>IFERROR(__xludf.DUMMYFUNCTION("INDEX(GOOGLEFINANCE(""NSE:""&amp;D23,""PRICE"",TODAY()-14),2,2)"),2030.65)</f>
        <v>2030.65</v>
      </c>
      <c r="J23" s="17">
        <f>IFERROR(__xludf.DUMMYFUNCTION("INDEX(GOOGLEFINANCE(""NSE:""&amp;D23,""PRICE"",TODAY()-28),2,2)"),1822.55)</f>
        <v>1822.55</v>
      </c>
      <c r="K23" s="17">
        <f>IFERROR(__xludf.DUMMYFUNCTION("INDEX(GOOGLEFINANCE(""NSE:""&amp;D23,""PRICE"",TODAY()-84),2,2)"),1754.75)</f>
        <v>1754.75</v>
      </c>
      <c r="L23" s="16">
        <f t="shared" si="1"/>
        <v>0.0119891401</v>
      </c>
      <c r="M23" s="16">
        <f t="shared" si="2"/>
        <v>0.004962779156</v>
      </c>
      <c r="N23" s="16">
        <f t="shared" si="3"/>
        <v>0.03710634526</v>
      </c>
      <c r="O23" s="16">
        <f t="shared" si="4"/>
        <v>0.1555238539</v>
      </c>
      <c r="P23" s="16">
        <f t="shared" si="5"/>
        <v>0.2001709645</v>
      </c>
      <c r="Q23" s="30">
        <f t="shared" si="6"/>
        <v>-0.007422083603</v>
      </c>
      <c r="R23" s="30">
        <f t="shared" si="7"/>
        <v>0.01233384206</v>
      </c>
      <c r="S23" s="30">
        <f t="shared" si="8"/>
        <v>0.0873081412</v>
      </c>
      <c r="T23" s="30">
        <f t="shared" si="9"/>
        <v>0.06676953193</v>
      </c>
      <c r="U23" s="31" t="str">
        <f t="shared" si="10"/>
        <v>#N/A</v>
      </c>
      <c r="V23" s="31">
        <f t="shared" si="11"/>
        <v>30</v>
      </c>
      <c r="W23" s="31">
        <f t="shared" si="12"/>
        <v>16</v>
      </c>
      <c r="X23" s="31">
        <f t="shared" si="13"/>
        <v>23</v>
      </c>
    </row>
    <row r="24">
      <c r="A24" s="1">
        <v>21.0</v>
      </c>
      <c r="B24" s="22" t="s">
        <v>548</v>
      </c>
      <c r="C24" s="22" t="s">
        <v>549</v>
      </c>
      <c r="D24" s="22" t="s">
        <v>65</v>
      </c>
      <c r="E24" s="23">
        <f>IFERROR(__xludf.DUMMYFUNCTION("GOOGLEFINANCE(""NSE:""&amp;D24,""marketcap"")/10000000"),184508.8615)</f>
        <v>184508.8615</v>
      </c>
      <c r="F24" s="17">
        <f>IFERROR(__xludf.DUMMYFUNCTION("GOOGLEFINANCE(""NSE:""&amp;D24)"),769.0)</f>
        <v>769</v>
      </c>
      <c r="G24" s="17">
        <f>IFERROR(__xludf.DUMMYFUNCTION("GOOGLEFINANCE(""NSE:""&amp;D24,""closeyest"")"),770.1)</f>
        <v>770.1</v>
      </c>
      <c r="H24" s="17">
        <f>IFERROR(__xludf.DUMMYFUNCTION("INDEX(GOOGLEFINANCE(""NSE:""&amp;D24,""PRICE"",TODAY()-7),2,2)"),769.9)</f>
        <v>769.9</v>
      </c>
      <c r="I24" s="17">
        <f>IFERROR(__xludf.DUMMYFUNCTION("INDEX(GOOGLEFINANCE(""NSE:""&amp;D24,""PRICE"",TODAY()-14),2,2)"),780.3)</f>
        <v>780.3</v>
      </c>
      <c r="J24" s="17">
        <f>IFERROR(__xludf.DUMMYFUNCTION("INDEX(GOOGLEFINANCE(""NSE:""&amp;D24,""PRICE"",TODAY()-28),2,2)"),771.8)</f>
        <v>771.8</v>
      </c>
      <c r="K24" s="17">
        <f>IFERROR(__xludf.DUMMYFUNCTION("INDEX(GOOGLEFINANCE(""NSE:""&amp;D24,""PRICE"",TODAY()-84),2,2)"),681.25)</f>
        <v>681.25</v>
      </c>
      <c r="L24" s="16">
        <f t="shared" si="1"/>
        <v>-0.001428385924</v>
      </c>
      <c r="M24" s="16">
        <f t="shared" si="2"/>
        <v>-0.001168982985</v>
      </c>
      <c r="N24" s="16">
        <f t="shared" si="3"/>
        <v>-0.01448160964</v>
      </c>
      <c r="O24" s="16">
        <f t="shared" si="4"/>
        <v>-0.003627882871</v>
      </c>
      <c r="P24" s="16">
        <f t="shared" si="5"/>
        <v>0.1288073394</v>
      </c>
      <c r="Q24" s="30">
        <f t="shared" si="6"/>
        <v>-0.01355384574</v>
      </c>
      <c r="R24" s="30">
        <f t="shared" si="7"/>
        <v>-0.03925411284</v>
      </c>
      <c r="S24" s="30">
        <f t="shared" si="8"/>
        <v>-0.07184359561</v>
      </c>
      <c r="T24" s="30">
        <f t="shared" si="9"/>
        <v>-0.004594093142</v>
      </c>
      <c r="U24" s="31" t="str">
        <f t="shared" si="10"/>
        <v>#N/A</v>
      </c>
      <c r="V24" s="31">
        <f t="shared" si="11"/>
        <v>76</v>
      </c>
      <c r="W24" s="31">
        <f t="shared" si="12"/>
        <v>90</v>
      </c>
      <c r="X24" s="31">
        <f t="shared" si="13"/>
        <v>43</v>
      </c>
    </row>
    <row r="25">
      <c r="A25" s="1">
        <v>22.0</v>
      </c>
      <c r="B25" s="22" t="s">
        <v>601</v>
      </c>
      <c r="C25" s="22" t="s">
        <v>560</v>
      </c>
      <c r="D25" s="22" t="s">
        <v>69</v>
      </c>
      <c r="E25" s="23">
        <f>IFERROR(__xludf.DUMMYFUNCTION("GOOGLEFINANCE(""NSE:""&amp;D25,""marketcap"")/10000000"),179435.9807493)</f>
        <v>179435.9807</v>
      </c>
      <c r="F25" s="17">
        <f>IFERROR(__xludf.DUMMYFUNCTION("GOOGLEFINANCE(""NSE:""&amp;D25)"),1136.7)</f>
        <v>1136.7</v>
      </c>
      <c r="G25" s="17">
        <f>IFERROR(__xludf.DUMMYFUNCTION("GOOGLEFINANCE(""NSE:""&amp;D25,""closeyest"")"),1141.55)</f>
        <v>1141.55</v>
      </c>
      <c r="H25" s="17">
        <f>IFERROR(__xludf.DUMMYFUNCTION("INDEX(GOOGLEFINANCE(""NSE:""&amp;D25,""PRICE"",TODAY()-7),2,2)"),1153.25)</f>
        <v>1153.25</v>
      </c>
      <c r="I25" s="17">
        <f>IFERROR(__xludf.DUMMYFUNCTION("INDEX(GOOGLEFINANCE(""NSE:""&amp;D25,""PRICE"",TODAY()-14),2,2)"),1185.2)</f>
        <v>1185.2</v>
      </c>
      <c r="J25" s="17">
        <f>IFERROR(__xludf.DUMMYFUNCTION("INDEX(GOOGLEFINANCE(""NSE:""&amp;D25,""PRICE"",TODAY()-28),2,2)"),1049.1)</f>
        <v>1049.1</v>
      </c>
      <c r="K25" s="17">
        <f>IFERROR(__xludf.DUMMYFUNCTION("INDEX(GOOGLEFINANCE(""NSE:""&amp;D25,""PRICE"",TODAY()-84),2,2)"),1015.3)</f>
        <v>1015.3</v>
      </c>
      <c r="L25" s="16">
        <f t="shared" si="1"/>
        <v>-0.004248609347</v>
      </c>
      <c r="M25" s="16">
        <f t="shared" si="2"/>
        <v>-0.01435074789</v>
      </c>
      <c r="N25" s="16">
        <f t="shared" si="3"/>
        <v>-0.04092136348</v>
      </c>
      <c r="O25" s="16">
        <f t="shared" si="4"/>
        <v>0.08350014298</v>
      </c>
      <c r="P25" s="16">
        <f t="shared" si="5"/>
        <v>0.1195705703</v>
      </c>
      <c r="Q25" s="30">
        <f t="shared" si="6"/>
        <v>-0.02673561065</v>
      </c>
      <c r="R25" s="30">
        <f t="shared" si="7"/>
        <v>-0.06569386668</v>
      </c>
      <c r="S25" s="30">
        <f t="shared" si="8"/>
        <v>0.01528443024</v>
      </c>
      <c r="T25" s="30">
        <f t="shared" si="9"/>
        <v>-0.01383086232</v>
      </c>
      <c r="U25" s="31" t="str">
        <f t="shared" si="10"/>
        <v>#N/A</v>
      </c>
      <c r="V25" s="31">
        <f t="shared" si="11"/>
        <v>92</v>
      </c>
      <c r="W25" s="31">
        <f t="shared" si="12"/>
        <v>37</v>
      </c>
      <c r="X25" s="31">
        <f t="shared" si="13"/>
        <v>48</v>
      </c>
    </row>
    <row r="26">
      <c r="A26" s="1">
        <v>23.0</v>
      </c>
      <c r="B26" s="22" t="s">
        <v>593</v>
      </c>
      <c r="C26" s="22" t="s">
        <v>560</v>
      </c>
      <c r="D26" s="22" t="s">
        <v>77</v>
      </c>
      <c r="E26" s="23">
        <f>IFERROR(__xludf.DUMMYFUNCTION("GOOGLEFINANCE(""NSE:""&amp;D26,""marketcap"")/10000000"),170558.9560656)</f>
        <v>170558.9561</v>
      </c>
      <c r="F26" s="17">
        <f>IFERROR(__xludf.DUMMYFUNCTION("GOOGLEFINANCE(""NSE:""&amp;D26)"),1539.2)</f>
        <v>1539.2</v>
      </c>
      <c r="G26" s="17">
        <f>IFERROR(__xludf.DUMMYFUNCTION("GOOGLEFINANCE(""NSE:""&amp;D26,""closeyest"")"),1560.8)</f>
        <v>1560.8</v>
      </c>
      <c r="H26" s="17">
        <f>IFERROR(__xludf.DUMMYFUNCTION("INDEX(GOOGLEFINANCE(""NSE:""&amp;D26,""PRICE"",TODAY()-7),2,2)"),1820.35)</f>
        <v>1820.35</v>
      </c>
      <c r="I26" s="17">
        <f>IFERROR(__xludf.DUMMYFUNCTION("INDEX(GOOGLEFINANCE(""NSE:""&amp;D26,""PRICE"",TODAY()-14),2,2)"),1871.4)</f>
        <v>1871.4</v>
      </c>
      <c r="J26" s="17">
        <f>IFERROR(__xludf.DUMMYFUNCTION("INDEX(GOOGLEFINANCE(""NSE:""&amp;D26,""PRICE"",TODAY()-28),2,2)"),1433.7)</f>
        <v>1433.7</v>
      </c>
      <c r="K26" s="17">
        <f>IFERROR(__xludf.DUMMYFUNCTION("INDEX(GOOGLEFINANCE(""NSE:""&amp;D26,""PRICE"",TODAY()-84),2,2)"),956.2)</f>
        <v>956.2</v>
      </c>
      <c r="L26" s="16">
        <f t="shared" si="1"/>
        <v>-0.01383905689</v>
      </c>
      <c r="M26" s="16">
        <f t="shared" si="2"/>
        <v>-0.1544483204</v>
      </c>
      <c r="N26" s="16">
        <f t="shared" si="3"/>
        <v>-0.1775141605</v>
      </c>
      <c r="O26" s="16">
        <f t="shared" si="4"/>
        <v>0.07358582688</v>
      </c>
      <c r="P26" s="16">
        <f t="shared" si="5"/>
        <v>0.6097050826</v>
      </c>
      <c r="Q26" s="30">
        <f t="shared" si="6"/>
        <v>-0.1668331831</v>
      </c>
      <c r="R26" s="30">
        <f t="shared" si="7"/>
        <v>-0.2022866637</v>
      </c>
      <c r="S26" s="30">
        <f t="shared" si="8"/>
        <v>0.005370114144</v>
      </c>
      <c r="T26" s="30">
        <f t="shared" si="9"/>
        <v>0.47630365</v>
      </c>
      <c r="U26" s="31" t="str">
        <f t="shared" si="10"/>
        <v>#N/A</v>
      </c>
      <c r="V26" s="31">
        <f t="shared" si="11"/>
        <v>100</v>
      </c>
      <c r="W26" s="31">
        <f t="shared" si="12"/>
        <v>43</v>
      </c>
      <c r="X26" s="31">
        <f t="shared" si="13"/>
        <v>1</v>
      </c>
    </row>
    <row r="27">
      <c r="A27" s="1">
        <v>24.0</v>
      </c>
      <c r="B27" s="22" t="s">
        <v>550</v>
      </c>
      <c r="C27" s="22" t="s">
        <v>522</v>
      </c>
      <c r="D27" s="22" t="s">
        <v>81</v>
      </c>
      <c r="E27" s="23">
        <f>IFERROR(__xludf.DUMMYFUNCTION("GOOGLEFINANCE(""NSE:""&amp;D27,""marketcap"")/10000000"),173547.505834)</f>
        <v>173547.5058</v>
      </c>
      <c r="F27" s="17">
        <f>IFERROR(__xludf.DUMMYFUNCTION("GOOGLEFINANCE(""NSE:""&amp;D27)"),137.75)</f>
        <v>137.75</v>
      </c>
      <c r="G27" s="17">
        <f>IFERROR(__xludf.DUMMYFUNCTION("GOOGLEFINANCE(""NSE:""&amp;D27,""closeyest"")"),133.65)</f>
        <v>133.65</v>
      </c>
      <c r="H27" s="17">
        <f>IFERROR(__xludf.DUMMYFUNCTION("INDEX(GOOGLEFINANCE(""NSE:""&amp;D27,""PRICE"",TODAY()-7),2,2)"),127.75)</f>
        <v>127.75</v>
      </c>
      <c r="I27" s="17">
        <f>IFERROR(__xludf.DUMMYFUNCTION("INDEX(GOOGLEFINANCE(""NSE:""&amp;D27,""PRICE"",TODAY()-14),2,2)"),123.05)</f>
        <v>123.05</v>
      </c>
      <c r="J27" s="17">
        <f>IFERROR(__xludf.DUMMYFUNCTION("INDEX(GOOGLEFINANCE(""NSE:""&amp;D27,""PRICE"",TODAY()-28),2,2)"),116.65)</f>
        <v>116.65</v>
      </c>
      <c r="K27" s="17">
        <f>IFERROR(__xludf.DUMMYFUNCTION("INDEX(GOOGLEFINANCE(""NSE:""&amp;D27,""PRICE"",TODAY()-84),2,2)"),118.45)</f>
        <v>118.45</v>
      </c>
      <c r="L27" s="16">
        <f t="shared" si="1"/>
        <v>0.03067714179</v>
      </c>
      <c r="M27" s="16">
        <f t="shared" si="2"/>
        <v>0.0782778865</v>
      </c>
      <c r="N27" s="16">
        <f t="shared" si="3"/>
        <v>0.1194636327</v>
      </c>
      <c r="O27" s="16">
        <f t="shared" si="4"/>
        <v>0.1808829833</v>
      </c>
      <c r="P27" s="16">
        <f t="shared" si="5"/>
        <v>0.1629379485</v>
      </c>
      <c r="Q27" s="30">
        <f t="shared" si="6"/>
        <v>0.06589302374</v>
      </c>
      <c r="R27" s="30">
        <f t="shared" si="7"/>
        <v>0.09469112947</v>
      </c>
      <c r="S27" s="30">
        <f t="shared" si="8"/>
        <v>0.1126672705</v>
      </c>
      <c r="T27" s="30">
        <f t="shared" si="9"/>
        <v>0.02953651591</v>
      </c>
      <c r="U27" s="31" t="str">
        <f t="shared" si="10"/>
        <v>#N/A</v>
      </c>
      <c r="V27" s="31">
        <f t="shared" si="11"/>
        <v>8</v>
      </c>
      <c r="W27" s="31">
        <f t="shared" si="12"/>
        <v>9</v>
      </c>
      <c r="X27" s="31">
        <f t="shared" si="13"/>
        <v>32</v>
      </c>
    </row>
    <row r="28">
      <c r="A28" s="1">
        <v>25.0</v>
      </c>
      <c r="B28" s="22" t="s">
        <v>551</v>
      </c>
      <c r="C28" s="22" t="s">
        <v>552</v>
      </c>
      <c r="D28" s="22" t="s">
        <v>75</v>
      </c>
      <c r="E28" s="23">
        <f>IFERROR(__xludf.DUMMYFUNCTION("GOOGLEFINANCE(""NSE:""&amp;D28,""marketcap"")/10000000"),162328.4167213)</f>
        <v>162328.4167</v>
      </c>
      <c r="F28" s="17">
        <f>IFERROR(__xludf.DUMMYFUNCTION("GOOGLEFINANCE(""NSE:""&amp;D28)"),674.3)</f>
        <v>674.3</v>
      </c>
      <c r="G28" s="17">
        <f>IFERROR(__xludf.DUMMYFUNCTION("GOOGLEFINANCE(""NSE:""&amp;D28,""closeyest"")"),678.55)</f>
        <v>678.55</v>
      </c>
      <c r="H28" s="17">
        <f>IFERROR(__xludf.DUMMYFUNCTION("INDEX(GOOGLEFINANCE(""NSE:""&amp;D28,""PRICE"",TODAY()-7),2,2)"),682.3)</f>
        <v>682.3</v>
      </c>
      <c r="I28" s="17">
        <f>IFERROR(__xludf.DUMMYFUNCTION("INDEX(GOOGLEFINANCE(""NSE:""&amp;D28,""PRICE"",TODAY()-14),2,2)"),694.4)</f>
        <v>694.4</v>
      </c>
      <c r="J28" s="17">
        <f>IFERROR(__xludf.DUMMYFUNCTION("INDEX(GOOGLEFINANCE(""NSE:""&amp;D28,""PRICE"",TODAY()-28),2,2)"),677.5)</f>
        <v>677.5</v>
      </c>
      <c r="K28" s="17">
        <f>IFERROR(__xludf.DUMMYFUNCTION("INDEX(GOOGLEFINANCE(""NSE:""&amp;D28,""PRICE"",TODAY()-84),2,2)"),671.3)</f>
        <v>671.3</v>
      </c>
      <c r="L28" s="16">
        <f t="shared" si="1"/>
        <v>-0.006263355685</v>
      </c>
      <c r="M28" s="16">
        <f t="shared" si="2"/>
        <v>-0.01172504763</v>
      </c>
      <c r="N28" s="16">
        <f t="shared" si="3"/>
        <v>-0.02894585253</v>
      </c>
      <c r="O28" s="16">
        <f t="shared" si="4"/>
        <v>-0.004723247232</v>
      </c>
      <c r="P28" s="16">
        <f t="shared" si="5"/>
        <v>0.004468940861</v>
      </c>
      <c r="Q28" s="30">
        <f t="shared" si="6"/>
        <v>-0.02410991039</v>
      </c>
      <c r="R28" s="30">
        <f t="shared" si="7"/>
        <v>-0.05371835574</v>
      </c>
      <c r="S28" s="30">
        <f t="shared" si="8"/>
        <v>-0.07293895997</v>
      </c>
      <c r="T28" s="30">
        <f t="shared" si="9"/>
        <v>-0.1289324917</v>
      </c>
      <c r="U28" s="31" t="str">
        <f t="shared" si="10"/>
        <v>#N/A</v>
      </c>
      <c r="V28" s="31">
        <f t="shared" si="11"/>
        <v>82</v>
      </c>
      <c r="W28" s="31">
        <f t="shared" si="12"/>
        <v>91</v>
      </c>
      <c r="X28" s="31">
        <f t="shared" si="13"/>
        <v>79</v>
      </c>
    </row>
    <row r="29">
      <c r="A29" s="1">
        <v>26.0</v>
      </c>
      <c r="B29" s="22" t="s">
        <v>638</v>
      </c>
      <c r="C29" s="22" t="s">
        <v>552</v>
      </c>
      <c r="D29" s="22" t="s">
        <v>73</v>
      </c>
      <c r="E29" s="23">
        <f>IFERROR(__xludf.DUMMYFUNCTION("GOOGLEFINANCE(""NSE:""&amp;D29,""marketcap"")/10000000"),162156.5988943)</f>
        <v>162156.5989</v>
      </c>
      <c r="F29" s="17">
        <f>IFERROR(__xludf.DUMMYFUNCTION("GOOGLEFINANCE(""NSE:""&amp;D29)"),1475.6)</f>
        <v>1475.6</v>
      </c>
      <c r="G29" s="17">
        <f>IFERROR(__xludf.DUMMYFUNCTION("GOOGLEFINANCE(""NSE:""&amp;D29,""closeyest"")"),1437.75)</f>
        <v>1437.75</v>
      </c>
      <c r="H29" s="17">
        <f>IFERROR(__xludf.DUMMYFUNCTION("INDEX(GOOGLEFINANCE(""NSE:""&amp;D29,""PRICE"",TODAY()-7),2,2)"),1480.25)</f>
        <v>1480.25</v>
      </c>
      <c r="I29" s="17">
        <f>IFERROR(__xludf.DUMMYFUNCTION("INDEX(GOOGLEFINANCE(""NSE:""&amp;D29,""PRICE"",TODAY()-14),2,2)"),1532.45)</f>
        <v>1532.45</v>
      </c>
      <c r="J29" s="17">
        <f>IFERROR(__xludf.DUMMYFUNCTION("INDEX(GOOGLEFINANCE(""NSE:""&amp;D29,""PRICE"",TODAY()-28),2,2)"),1506.05)</f>
        <v>1506.05</v>
      </c>
      <c r="K29" s="17">
        <f>IFERROR(__xludf.DUMMYFUNCTION("INDEX(GOOGLEFINANCE(""NSE:""&amp;D29,""PRICE"",TODAY()-84),2,2)"),1422.05)</f>
        <v>1422.05</v>
      </c>
      <c r="L29" s="16">
        <f t="shared" si="1"/>
        <v>0.02632585637</v>
      </c>
      <c r="M29" s="16">
        <f t="shared" si="2"/>
        <v>-0.003141361257</v>
      </c>
      <c r="N29" s="16">
        <f t="shared" si="3"/>
        <v>-0.03709745832</v>
      </c>
      <c r="O29" s="16">
        <f t="shared" si="4"/>
        <v>-0.02021845224</v>
      </c>
      <c r="P29" s="16">
        <f t="shared" si="5"/>
        <v>0.03765690377</v>
      </c>
      <c r="Q29" s="30">
        <f t="shared" si="6"/>
        <v>-0.01552622402</v>
      </c>
      <c r="R29" s="30">
        <f t="shared" si="7"/>
        <v>-0.06186996152</v>
      </c>
      <c r="S29" s="30">
        <f t="shared" si="8"/>
        <v>-0.08843416498</v>
      </c>
      <c r="T29" s="30">
        <f t="shared" si="9"/>
        <v>-0.09574452883</v>
      </c>
      <c r="U29" s="31" t="str">
        <f t="shared" si="10"/>
        <v>#N/A</v>
      </c>
      <c r="V29" s="31">
        <f t="shared" si="11"/>
        <v>86</v>
      </c>
      <c r="W29" s="31">
        <f t="shared" si="12"/>
        <v>94</v>
      </c>
      <c r="X29" s="31">
        <f t="shared" si="13"/>
        <v>73</v>
      </c>
    </row>
    <row r="30">
      <c r="A30" s="1">
        <v>27.0</v>
      </c>
      <c r="B30" s="22" t="s">
        <v>553</v>
      </c>
      <c r="C30" s="22" t="s">
        <v>552</v>
      </c>
      <c r="D30" s="22" t="s">
        <v>67</v>
      </c>
      <c r="E30" s="23">
        <f>IFERROR(__xludf.DUMMYFUNCTION("GOOGLEFINANCE(""NSE:""&amp;D30,""marketcap"")/10000000"),158771.5852178)</f>
        <v>158771.5852</v>
      </c>
      <c r="F30" s="17">
        <f>IFERROR(__xludf.DUMMYFUNCTION("GOOGLEFINANCE(""NSE:""&amp;D30)"),1315.5)</f>
        <v>1315.5</v>
      </c>
      <c r="G30" s="17">
        <f>IFERROR(__xludf.DUMMYFUNCTION("GOOGLEFINANCE(""NSE:""&amp;D30,""closeyest"")"),1305.8)</f>
        <v>1305.8</v>
      </c>
      <c r="H30" s="17">
        <f>IFERROR(__xludf.DUMMYFUNCTION("INDEX(GOOGLEFINANCE(""NSE:""&amp;D30,""PRICE"",TODAY()-7),2,2)"),1385.9)</f>
        <v>1385.9</v>
      </c>
      <c r="I30" s="17">
        <f>IFERROR(__xludf.DUMMYFUNCTION("INDEX(GOOGLEFINANCE(""NSE:""&amp;D30,""PRICE"",TODAY()-14),2,2)"),1463.45)</f>
        <v>1463.45</v>
      </c>
      <c r="J30" s="17">
        <f>IFERROR(__xludf.DUMMYFUNCTION("INDEX(GOOGLEFINANCE(""NSE:""&amp;D30,""PRICE"",TODAY()-28),2,2)"),1384.15)</f>
        <v>1384.15</v>
      </c>
      <c r="K30" s="17">
        <f>IFERROR(__xludf.DUMMYFUNCTION("INDEX(GOOGLEFINANCE(""NSE:""&amp;D30,""PRICE"",TODAY()-84),2,2)"),1136.0)</f>
        <v>1136</v>
      </c>
      <c r="L30" s="16">
        <f t="shared" si="1"/>
        <v>0.007428396385</v>
      </c>
      <c r="M30" s="16">
        <f t="shared" si="2"/>
        <v>-0.05079731582</v>
      </c>
      <c r="N30" s="16">
        <f t="shared" si="3"/>
        <v>-0.1010967235</v>
      </c>
      <c r="O30" s="16">
        <f t="shared" si="4"/>
        <v>-0.04959722573</v>
      </c>
      <c r="P30" s="16">
        <f t="shared" si="5"/>
        <v>0.1580105634</v>
      </c>
      <c r="Q30" s="30">
        <f t="shared" si="6"/>
        <v>-0.06318217858</v>
      </c>
      <c r="R30" s="30">
        <f t="shared" si="7"/>
        <v>-0.1258692267</v>
      </c>
      <c r="S30" s="30">
        <f t="shared" si="8"/>
        <v>-0.1178129385</v>
      </c>
      <c r="T30" s="30">
        <f t="shared" si="9"/>
        <v>0.02460913079</v>
      </c>
      <c r="U30" s="31" t="str">
        <f t="shared" si="10"/>
        <v>#N/A</v>
      </c>
      <c r="V30" s="31">
        <f t="shared" si="11"/>
        <v>98</v>
      </c>
      <c r="W30" s="31">
        <f t="shared" si="12"/>
        <v>98</v>
      </c>
      <c r="X30" s="31">
        <f t="shared" si="13"/>
        <v>34</v>
      </c>
    </row>
    <row r="31">
      <c r="A31" s="1">
        <v>28.0</v>
      </c>
      <c r="B31" s="22" t="s">
        <v>554</v>
      </c>
      <c r="C31" s="22" t="s">
        <v>555</v>
      </c>
      <c r="D31" s="22" t="s">
        <v>83</v>
      </c>
      <c r="E31" s="23">
        <f>IFERROR(__xludf.DUMMYFUNCTION("GOOGLEFINANCE(""NSE:""&amp;D31,""marketcap"")/10000000"),153989.0723071)</f>
        <v>153989.0723</v>
      </c>
      <c r="F31" s="17">
        <f>IFERROR(__xludf.DUMMYFUNCTION("GOOGLEFINANCE(""NSE:""&amp;D31)"),754.0)</f>
        <v>754</v>
      </c>
      <c r="G31" s="17">
        <f>IFERROR(__xludf.DUMMYFUNCTION("GOOGLEFINANCE(""NSE:""&amp;D31,""closeyest"")"),745.3)</f>
        <v>745.3</v>
      </c>
      <c r="H31" s="17">
        <f>IFERROR(__xludf.DUMMYFUNCTION("INDEX(GOOGLEFINANCE(""NSE:""&amp;D31,""PRICE"",TODAY()-7),2,2)"),767.1)</f>
        <v>767.1</v>
      </c>
      <c r="I31" s="17">
        <f>IFERROR(__xludf.DUMMYFUNCTION("INDEX(GOOGLEFINANCE(""NSE:""&amp;D31,""PRICE"",TODAY()-14),2,2)"),745.1)</f>
        <v>745.1</v>
      </c>
      <c r="J31" s="17">
        <f>IFERROR(__xludf.DUMMYFUNCTION("INDEX(GOOGLEFINANCE(""NSE:""&amp;D31,""PRICE"",TODAY()-28),2,2)"),727.0)</f>
        <v>727</v>
      </c>
      <c r="K31" s="17">
        <f>IFERROR(__xludf.DUMMYFUNCTION("INDEX(GOOGLEFINANCE(""NSE:""&amp;D31,""PRICE"",TODAY()-84),2,2)"),710.4)</f>
        <v>710.4</v>
      </c>
      <c r="L31" s="16">
        <f t="shared" si="1"/>
        <v>0.01167315175</v>
      </c>
      <c r="M31" s="16">
        <f t="shared" si="2"/>
        <v>-0.01707730413</v>
      </c>
      <c r="N31" s="16">
        <f t="shared" si="3"/>
        <v>0.01194470541</v>
      </c>
      <c r="O31" s="16">
        <f t="shared" si="4"/>
        <v>0.0371389271</v>
      </c>
      <c r="P31" s="16">
        <f t="shared" si="5"/>
        <v>0.06137387387</v>
      </c>
      <c r="Q31" s="30">
        <f t="shared" si="6"/>
        <v>-0.02946216689</v>
      </c>
      <c r="R31" s="30">
        <f t="shared" si="7"/>
        <v>-0.01282779779</v>
      </c>
      <c r="S31" s="30">
        <f t="shared" si="8"/>
        <v>-0.03107678564</v>
      </c>
      <c r="T31" s="30">
        <f t="shared" si="9"/>
        <v>-0.07202755872</v>
      </c>
      <c r="U31" s="31" t="str">
        <f t="shared" si="10"/>
        <v>#N/A</v>
      </c>
      <c r="V31" s="31">
        <f t="shared" si="11"/>
        <v>53</v>
      </c>
      <c r="W31" s="31">
        <f t="shared" si="12"/>
        <v>63</v>
      </c>
      <c r="X31" s="31">
        <f t="shared" si="13"/>
        <v>65</v>
      </c>
    </row>
    <row r="32">
      <c r="A32" s="1">
        <v>29.0</v>
      </c>
      <c r="B32" s="22" t="s">
        <v>556</v>
      </c>
      <c r="C32" s="22" t="s">
        <v>528</v>
      </c>
      <c r="D32" s="22" t="s">
        <v>85</v>
      </c>
      <c r="E32" s="23">
        <f>IFERROR(__xludf.DUMMYFUNCTION("GOOGLEFINANCE(""NSE:""&amp;D32,""marketcap"")/10000000"),146607.8008886)</f>
        <v>146607.8009</v>
      </c>
      <c r="F32" s="17">
        <f>IFERROR(__xludf.DUMMYFUNCTION("GOOGLEFINANCE(""NSE:""&amp;D32)"),725.15)</f>
        <v>725.15</v>
      </c>
      <c r="G32" s="17">
        <f>IFERROR(__xludf.DUMMYFUNCTION("GOOGLEFINANCE(""NSE:""&amp;D32,""closeyest"")"),733.05)</f>
        <v>733.05</v>
      </c>
      <c r="H32" s="17">
        <f>IFERROR(__xludf.DUMMYFUNCTION("INDEX(GOOGLEFINANCE(""NSE:""&amp;D32,""PRICE"",TODAY()-7),2,2)"),747.75)</f>
        <v>747.75</v>
      </c>
      <c r="I32" s="17">
        <f>IFERROR(__xludf.DUMMYFUNCTION("INDEX(GOOGLEFINANCE(""NSE:""&amp;D32,""PRICE"",TODAY()-14),2,2)"),734.9)</f>
        <v>734.9</v>
      </c>
      <c r="J32" s="17">
        <f>IFERROR(__xludf.DUMMYFUNCTION("INDEX(GOOGLEFINANCE(""NSE:""&amp;D32,""PRICE"",TODAY()-28),2,2)"),704.1)</f>
        <v>704.1</v>
      </c>
      <c r="K32" s="17">
        <f>IFERROR(__xludf.DUMMYFUNCTION("INDEX(GOOGLEFINANCE(""NSE:""&amp;D32,""PRICE"",TODAY()-84),2,2)"),687.5)</f>
        <v>687.5</v>
      </c>
      <c r="L32" s="16">
        <f t="shared" si="1"/>
        <v>-0.01077689107</v>
      </c>
      <c r="M32" s="16">
        <f t="shared" si="2"/>
        <v>-0.03022400535</v>
      </c>
      <c r="N32" s="16">
        <f t="shared" si="3"/>
        <v>-0.01326711117</v>
      </c>
      <c r="O32" s="16">
        <f t="shared" si="4"/>
        <v>0.02989632155</v>
      </c>
      <c r="P32" s="16">
        <f t="shared" si="5"/>
        <v>0.05476363636</v>
      </c>
      <c r="Q32" s="30">
        <f t="shared" si="6"/>
        <v>-0.04260886811</v>
      </c>
      <c r="R32" s="30">
        <f t="shared" si="7"/>
        <v>-0.03803961437</v>
      </c>
      <c r="S32" s="30">
        <f t="shared" si="8"/>
        <v>-0.03831939119</v>
      </c>
      <c r="T32" s="30">
        <f t="shared" si="9"/>
        <v>-0.07863779623</v>
      </c>
      <c r="U32" s="31" t="str">
        <f t="shared" si="10"/>
        <v>#N/A</v>
      </c>
      <c r="V32" s="31">
        <f t="shared" si="11"/>
        <v>74</v>
      </c>
      <c r="W32" s="31">
        <f t="shared" si="12"/>
        <v>66</v>
      </c>
      <c r="X32" s="31">
        <f t="shared" si="13"/>
        <v>69</v>
      </c>
    </row>
    <row r="33">
      <c r="A33" s="1">
        <v>30.0</v>
      </c>
      <c r="B33" s="22" t="s">
        <v>557</v>
      </c>
      <c r="C33" s="22" t="s">
        <v>524</v>
      </c>
      <c r="D33" s="22" t="s">
        <v>87</v>
      </c>
      <c r="E33" s="23">
        <f>IFERROR(__xludf.DUMMYFUNCTION("GOOGLEFINANCE(""NSE:""&amp;D33,""marketcap"")/10000000"),147670.63738)</f>
        <v>147670.6374</v>
      </c>
      <c r="F33" s="17">
        <f>IFERROR(__xludf.DUMMYFUNCTION("GOOGLEFINANCE(""NSE:""&amp;D33)"),1523.0)</f>
        <v>1523</v>
      </c>
      <c r="G33" s="17">
        <f>IFERROR(__xludf.DUMMYFUNCTION("GOOGLEFINANCE(""NSE:""&amp;D33,""closeyest"")"),1513.6)</f>
        <v>1513.6</v>
      </c>
      <c r="H33" s="17">
        <f>IFERROR(__xludf.DUMMYFUNCTION("INDEX(GOOGLEFINANCE(""NSE:""&amp;D33,""PRICE"",TODAY()-7),2,2)"),1451.55)</f>
        <v>1451.55</v>
      </c>
      <c r="I33" s="17">
        <f>IFERROR(__xludf.DUMMYFUNCTION("INDEX(GOOGLEFINANCE(""NSE:""&amp;D33,""PRICE"",TODAY()-14),2,2)"),1429.5)</f>
        <v>1429.5</v>
      </c>
      <c r="J33" s="17">
        <f>IFERROR(__xludf.DUMMYFUNCTION("INDEX(GOOGLEFINANCE(""NSE:""&amp;D33,""PRICE"",TODAY()-28),2,2)"),1445.4)</f>
        <v>1445.4</v>
      </c>
      <c r="K33" s="17">
        <f>IFERROR(__xludf.DUMMYFUNCTION("INDEX(GOOGLEFINANCE(""NSE:""&amp;D33,""PRICE"",TODAY()-84),2,2)"),1089.4)</f>
        <v>1089.4</v>
      </c>
      <c r="L33" s="16">
        <f t="shared" si="1"/>
        <v>0.006210359408</v>
      </c>
      <c r="M33" s="16">
        <f t="shared" si="2"/>
        <v>0.04922324412</v>
      </c>
      <c r="N33" s="16">
        <f t="shared" si="3"/>
        <v>0.06540748513</v>
      </c>
      <c r="O33" s="16">
        <f t="shared" si="4"/>
        <v>0.05368756054</v>
      </c>
      <c r="P33" s="16">
        <f t="shared" si="5"/>
        <v>0.3980172572</v>
      </c>
      <c r="Q33" s="30">
        <f t="shared" si="6"/>
        <v>0.03683838136</v>
      </c>
      <c r="R33" s="30">
        <f t="shared" si="7"/>
        <v>0.04063498193</v>
      </c>
      <c r="S33" s="30">
        <f t="shared" si="8"/>
        <v>-0.0145281522</v>
      </c>
      <c r="T33" s="30">
        <f t="shared" si="9"/>
        <v>0.2646158246</v>
      </c>
      <c r="U33" s="31" t="str">
        <f t="shared" si="10"/>
        <v>#N/A</v>
      </c>
      <c r="V33" s="31">
        <f t="shared" si="11"/>
        <v>20</v>
      </c>
      <c r="W33" s="31">
        <f t="shared" si="12"/>
        <v>52</v>
      </c>
      <c r="X33" s="31">
        <f t="shared" si="13"/>
        <v>6</v>
      </c>
    </row>
    <row r="34">
      <c r="A34" s="1">
        <v>31.0</v>
      </c>
      <c r="B34" s="22" t="s">
        <v>558</v>
      </c>
      <c r="C34" s="22" t="s">
        <v>549</v>
      </c>
      <c r="D34" s="22" t="s">
        <v>91</v>
      </c>
      <c r="E34" s="23">
        <f>IFERROR(__xludf.DUMMYFUNCTION("GOOGLEFINANCE(""NSE:""&amp;D34,""marketcap"")/10000000"),138407.3905447)</f>
        <v>138407.3905</v>
      </c>
      <c r="F34" s="17">
        <f>IFERROR(__xludf.DUMMYFUNCTION("GOOGLEFINANCE(""NSE:""&amp;D34)"),5219.5)</f>
        <v>5219.5</v>
      </c>
      <c r="G34" s="17">
        <f>IFERROR(__xludf.DUMMYFUNCTION("GOOGLEFINANCE(""NSE:""&amp;D34,""closeyest"")"),5139.9)</f>
        <v>5139.9</v>
      </c>
      <c r="H34" s="17">
        <f>IFERROR(__xludf.DUMMYFUNCTION("INDEX(GOOGLEFINANCE(""NSE:""&amp;D34,""PRICE"",TODAY()-7),2,2)"),5122.8)</f>
        <v>5122.8</v>
      </c>
      <c r="I34" s="17">
        <f>IFERROR(__xludf.DUMMYFUNCTION("INDEX(GOOGLEFINANCE(""NSE:""&amp;D34,""PRICE"",TODAY()-14),2,2)"),5085.2)</f>
        <v>5085.2</v>
      </c>
      <c r="J34" s="17">
        <f>IFERROR(__xludf.DUMMYFUNCTION("INDEX(GOOGLEFINANCE(""NSE:""&amp;D34,""PRICE"",TODAY()-28),2,2)"),4910.7)</f>
        <v>4910.7</v>
      </c>
      <c r="K34" s="17">
        <f>IFERROR(__xludf.DUMMYFUNCTION("INDEX(GOOGLEFINANCE(""NSE:""&amp;D34,""PRICE"",TODAY()-84),2,2)"),4519.65)</f>
        <v>4519.65</v>
      </c>
      <c r="L34" s="16">
        <f t="shared" si="1"/>
        <v>0.01548668262</v>
      </c>
      <c r="M34" s="16">
        <f t="shared" si="2"/>
        <v>0.01887639572</v>
      </c>
      <c r="N34" s="16">
        <f t="shared" si="3"/>
        <v>0.02640997404</v>
      </c>
      <c r="O34" s="16">
        <f t="shared" si="4"/>
        <v>0.06288309202</v>
      </c>
      <c r="P34" s="16">
        <f t="shared" si="5"/>
        <v>0.1548460611</v>
      </c>
      <c r="Q34" s="30">
        <f t="shared" si="6"/>
        <v>0.006491532962</v>
      </c>
      <c r="R34" s="30">
        <f t="shared" si="7"/>
        <v>0.001637470841</v>
      </c>
      <c r="S34" s="30">
        <f t="shared" si="8"/>
        <v>-0.005332620714</v>
      </c>
      <c r="T34" s="30">
        <f t="shared" si="9"/>
        <v>0.0214446285</v>
      </c>
      <c r="U34" s="31" t="str">
        <f t="shared" si="10"/>
        <v>#N/A</v>
      </c>
      <c r="V34" s="31">
        <f t="shared" si="11"/>
        <v>38</v>
      </c>
      <c r="W34" s="31">
        <f t="shared" si="12"/>
        <v>49</v>
      </c>
      <c r="X34" s="31">
        <f t="shared" si="13"/>
        <v>36</v>
      </c>
    </row>
    <row r="35">
      <c r="A35" s="1">
        <v>32.0</v>
      </c>
      <c r="B35" s="22" t="s">
        <v>559</v>
      </c>
      <c r="C35" s="22" t="s">
        <v>560</v>
      </c>
      <c r="D35" s="22" t="s">
        <v>93</v>
      </c>
      <c r="E35" s="23">
        <f>IFERROR(__xludf.DUMMYFUNCTION("GOOGLEFINANCE(""NSE:""&amp;D35,""marketcap"")/10000000"),124302.5346912)</f>
        <v>124302.5347</v>
      </c>
      <c r="F35" s="17">
        <f>IFERROR(__xludf.DUMMYFUNCTION("GOOGLEFINANCE(""NSE:""&amp;D35)"),178.2)</f>
        <v>178.2</v>
      </c>
      <c r="G35" s="17">
        <f>IFERROR(__xludf.DUMMYFUNCTION("GOOGLEFINANCE(""NSE:""&amp;D35,""closeyest"")"),176.75)</f>
        <v>176.75</v>
      </c>
      <c r="H35" s="17">
        <f>IFERROR(__xludf.DUMMYFUNCTION("INDEX(GOOGLEFINANCE(""NSE:""&amp;D35,""PRICE"",TODAY()-7),2,2)"),178.8)</f>
        <v>178.8</v>
      </c>
      <c r="I35" s="17">
        <f>IFERROR(__xludf.DUMMYFUNCTION("INDEX(GOOGLEFINANCE(""NSE:""&amp;D35,""PRICE"",TODAY()-14),2,2)"),173.9)</f>
        <v>173.9</v>
      </c>
      <c r="J35" s="17">
        <f>IFERROR(__xludf.DUMMYFUNCTION("INDEX(GOOGLEFINANCE(""NSE:""&amp;D35,""PRICE"",TODAY()-28),2,2)"),174.35)</f>
        <v>174.35</v>
      </c>
      <c r="K35" s="17">
        <f>IFERROR(__xludf.DUMMYFUNCTION("INDEX(GOOGLEFINANCE(""NSE:""&amp;D35,""PRICE"",TODAY()-84),2,2)"),170.96)</f>
        <v>170.96</v>
      </c>
      <c r="L35" s="16">
        <f t="shared" si="1"/>
        <v>0.008203677511</v>
      </c>
      <c r="M35" s="16">
        <f t="shared" si="2"/>
        <v>-0.003355704698</v>
      </c>
      <c r="N35" s="16">
        <f t="shared" si="3"/>
        <v>0.02472685451</v>
      </c>
      <c r="O35" s="16">
        <f t="shared" si="4"/>
        <v>0.02208201893</v>
      </c>
      <c r="P35" s="16">
        <f t="shared" si="5"/>
        <v>0.04234908751</v>
      </c>
      <c r="Q35" s="30">
        <f t="shared" si="6"/>
        <v>-0.01574056746</v>
      </c>
      <c r="R35" s="30">
        <f t="shared" si="7"/>
        <v>-0.0000456486873</v>
      </c>
      <c r="S35" s="30">
        <f t="shared" si="8"/>
        <v>-0.04613369381</v>
      </c>
      <c r="T35" s="30">
        <f t="shared" si="9"/>
        <v>-0.09105234509</v>
      </c>
      <c r="U35" s="31" t="str">
        <f t="shared" si="10"/>
        <v>#N/A</v>
      </c>
      <c r="V35" s="31">
        <f t="shared" si="11"/>
        <v>40</v>
      </c>
      <c r="W35" s="31">
        <f t="shared" si="12"/>
        <v>75</v>
      </c>
      <c r="X35" s="31">
        <f t="shared" si="13"/>
        <v>72</v>
      </c>
    </row>
    <row r="36">
      <c r="A36" s="1">
        <v>33.0</v>
      </c>
      <c r="B36" s="22" t="s">
        <v>602</v>
      </c>
      <c r="C36" s="22" t="s">
        <v>603</v>
      </c>
      <c r="D36" s="22" t="s">
        <v>97</v>
      </c>
      <c r="E36" s="23">
        <f>IFERROR(__xludf.DUMMYFUNCTION("GOOGLEFINANCE(""NSE:""&amp;D36,""marketcap"")/10000000"),123532.09154)</f>
        <v>123532.0915</v>
      </c>
      <c r="F36" s="17">
        <f>IFERROR(__xludf.DUMMYFUNCTION("GOOGLEFINANCE(""NSE:""&amp;D36)"),2431.0)</f>
        <v>2431</v>
      </c>
      <c r="G36" s="17">
        <f>IFERROR(__xludf.DUMMYFUNCTION("GOOGLEFINANCE(""NSE:""&amp;D36,""closeyest"")"),2418.0)</f>
        <v>2418</v>
      </c>
      <c r="H36" s="17">
        <f>IFERROR(__xludf.DUMMYFUNCTION("INDEX(GOOGLEFINANCE(""NSE:""&amp;D36,""PRICE"",TODAY()-7),2,2)"),2368.45)</f>
        <v>2368.45</v>
      </c>
      <c r="I36" s="17">
        <f>IFERROR(__xludf.DUMMYFUNCTION("INDEX(GOOGLEFINANCE(""NSE:""&amp;D36,""PRICE"",TODAY()-14),2,2)"),2397.0)</f>
        <v>2397</v>
      </c>
      <c r="J36" s="17">
        <f>IFERROR(__xludf.DUMMYFUNCTION("INDEX(GOOGLEFINANCE(""NSE:""&amp;D36,""PRICE"",TODAY()-28),2,2)"),2225.2)</f>
        <v>2225.2</v>
      </c>
      <c r="K36" s="17">
        <f>IFERROR(__xludf.DUMMYFUNCTION("INDEX(GOOGLEFINANCE(""NSE:""&amp;D36,""PRICE"",TODAY()-84),2,2)"),2178.85)</f>
        <v>2178.85</v>
      </c>
      <c r="L36" s="16">
        <f t="shared" si="1"/>
        <v>0.005376344086</v>
      </c>
      <c r="M36" s="16">
        <f t="shared" si="2"/>
        <v>0.02640967722</v>
      </c>
      <c r="N36" s="16">
        <f t="shared" si="3"/>
        <v>0.01418439716</v>
      </c>
      <c r="O36" s="16">
        <f t="shared" si="4"/>
        <v>0.09248606867</v>
      </c>
      <c r="P36" s="16">
        <f t="shared" si="5"/>
        <v>0.1157261858</v>
      </c>
      <c r="Q36" s="30">
        <f t="shared" si="6"/>
        <v>0.01402481446</v>
      </c>
      <c r="R36" s="30">
        <f t="shared" si="7"/>
        <v>-0.01058810604</v>
      </c>
      <c r="S36" s="30">
        <f t="shared" si="8"/>
        <v>0.02427035593</v>
      </c>
      <c r="T36" s="30">
        <f t="shared" si="9"/>
        <v>-0.01767524676</v>
      </c>
      <c r="U36" s="31" t="str">
        <f t="shared" si="10"/>
        <v>#N/A</v>
      </c>
      <c r="V36" s="31">
        <f t="shared" si="11"/>
        <v>50</v>
      </c>
      <c r="W36" s="31">
        <f t="shared" si="12"/>
        <v>34</v>
      </c>
      <c r="X36" s="31">
        <f t="shared" si="13"/>
        <v>50</v>
      </c>
    </row>
    <row r="37">
      <c r="A37" s="1">
        <v>34.0</v>
      </c>
      <c r="B37" s="22" t="s">
        <v>561</v>
      </c>
      <c r="C37" s="22" t="s">
        <v>560</v>
      </c>
      <c r="D37" s="22" t="s">
        <v>98</v>
      </c>
      <c r="E37" s="23">
        <f>IFERROR(__xludf.DUMMYFUNCTION("GOOGLEFINANCE(""NSE:""&amp;D37,""marketcap"")/10000000"),122324.2114398)</f>
        <v>122324.2114</v>
      </c>
      <c r="F37" s="17">
        <f>IFERROR(__xludf.DUMMYFUNCTION("GOOGLEFINANCE(""NSE:""&amp;D37)"),126.15)</f>
        <v>126.15</v>
      </c>
      <c r="G37" s="17">
        <f>IFERROR(__xludf.DUMMYFUNCTION("GOOGLEFINANCE(""NSE:""&amp;D37,""closeyest"")"),124.4)</f>
        <v>124.4</v>
      </c>
      <c r="H37" s="17">
        <f>IFERROR(__xludf.DUMMYFUNCTION("INDEX(GOOGLEFINANCE(""NSE:""&amp;D37,""PRICE"",TODAY()-7),2,2)"),123.75)</f>
        <v>123.75</v>
      </c>
      <c r="I37" s="17">
        <f>IFERROR(__xludf.DUMMYFUNCTION("INDEX(GOOGLEFINANCE(""NSE:""&amp;D37,""PRICE"",TODAY()-14),2,2)"),115.0)</f>
        <v>115</v>
      </c>
      <c r="J37" s="17">
        <f>IFERROR(__xludf.DUMMYFUNCTION("INDEX(GOOGLEFINANCE(""NSE:""&amp;D37,""PRICE"",TODAY()-28),2,2)"),113.4)</f>
        <v>113.4</v>
      </c>
      <c r="K37" s="17">
        <f>IFERROR(__xludf.DUMMYFUNCTION("INDEX(GOOGLEFINANCE(""NSE:""&amp;D37,""PRICE"",TODAY()-84),2,2)"),117.5)</f>
        <v>117.5</v>
      </c>
      <c r="L37" s="16">
        <f t="shared" si="1"/>
        <v>0.01406752412</v>
      </c>
      <c r="M37" s="16">
        <f t="shared" si="2"/>
        <v>0.01939393939</v>
      </c>
      <c r="N37" s="16">
        <f t="shared" si="3"/>
        <v>0.09695652174</v>
      </c>
      <c r="O37" s="16">
        <f t="shared" si="4"/>
        <v>0.1124338624</v>
      </c>
      <c r="P37" s="16">
        <f t="shared" si="5"/>
        <v>0.07361702128</v>
      </c>
      <c r="Q37" s="30">
        <f t="shared" si="6"/>
        <v>0.007009076635</v>
      </c>
      <c r="R37" s="30">
        <f t="shared" si="7"/>
        <v>0.07218401854</v>
      </c>
      <c r="S37" s="30">
        <f t="shared" si="8"/>
        <v>0.0442181497</v>
      </c>
      <c r="T37" s="30">
        <f t="shared" si="9"/>
        <v>-0.05978441131</v>
      </c>
      <c r="U37" s="31" t="str">
        <f t="shared" si="10"/>
        <v>#N/A</v>
      </c>
      <c r="V37" s="31">
        <f t="shared" si="11"/>
        <v>14</v>
      </c>
      <c r="W37" s="31">
        <f t="shared" si="12"/>
        <v>26</v>
      </c>
      <c r="X37" s="31">
        <f t="shared" si="13"/>
        <v>62</v>
      </c>
    </row>
    <row r="38">
      <c r="A38" s="1">
        <v>35.0</v>
      </c>
      <c r="B38" s="22" t="s">
        <v>562</v>
      </c>
      <c r="C38" s="22" t="s">
        <v>528</v>
      </c>
      <c r="D38" s="22" t="s">
        <v>95</v>
      </c>
      <c r="E38" s="23">
        <f>IFERROR(__xludf.DUMMYFUNCTION("GOOGLEFINANCE(""NSE:""&amp;D38,""marketcap"")/10000000"),121593.87955)</f>
        <v>121593.8796</v>
      </c>
      <c r="F38" s="17">
        <f>IFERROR(__xludf.DUMMYFUNCTION("GOOGLEFINANCE(""NSE:""&amp;D38)"),1219.0)</f>
        <v>1219</v>
      </c>
      <c r="G38" s="17">
        <f>IFERROR(__xludf.DUMMYFUNCTION("GOOGLEFINANCE(""NSE:""&amp;D38,""closeyest"")"),1191.3)</f>
        <v>1191.3</v>
      </c>
      <c r="H38" s="17">
        <f>IFERROR(__xludf.DUMMYFUNCTION("INDEX(GOOGLEFINANCE(""NSE:""&amp;D38,""PRICE"",TODAY()-7),2,2)"),1198.8)</f>
        <v>1198.8</v>
      </c>
      <c r="I38" s="17">
        <f>IFERROR(__xludf.DUMMYFUNCTION("INDEX(GOOGLEFINANCE(""NSE:""&amp;D38,""PRICE"",TODAY()-14),2,2)"),1165.15)</f>
        <v>1165.15</v>
      </c>
      <c r="J38" s="17">
        <f>IFERROR(__xludf.DUMMYFUNCTION("INDEX(GOOGLEFINANCE(""NSE:""&amp;D38,""PRICE"",TODAY()-28),2,2)"),1184.05)</f>
        <v>1184.05</v>
      </c>
      <c r="K38" s="17">
        <f>IFERROR(__xludf.DUMMYFUNCTION("INDEX(GOOGLEFINANCE(""NSE:""&amp;D38,""PRICE"",TODAY()-84),2,2)"),1007.2)</f>
        <v>1007.2</v>
      </c>
      <c r="L38" s="16">
        <f t="shared" si="1"/>
        <v>0.02325190968</v>
      </c>
      <c r="M38" s="16">
        <f t="shared" si="2"/>
        <v>0.01685018352</v>
      </c>
      <c r="N38" s="16">
        <f t="shared" si="3"/>
        <v>0.04621722525</v>
      </c>
      <c r="O38" s="16">
        <f t="shared" si="4"/>
        <v>0.02951733457</v>
      </c>
      <c r="P38" s="16">
        <f t="shared" si="5"/>
        <v>0.2102859412</v>
      </c>
      <c r="Q38" s="30">
        <f t="shared" si="6"/>
        <v>0.004465320758</v>
      </c>
      <c r="R38" s="30">
        <f t="shared" si="7"/>
        <v>0.02144472205</v>
      </c>
      <c r="S38" s="30">
        <f t="shared" si="8"/>
        <v>-0.03869837817</v>
      </c>
      <c r="T38" s="30">
        <f t="shared" si="9"/>
        <v>0.07688450863</v>
      </c>
      <c r="U38" s="31" t="str">
        <f t="shared" si="10"/>
        <v>#N/A</v>
      </c>
      <c r="V38" s="31">
        <f t="shared" si="11"/>
        <v>27</v>
      </c>
      <c r="W38" s="31">
        <f t="shared" si="12"/>
        <v>68</v>
      </c>
      <c r="X38" s="31">
        <f t="shared" si="13"/>
        <v>22</v>
      </c>
    </row>
    <row r="39">
      <c r="A39" s="1">
        <v>36.0</v>
      </c>
      <c r="B39" s="22" t="s">
        <v>609</v>
      </c>
      <c r="C39" s="22" t="s">
        <v>526</v>
      </c>
      <c r="D39" s="22" t="s">
        <v>104</v>
      </c>
      <c r="E39" s="23">
        <f>IFERROR(__xludf.DUMMYFUNCTION("GOOGLEFINANCE(""NSE:""&amp;D39,""marketcap"")/10000000"),114583.4424)</f>
        <v>114583.4424</v>
      </c>
      <c r="F39" s="17">
        <f>IFERROR(__xludf.DUMMYFUNCTION("GOOGLEFINANCE(""NSE:""&amp;D39)"),649.0)</f>
        <v>649</v>
      </c>
      <c r="G39" s="17">
        <f>IFERROR(__xludf.DUMMYFUNCTION("GOOGLEFINANCE(""NSE:""&amp;D39,""closeyest"")"),648.4)</f>
        <v>648.4</v>
      </c>
      <c r="H39" s="17">
        <f>IFERROR(__xludf.DUMMYFUNCTION("INDEX(GOOGLEFINANCE(""NSE:""&amp;D39,""PRICE"",TODAY()-7),2,2)"),653.95)</f>
        <v>653.95</v>
      </c>
      <c r="I39" s="17">
        <f>IFERROR(__xludf.DUMMYFUNCTION("INDEX(GOOGLEFINANCE(""NSE:""&amp;D39,""PRICE"",TODAY()-14),2,2)"),640.2)</f>
        <v>640.2</v>
      </c>
      <c r="J39" s="17">
        <f>IFERROR(__xludf.DUMMYFUNCTION("INDEX(GOOGLEFINANCE(""NSE:""&amp;D39,""PRICE"",TODAY()-28),2,2)"),608.75)</f>
        <v>608.75</v>
      </c>
      <c r="K39" s="17">
        <f>IFERROR(__xludf.DUMMYFUNCTION("INDEX(GOOGLEFINANCE(""NSE:""&amp;D39,""PRICE"",TODAY()-84),2,2)"),590.45)</f>
        <v>590.45</v>
      </c>
      <c r="L39" s="16">
        <f t="shared" si="1"/>
        <v>0.0009253547193</v>
      </c>
      <c r="M39" s="16">
        <f t="shared" si="2"/>
        <v>-0.007569386039</v>
      </c>
      <c r="N39" s="16">
        <f t="shared" si="3"/>
        <v>0.01374570447</v>
      </c>
      <c r="O39" s="16">
        <f t="shared" si="4"/>
        <v>0.06611909651</v>
      </c>
      <c r="P39" s="16">
        <f t="shared" si="5"/>
        <v>0.09916165636</v>
      </c>
      <c r="Q39" s="30">
        <f t="shared" si="6"/>
        <v>-0.0199542488</v>
      </c>
      <c r="R39" s="30">
        <f t="shared" si="7"/>
        <v>-0.01102679873</v>
      </c>
      <c r="S39" s="30">
        <f t="shared" si="8"/>
        <v>-0.002096616228</v>
      </c>
      <c r="T39" s="30">
        <f t="shared" si="9"/>
        <v>-0.03423977623</v>
      </c>
      <c r="U39" s="31" t="str">
        <f t="shared" si="10"/>
        <v>#N/A</v>
      </c>
      <c r="V39" s="31">
        <f t="shared" si="11"/>
        <v>51</v>
      </c>
      <c r="W39" s="31">
        <f t="shared" si="12"/>
        <v>46</v>
      </c>
      <c r="X39" s="31">
        <f t="shared" si="13"/>
        <v>56</v>
      </c>
    </row>
    <row r="40">
      <c r="A40" s="1">
        <v>37.0</v>
      </c>
      <c r="B40" s="22" t="s">
        <v>563</v>
      </c>
      <c r="C40" s="22" t="s">
        <v>522</v>
      </c>
      <c r="D40" s="22" t="s">
        <v>116</v>
      </c>
      <c r="E40" s="23">
        <f>IFERROR(__xludf.DUMMYFUNCTION("GOOGLEFINANCE(""NSE:""&amp;D40,""marketcap"")/10000000"),111039.967147)</f>
        <v>111039.9671</v>
      </c>
      <c r="F40" s="17">
        <f>IFERROR(__xludf.DUMMYFUNCTION("GOOGLEFINANCE(""NSE:""&amp;D40)"),117.85)</f>
        <v>117.85</v>
      </c>
      <c r="G40" s="17">
        <f>IFERROR(__xludf.DUMMYFUNCTION("GOOGLEFINANCE(""NSE:""&amp;D40,""closeyest"")"),116.45)</f>
        <v>116.45</v>
      </c>
      <c r="H40" s="17">
        <f>IFERROR(__xludf.DUMMYFUNCTION("INDEX(GOOGLEFINANCE(""NSE:""&amp;D40,""PRICE"",TODAY()-7),2,2)"),118.25)</f>
        <v>118.25</v>
      </c>
      <c r="I40" s="17">
        <f>IFERROR(__xludf.DUMMYFUNCTION("INDEX(GOOGLEFINANCE(""NSE:""&amp;D40,""PRICE"",TODAY()-14),2,2)"),114.0)</f>
        <v>114</v>
      </c>
      <c r="J40" s="17">
        <f>IFERROR(__xludf.DUMMYFUNCTION("INDEX(GOOGLEFINANCE(""NSE:""&amp;D40,""PRICE"",TODAY()-28),2,2)"),105.95)</f>
        <v>105.95</v>
      </c>
      <c r="K40" s="17">
        <f>IFERROR(__xludf.DUMMYFUNCTION("INDEX(GOOGLEFINANCE(""NSE:""&amp;D40,""PRICE"",TODAY()-84),2,2)"),108.45)</f>
        <v>108.45</v>
      </c>
      <c r="L40" s="16">
        <f t="shared" si="1"/>
        <v>0.01202232718</v>
      </c>
      <c r="M40" s="16">
        <f t="shared" si="2"/>
        <v>-0.003382663848</v>
      </c>
      <c r="N40" s="16">
        <f t="shared" si="3"/>
        <v>0.03377192982</v>
      </c>
      <c r="O40" s="16">
        <f t="shared" si="4"/>
        <v>0.1123171307</v>
      </c>
      <c r="P40" s="16">
        <f t="shared" si="5"/>
        <v>0.08667588751</v>
      </c>
      <c r="Q40" s="30">
        <f t="shared" si="6"/>
        <v>-0.01576752661</v>
      </c>
      <c r="R40" s="30">
        <f t="shared" si="7"/>
        <v>0.008999426623</v>
      </c>
      <c r="S40" s="30">
        <f t="shared" si="8"/>
        <v>0.04410141798</v>
      </c>
      <c r="T40" s="30">
        <f t="shared" si="9"/>
        <v>-0.04672554509</v>
      </c>
      <c r="U40" s="31" t="str">
        <f t="shared" si="10"/>
        <v>#N/A</v>
      </c>
      <c r="V40" s="31">
        <f t="shared" si="11"/>
        <v>33</v>
      </c>
      <c r="W40" s="31">
        <f t="shared" si="12"/>
        <v>27</v>
      </c>
      <c r="X40" s="31">
        <f t="shared" si="13"/>
        <v>58</v>
      </c>
    </row>
    <row r="41">
      <c r="A41" s="1">
        <v>38.0</v>
      </c>
      <c r="B41" s="22" t="s">
        <v>628</v>
      </c>
      <c r="C41" s="22" t="s">
        <v>552</v>
      </c>
      <c r="D41" s="22" t="s">
        <v>102</v>
      </c>
      <c r="E41" s="23">
        <f>IFERROR(__xludf.DUMMYFUNCTION("GOOGLEFINANCE(""NSE:""&amp;D41,""marketcap"")/10000000"),1515.8035889)</f>
        <v>1515.803589</v>
      </c>
      <c r="F41" s="17">
        <f>IFERROR(__xludf.DUMMYFUNCTION("GOOGLEFINANCE(""NSE:""&amp;D41)"),299.0)</f>
        <v>299</v>
      </c>
      <c r="G41" s="17">
        <f>IFERROR(__xludf.DUMMYFUNCTION("GOOGLEFINANCE(""NSE:""&amp;D41,""closeyest"")"),294.9)</f>
        <v>294.9</v>
      </c>
      <c r="H41" s="17">
        <f>IFERROR(__xludf.DUMMYFUNCTION("INDEX(GOOGLEFINANCE(""NSE:""&amp;D41,""PRICE"",TODAY()-7),2,2)"),302.0)</f>
        <v>302</v>
      </c>
      <c r="I41" s="17">
        <f>IFERROR(__xludf.DUMMYFUNCTION("INDEX(GOOGLEFINANCE(""NSE:""&amp;D41,""PRICE"",TODAY()-14),2,2)"),308.55)</f>
        <v>308.55</v>
      </c>
      <c r="J41" s="17">
        <f>IFERROR(__xludf.DUMMYFUNCTION("INDEX(GOOGLEFINANCE(""NSE:""&amp;D41,""PRICE"",TODAY()-28),2,2)"),292.6)</f>
        <v>292.6</v>
      </c>
      <c r="K41" s="17">
        <f>IFERROR(__xludf.DUMMYFUNCTION("INDEX(GOOGLEFINANCE(""NSE:""&amp;D41,""PRICE"",TODAY()-84),2,2)"),262.05)</f>
        <v>262.05</v>
      </c>
      <c r="L41" s="16">
        <f t="shared" si="1"/>
        <v>0.01390301797</v>
      </c>
      <c r="M41" s="16">
        <f t="shared" si="2"/>
        <v>-0.009933774834</v>
      </c>
      <c r="N41" s="16">
        <f t="shared" si="3"/>
        <v>-0.03095122346</v>
      </c>
      <c r="O41" s="16">
        <f t="shared" si="4"/>
        <v>0.02187286398</v>
      </c>
      <c r="P41" s="16">
        <f t="shared" si="5"/>
        <v>0.1410036253</v>
      </c>
      <c r="Q41" s="30">
        <f t="shared" si="6"/>
        <v>-0.02231863759</v>
      </c>
      <c r="R41" s="30">
        <f t="shared" si="7"/>
        <v>-0.05572372667</v>
      </c>
      <c r="S41" s="30">
        <f t="shared" si="8"/>
        <v>-0.04634284876</v>
      </c>
      <c r="T41" s="30">
        <f t="shared" si="9"/>
        <v>0.007602192671</v>
      </c>
      <c r="U41" s="31" t="str">
        <f t="shared" si="10"/>
        <v>#N/A</v>
      </c>
      <c r="V41" s="31">
        <f t="shared" si="11"/>
        <v>84</v>
      </c>
      <c r="W41" s="31">
        <f t="shared" si="12"/>
        <v>76</v>
      </c>
      <c r="X41" s="31">
        <f t="shared" si="13"/>
        <v>40</v>
      </c>
    </row>
    <row r="42">
      <c r="A42" s="1">
        <v>39.0</v>
      </c>
      <c r="B42" s="22" t="s">
        <v>564</v>
      </c>
      <c r="C42" s="22" t="s">
        <v>545</v>
      </c>
      <c r="D42" s="22" t="s">
        <v>106</v>
      </c>
      <c r="E42" s="23">
        <f>IFERROR(__xludf.DUMMYFUNCTION("GOOGLEFINANCE(""NSE:""&amp;D42,""marketcap"")/10000000"),109814.7765)</f>
        <v>109814.7765</v>
      </c>
      <c r="F42" s="17">
        <f>IFERROR(__xludf.DUMMYFUNCTION("GOOGLEFINANCE(""NSE:""&amp;D42)"),3795.0)</f>
        <v>3795</v>
      </c>
      <c r="G42" s="17">
        <f>IFERROR(__xludf.DUMMYFUNCTION("GOOGLEFINANCE(""NSE:""&amp;D42,""closeyest"")"),3757.15)</f>
        <v>3757.15</v>
      </c>
      <c r="H42" s="17">
        <f>IFERROR(__xludf.DUMMYFUNCTION("INDEX(GOOGLEFINANCE(""NSE:""&amp;D42,""PRICE"",TODAY()-7),2,2)"),3822.2)</f>
        <v>3822.2</v>
      </c>
      <c r="I42" s="17">
        <f>IFERROR(__xludf.DUMMYFUNCTION("INDEX(GOOGLEFINANCE(""NSE:""&amp;D42,""PRICE"",TODAY()-14),2,2)"),3699.55)</f>
        <v>3699.55</v>
      </c>
      <c r="J42" s="17">
        <f>IFERROR(__xludf.DUMMYFUNCTION("INDEX(GOOGLEFINANCE(""NSE:""&amp;D42,""PRICE"",TODAY()-28),2,2)"),3699.45)</f>
        <v>3699.45</v>
      </c>
      <c r="K42" s="17">
        <f>IFERROR(__xludf.DUMMYFUNCTION("INDEX(GOOGLEFINANCE(""NSE:""&amp;D42,""PRICE"",TODAY()-84),2,2)"),4175.35)</f>
        <v>4175.35</v>
      </c>
      <c r="L42" s="16">
        <f t="shared" si="1"/>
        <v>0.01007412533</v>
      </c>
      <c r="M42" s="16">
        <f t="shared" si="2"/>
        <v>-0.007116320444</v>
      </c>
      <c r="N42" s="16">
        <f t="shared" si="3"/>
        <v>0.02580043519</v>
      </c>
      <c r="O42" s="16">
        <f t="shared" si="4"/>
        <v>0.02582816365</v>
      </c>
      <c r="P42" s="16">
        <f t="shared" si="5"/>
        <v>-0.09109415977</v>
      </c>
      <c r="Q42" s="30">
        <f t="shared" si="6"/>
        <v>-0.0195011832</v>
      </c>
      <c r="R42" s="30">
        <f t="shared" si="7"/>
        <v>0.001027931987</v>
      </c>
      <c r="S42" s="30">
        <f t="shared" si="8"/>
        <v>-0.04238754909</v>
      </c>
      <c r="T42" s="30">
        <f t="shared" si="9"/>
        <v>-0.2244955924</v>
      </c>
      <c r="U42" s="31" t="str">
        <f t="shared" si="10"/>
        <v>#N/A</v>
      </c>
      <c r="V42" s="31">
        <f t="shared" si="11"/>
        <v>39</v>
      </c>
      <c r="W42" s="31">
        <f t="shared" si="12"/>
        <v>71</v>
      </c>
      <c r="X42" s="31">
        <f t="shared" si="13"/>
        <v>91</v>
      </c>
    </row>
    <row r="43">
      <c r="A43" s="1">
        <v>40.0</v>
      </c>
      <c r="B43" s="22" t="s">
        <v>629</v>
      </c>
      <c r="C43" s="22" t="s">
        <v>526</v>
      </c>
      <c r="D43" s="22" t="s">
        <v>100</v>
      </c>
      <c r="E43" s="23">
        <f>IFERROR(__xludf.DUMMYFUNCTION("GOOGLEFINANCE(""NSE:""&amp;D43,""marketcap"")/10000000"),108185.0494)</f>
        <v>108185.0494</v>
      </c>
      <c r="F43" s="17">
        <f>IFERROR(__xludf.DUMMYFUNCTION("GOOGLEFINANCE(""NSE:""&amp;D43)"),1058.0)</f>
        <v>1058</v>
      </c>
      <c r="G43" s="17">
        <f>IFERROR(__xludf.DUMMYFUNCTION("GOOGLEFINANCE(""NSE:""&amp;D43,""closeyest"")"),1054.45)</f>
        <v>1054.45</v>
      </c>
      <c r="H43" s="17">
        <f>IFERROR(__xludf.DUMMYFUNCTION("INDEX(GOOGLEFINANCE(""NSE:""&amp;D43,""PRICE"",TODAY()-7),2,2)"),1090.6)</f>
        <v>1090.6</v>
      </c>
      <c r="I43" s="17">
        <f>IFERROR(__xludf.DUMMYFUNCTION("INDEX(GOOGLEFINANCE(""NSE:""&amp;D43,""PRICE"",TODAY()-14),2,2)"),1121.25)</f>
        <v>1121.25</v>
      </c>
      <c r="J43" s="17">
        <f>IFERROR(__xludf.DUMMYFUNCTION("INDEX(GOOGLEFINANCE(""NSE:""&amp;D43,""PRICE"",TODAY()-28),2,2)"),1054.05)</f>
        <v>1054.05</v>
      </c>
      <c r="K43" s="17">
        <f>IFERROR(__xludf.DUMMYFUNCTION("INDEX(GOOGLEFINANCE(""NSE:""&amp;D43,""PRICE"",TODAY()-84),2,2)"),891.25)</f>
        <v>891.25</v>
      </c>
      <c r="L43" s="16">
        <f t="shared" si="1"/>
        <v>0.003366684053</v>
      </c>
      <c r="M43" s="16">
        <f t="shared" si="2"/>
        <v>-0.02989180268</v>
      </c>
      <c r="N43" s="16">
        <f t="shared" si="3"/>
        <v>-0.05641025641</v>
      </c>
      <c r="O43" s="16">
        <f t="shared" si="4"/>
        <v>0.003747450311</v>
      </c>
      <c r="P43" s="16">
        <f t="shared" si="5"/>
        <v>0.1870967742</v>
      </c>
      <c r="Q43" s="30">
        <f t="shared" si="6"/>
        <v>-0.04227666544</v>
      </c>
      <c r="R43" s="30">
        <f t="shared" si="7"/>
        <v>-0.08118275961</v>
      </c>
      <c r="S43" s="30">
        <f t="shared" si="8"/>
        <v>-0.06446826243</v>
      </c>
      <c r="T43" s="30">
        <f t="shared" si="9"/>
        <v>0.0536953416</v>
      </c>
      <c r="U43" s="31" t="str">
        <f t="shared" si="10"/>
        <v>#N/A</v>
      </c>
      <c r="V43" s="31">
        <f t="shared" si="11"/>
        <v>95</v>
      </c>
      <c r="W43" s="31">
        <f t="shared" si="12"/>
        <v>85</v>
      </c>
      <c r="X43" s="31">
        <f t="shared" si="13"/>
        <v>27</v>
      </c>
    </row>
    <row r="44">
      <c r="A44" s="1">
        <v>41.0</v>
      </c>
      <c r="B44" s="22" t="s">
        <v>565</v>
      </c>
      <c r="C44" s="22" t="s">
        <v>543</v>
      </c>
      <c r="D44" s="22" t="s">
        <v>122</v>
      </c>
      <c r="E44" s="23">
        <f>IFERROR(__xludf.DUMMYFUNCTION("GOOGLEFINANCE(""NSE:""&amp;D44,""marketcap"")/10000000"),108100.6941888)</f>
        <v>108100.6942</v>
      </c>
      <c r="F44" s="17">
        <f>IFERROR(__xludf.DUMMYFUNCTION("GOOGLEFINANCE(""NSE:""&amp;D44)"),29900.0)</f>
        <v>29900</v>
      </c>
      <c r="G44" s="17">
        <f>IFERROR(__xludf.DUMMYFUNCTION("GOOGLEFINANCE(""NSE:""&amp;D44,""closeyest"")"),29792.5)</f>
        <v>29792.5</v>
      </c>
      <c r="H44" s="17">
        <f>IFERROR(__xludf.DUMMYFUNCTION("INDEX(GOOGLEFINANCE(""NSE:""&amp;D44,""PRICE"",TODAY()-7),2,2)"),30559.45)</f>
        <v>30559.45</v>
      </c>
      <c r="I44" s="17">
        <f>IFERROR(__xludf.DUMMYFUNCTION("INDEX(GOOGLEFINANCE(""NSE:""&amp;D44,""PRICE"",TODAY()-14),2,2)"),30663.35)</f>
        <v>30663.35</v>
      </c>
      <c r="J44" s="17">
        <f>IFERROR(__xludf.DUMMYFUNCTION("INDEX(GOOGLEFINANCE(""NSE:""&amp;D44,""PRICE"",TODAY()-28),2,2)"),26897.75)</f>
        <v>26897.75</v>
      </c>
      <c r="K44" s="17">
        <f>IFERROR(__xludf.DUMMYFUNCTION("INDEX(GOOGLEFINANCE(""NSE:""&amp;D44,""PRICE"",TODAY()-84),2,2)"),27014.9)</f>
        <v>27014.9</v>
      </c>
      <c r="L44" s="16">
        <f t="shared" si="1"/>
        <v>0.003608290677</v>
      </c>
      <c r="M44" s="16">
        <f t="shared" si="2"/>
        <v>-0.02157924963</v>
      </c>
      <c r="N44" s="16">
        <f t="shared" si="3"/>
        <v>-0.02489454022</v>
      </c>
      <c r="O44" s="16">
        <f t="shared" si="4"/>
        <v>0.1116171427</v>
      </c>
      <c r="P44" s="16">
        <f t="shared" si="5"/>
        <v>0.1067966196</v>
      </c>
      <c r="Q44" s="30">
        <f t="shared" si="6"/>
        <v>-0.03396411239</v>
      </c>
      <c r="R44" s="30">
        <f t="shared" si="7"/>
        <v>-0.04966704343</v>
      </c>
      <c r="S44" s="30">
        <f t="shared" si="8"/>
        <v>0.04340142996</v>
      </c>
      <c r="T44" s="30">
        <f t="shared" si="9"/>
        <v>-0.02660481295</v>
      </c>
      <c r="U44" s="31" t="str">
        <f t="shared" si="10"/>
        <v>#N/A</v>
      </c>
      <c r="V44" s="31">
        <f t="shared" si="11"/>
        <v>80</v>
      </c>
      <c r="W44" s="31">
        <f t="shared" si="12"/>
        <v>28</v>
      </c>
      <c r="X44" s="31">
        <f t="shared" si="13"/>
        <v>54</v>
      </c>
    </row>
    <row r="45">
      <c r="A45" s="1">
        <v>42.0</v>
      </c>
      <c r="B45" s="22" t="s">
        <v>566</v>
      </c>
      <c r="C45" s="22" t="s">
        <v>552</v>
      </c>
      <c r="D45" s="22" t="s">
        <v>118</v>
      </c>
      <c r="E45" s="23">
        <f>IFERROR(__xludf.DUMMYFUNCTION("GOOGLEFINANCE(""NSE:""&amp;D45,""marketcap"")/10000000"),108210.7423078)</f>
        <v>108210.7423</v>
      </c>
      <c r="F45" s="17">
        <f>IFERROR(__xludf.DUMMYFUNCTION("GOOGLEFINANCE(""NSE:""&amp;D45)"),483.8)</f>
        <v>483.8</v>
      </c>
      <c r="G45" s="17">
        <f>IFERROR(__xludf.DUMMYFUNCTION("GOOGLEFINANCE(""NSE:""&amp;D45,""closeyest"")"),463.0)</f>
        <v>463</v>
      </c>
      <c r="H45" s="17">
        <f>IFERROR(__xludf.DUMMYFUNCTION("INDEX(GOOGLEFINANCE(""NSE:""&amp;D45,""PRICE"",TODAY()-7),2,2)"),473.05)</f>
        <v>473.05</v>
      </c>
      <c r="I45" s="17">
        <f>IFERROR(__xludf.DUMMYFUNCTION("INDEX(GOOGLEFINANCE(""NSE:""&amp;D45,""PRICE"",TODAY()-14),2,2)"),478.35)</f>
        <v>478.35</v>
      </c>
      <c r="J45" s="17">
        <f>IFERROR(__xludf.DUMMYFUNCTION("INDEX(GOOGLEFINANCE(""NSE:""&amp;D45,""PRICE"",TODAY()-28),2,2)"),437.9)</f>
        <v>437.9</v>
      </c>
      <c r="K45" s="17">
        <f>IFERROR(__xludf.DUMMYFUNCTION("INDEX(GOOGLEFINANCE(""NSE:""&amp;D45,""PRICE"",TODAY()-84),2,2)"),376.05)</f>
        <v>376.05</v>
      </c>
      <c r="L45" s="16">
        <f t="shared" si="1"/>
        <v>0.04492440605</v>
      </c>
      <c r="M45" s="16">
        <f t="shared" si="2"/>
        <v>0.02272487052</v>
      </c>
      <c r="N45" s="16">
        <f t="shared" si="3"/>
        <v>0.01139333124</v>
      </c>
      <c r="O45" s="16">
        <f t="shared" si="4"/>
        <v>0.1048184517</v>
      </c>
      <c r="P45" s="16">
        <f t="shared" si="5"/>
        <v>0.2865310464</v>
      </c>
      <c r="Q45" s="30">
        <f t="shared" si="6"/>
        <v>0.01034000776</v>
      </c>
      <c r="R45" s="30">
        <f t="shared" si="7"/>
        <v>-0.01337917196</v>
      </c>
      <c r="S45" s="30">
        <f t="shared" si="8"/>
        <v>0.03660273896</v>
      </c>
      <c r="T45" s="30">
        <f t="shared" si="9"/>
        <v>0.1531296138</v>
      </c>
      <c r="U45" s="31" t="str">
        <f t="shared" si="10"/>
        <v>#N/A</v>
      </c>
      <c r="V45" s="31">
        <f t="shared" si="11"/>
        <v>54</v>
      </c>
      <c r="W45" s="31">
        <f t="shared" si="12"/>
        <v>30</v>
      </c>
      <c r="X45" s="31">
        <f t="shared" si="13"/>
        <v>16</v>
      </c>
    </row>
    <row r="46">
      <c r="A46" s="1">
        <v>43.0</v>
      </c>
      <c r="B46" s="22" t="s">
        <v>567</v>
      </c>
      <c r="C46" s="22" t="s">
        <v>543</v>
      </c>
      <c r="D46" s="22" t="s">
        <v>124</v>
      </c>
      <c r="E46" s="23">
        <f>IFERROR(__xludf.DUMMYFUNCTION("GOOGLEFINANCE(""NSE:""&amp;D46,""marketcap"")/10000000"),105601.13722)</f>
        <v>105601.1372</v>
      </c>
      <c r="F46" s="17">
        <f>IFERROR(__xludf.DUMMYFUNCTION("GOOGLEFINANCE(""NSE:""&amp;D46)"),1608.05)</f>
        <v>1608.05</v>
      </c>
      <c r="G46" s="17">
        <f>IFERROR(__xludf.DUMMYFUNCTION("GOOGLEFINANCE(""NSE:""&amp;D46,""closeyest"")"),1574.65)</f>
        <v>1574.65</v>
      </c>
      <c r="H46" s="17">
        <f>IFERROR(__xludf.DUMMYFUNCTION("INDEX(GOOGLEFINANCE(""NSE:""&amp;D46,""PRICE"",TODAY()-7),2,2)"),1568.8)</f>
        <v>1568.8</v>
      </c>
      <c r="I46" s="17">
        <f>IFERROR(__xludf.DUMMYFUNCTION("INDEX(GOOGLEFINANCE(""NSE:""&amp;D46,""PRICE"",TODAY()-14),2,2)"),1606.35)</f>
        <v>1606.35</v>
      </c>
      <c r="J46" s="17">
        <f>IFERROR(__xludf.DUMMYFUNCTION("INDEX(GOOGLEFINANCE(""NSE:""&amp;D46,""PRICE"",TODAY()-28),2,2)"),1458.3)</f>
        <v>1458.3</v>
      </c>
      <c r="K46" s="17">
        <f>IFERROR(__xludf.DUMMYFUNCTION("INDEX(GOOGLEFINANCE(""NSE:""&amp;D46,""PRICE"",TODAY()-84),2,2)"),1489.75)</f>
        <v>1489.75</v>
      </c>
      <c r="L46" s="16">
        <f t="shared" si="1"/>
        <v>0.02121106278</v>
      </c>
      <c r="M46" s="16">
        <f t="shared" si="2"/>
        <v>0.0250191229</v>
      </c>
      <c r="N46" s="16">
        <f t="shared" si="3"/>
        <v>0.001058299872</v>
      </c>
      <c r="O46" s="16">
        <f t="shared" si="4"/>
        <v>0.1026880614</v>
      </c>
      <c r="P46" s="16">
        <f t="shared" si="5"/>
        <v>0.07940929686</v>
      </c>
      <c r="Q46" s="30">
        <f t="shared" si="6"/>
        <v>0.01263426014</v>
      </c>
      <c r="R46" s="30">
        <f t="shared" si="7"/>
        <v>-0.02371420333</v>
      </c>
      <c r="S46" s="30">
        <f t="shared" si="8"/>
        <v>0.0344723487</v>
      </c>
      <c r="T46" s="30">
        <f t="shared" si="9"/>
        <v>-0.05399213573</v>
      </c>
      <c r="U46" s="31" t="str">
        <f t="shared" si="10"/>
        <v>#N/A</v>
      </c>
      <c r="V46" s="31">
        <f t="shared" si="11"/>
        <v>61</v>
      </c>
      <c r="W46" s="31">
        <f t="shared" si="12"/>
        <v>31</v>
      </c>
      <c r="X46" s="31">
        <f t="shared" si="13"/>
        <v>60</v>
      </c>
    </row>
    <row r="47">
      <c r="A47" s="1">
        <v>44.0</v>
      </c>
      <c r="B47" s="22" t="s">
        <v>594</v>
      </c>
      <c r="C47" s="22" t="s">
        <v>524</v>
      </c>
      <c r="D47" s="22" t="s">
        <v>130</v>
      </c>
      <c r="E47" s="23">
        <f>IFERROR(__xludf.DUMMYFUNCTION("GOOGLEFINANCE(""NSE:""&amp;D47,""marketcap"")/10000000"),106680.8442)</f>
        <v>106680.8442</v>
      </c>
      <c r="F47" s="17">
        <f>IFERROR(__xludf.DUMMYFUNCTION("GOOGLEFINANCE(""NSE:""&amp;D47)"),6090.0)</f>
        <v>6090</v>
      </c>
      <c r="G47" s="17">
        <f>IFERROR(__xludf.DUMMYFUNCTION("GOOGLEFINANCE(""NSE:""&amp;D47,""closeyest"")"),5848.3)</f>
        <v>5848.3</v>
      </c>
      <c r="H47" s="17">
        <f>IFERROR(__xludf.DUMMYFUNCTION("INDEX(GOOGLEFINANCE(""NSE:""&amp;D47,""PRICE"",TODAY()-7),2,2)"),5715.25)</f>
        <v>5715.25</v>
      </c>
      <c r="I47" s="17">
        <f>IFERROR(__xludf.DUMMYFUNCTION("INDEX(GOOGLEFINANCE(""NSE:""&amp;D47,""PRICE"",TODAY()-14),2,2)"),5488.95)</f>
        <v>5488.95</v>
      </c>
      <c r="J47" s="17">
        <f>IFERROR(__xludf.DUMMYFUNCTION("INDEX(GOOGLEFINANCE(""NSE:""&amp;D47,""PRICE"",TODAY()-28),2,2)"),5233.6)</f>
        <v>5233.6</v>
      </c>
      <c r="K47" s="17">
        <f>IFERROR(__xludf.DUMMYFUNCTION("INDEX(GOOGLEFINANCE(""NSE:""&amp;D47,""PRICE"",TODAY()-84),2,2)"),4042.85)</f>
        <v>4042.85</v>
      </c>
      <c r="L47" s="16">
        <f t="shared" si="1"/>
        <v>0.04132824923</v>
      </c>
      <c r="M47" s="16">
        <f t="shared" si="2"/>
        <v>0.06557018503</v>
      </c>
      <c r="N47" s="16">
        <f t="shared" si="3"/>
        <v>0.1095018173</v>
      </c>
      <c r="O47" s="16">
        <f t="shared" si="4"/>
        <v>0.163634974</v>
      </c>
      <c r="P47" s="16">
        <f t="shared" si="5"/>
        <v>0.5063630854</v>
      </c>
      <c r="Q47" s="30">
        <f t="shared" si="6"/>
        <v>0.05318532227</v>
      </c>
      <c r="R47" s="30">
        <f t="shared" si="7"/>
        <v>0.08472931409</v>
      </c>
      <c r="S47" s="30">
        <f t="shared" si="8"/>
        <v>0.09541926128</v>
      </c>
      <c r="T47" s="30">
        <f t="shared" si="9"/>
        <v>0.3729616529</v>
      </c>
      <c r="U47" s="31" t="str">
        <f t="shared" si="10"/>
        <v>#N/A</v>
      </c>
      <c r="V47" s="31">
        <f t="shared" si="11"/>
        <v>10</v>
      </c>
      <c r="W47" s="31">
        <f t="shared" si="12"/>
        <v>13</v>
      </c>
      <c r="X47" s="31">
        <f t="shared" si="13"/>
        <v>3</v>
      </c>
    </row>
    <row r="48">
      <c r="A48" s="1">
        <v>45.0</v>
      </c>
      <c r="B48" s="22" t="s">
        <v>636</v>
      </c>
      <c r="C48" s="22" t="s">
        <v>528</v>
      </c>
      <c r="D48" s="22" t="s">
        <v>112</v>
      </c>
      <c r="E48" s="23">
        <f>IFERROR(__xludf.DUMMYFUNCTION("GOOGLEFINANCE(""NSE:""&amp;D48,""marketcap"")/10000000"),98867.1153855)</f>
        <v>98867.11539</v>
      </c>
      <c r="F48" s="17">
        <f>IFERROR(__xludf.DUMMYFUNCTION("GOOGLEFINANCE(""NSE:""&amp;D48)"),1044.0)</f>
        <v>1044</v>
      </c>
      <c r="G48" s="17">
        <f>IFERROR(__xludf.DUMMYFUNCTION("GOOGLEFINANCE(""NSE:""&amp;D48,""closeyest"")"),1062.55)</f>
        <v>1062.55</v>
      </c>
      <c r="H48" s="17">
        <f>IFERROR(__xludf.DUMMYFUNCTION("INDEX(GOOGLEFINANCE(""NSE:""&amp;D48,""PRICE"",TODAY()-7),2,2)"),1078.05)</f>
        <v>1078.05</v>
      </c>
      <c r="I48" s="17">
        <f>IFERROR(__xludf.DUMMYFUNCTION("INDEX(GOOGLEFINANCE(""NSE:""&amp;D48,""PRICE"",TODAY()-14),2,2)"),1085.95)</f>
        <v>1085.95</v>
      </c>
      <c r="J48" s="17">
        <f>IFERROR(__xludf.DUMMYFUNCTION("INDEX(GOOGLEFINANCE(""NSE:""&amp;D48,""PRICE"",TODAY()-28),2,2)"),1091.0)</f>
        <v>1091</v>
      </c>
      <c r="K48" s="17">
        <f>IFERROR(__xludf.DUMMYFUNCTION("INDEX(GOOGLEFINANCE(""NSE:""&amp;D48,""PRICE"",TODAY()-84),2,2)"),983.7)</f>
        <v>983.7</v>
      </c>
      <c r="L48" s="16">
        <f t="shared" si="1"/>
        <v>-0.01745800198</v>
      </c>
      <c r="M48" s="16">
        <f t="shared" si="2"/>
        <v>-0.0315848059</v>
      </c>
      <c r="N48" s="16">
        <f t="shared" si="3"/>
        <v>-0.03862977117</v>
      </c>
      <c r="O48" s="16">
        <f t="shared" si="4"/>
        <v>-0.04307974335</v>
      </c>
      <c r="P48" s="16">
        <f t="shared" si="5"/>
        <v>0.06129917658</v>
      </c>
      <c r="Q48" s="30">
        <f t="shared" si="6"/>
        <v>-0.04396966866</v>
      </c>
      <c r="R48" s="30">
        <f t="shared" si="7"/>
        <v>-0.06340227437</v>
      </c>
      <c r="S48" s="30">
        <f t="shared" si="8"/>
        <v>-0.1112954561</v>
      </c>
      <c r="T48" s="30">
        <f t="shared" si="9"/>
        <v>-0.07210225601</v>
      </c>
      <c r="U48" s="31" t="str">
        <f t="shared" si="10"/>
        <v>#N/A</v>
      </c>
      <c r="V48" s="31">
        <f t="shared" si="11"/>
        <v>88</v>
      </c>
      <c r="W48" s="31">
        <f t="shared" si="12"/>
        <v>97</v>
      </c>
      <c r="X48" s="31">
        <f t="shared" si="13"/>
        <v>66</v>
      </c>
    </row>
    <row r="49">
      <c r="A49" s="1">
        <v>46.0</v>
      </c>
      <c r="B49" s="22" t="s">
        <v>568</v>
      </c>
      <c r="C49" s="22" t="s">
        <v>552</v>
      </c>
      <c r="D49" s="22" t="s">
        <v>132</v>
      </c>
      <c r="E49" s="23">
        <f>IFERROR(__xludf.DUMMYFUNCTION("GOOGLEFINANCE(""NSE:""&amp;D49,""marketcap"")/10000000"),103102.4413207)</f>
        <v>103102.4413</v>
      </c>
      <c r="F49" s="17">
        <f>IFERROR(__xludf.DUMMYFUNCTION("GOOGLEFINANCE(""NSE:""&amp;D49)"),167.5)</f>
        <v>167.5</v>
      </c>
      <c r="G49" s="17">
        <f>IFERROR(__xludf.DUMMYFUNCTION("GOOGLEFINANCE(""NSE:""&amp;D49,""closeyest"")"),162.1)</f>
        <v>162.1</v>
      </c>
      <c r="H49" s="17">
        <f>IFERROR(__xludf.DUMMYFUNCTION("INDEX(GOOGLEFINANCE(""NSE:""&amp;D49,""PRICE"",TODAY()-7),2,2)"),156.7)</f>
        <v>156.7</v>
      </c>
      <c r="I49" s="17">
        <f>IFERROR(__xludf.DUMMYFUNCTION("INDEX(GOOGLEFINANCE(""NSE:""&amp;D49,""PRICE"",TODAY()-14),2,2)"),154.6)</f>
        <v>154.6</v>
      </c>
      <c r="J49" s="17">
        <f>IFERROR(__xludf.DUMMYFUNCTION("INDEX(GOOGLEFINANCE(""NSE:""&amp;D49,""PRICE"",TODAY()-28),2,2)"),138.55)</f>
        <v>138.55</v>
      </c>
      <c r="K49" s="17">
        <f>IFERROR(__xludf.DUMMYFUNCTION("INDEX(GOOGLEFINANCE(""NSE:""&amp;D49,""PRICE"",TODAY()-84),2,2)"),147.65)</f>
        <v>147.65</v>
      </c>
      <c r="L49" s="16">
        <f t="shared" si="1"/>
        <v>0.0333127699</v>
      </c>
      <c r="M49" s="16">
        <f t="shared" si="2"/>
        <v>0.06892150606</v>
      </c>
      <c r="N49" s="16">
        <f t="shared" si="3"/>
        <v>0.08344113842</v>
      </c>
      <c r="O49" s="16">
        <f t="shared" si="4"/>
        <v>0.2089498376</v>
      </c>
      <c r="P49" s="16">
        <f t="shared" si="5"/>
        <v>0.134439553</v>
      </c>
      <c r="Q49" s="30">
        <f t="shared" si="6"/>
        <v>0.0565366433</v>
      </c>
      <c r="R49" s="30">
        <f t="shared" si="7"/>
        <v>0.05866863522</v>
      </c>
      <c r="S49" s="30">
        <f t="shared" si="8"/>
        <v>0.1407341249</v>
      </c>
      <c r="T49" s="30">
        <f t="shared" si="9"/>
        <v>0.001038120406</v>
      </c>
      <c r="U49" s="31" t="str">
        <f t="shared" si="10"/>
        <v>#N/A</v>
      </c>
      <c r="V49" s="31">
        <f t="shared" si="11"/>
        <v>16</v>
      </c>
      <c r="W49" s="31">
        <f t="shared" si="12"/>
        <v>5</v>
      </c>
      <c r="X49" s="31">
        <f t="shared" si="13"/>
        <v>42</v>
      </c>
    </row>
    <row r="50">
      <c r="A50" s="1">
        <v>47.0</v>
      </c>
      <c r="B50" s="22" t="s">
        <v>612</v>
      </c>
      <c r="C50" s="22" t="s">
        <v>528</v>
      </c>
      <c r="D50" s="22" t="s">
        <v>128</v>
      </c>
      <c r="E50" s="23">
        <f>IFERROR(__xludf.DUMMYFUNCTION("GOOGLEFINANCE(""NSE:""&amp;D50,""marketcap"")/10000000"),98148.9419784)</f>
        <v>98148.94198</v>
      </c>
      <c r="F50" s="17">
        <f>IFERROR(__xludf.DUMMYFUNCTION("GOOGLEFINANCE(""NSE:""&amp;D50)"),684.7)</f>
        <v>684.7</v>
      </c>
      <c r="G50" s="17">
        <f>IFERROR(__xludf.DUMMYFUNCTION("GOOGLEFINANCE(""NSE:""&amp;D50,""closeyest"")"),687.85)</f>
        <v>687.85</v>
      </c>
      <c r="H50" s="17">
        <f>IFERROR(__xludf.DUMMYFUNCTION("INDEX(GOOGLEFINANCE(""NSE:""&amp;D50,""PRICE"",TODAY()-7),2,2)"),703.55)</f>
        <v>703.55</v>
      </c>
      <c r="I50" s="17">
        <f>IFERROR(__xludf.DUMMYFUNCTION("INDEX(GOOGLEFINANCE(""NSE:""&amp;D50,""PRICE"",TODAY()-14),2,2)"),693.4)</f>
        <v>693.4</v>
      </c>
      <c r="J50" s="17">
        <f>IFERROR(__xludf.DUMMYFUNCTION("INDEX(GOOGLEFINANCE(""NSE:""&amp;D50,""PRICE"",TODAY()-28),2,2)"),656.15)</f>
        <v>656.15</v>
      </c>
      <c r="K50" s="17">
        <f>IFERROR(__xludf.DUMMYFUNCTION("INDEX(GOOGLEFINANCE(""NSE:""&amp;D50,""PRICE"",TODAY()-84),2,2)"),619.4)</f>
        <v>619.4</v>
      </c>
      <c r="L50" s="16">
        <f t="shared" si="1"/>
        <v>-0.004579486807</v>
      </c>
      <c r="M50" s="16">
        <f t="shared" si="2"/>
        <v>-0.02679269419</v>
      </c>
      <c r="N50" s="16">
        <f t="shared" si="3"/>
        <v>-0.01254687049</v>
      </c>
      <c r="O50" s="16">
        <f t="shared" si="4"/>
        <v>0.04351139221</v>
      </c>
      <c r="P50" s="16">
        <f t="shared" si="5"/>
        <v>0.1054246045</v>
      </c>
      <c r="Q50" s="30">
        <f t="shared" si="6"/>
        <v>-0.03917755695</v>
      </c>
      <c r="R50" s="30">
        <f t="shared" si="7"/>
        <v>-0.03731937369</v>
      </c>
      <c r="S50" s="30">
        <f t="shared" si="8"/>
        <v>-0.02470432053</v>
      </c>
      <c r="T50" s="30">
        <f t="shared" si="9"/>
        <v>-0.02797682814</v>
      </c>
      <c r="U50" s="31" t="str">
        <f t="shared" si="10"/>
        <v>#N/A</v>
      </c>
      <c r="V50" s="31">
        <f t="shared" si="11"/>
        <v>73</v>
      </c>
      <c r="W50" s="31">
        <f t="shared" si="12"/>
        <v>56</v>
      </c>
      <c r="X50" s="31">
        <f t="shared" si="13"/>
        <v>55</v>
      </c>
    </row>
    <row r="51">
      <c r="A51" s="1">
        <v>48.0</v>
      </c>
      <c r="B51" s="22" t="s">
        <v>569</v>
      </c>
      <c r="C51" s="22" t="s">
        <v>526</v>
      </c>
      <c r="D51" s="22" t="s">
        <v>126</v>
      </c>
      <c r="E51" s="23">
        <f>IFERROR(__xludf.DUMMYFUNCTION("GOOGLEFINANCE(""NSE:""&amp;D51,""marketcap"")/10000000"),97526.3286628)</f>
        <v>97526.32866</v>
      </c>
      <c r="F51" s="17">
        <f>IFERROR(__xludf.DUMMYFUNCTION("GOOGLEFINANCE(""NSE:""&amp;D51)"),4048.95)</f>
        <v>4048.95</v>
      </c>
      <c r="G51" s="17">
        <f>IFERROR(__xludf.DUMMYFUNCTION("GOOGLEFINANCE(""NSE:""&amp;D51,""closeyest"")"),4058.5)</f>
        <v>4058.5</v>
      </c>
      <c r="H51" s="17">
        <f>IFERROR(__xludf.DUMMYFUNCTION("INDEX(GOOGLEFINANCE(""NSE:""&amp;D51,""PRICE"",TODAY()-7),2,2)"),4051.85)</f>
        <v>4051.85</v>
      </c>
      <c r="I51" s="17">
        <f>IFERROR(__xludf.DUMMYFUNCTION("INDEX(GOOGLEFINANCE(""NSE:""&amp;D51,""PRICE"",TODAY()-14),2,2)"),4093.85)</f>
        <v>4093.85</v>
      </c>
      <c r="J51" s="17">
        <f>IFERROR(__xludf.DUMMYFUNCTION("INDEX(GOOGLEFINANCE(""NSE:""&amp;D51,""PRICE"",TODAY()-28),2,2)"),3941.55)</f>
        <v>3941.55</v>
      </c>
      <c r="K51" s="17">
        <f>IFERROR(__xludf.DUMMYFUNCTION("INDEX(GOOGLEFINANCE(""NSE:""&amp;D51,""PRICE"",TODAY()-84),2,2)"),3545.3)</f>
        <v>3545.3</v>
      </c>
      <c r="L51" s="16">
        <f t="shared" si="1"/>
        <v>-0.002353086116</v>
      </c>
      <c r="M51" s="16">
        <f t="shared" si="2"/>
        <v>-0.0007157224478</v>
      </c>
      <c r="N51" s="16">
        <f t="shared" si="3"/>
        <v>-0.01096767102</v>
      </c>
      <c r="O51" s="16">
        <f t="shared" si="4"/>
        <v>0.02724816379</v>
      </c>
      <c r="P51" s="16">
        <f t="shared" si="5"/>
        <v>0.1420613206</v>
      </c>
      <c r="Q51" s="30">
        <f t="shared" si="6"/>
        <v>-0.01310058521</v>
      </c>
      <c r="R51" s="30">
        <f t="shared" si="7"/>
        <v>-0.03574017422</v>
      </c>
      <c r="S51" s="30">
        <f t="shared" si="8"/>
        <v>-0.04096754894</v>
      </c>
      <c r="T51" s="30">
        <f t="shared" si="9"/>
        <v>0.008659888031</v>
      </c>
      <c r="U51" s="31" t="str">
        <f t="shared" si="10"/>
        <v>#N/A</v>
      </c>
      <c r="V51" s="31">
        <f t="shared" si="11"/>
        <v>69</v>
      </c>
      <c r="W51" s="31">
        <f t="shared" si="12"/>
        <v>70</v>
      </c>
      <c r="X51" s="31">
        <f t="shared" si="13"/>
        <v>38</v>
      </c>
    </row>
    <row r="52">
      <c r="A52" s="1">
        <v>49.0</v>
      </c>
      <c r="B52" s="22" t="s">
        <v>570</v>
      </c>
      <c r="C52" s="22" t="s">
        <v>522</v>
      </c>
      <c r="D52" s="22" t="s">
        <v>114</v>
      </c>
      <c r="E52" s="23">
        <f>IFERROR(__xludf.DUMMYFUNCTION("GOOGLEFINANCE(""NSE:""&amp;D52,""marketcap"")/10000000"),92722.0684929)</f>
        <v>92722.06849</v>
      </c>
      <c r="F52" s="17">
        <f>IFERROR(__xludf.DUMMYFUNCTION("GOOGLEFINANCE(""NSE:""&amp;D52)"),419.55)</f>
        <v>419.55</v>
      </c>
      <c r="G52" s="17">
        <f>IFERROR(__xludf.DUMMYFUNCTION("GOOGLEFINANCE(""NSE:""&amp;D52,""closeyest"")"),420.15)</f>
        <v>420.15</v>
      </c>
      <c r="H52" s="17">
        <f>IFERROR(__xludf.DUMMYFUNCTION("INDEX(GOOGLEFINANCE(""NSE:""&amp;D52,""PRICE"",TODAY()-7),2,2)"),436.25)</f>
        <v>436.25</v>
      </c>
      <c r="I52" s="17">
        <f>IFERROR(__xludf.DUMMYFUNCTION("INDEX(GOOGLEFINANCE(""NSE:""&amp;D52,""PRICE"",TODAY()-14),2,2)"),498.1)</f>
        <v>498.1</v>
      </c>
      <c r="J52" s="17">
        <f>IFERROR(__xludf.DUMMYFUNCTION("INDEX(GOOGLEFINANCE(""NSE:""&amp;D52,""PRICE"",TODAY()-28),2,2)"),471.3)</f>
        <v>471.3</v>
      </c>
      <c r="K52" s="17">
        <f>IFERROR(__xludf.DUMMYFUNCTION("INDEX(GOOGLEFINANCE(""NSE:""&amp;D52,""PRICE"",TODAY()-84),2,2)"),462.75)</f>
        <v>462.75</v>
      </c>
      <c r="L52" s="16">
        <f t="shared" si="1"/>
        <v>-0.001428061407</v>
      </c>
      <c r="M52" s="16">
        <f t="shared" si="2"/>
        <v>-0.03828080229</v>
      </c>
      <c r="N52" s="16">
        <f t="shared" si="3"/>
        <v>-0.1576992572</v>
      </c>
      <c r="O52" s="16">
        <f t="shared" si="4"/>
        <v>-0.1098026735</v>
      </c>
      <c r="P52" s="16">
        <f t="shared" si="5"/>
        <v>-0.09335494327</v>
      </c>
      <c r="Q52" s="30">
        <f t="shared" si="6"/>
        <v>-0.05066566505</v>
      </c>
      <c r="R52" s="30">
        <f t="shared" si="7"/>
        <v>-0.1824717604</v>
      </c>
      <c r="S52" s="30">
        <f t="shared" si="8"/>
        <v>-0.1780183862</v>
      </c>
      <c r="T52" s="30">
        <f t="shared" si="9"/>
        <v>-0.2267563759</v>
      </c>
      <c r="U52" s="31" t="str">
        <f t="shared" si="10"/>
        <v>#N/A</v>
      </c>
      <c r="V52" s="31">
        <f t="shared" si="11"/>
        <v>99</v>
      </c>
      <c r="W52" s="31">
        <f t="shared" si="12"/>
        <v>100</v>
      </c>
      <c r="X52" s="31">
        <f t="shared" si="13"/>
        <v>92</v>
      </c>
    </row>
    <row r="53">
      <c r="A53" s="1">
        <v>50.0</v>
      </c>
      <c r="B53" s="22" t="s">
        <v>588</v>
      </c>
      <c r="C53" s="22" t="s">
        <v>541</v>
      </c>
      <c r="D53" s="22" t="s">
        <v>141</v>
      </c>
      <c r="E53" s="23">
        <f>IFERROR(__xludf.DUMMYFUNCTION("GOOGLEFINANCE(""NSE:""&amp;D53,""marketcap"")/10000000"),99480.0957361)</f>
        <v>99480.09574</v>
      </c>
      <c r="F53" s="17">
        <f>IFERROR(__xludf.DUMMYFUNCTION("GOOGLEFINANCE(""NSE:""&amp;D53)"),402.9)</f>
        <v>402.9</v>
      </c>
      <c r="G53" s="17">
        <f>IFERROR(__xludf.DUMMYFUNCTION("GOOGLEFINANCE(""NSE:""&amp;D53,""closeyest"")"),369.05)</f>
        <v>369.05</v>
      </c>
      <c r="H53" s="17">
        <f>IFERROR(__xludf.DUMMYFUNCTION("INDEX(GOOGLEFINANCE(""NSE:""&amp;D53,""PRICE"",TODAY()-7),2,2)"),334.75)</f>
        <v>334.75</v>
      </c>
      <c r="I53" s="17">
        <f>IFERROR(__xludf.DUMMYFUNCTION("INDEX(GOOGLEFINANCE(""NSE:""&amp;D53,""PRICE"",TODAY()-14),2,2)"),339.65)</f>
        <v>339.65</v>
      </c>
      <c r="J53" s="17">
        <f>IFERROR(__xludf.DUMMYFUNCTION("INDEX(GOOGLEFINANCE(""NSE:""&amp;D53,""PRICE"",TODAY()-28),2,2)"),311.8)</f>
        <v>311.8</v>
      </c>
      <c r="K53" s="17">
        <f>IFERROR(__xludf.DUMMYFUNCTION("INDEX(GOOGLEFINANCE(""NSE:""&amp;D53,""PRICE"",TODAY()-84),2,2)"),283.85)</f>
        <v>283.85</v>
      </c>
      <c r="L53" s="16">
        <f t="shared" si="1"/>
        <v>0.09172198889</v>
      </c>
      <c r="M53" s="16">
        <f t="shared" si="2"/>
        <v>0.2035847647</v>
      </c>
      <c r="N53" s="16">
        <f t="shared" si="3"/>
        <v>0.18622111</v>
      </c>
      <c r="O53" s="16">
        <f t="shared" si="4"/>
        <v>0.2921744708</v>
      </c>
      <c r="P53" s="16">
        <f t="shared" si="5"/>
        <v>0.4194116611</v>
      </c>
      <c r="Q53" s="30">
        <f t="shared" si="6"/>
        <v>0.191199902</v>
      </c>
      <c r="R53" s="30">
        <f t="shared" si="7"/>
        <v>0.1614486068</v>
      </c>
      <c r="S53" s="30">
        <f t="shared" si="8"/>
        <v>0.2239587581</v>
      </c>
      <c r="T53" s="30">
        <f t="shared" si="9"/>
        <v>0.2860102285</v>
      </c>
      <c r="U53" s="31" t="str">
        <f t="shared" si="10"/>
        <v>#N/A</v>
      </c>
      <c r="V53" s="31">
        <f t="shared" si="11"/>
        <v>1</v>
      </c>
      <c r="W53" s="31">
        <f t="shared" si="12"/>
        <v>1</v>
      </c>
      <c r="X53" s="31">
        <f t="shared" si="13"/>
        <v>5</v>
      </c>
    </row>
    <row r="54">
      <c r="A54" s="1">
        <v>51.0</v>
      </c>
      <c r="B54" s="22" t="s">
        <v>571</v>
      </c>
      <c r="C54" s="22" t="s">
        <v>545</v>
      </c>
      <c r="D54" s="22" t="s">
        <v>120</v>
      </c>
      <c r="E54" s="23">
        <f>IFERROR(__xludf.DUMMYFUNCTION("GOOGLEFINANCE(""NSE:""&amp;D54,""marketcap"")/10000000"),90538.3257945)</f>
        <v>90538.32579</v>
      </c>
      <c r="F54" s="17">
        <f>IFERROR(__xludf.DUMMYFUNCTION("GOOGLEFINANCE(""NSE:""&amp;D54)"),758.1)</f>
        <v>758.1</v>
      </c>
      <c r="G54" s="17">
        <f>IFERROR(__xludf.DUMMYFUNCTION("GOOGLEFINANCE(""NSE:""&amp;D54,""closeyest"")"),752.5)</f>
        <v>752.5</v>
      </c>
      <c r="H54" s="17">
        <f>IFERROR(__xludf.DUMMYFUNCTION("INDEX(GOOGLEFINANCE(""NSE:""&amp;D54,""PRICE"",TODAY()-7),2,2)"),754.15)</f>
        <v>754.15</v>
      </c>
      <c r="I54" s="17">
        <f>IFERROR(__xludf.DUMMYFUNCTION("INDEX(GOOGLEFINANCE(""NSE:""&amp;D54,""PRICE"",TODAY()-14),2,2)"),745.55)</f>
        <v>745.55</v>
      </c>
      <c r="J54" s="17">
        <f>IFERROR(__xludf.DUMMYFUNCTION("INDEX(GOOGLEFINANCE(""NSE:""&amp;D54,""PRICE"",TODAY()-28),2,2)"),775.15)</f>
        <v>775.15</v>
      </c>
      <c r="K54" s="17">
        <f>IFERROR(__xludf.DUMMYFUNCTION("INDEX(GOOGLEFINANCE(""NSE:""&amp;D54,""PRICE"",TODAY()-84),2,2)"),782.6)</f>
        <v>782.6</v>
      </c>
      <c r="L54" s="16">
        <f t="shared" si="1"/>
        <v>0.007441860465</v>
      </c>
      <c r="M54" s="16">
        <f t="shared" si="2"/>
        <v>0.005237684811</v>
      </c>
      <c r="N54" s="16">
        <f t="shared" si="3"/>
        <v>0.01683321038</v>
      </c>
      <c r="O54" s="16">
        <f t="shared" si="4"/>
        <v>-0.02199574276</v>
      </c>
      <c r="P54" s="16">
        <f t="shared" si="5"/>
        <v>-0.0313059034</v>
      </c>
      <c r="Q54" s="30">
        <f t="shared" si="6"/>
        <v>-0.007147177948</v>
      </c>
      <c r="R54" s="30">
        <f t="shared" si="7"/>
        <v>-0.00793929282</v>
      </c>
      <c r="S54" s="30">
        <f t="shared" si="8"/>
        <v>-0.0902114555</v>
      </c>
      <c r="T54" s="30">
        <f t="shared" si="9"/>
        <v>-0.164707336</v>
      </c>
      <c r="U54" s="31" t="str">
        <f t="shared" si="10"/>
        <v>#N/A</v>
      </c>
      <c r="V54" s="31">
        <f t="shared" si="11"/>
        <v>47</v>
      </c>
      <c r="W54" s="31">
        <f t="shared" si="12"/>
        <v>95</v>
      </c>
      <c r="X54" s="31">
        <f t="shared" si="13"/>
        <v>84</v>
      </c>
    </row>
    <row r="55">
      <c r="A55" s="1">
        <v>52.0</v>
      </c>
      <c r="B55" s="22" t="s">
        <v>591</v>
      </c>
      <c r="C55" s="22" t="s">
        <v>526</v>
      </c>
      <c r="D55" s="22" t="s">
        <v>140</v>
      </c>
      <c r="E55" s="23">
        <f>IFERROR(__xludf.DUMMYFUNCTION("GOOGLEFINANCE(""NSE:""&amp;D55,""marketcap"")/10000000"),89867.5281432)</f>
        <v>89867.52814</v>
      </c>
      <c r="F55" s="17">
        <f>IFERROR(__xludf.DUMMYFUNCTION("GOOGLEFINANCE(""NSE:""&amp;D55)"),1435.65)</f>
        <v>1435.65</v>
      </c>
      <c r="G55" s="17">
        <f>IFERROR(__xludf.DUMMYFUNCTION("GOOGLEFINANCE(""NSE:""&amp;D55,""closeyest"")"),1420.45)</f>
        <v>1420.45</v>
      </c>
      <c r="H55" s="17">
        <f>IFERROR(__xludf.DUMMYFUNCTION("INDEX(GOOGLEFINANCE(""NSE:""&amp;D55,""PRICE"",TODAY()-7),2,2)"),1471.9)</f>
        <v>1471.9</v>
      </c>
      <c r="I55" s="17">
        <f>IFERROR(__xludf.DUMMYFUNCTION("INDEX(GOOGLEFINANCE(""NSE:""&amp;D55,""PRICE"",TODAY()-14),2,2)"),1450.1)</f>
        <v>1450.1</v>
      </c>
      <c r="J55" s="17">
        <f>IFERROR(__xludf.DUMMYFUNCTION("INDEX(GOOGLEFINANCE(""NSE:""&amp;D55,""PRICE"",TODAY()-28),2,2)"),1235.0)</f>
        <v>1235</v>
      </c>
      <c r="K55" s="17">
        <f>IFERROR(__xludf.DUMMYFUNCTION("INDEX(GOOGLEFINANCE(""NSE:""&amp;D55,""PRICE"",TODAY()-84),2,2)"),985.55)</f>
        <v>985.55</v>
      </c>
      <c r="L55" s="16">
        <f t="shared" si="1"/>
        <v>0.01070083424</v>
      </c>
      <c r="M55" s="16">
        <f t="shared" si="2"/>
        <v>-0.0246280318</v>
      </c>
      <c r="N55" s="16">
        <f t="shared" si="3"/>
        <v>-0.009964830012</v>
      </c>
      <c r="O55" s="16">
        <f t="shared" si="4"/>
        <v>0.1624696356</v>
      </c>
      <c r="P55" s="16">
        <f t="shared" si="5"/>
        <v>0.456699305</v>
      </c>
      <c r="Q55" s="30">
        <f t="shared" si="6"/>
        <v>-0.03701289455</v>
      </c>
      <c r="R55" s="30">
        <f t="shared" si="7"/>
        <v>-0.03473733321</v>
      </c>
      <c r="S55" s="30">
        <f t="shared" si="8"/>
        <v>0.09425392289</v>
      </c>
      <c r="T55" s="30">
        <f t="shared" si="9"/>
        <v>0.3232978724</v>
      </c>
      <c r="U55" s="31" t="str">
        <f t="shared" si="10"/>
        <v>#N/A</v>
      </c>
      <c r="V55" s="31">
        <f t="shared" si="11"/>
        <v>68</v>
      </c>
      <c r="W55" s="31">
        <f t="shared" si="12"/>
        <v>14</v>
      </c>
      <c r="X55" s="31">
        <f t="shared" si="13"/>
        <v>4</v>
      </c>
    </row>
    <row r="56">
      <c r="A56" s="1">
        <v>53.0</v>
      </c>
      <c r="B56" s="22" t="s">
        <v>572</v>
      </c>
      <c r="C56" s="22" t="s">
        <v>528</v>
      </c>
      <c r="D56" s="22" t="s">
        <v>149</v>
      </c>
      <c r="E56" s="23">
        <f>IFERROR(__xludf.DUMMYFUNCTION("GOOGLEFINANCE(""NSE:""&amp;D56,""marketcap"")/10000000"),90533.90502)</f>
        <v>90533.90502</v>
      </c>
      <c r="F56" s="17">
        <f>IFERROR(__xludf.DUMMYFUNCTION("GOOGLEFINANCE(""NSE:""&amp;D56)"),1172.0)</f>
        <v>1172</v>
      </c>
      <c r="G56" s="17">
        <f>IFERROR(__xludf.DUMMYFUNCTION("GOOGLEFINANCE(""NSE:""&amp;D56,""closeyest"")"),1141.4)</f>
        <v>1141.4</v>
      </c>
      <c r="H56" s="17">
        <f>IFERROR(__xludf.DUMMYFUNCTION("INDEX(GOOGLEFINANCE(""NSE:""&amp;D56,""PRICE"",TODAY()-7),2,2)"),1130.0)</f>
        <v>1130</v>
      </c>
      <c r="I56" s="17">
        <f>IFERROR(__xludf.DUMMYFUNCTION("INDEX(GOOGLEFINANCE(""NSE:""&amp;D56,""PRICE"",TODAY()-14),2,2)"),996.3)</f>
        <v>996.3</v>
      </c>
      <c r="J56" s="17">
        <f>IFERROR(__xludf.DUMMYFUNCTION("INDEX(GOOGLEFINANCE(""NSE:""&amp;D56,""PRICE"",TODAY()-28),2,2)"),990.2)</f>
        <v>990.2</v>
      </c>
      <c r="K56" s="17">
        <f>IFERROR(__xludf.DUMMYFUNCTION("INDEX(GOOGLEFINANCE(""NSE:""&amp;D56,""PRICE"",TODAY()-84),2,2)"),1009.65)</f>
        <v>1009.65</v>
      </c>
      <c r="L56" s="16">
        <f t="shared" si="1"/>
        <v>0.02680918171</v>
      </c>
      <c r="M56" s="16">
        <f t="shared" si="2"/>
        <v>0.03716814159</v>
      </c>
      <c r="N56" s="16">
        <f t="shared" si="3"/>
        <v>0.1763525043</v>
      </c>
      <c r="O56" s="16">
        <f t="shared" si="4"/>
        <v>0.1835992729</v>
      </c>
      <c r="P56" s="16">
        <f t="shared" si="5"/>
        <v>0.1607982964</v>
      </c>
      <c r="Q56" s="30">
        <f t="shared" si="6"/>
        <v>0.02478327883</v>
      </c>
      <c r="R56" s="30">
        <f t="shared" si="7"/>
        <v>0.1515800011</v>
      </c>
      <c r="S56" s="30">
        <f t="shared" si="8"/>
        <v>0.1153835601</v>
      </c>
      <c r="T56" s="30">
        <f t="shared" si="9"/>
        <v>0.02739686385</v>
      </c>
      <c r="U56" s="31" t="str">
        <f t="shared" si="10"/>
        <v>#N/A</v>
      </c>
      <c r="V56" s="31">
        <f t="shared" si="11"/>
        <v>2</v>
      </c>
      <c r="W56" s="31">
        <f t="shared" si="12"/>
        <v>6</v>
      </c>
      <c r="X56" s="31">
        <f t="shared" si="13"/>
        <v>33</v>
      </c>
    </row>
    <row r="57">
      <c r="A57" s="1">
        <v>54.0</v>
      </c>
      <c r="B57" s="22" t="s">
        <v>589</v>
      </c>
      <c r="C57" s="22" t="s">
        <v>590</v>
      </c>
      <c r="D57" s="22" t="s">
        <v>145</v>
      </c>
      <c r="E57" s="23">
        <f>IFERROR(__xludf.DUMMYFUNCTION("GOOGLEFINANCE(""NSE:""&amp;D57,""marketcap"")/10000000"),87755.67034)</f>
        <v>87755.67034</v>
      </c>
      <c r="F57" s="17">
        <f>IFERROR(__xludf.DUMMYFUNCTION("GOOGLEFINANCE(""NSE:""&amp;D57)"),6826.0)</f>
        <v>6826</v>
      </c>
      <c r="G57" s="17">
        <f>IFERROR(__xludf.DUMMYFUNCTION("GOOGLEFINANCE(""NSE:""&amp;D57,""closeyest"")"),6797.65)</f>
        <v>6797.65</v>
      </c>
      <c r="H57" s="17">
        <f>IFERROR(__xludf.DUMMYFUNCTION("INDEX(GOOGLEFINANCE(""NSE:""&amp;D57,""PRICE"",TODAY()-7),2,2)"),6614.7)</f>
        <v>6614.7</v>
      </c>
      <c r="I57" s="17">
        <f>IFERROR(__xludf.DUMMYFUNCTION("INDEX(GOOGLEFINANCE(""NSE:""&amp;D57,""PRICE"",TODAY()-14),2,2)"),6604.35)</f>
        <v>6604.35</v>
      </c>
      <c r="J57" s="17">
        <f>IFERROR(__xludf.DUMMYFUNCTION("INDEX(GOOGLEFINANCE(""NSE:""&amp;D57,""PRICE"",TODAY()-28),2,2)"),5895.65)</f>
        <v>5895.65</v>
      </c>
      <c r="K57" s="17">
        <f>IFERROR(__xludf.DUMMYFUNCTION("INDEX(GOOGLEFINANCE(""NSE:""&amp;D57,""PRICE"",TODAY()-84),2,2)"),5365.1)</f>
        <v>5365.1</v>
      </c>
      <c r="L57" s="16">
        <f t="shared" si="1"/>
        <v>0.004170558943</v>
      </c>
      <c r="M57" s="16">
        <f t="shared" si="2"/>
        <v>0.03194400351</v>
      </c>
      <c r="N57" s="16">
        <f t="shared" si="3"/>
        <v>0.03356121344</v>
      </c>
      <c r="O57" s="16">
        <f t="shared" si="4"/>
        <v>0.1578027868</v>
      </c>
      <c r="P57" s="16">
        <f t="shared" si="5"/>
        <v>0.2722968817</v>
      </c>
      <c r="Q57" s="30">
        <f t="shared" si="6"/>
        <v>0.01955914075</v>
      </c>
      <c r="R57" s="30">
        <f t="shared" si="7"/>
        <v>0.008788710241</v>
      </c>
      <c r="S57" s="30">
        <f t="shared" si="8"/>
        <v>0.08958707406</v>
      </c>
      <c r="T57" s="30">
        <f t="shared" si="9"/>
        <v>0.1388954491</v>
      </c>
      <c r="U57" s="31" t="str">
        <f t="shared" si="10"/>
        <v>#N/A</v>
      </c>
      <c r="V57" s="31">
        <f t="shared" si="11"/>
        <v>34</v>
      </c>
      <c r="W57" s="31">
        <f t="shared" si="12"/>
        <v>15</v>
      </c>
      <c r="X57" s="31">
        <f t="shared" si="13"/>
        <v>17</v>
      </c>
    </row>
    <row r="58">
      <c r="A58" s="1">
        <v>55.0</v>
      </c>
      <c r="B58" s="22" t="s">
        <v>586</v>
      </c>
      <c r="C58" s="22" t="s">
        <v>555</v>
      </c>
      <c r="D58" s="22" t="s">
        <v>155</v>
      </c>
      <c r="E58" s="23">
        <f>IFERROR(__xludf.DUMMYFUNCTION("GOOGLEFINANCE(""NSE:""&amp;D58,""marketcap"")/10000000"),85313.8492781)</f>
        <v>85313.84928</v>
      </c>
      <c r="F58" s="17">
        <f>IFERROR(__xludf.DUMMYFUNCTION("GOOGLEFINANCE(""NSE:""&amp;D58)"),2215.1)</f>
        <v>2215.1</v>
      </c>
      <c r="G58" s="17">
        <f>IFERROR(__xludf.DUMMYFUNCTION("GOOGLEFINANCE(""NSE:""&amp;D58,""closeyest"")"),2188.3)</f>
        <v>2188.3</v>
      </c>
      <c r="H58" s="17">
        <f>IFERROR(__xludf.DUMMYFUNCTION("INDEX(GOOGLEFINANCE(""NSE:""&amp;D58,""PRICE"",TODAY()-7),2,2)"),2196.05)</f>
        <v>2196.05</v>
      </c>
      <c r="I58" s="17">
        <f>IFERROR(__xludf.DUMMYFUNCTION("INDEX(GOOGLEFINANCE(""NSE:""&amp;D58,""PRICE"",TODAY()-14),2,2)"),1897.7)</f>
        <v>1897.7</v>
      </c>
      <c r="J58" s="17">
        <f>IFERROR(__xludf.DUMMYFUNCTION("INDEX(GOOGLEFINANCE(""NSE:""&amp;D58,""PRICE"",TODAY()-28),2,2)"),1776.85)</f>
        <v>1776.85</v>
      </c>
      <c r="K58" s="17">
        <f>IFERROR(__xludf.DUMMYFUNCTION("INDEX(GOOGLEFINANCE(""NSE:""&amp;D58,""PRICE"",TODAY()-84),2,2)"),1719.95)</f>
        <v>1719.95</v>
      </c>
      <c r="L58" s="16">
        <f t="shared" si="1"/>
        <v>0.01224694969</v>
      </c>
      <c r="M58" s="16">
        <f t="shared" si="2"/>
        <v>0.008674665877</v>
      </c>
      <c r="N58" s="16">
        <f t="shared" si="3"/>
        <v>0.1672550983</v>
      </c>
      <c r="O58" s="16">
        <f t="shared" si="4"/>
        <v>0.2466443425</v>
      </c>
      <c r="P58" s="16">
        <f t="shared" si="5"/>
        <v>0.2878862758</v>
      </c>
      <c r="Q58" s="30">
        <f t="shared" si="6"/>
        <v>-0.003710196882</v>
      </c>
      <c r="R58" s="30">
        <f t="shared" si="7"/>
        <v>0.1424825951</v>
      </c>
      <c r="S58" s="30">
        <f t="shared" si="8"/>
        <v>0.1784286298</v>
      </c>
      <c r="T58" s="30">
        <f t="shared" si="9"/>
        <v>0.1544848432</v>
      </c>
      <c r="U58" s="31" t="str">
        <f t="shared" si="10"/>
        <v>#N/A</v>
      </c>
      <c r="V58" s="31">
        <f t="shared" si="11"/>
        <v>5</v>
      </c>
      <c r="W58" s="31">
        <f t="shared" si="12"/>
        <v>3</v>
      </c>
      <c r="X58" s="31">
        <f t="shared" si="13"/>
        <v>15</v>
      </c>
    </row>
    <row r="59">
      <c r="A59" s="1">
        <v>56.0</v>
      </c>
      <c r="B59" s="22" t="s">
        <v>613</v>
      </c>
      <c r="C59" s="22" t="s">
        <v>543</v>
      </c>
      <c r="D59" s="22" t="s">
        <v>134</v>
      </c>
      <c r="E59" s="23">
        <f>IFERROR(__xludf.DUMMYFUNCTION("GOOGLEFINANCE(""NSE:""&amp;D59,""marketcap"")/10000000"),83307.262703)</f>
        <v>83307.2627</v>
      </c>
      <c r="F59" s="17">
        <f>IFERROR(__xludf.DUMMYFUNCTION("GOOGLEFINANCE(""NSE:""&amp;D59)"),418.55)</f>
        <v>418.55</v>
      </c>
      <c r="G59" s="17">
        <f>IFERROR(__xludf.DUMMYFUNCTION("GOOGLEFINANCE(""NSE:""&amp;D59,""closeyest"")"),419.5)</f>
        <v>419.5</v>
      </c>
      <c r="H59" s="17">
        <f>IFERROR(__xludf.DUMMYFUNCTION("INDEX(GOOGLEFINANCE(""NSE:""&amp;D59,""PRICE"",TODAY()-7),2,2)"),419.8)</f>
        <v>419.8</v>
      </c>
      <c r="I59" s="17">
        <f>IFERROR(__xludf.DUMMYFUNCTION("INDEX(GOOGLEFINANCE(""NSE:""&amp;D59,""PRICE"",TODAY()-14),2,2)"),436.25)</f>
        <v>436.25</v>
      </c>
      <c r="J59" s="17">
        <f>IFERROR(__xludf.DUMMYFUNCTION("INDEX(GOOGLEFINANCE(""NSE:""&amp;D59,""PRICE"",TODAY()-28),2,2)"),410.05)</f>
        <v>410.05</v>
      </c>
      <c r="K59" s="17">
        <f>IFERROR(__xludf.DUMMYFUNCTION("INDEX(GOOGLEFINANCE(""NSE:""&amp;D59,""PRICE"",TODAY()-84),2,2)"),339.25)</f>
        <v>339.25</v>
      </c>
      <c r="L59" s="16">
        <f t="shared" si="1"/>
        <v>-0.002264600715</v>
      </c>
      <c r="M59" s="16">
        <f t="shared" si="2"/>
        <v>-0.002977608385</v>
      </c>
      <c r="N59" s="16">
        <f t="shared" si="3"/>
        <v>-0.0405730659</v>
      </c>
      <c r="O59" s="16">
        <f t="shared" si="4"/>
        <v>0.02072917937</v>
      </c>
      <c r="P59" s="16">
        <f t="shared" si="5"/>
        <v>0.2337509211</v>
      </c>
      <c r="Q59" s="30">
        <f t="shared" si="6"/>
        <v>-0.01536247114</v>
      </c>
      <c r="R59" s="30">
        <f t="shared" si="7"/>
        <v>-0.0653455691</v>
      </c>
      <c r="S59" s="30">
        <f t="shared" si="8"/>
        <v>-0.04748653337</v>
      </c>
      <c r="T59" s="30">
        <f t="shared" si="9"/>
        <v>0.1003494886</v>
      </c>
      <c r="U59" s="31" t="str">
        <f t="shared" si="10"/>
        <v>#N/A</v>
      </c>
      <c r="V59" s="31">
        <f t="shared" si="11"/>
        <v>91</v>
      </c>
      <c r="W59" s="31">
        <f t="shared" si="12"/>
        <v>77</v>
      </c>
      <c r="X59" s="31">
        <f t="shared" si="13"/>
        <v>21</v>
      </c>
    </row>
    <row r="60">
      <c r="A60" s="1">
        <v>57.0</v>
      </c>
      <c r="B60" s="22" t="s">
        <v>624</v>
      </c>
      <c r="C60" s="22" t="s">
        <v>526</v>
      </c>
      <c r="D60" s="22" t="s">
        <v>143</v>
      </c>
      <c r="E60" s="23">
        <f>IFERROR(__xludf.DUMMYFUNCTION("GOOGLEFINANCE(""NSE:""&amp;D60,""marketcap"")/10000000"),79840.44078)</f>
        <v>79840.44078</v>
      </c>
      <c r="F60" s="17">
        <f>IFERROR(__xludf.DUMMYFUNCTION("GOOGLEFINANCE(""NSE:""&amp;D60)"),822.0)</f>
        <v>822</v>
      </c>
      <c r="G60" s="17">
        <f>IFERROR(__xludf.DUMMYFUNCTION("GOOGLEFINANCE(""NSE:""&amp;D60,""closeyest"")"),812.0)</f>
        <v>812</v>
      </c>
      <c r="H60" s="17">
        <f>IFERROR(__xludf.DUMMYFUNCTION("INDEX(GOOGLEFINANCE(""NSE:""&amp;D60,""PRICE"",TODAY()-7),2,2)"),818.75)</f>
        <v>818.75</v>
      </c>
      <c r="I60" s="17">
        <f>IFERROR(__xludf.DUMMYFUNCTION("INDEX(GOOGLEFINANCE(""NSE:""&amp;D60,""PRICE"",TODAY()-14),2,2)"),839.3)</f>
        <v>839.3</v>
      </c>
      <c r="J60" s="17">
        <f>IFERROR(__xludf.DUMMYFUNCTION("INDEX(GOOGLEFINANCE(""NSE:""&amp;D60,""PRICE"",TODAY()-28),2,2)"),785.85)</f>
        <v>785.85</v>
      </c>
      <c r="K60" s="17">
        <f>IFERROR(__xludf.DUMMYFUNCTION("INDEX(GOOGLEFINANCE(""NSE:""&amp;D60,""PRICE"",TODAY()-84),2,2)"),806.9)</f>
        <v>806.9</v>
      </c>
      <c r="L60" s="16">
        <f t="shared" si="1"/>
        <v>0.01231527094</v>
      </c>
      <c r="M60" s="16">
        <f t="shared" si="2"/>
        <v>0.003969465649</v>
      </c>
      <c r="N60" s="16">
        <f t="shared" si="3"/>
        <v>-0.02061241511</v>
      </c>
      <c r="O60" s="16">
        <f t="shared" si="4"/>
        <v>0.04600114526</v>
      </c>
      <c r="P60" s="16">
        <f t="shared" si="5"/>
        <v>0.01871359524</v>
      </c>
      <c r="Q60" s="30">
        <f t="shared" si="6"/>
        <v>-0.00841539711</v>
      </c>
      <c r="R60" s="30">
        <f t="shared" si="7"/>
        <v>-0.04538491831</v>
      </c>
      <c r="S60" s="30">
        <f t="shared" si="8"/>
        <v>-0.02221456748</v>
      </c>
      <c r="T60" s="30">
        <f t="shared" si="9"/>
        <v>-0.1146878374</v>
      </c>
      <c r="U60" s="31" t="str">
        <f t="shared" si="10"/>
        <v>#N/A</v>
      </c>
      <c r="V60" s="31">
        <f t="shared" si="11"/>
        <v>78</v>
      </c>
      <c r="W60" s="31">
        <f t="shared" si="12"/>
        <v>54</v>
      </c>
      <c r="X60" s="31">
        <f t="shared" si="13"/>
        <v>75</v>
      </c>
    </row>
    <row r="61">
      <c r="A61" s="1">
        <v>58.0</v>
      </c>
      <c r="B61" s="22" t="s">
        <v>573</v>
      </c>
      <c r="C61" s="22" t="s">
        <v>526</v>
      </c>
      <c r="D61" s="22" t="s">
        <v>138</v>
      </c>
      <c r="E61" s="23">
        <f>IFERROR(__xludf.DUMMYFUNCTION("GOOGLEFINANCE(""NSE:""&amp;D61,""marketcap"")/10000000"),78327.6196645)</f>
        <v>78327.61966</v>
      </c>
      <c r="F61" s="17">
        <f>IFERROR(__xludf.DUMMYFUNCTION("GOOGLEFINANCE(""NSE:""&amp;D61)"),850.0)</f>
        <v>850</v>
      </c>
      <c r="G61" s="17">
        <f>IFERROR(__xludf.DUMMYFUNCTION("GOOGLEFINANCE(""NSE:""&amp;D61,""closeyest"")"),854.15)</f>
        <v>854.15</v>
      </c>
      <c r="H61" s="17">
        <f>IFERROR(__xludf.DUMMYFUNCTION("INDEX(GOOGLEFINANCE(""NSE:""&amp;D61,""PRICE"",TODAY()-7),2,2)"),874.15)</f>
        <v>874.15</v>
      </c>
      <c r="I61" s="17">
        <f>IFERROR(__xludf.DUMMYFUNCTION("INDEX(GOOGLEFINANCE(""NSE:""&amp;D61,""PRICE"",TODAY()-14),2,2)"),882.1)</f>
        <v>882.1</v>
      </c>
      <c r="J61" s="17">
        <f>IFERROR(__xludf.DUMMYFUNCTION("INDEX(GOOGLEFINANCE(""NSE:""&amp;D61,""PRICE"",TODAY()-28),2,2)"),847.95)</f>
        <v>847.95</v>
      </c>
      <c r="K61" s="17">
        <f>IFERROR(__xludf.DUMMYFUNCTION("INDEX(GOOGLEFINANCE(""NSE:""&amp;D61,""PRICE"",TODAY()-84),2,2)"),763.6)</f>
        <v>763.6</v>
      </c>
      <c r="L61" s="16">
        <f t="shared" si="1"/>
        <v>-0.004858631388</v>
      </c>
      <c r="M61" s="16">
        <f t="shared" si="2"/>
        <v>-0.0276268375</v>
      </c>
      <c r="N61" s="16">
        <f t="shared" si="3"/>
        <v>-0.03639043192</v>
      </c>
      <c r="O61" s="16">
        <f t="shared" si="4"/>
        <v>0.002417595377</v>
      </c>
      <c r="P61" s="16">
        <f t="shared" si="5"/>
        <v>0.1131482452</v>
      </c>
      <c r="Q61" s="30">
        <f t="shared" si="6"/>
        <v>-0.04001170026</v>
      </c>
      <c r="R61" s="30">
        <f t="shared" si="7"/>
        <v>-0.06116293513</v>
      </c>
      <c r="S61" s="30">
        <f t="shared" si="8"/>
        <v>-0.06579811736</v>
      </c>
      <c r="T61" s="30">
        <f t="shared" si="9"/>
        <v>-0.02025318744</v>
      </c>
      <c r="U61" s="31" t="str">
        <f t="shared" si="10"/>
        <v>#N/A</v>
      </c>
      <c r="V61" s="31">
        <f t="shared" si="11"/>
        <v>85</v>
      </c>
      <c r="W61" s="31">
        <f t="shared" si="12"/>
        <v>86</v>
      </c>
      <c r="X61" s="31">
        <f t="shared" si="13"/>
        <v>51</v>
      </c>
    </row>
    <row r="62">
      <c r="A62" s="1">
        <v>59.0</v>
      </c>
      <c r="B62" s="22" t="s">
        <v>574</v>
      </c>
      <c r="C62" s="22" t="s">
        <v>549</v>
      </c>
      <c r="D62" s="22" t="s">
        <v>151</v>
      </c>
      <c r="E62" s="23">
        <f>IFERROR(__xludf.DUMMYFUNCTION("GOOGLEFINANCE(""NSE:""&amp;D62,""marketcap"")/10000000"),78092.1762537)</f>
        <v>78092.17625</v>
      </c>
      <c r="F62" s="17">
        <f>IFERROR(__xludf.DUMMYFUNCTION("GOOGLEFINANCE(""NSE:""&amp;D62)"),969.0)</f>
        <v>969</v>
      </c>
      <c r="G62" s="17">
        <f>IFERROR(__xludf.DUMMYFUNCTION("GOOGLEFINANCE(""NSE:""&amp;D62,""closeyest"")"),963.5)</f>
        <v>963.5</v>
      </c>
      <c r="H62" s="17">
        <f>IFERROR(__xludf.DUMMYFUNCTION("INDEX(GOOGLEFINANCE(""NSE:""&amp;D62,""PRICE"",TODAY()-7),2,2)"),954.05)</f>
        <v>954.05</v>
      </c>
      <c r="I62" s="17">
        <f>IFERROR(__xludf.DUMMYFUNCTION("INDEX(GOOGLEFINANCE(""NSE:""&amp;D62,""PRICE"",TODAY()-14),2,2)"),950.45)</f>
        <v>950.45</v>
      </c>
      <c r="J62" s="17">
        <f>IFERROR(__xludf.DUMMYFUNCTION("INDEX(GOOGLEFINANCE(""NSE:""&amp;D62,""PRICE"",TODAY()-28),2,2)"),923.9)</f>
        <v>923.9</v>
      </c>
      <c r="K62" s="17">
        <f>IFERROR(__xludf.DUMMYFUNCTION("INDEX(GOOGLEFINANCE(""NSE:""&amp;D62,""PRICE"",TODAY()-84),2,2)"),979.2)</f>
        <v>979.2</v>
      </c>
      <c r="L62" s="16">
        <f t="shared" si="1"/>
        <v>0.005708354956</v>
      </c>
      <c r="M62" s="16">
        <f t="shared" si="2"/>
        <v>0.01567003826</v>
      </c>
      <c r="N62" s="16">
        <f t="shared" si="3"/>
        <v>0.01951707086</v>
      </c>
      <c r="O62" s="16">
        <f t="shared" si="4"/>
        <v>0.0488148068</v>
      </c>
      <c r="P62" s="16">
        <f t="shared" si="5"/>
        <v>-0.01041666667</v>
      </c>
      <c r="Q62" s="30">
        <f t="shared" si="6"/>
        <v>0.003285175499</v>
      </c>
      <c r="R62" s="30">
        <f t="shared" si="7"/>
        <v>-0.00525543234</v>
      </c>
      <c r="S62" s="30">
        <f t="shared" si="8"/>
        <v>-0.01940090594</v>
      </c>
      <c r="T62" s="30">
        <f t="shared" si="9"/>
        <v>-0.1438180993</v>
      </c>
      <c r="U62" s="31" t="str">
        <f t="shared" si="10"/>
        <v>#N/A</v>
      </c>
      <c r="V62" s="31">
        <f t="shared" si="11"/>
        <v>45</v>
      </c>
      <c r="W62" s="31">
        <f t="shared" si="12"/>
        <v>53</v>
      </c>
      <c r="X62" s="31">
        <f t="shared" si="13"/>
        <v>81</v>
      </c>
    </row>
    <row r="63">
      <c r="A63" s="1">
        <v>60.0</v>
      </c>
      <c r="B63" s="22" t="s">
        <v>575</v>
      </c>
      <c r="C63" s="22" t="s">
        <v>545</v>
      </c>
      <c r="D63" s="22" t="s">
        <v>157</v>
      </c>
      <c r="E63" s="23">
        <f>IFERROR(__xludf.DUMMYFUNCTION("GOOGLEFINANCE(""NSE:""&amp;D63,""marketcap"")/10000000"),78125.36592)</f>
        <v>78125.36592</v>
      </c>
      <c r="F63" s="17">
        <f>IFERROR(__xludf.DUMMYFUNCTION("GOOGLEFINANCE(""NSE:""&amp;D63)"),2858.7)</f>
        <v>2858.7</v>
      </c>
      <c r="G63" s="17">
        <f>IFERROR(__xludf.DUMMYFUNCTION("GOOGLEFINANCE(""NSE:""&amp;D63,""closeyest"")"),2842.85)</f>
        <v>2842.85</v>
      </c>
      <c r="H63" s="17">
        <f>IFERROR(__xludf.DUMMYFUNCTION("INDEX(GOOGLEFINANCE(""NSE:""&amp;D63,""PRICE"",TODAY()-7),2,2)"),2898.55)</f>
        <v>2898.55</v>
      </c>
      <c r="I63" s="17">
        <f>IFERROR(__xludf.DUMMYFUNCTION("INDEX(GOOGLEFINANCE(""NSE:""&amp;D63,""PRICE"",TODAY()-14),2,2)"),2805.0)</f>
        <v>2805</v>
      </c>
      <c r="J63" s="17">
        <f>IFERROR(__xludf.DUMMYFUNCTION("INDEX(GOOGLEFINANCE(""NSE:""&amp;D63,""PRICE"",TODAY()-28),2,2)"),2576.1)</f>
        <v>2576.1</v>
      </c>
      <c r="K63" s="17">
        <f>IFERROR(__xludf.DUMMYFUNCTION("INDEX(GOOGLEFINANCE(""NSE:""&amp;D63,""PRICE"",TODAY()-84),2,2)"),2661.0)</f>
        <v>2661</v>
      </c>
      <c r="L63" s="16">
        <f t="shared" si="1"/>
        <v>0.005575390893</v>
      </c>
      <c r="M63" s="16">
        <f t="shared" si="2"/>
        <v>-0.01374825344</v>
      </c>
      <c r="N63" s="16">
        <f t="shared" si="3"/>
        <v>0.01914438503</v>
      </c>
      <c r="O63" s="16">
        <f t="shared" si="4"/>
        <v>0.1097007104</v>
      </c>
      <c r="P63" s="16">
        <f t="shared" si="5"/>
        <v>0.07429537768</v>
      </c>
      <c r="Q63" s="30">
        <f t="shared" si="6"/>
        <v>-0.0261331162</v>
      </c>
      <c r="R63" s="30">
        <f t="shared" si="7"/>
        <v>-0.005628118175</v>
      </c>
      <c r="S63" s="30">
        <f t="shared" si="8"/>
        <v>0.04148499764</v>
      </c>
      <c r="T63" s="30">
        <f t="shared" si="9"/>
        <v>-0.05910605491</v>
      </c>
      <c r="U63" s="31" t="str">
        <f t="shared" si="10"/>
        <v>#N/A</v>
      </c>
      <c r="V63" s="31">
        <f t="shared" si="11"/>
        <v>46</v>
      </c>
      <c r="W63" s="31">
        <f t="shared" si="12"/>
        <v>29</v>
      </c>
      <c r="X63" s="31">
        <f t="shared" si="13"/>
        <v>61</v>
      </c>
    </row>
    <row r="64">
      <c r="A64" s="1">
        <v>61.0</v>
      </c>
      <c r="B64" s="22" t="s">
        <v>634</v>
      </c>
      <c r="C64" s="22" t="s">
        <v>635</v>
      </c>
      <c r="D64" s="22" t="s">
        <v>136</v>
      </c>
      <c r="E64" s="23">
        <f>IFERROR(__xludf.DUMMYFUNCTION("GOOGLEFINANCE(""NSE:""&amp;D64,""marketcap"")/10000000"),77100.0233)</f>
        <v>77100.0233</v>
      </c>
      <c r="F64" s="17">
        <f>IFERROR(__xludf.DUMMYFUNCTION("GOOGLEFINANCE(""NSE:""&amp;D64)"),2165.0)</f>
        <v>2165</v>
      </c>
      <c r="G64" s="17">
        <f>IFERROR(__xludf.DUMMYFUNCTION("GOOGLEFINANCE(""NSE:""&amp;D64,""closeyest"")"),2161.95)</f>
        <v>2161.95</v>
      </c>
      <c r="H64" s="17">
        <f>IFERROR(__xludf.DUMMYFUNCTION("INDEX(GOOGLEFINANCE(""NSE:""&amp;D64,""PRICE"",TODAY()-7),2,2)"),2180.55)</f>
        <v>2180.55</v>
      </c>
      <c r="I64" s="17">
        <f>IFERROR(__xludf.DUMMYFUNCTION("INDEX(GOOGLEFINANCE(""NSE:""&amp;D64,""PRICE"",TODAY()-14),2,2)"),2208.55)</f>
        <v>2208.55</v>
      </c>
      <c r="J64" s="17">
        <f>IFERROR(__xludf.DUMMYFUNCTION("INDEX(GOOGLEFINANCE(""NSE:""&amp;D64,""PRICE"",TODAY()-28),2,2)"),2222.2)</f>
        <v>2222.2</v>
      </c>
      <c r="K64" s="17">
        <f>IFERROR(__xludf.DUMMYFUNCTION("INDEX(GOOGLEFINANCE(""NSE:""&amp;D64,""PRICE"",TODAY()-84),2,2)"),2019.8)</f>
        <v>2019.8</v>
      </c>
      <c r="L64" s="16">
        <f t="shared" si="1"/>
        <v>0.001410763431</v>
      </c>
      <c r="M64" s="16">
        <f t="shared" si="2"/>
        <v>-0.00713122836</v>
      </c>
      <c r="N64" s="16">
        <f t="shared" si="3"/>
        <v>-0.01971882004</v>
      </c>
      <c r="O64" s="16">
        <f t="shared" si="4"/>
        <v>-0.0257402574</v>
      </c>
      <c r="P64" s="16">
        <f t="shared" si="5"/>
        <v>0.07188830577</v>
      </c>
      <c r="Q64" s="30">
        <f t="shared" si="6"/>
        <v>-0.01951609112</v>
      </c>
      <c r="R64" s="30">
        <f t="shared" si="7"/>
        <v>-0.04449132324</v>
      </c>
      <c r="S64" s="30">
        <f t="shared" si="8"/>
        <v>-0.09395597014</v>
      </c>
      <c r="T64" s="30">
        <f t="shared" si="9"/>
        <v>-0.06151312682</v>
      </c>
      <c r="U64" s="31" t="str">
        <f t="shared" si="10"/>
        <v>#N/A</v>
      </c>
      <c r="V64" s="31">
        <f t="shared" si="11"/>
        <v>77</v>
      </c>
      <c r="W64" s="31">
        <f t="shared" si="12"/>
        <v>96</v>
      </c>
      <c r="X64" s="31">
        <f t="shared" si="13"/>
        <v>63</v>
      </c>
    </row>
    <row r="65">
      <c r="A65" s="1">
        <v>62.0</v>
      </c>
      <c r="B65" s="22" t="s">
        <v>600</v>
      </c>
      <c r="C65" s="22" t="s">
        <v>528</v>
      </c>
      <c r="D65" s="22" t="s">
        <v>153</v>
      </c>
      <c r="E65" s="23">
        <f>IFERROR(__xludf.DUMMYFUNCTION("GOOGLEFINANCE(""NSE:""&amp;D65,""marketcap"")/10000000"),71748.19195)</f>
        <v>71748.19195</v>
      </c>
      <c r="F65" s="17">
        <f>IFERROR(__xludf.DUMMYFUNCTION("GOOGLEFINANCE(""NSE:""&amp;D65)"),1571.0)</f>
        <v>1571</v>
      </c>
      <c r="G65" s="17">
        <f>IFERROR(__xludf.DUMMYFUNCTION("GOOGLEFINANCE(""NSE:""&amp;D65,""closeyest"")"),1627.7)</f>
        <v>1627.7</v>
      </c>
      <c r="H65" s="17">
        <f>IFERROR(__xludf.DUMMYFUNCTION("INDEX(GOOGLEFINANCE(""NSE:""&amp;D65,""PRICE"",TODAY()-7),2,2)"),1603.95)</f>
        <v>1603.95</v>
      </c>
      <c r="I65" s="17">
        <f>IFERROR(__xludf.DUMMYFUNCTION("INDEX(GOOGLEFINANCE(""NSE:""&amp;D65,""PRICE"",TODAY()-14),2,2)"),1636.85)</f>
        <v>1636.85</v>
      </c>
      <c r="J65" s="17">
        <f>IFERROR(__xludf.DUMMYFUNCTION("INDEX(GOOGLEFINANCE(""NSE:""&amp;D65,""PRICE"",TODAY()-28),2,2)"),1557.7)</f>
        <v>1557.7</v>
      </c>
      <c r="K65" s="17">
        <f>IFERROR(__xludf.DUMMYFUNCTION("INDEX(GOOGLEFINANCE(""NSE:""&amp;D65,""PRICE"",TODAY()-84),2,2)"),1553.45)</f>
        <v>1553.45</v>
      </c>
      <c r="L65" s="16">
        <f t="shared" si="1"/>
        <v>-0.03483442895</v>
      </c>
      <c r="M65" s="16">
        <f t="shared" si="2"/>
        <v>-0.02054303438</v>
      </c>
      <c r="N65" s="16">
        <f t="shared" si="3"/>
        <v>-0.0402297095</v>
      </c>
      <c r="O65" s="16">
        <f t="shared" si="4"/>
        <v>0.008538229441</v>
      </c>
      <c r="P65" s="16">
        <f t="shared" si="5"/>
        <v>0.01129743474</v>
      </c>
      <c r="Q65" s="30">
        <f t="shared" si="6"/>
        <v>-0.03292789714</v>
      </c>
      <c r="R65" s="30">
        <f t="shared" si="7"/>
        <v>-0.0650022127</v>
      </c>
      <c r="S65" s="30">
        <f t="shared" si="8"/>
        <v>-0.0596774833</v>
      </c>
      <c r="T65" s="30">
        <f t="shared" si="9"/>
        <v>-0.1221039978</v>
      </c>
      <c r="U65" s="31" t="str">
        <f t="shared" si="10"/>
        <v>#N/A</v>
      </c>
      <c r="V65" s="31">
        <f t="shared" si="11"/>
        <v>90</v>
      </c>
      <c r="W65" s="31">
        <f t="shared" si="12"/>
        <v>83</v>
      </c>
      <c r="X65" s="31">
        <f t="shared" si="13"/>
        <v>77</v>
      </c>
    </row>
    <row r="66">
      <c r="A66" s="1">
        <v>63.0</v>
      </c>
      <c r="B66" s="22" t="s">
        <v>585</v>
      </c>
      <c r="C66" s="22" t="s">
        <v>531</v>
      </c>
      <c r="D66" s="22" t="s">
        <v>177</v>
      </c>
      <c r="E66" s="23">
        <f>IFERROR(__xludf.DUMMYFUNCTION("GOOGLEFINANCE(""NSE:""&amp;D66,""marketcap"")/10000000"),75272.0320022)</f>
        <v>75272.032</v>
      </c>
      <c r="F66" s="17">
        <f>IFERROR(__xludf.DUMMYFUNCTION("GOOGLEFINANCE(""NSE:""&amp;D66)"),278.9)</f>
        <v>278.9</v>
      </c>
      <c r="G66" s="17">
        <f>IFERROR(__xludf.DUMMYFUNCTION("GOOGLEFINANCE(""NSE:""&amp;D66,""closeyest"")"),273.35)</f>
        <v>273.35</v>
      </c>
      <c r="H66" s="17">
        <f>IFERROR(__xludf.DUMMYFUNCTION("INDEX(GOOGLEFINANCE(""NSE:""&amp;D66,""PRICE"",TODAY()-7),2,2)"),268.75)</f>
        <v>268.75</v>
      </c>
      <c r="I66" s="17">
        <f>IFERROR(__xludf.DUMMYFUNCTION("INDEX(GOOGLEFINANCE(""NSE:""&amp;D66,""PRICE"",TODAY()-14),2,2)"),238.85)</f>
        <v>238.85</v>
      </c>
      <c r="J66" s="17">
        <f>IFERROR(__xludf.DUMMYFUNCTION("INDEX(GOOGLEFINANCE(""NSE:""&amp;D66,""PRICE"",TODAY()-28),2,2)"),216.3)</f>
        <v>216.3</v>
      </c>
      <c r="K66" s="17">
        <f>IFERROR(__xludf.DUMMYFUNCTION("INDEX(GOOGLEFINANCE(""NSE:""&amp;D66,""PRICE"",TODAY()-84),2,2)"),234.55)</f>
        <v>234.55</v>
      </c>
      <c r="L66" s="16">
        <f t="shared" si="1"/>
        <v>0.02030364002</v>
      </c>
      <c r="M66" s="16">
        <f t="shared" si="2"/>
        <v>0.03776744186</v>
      </c>
      <c r="N66" s="16">
        <f t="shared" si="3"/>
        <v>0.1676784593</v>
      </c>
      <c r="O66" s="16">
        <f t="shared" si="4"/>
        <v>0.2894128525</v>
      </c>
      <c r="P66" s="16">
        <f t="shared" si="5"/>
        <v>0.1890854828</v>
      </c>
      <c r="Q66" s="30">
        <f t="shared" si="6"/>
        <v>0.0253825791</v>
      </c>
      <c r="R66" s="30">
        <f t="shared" si="7"/>
        <v>0.1429059561</v>
      </c>
      <c r="S66" s="30">
        <f t="shared" si="8"/>
        <v>0.2211971398</v>
      </c>
      <c r="T66" s="30">
        <f t="shared" si="9"/>
        <v>0.05568405025</v>
      </c>
      <c r="U66" s="31" t="str">
        <f t="shared" si="10"/>
        <v>#N/A</v>
      </c>
      <c r="V66" s="31">
        <f t="shared" si="11"/>
        <v>4</v>
      </c>
      <c r="W66" s="31">
        <f t="shared" si="12"/>
        <v>2</v>
      </c>
      <c r="X66" s="31">
        <f t="shared" si="13"/>
        <v>26</v>
      </c>
    </row>
    <row r="67">
      <c r="A67" s="1">
        <v>64.0</v>
      </c>
      <c r="B67" s="22" t="s">
        <v>604</v>
      </c>
      <c r="C67" s="22" t="s">
        <v>526</v>
      </c>
      <c r="D67" s="22" t="s">
        <v>163</v>
      </c>
      <c r="E67" s="23">
        <f>IFERROR(__xludf.DUMMYFUNCTION("GOOGLEFINANCE(""NSE:""&amp;D67,""marketcap"")/10000000"),73150.3349663)</f>
        <v>73150.33497</v>
      </c>
      <c r="F67" s="17">
        <f>IFERROR(__xludf.DUMMYFUNCTION("GOOGLEFINANCE(""NSE:""&amp;D67)"),568.75)</f>
        <v>568.75</v>
      </c>
      <c r="G67" s="17">
        <f>IFERROR(__xludf.DUMMYFUNCTION("GOOGLEFINANCE(""NSE:""&amp;D67,""closeyest"")"),565.2)</f>
        <v>565.2</v>
      </c>
      <c r="H67" s="17">
        <f>IFERROR(__xludf.DUMMYFUNCTION("INDEX(GOOGLEFINANCE(""NSE:""&amp;D67,""PRICE"",TODAY()-7),2,2)"),560.1)</f>
        <v>560.1</v>
      </c>
      <c r="I67" s="17">
        <f>IFERROR(__xludf.DUMMYFUNCTION("INDEX(GOOGLEFINANCE(""NSE:""&amp;D67,""PRICE"",TODAY()-14),2,2)"),575.6)</f>
        <v>575.6</v>
      </c>
      <c r="J67" s="17">
        <f>IFERROR(__xludf.DUMMYFUNCTION("INDEX(GOOGLEFINANCE(""NSE:""&amp;D67,""PRICE"",TODAY()-28),2,2)"),524.95)</f>
        <v>524.95</v>
      </c>
      <c r="K67" s="17">
        <f>IFERROR(__xludf.DUMMYFUNCTION("INDEX(GOOGLEFINANCE(""NSE:""&amp;D67,""PRICE"",TODAY()-84),2,2)"),519.85)</f>
        <v>519.85</v>
      </c>
      <c r="L67" s="16">
        <f t="shared" si="1"/>
        <v>0.006280962491</v>
      </c>
      <c r="M67" s="16">
        <f t="shared" si="2"/>
        <v>0.01544367077</v>
      </c>
      <c r="N67" s="16">
        <f t="shared" si="3"/>
        <v>-0.01190062543</v>
      </c>
      <c r="O67" s="16">
        <f t="shared" si="4"/>
        <v>0.08343651776</v>
      </c>
      <c r="P67" s="16">
        <f t="shared" si="5"/>
        <v>0.09406559584</v>
      </c>
      <c r="Q67" s="30">
        <f t="shared" si="6"/>
        <v>0.003058808014</v>
      </c>
      <c r="R67" s="30">
        <f t="shared" si="7"/>
        <v>-0.03667312864</v>
      </c>
      <c r="S67" s="30">
        <f t="shared" si="8"/>
        <v>0.01522080503</v>
      </c>
      <c r="T67" s="30">
        <f t="shared" si="9"/>
        <v>-0.03933583675</v>
      </c>
      <c r="U67" s="31" t="str">
        <f t="shared" si="10"/>
        <v>#N/A</v>
      </c>
      <c r="V67" s="31">
        <f t="shared" si="11"/>
        <v>71</v>
      </c>
      <c r="W67" s="31">
        <f t="shared" si="12"/>
        <v>38</v>
      </c>
      <c r="X67" s="31">
        <f t="shared" si="13"/>
        <v>57</v>
      </c>
    </row>
    <row r="68">
      <c r="A68" s="1">
        <v>65.0</v>
      </c>
      <c r="B68" s="22" t="s">
        <v>617</v>
      </c>
      <c r="C68" s="22" t="s">
        <v>618</v>
      </c>
      <c r="D68" s="22" t="s">
        <v>161</v>
      </c>
      <c r="E68" s="23">
        <f>IFERROR(__xludf.DUMMYFUNCTION("GOOGLEFINANCE(""NSE:""&amp;D68,""marketcap"")/10000000"),73649.3067)</f>
        <v>73649.3067</v>
      </c>
      <c r="F68" s="17">
        <f>IFERROR(__xludf.DUMMYFUNCTION("GOOGLEFINANCE(""NSE:""&amp;D68)"),5129.0)</f>
        <v>5129</v>
      </c>
      <c r="G68" s="17">
        <f>IFERROR(__xludf.DUMMYFUNCTION("GOOGLEFINANCE(""NSE:""&amp;D68,""closeyest"")"),4904.9)</f>
        <v>4904.9</v>
      </c>
      <c r="H68" s="17">
        <f>IFERROR(__xludf.DUMMYFUNCTION("INDEX(GOOGLEFINANCE(""NSE:""&amp;D68,""PRICE"",TODAY()-7),2,2)"),4908.25)</f>
        <v>4908.25</v>
      </c>
      <c r="I68" s="17">
        <f>IFERROR(__xludf.DUMMYFUNCTION("INDEX(GOOGLEFINANCE(""NSE:""&amp;D68,""PRICE"",TODAY()-14),2,2)"),4745.85)</f>
        <v>4745.85</v>
      </c>
      <c r="J68" s="17">
        <f>IFERROR(__xludf.DUMMYFUNCTION("INDEX(GOOGLEFINANCE(""NSE:""&amp;D68,""PRICE"",TODAY()-28),2,2)"),4765.1)</f>
        <v>4765.1</v>
      </c>
      <c r="K68" s="17">
        <f>IFERROR(__xludf.DUMMYFUNCTION("INDEX(GOOGLEFINANCE(""NSE:""&amp;D68,""PRICE"",TODAY()-84),2,2)"),3733.2)</f>
        <v>3733.2</v>
      </c>
      <c r="L68" s="16">
        <f t="shared" si="1"/>
        <v>0.04568900487</v>
      </c>
      <c r="M68" s="16">
        <f t="shared" si="2"/>
        <v>0.04497529669</v>
      </c>
      <c r="N68" s="16">
        <f t="shared" si="3"/>
        <v>0.08073369365</v>
      </c>
      <c r="O68" s="16">
        <f t="shared" si="4"/>
        <v>0.07636775723</v>
      </c>
      <c r="P68" s="16">
        <f t="shared" si="5"/>
        <v>0.3738883532</v>
      </c>
      <c r="Q68" s="30">
        <f t="shared" si="6"/>
        <v>0.03259043394</v>
      </c>
      <c r="R68" s="30">
        <f t="shared" si="7"/>
        <v>0.05596119045</v>
      </c>
      <c r="S68" s="30">
        <f t="shared" si="8"/>
        <v>0.008152044497</v>
      </c>
      <c r="T68" s="30">
        <f t="shared" si="9"/>
        <v>0.2404869206</v>
      </c>
      <c r="U68" s="31" t="str">
        <f t="shared" si="10"/>
        <v>#N/A</v>
      </c>
      <c r="V68" s="31">
        <f t="shared" si="11"/>
        <v>18</v>
      </c>
      <c r="W68" s="31">
        <f t="shared" si="12"/>
        <v>42</v>
      </c>
      <c r="X68" s="31">
        <f t="shared" si="13"/>
        <v>8</v>
      </c>
    </row>
    <row r="69">
      <c r="A69" s="1">
        <v>66.0</v>
      </c>
      <c r="B69" s="22" t="s">
        <v>606</v>
      </c>
      <c r="C69" s="22" t="s">
        <v>528</v>
      </c>
      <c r="D69" s="22" t="s">
        <v>165</v>
      </c>
      <c r="E69" s="23">
        <f>IFERROR(__xludf.DUMMYFUNCTION("GOOGLEFINANCE(""NSE:""&amp;D69,""marketcap"")/10000000"),69056.951375)</f>
        <v>69056.95138</v>
      </c>
      <c r="F69" s="17">
        <f>IFERROR(__xludf.DUMMYFUNCTION("GOOGLEFINANCE(""NSE:""&amp;D69)"),3228.0)</f>
        <v>3228</v>
      </c>
      <c r="G69" s="17">
        <f>IFERROR(__xludf.DUMMYFUNCTION("GOOGLEFINANCE(""NSE:""&amp;D69,""closeyest"")"),3213.1)</f>
        <v>3213.1</v>
      </c>
      <c r="H69" s="17">
        <f>IFERROR(__xludf.DUMMYFUNCTION("INDEX(GOOGLEFINANCE(""NSE:""&amp;D69,""PRICE"",TODAY()-7),2,2)"),3268.8)</f>
        <v>3268.8</v>
      </c>
      <c r="I69" s="17">
        <f>IFERROR(__xludf.DUMMYFUNCTION("INDEX(GOOGLEFINANCE(""NSE:""&amp;D69,""PRICE"",TODAY()-14),2,2)"),3302.05)</f>
        <v>3302.05</v>
      </c>
      <c r="J69" s="17">
        <f>IFERROR(__xludf.DUMMYFUNCTION("INDEX(GOOGLEFINANCE(""NSE:""&amp;D69,""PRICE"",TODAY()-28),2,2)"),3030.3)</f>
        <v>3030.3</v>
      </c>
      <c r="K69" s="17">
        <f>IFERROR(__xludf.DUMMYFUNCTION("INDEX(GOOGLEFINANCE(""NSE:""&amp;D69,""PRICE"",TODAY()-84),2,2)"),2875.6)</f>
        <v>2875.6</v>
      </c>
      <c r="L69" s="16">
        <f t="shared" si="1"/>
        <v>0.004637266192</v>
      </c>
      <c r="M69" s="16">
        <f t="shared" si="2"/>
        <v>-0.01248164464</v>
      </c>
      <c r="N69" s="16">
        <f t="shared" si="3"/>
        <v>-0.02242546297</v>
      </c>
      <c r="O69" s="16">
        <f t="shared" si="4"/>
        <v>0.06524106524</v>
      </c>
      <c r="P69" s="16">
        <f t="shared" si="5"/>
        <v>0.1225483377</v>
      </c>
      <c r="Q69" s="30">
        <f t="shared" si="6"/>
        <v>-0.0248665074</v>
      </c>
      <c r="R69" s="30">
        <f t="shared" si="7"/>
        <v>-0.04719796617</v>
      </c>
      <c r="S69" s="30">
        <f t="shared" si="8"/>
        <v>-0.002974647496</v>
      </c>
      <c r="T69" s="30">
        <f t="shared" si="9"/>
        <v>-0.01085309485</v>
      </c>
      <c r="U69" s="31" t="str">
        <f t="shared" si="10"/>
        <v>#N/A</v>
      </c>
      <c r="V69" s="31">
        <f t="shared" si="11"/>
        <v>79</v>
      </c>
      <c r="W69" s="31">
        <f t="shared" si="12"/>
        <v>47</v>
      </c>
      <c r="X69" s="31">
        <f t="shared" si="13"/>
        <v>46</v>
      </c>
    </row>
    <row r="70">
      <c r="A70" s="1">
        <v>67.0</v>
      </c>
      <c r="B70" s="22" t="s">
        <v>614</v>
      </c>
      <c r="C70" s="22" t="s">
        <v>522</v>
      </c>
      <c r="D70" s="22" t="s">
        <v>167</v>
      </c>
      <c r="E70" s="23">
        <f>IFERROR(__xludf.DUMMYFUNCTION("GOOGLEFINANCE(""NSE:""&amp;D70,""marketcap"")/10000000"),67825.6575025)</f>
        <v>67825.6575</v>
      </c>
      <c r="F70" s="17">
        <f>IFERROR(__xludf.DUMMYFUNCTION("GOOGLEFINANCE(""NSE:""&amp;D70)"),153.15)</f>
        <v>153.15</v>
      </c>
      <c r="G70" s="17">
        <f>IFERROR(__xludf.DUMMYFUNCTION("GOOGLEFINANCE(""NSE:""&amp;D70,""closeyest"")"),150.0)</f>
        <v>150</v>
      </c>
      <c r="H70" s="17">
        <f>IFERROR(__xludf.DUMMYFUNCTION("INDEX(GOOGLEFINANCE(""NSE:""&amp;D70,""PRICE"",TODAY()-7),2,2)"),154.1)</f>
        <v>154.1</v>
      </c>
      <c r="I70" s="17">
        <f>IFERROR(__xludf.DUMMYFUNCTION("INDEX(GOOGLEFINANCE(""NSE:""&amp;D70,""PRICE"",TODAY()-14),2,2)"),145.9)</f>
        <v>145.9</v>
      </c>
      <c r="J70" s="17">
        <f>IFERROR(__xludf.DUMMYFUNCTION("INDEX(GOOGLEFINANCE(""NSE:""&amp;D70,""PRICE"",TODAY()-28),2,2)"),143.5)</f>
        <v>143.5</v>
      </c>
      <c r="K70" s="17">
        <f>IFERROR(__xludf.DUMMYFUNCTION("INDEX(GOOGLEFINANCE(""NSE:""&amp;D70,""PRICE"",TODAY()-84),2,2)"),151.3)</f>
        <v>151.3</v>
      </c>
      <c r="L70" s="16">
        <f t="shared" si="1"/>
        <v>0.021</v>
      </c>
      <c r="M70" s="16">
        <f t="shared" si="2"/>
        <v>-0.006164828034</v>
      </c>
      <c r="N70" s="16">
        <f t="shared" si="3"/>
        <v>0.04969156957</v>
      </c>
      <c r="O70" s="16">
        <f t="shared" si="4"/>
        <v>0.06724738676</v>
      </c>
      <c r="P70" s="16">
        <f t="shared" si="5"/>
        <v>0.01222736286</v>
      </c>
      <c r="Q70" s="30">
        <f t="shared" si="6"/>
        <v>-0.01854969079</v>
      </c>
      <c r="R70" s="30">
        <f t="shared" si="7"/>
        <v>0.02491906637</v>
      </c>
      <c r="S70" s="30">
        <f t="shared" si="8"/>
        <v>-0.0009683259778</v>
      </c>
      <c r="T70" s="30">
        <f t="shared" si="9"/>
        <v>-0.1211740697</v>
      </c>
      <c r="U70" s="31" t="str">
        <f t="shared" si="10"/>
        <v>#N/A</v>
      </c>
      <c r="V70" s="31">
        <f t="shared" si="11"/>
        <v>24</v>
      </c>
      <c r="W70" s="31">
        <f t="shared" si="12"/>
        <v>44</v>
      </c>
      <c r="X70" s="31">
        <f t="shared" si="13"/>
        <v>76</v>
      </c>
    </row>
    <row r="71">
      <c r="A71" s="1">
        <v>68.0</v>
      </c>
      <c r="B71" s="22" t="s">
        <v>633</v>
      </c>
      <c r="C71" s="22" t="s">
        <v>549</v>
      </c>
      <c r="D71" s="22" t="s">
        <v>169</v>
      </c>
      <c r="E71" s="23">
        <f>IFERROR(__xludf.DUMMYFUNCTION("GOOGLEFINANCE(""NSE:""&amp;D71,""marketcap"")/10000000"),64085.31642)</f>
        <v>64085.31642</v>
      </c>
      <c r="F71" s="17">
        <f>IFERROR(__xludf.DUMMYFUNCTION("GOOGLEFINANCE(""NSE:""&amp;D71)"),3902.0)</f>
        <v>3902</v>
      </c>
      <c r="G71" s="17">
        <f>IFERROR(__xludf.DUMMYFUNCTION("GOOGLEFINANCE(""NSE:""&amp;D71,""closeyest"")"),3877.15)</f>
        <v>3877.15</v>
      </c>
      <c r="H71" s="17">
        <f>IFERROR(__xludf.DUMMYFUNCTION("INDEX(GOOGLEFINANCE(""NSE:""&amp;D71,""PRICE"",TODAY()-7),2,2)"),3962.9)</f>
        <v>3962.9</v>
      </c>
      <c r="I71" s="17">
        <f>IFERROR(__xludf.DUMMYFUNCTION("INDEX(GOOGLEFINANCE(""NSE:""&amp;D71,""PRICE"",TODAY()-14),2,2)"),3810.0)</f>
        <v>3810</v>
      </c>
      <c r="J71" s="17">
        <f>IFERROR(__xludf.DUMMYFUNCTION("INDEX(GOOGLEFINANCE(""NSE:""&amp;D71,""PRICE"",TODAY()-28),2,2)"),3930.25)</f>
        <v>3930.25</v>
      </c>
      <c r="K71" s="17">
        <f>IFERROR(__xludf.DUMMYFUNCTION("INDEX(GOOGLEFINANCE(""NSE:""&amp;D71,""PRICE"",TODAY()-84),2,2)"),3462.6)</f>
        <v>3462.6</v>
      </c>
      <c r="L71" s="16">
        <f t="shared" si="1"/>
        <v>0.006409347072</v>
      </c>
      <c r="M71" s="16">
        <f t="shared" si="2"/>
        <v>-0.01536753388</v>
      </c>
      <c r="N71" s="16">
        <f t="shared" si="3"/>
        <v>0.02414698163</v>
      </c>
      <c r="O71" s="16">
        <f t="shared" si="4"/>
        <v>-0.007187837924</v>
      </c>
      <c r="P71" s="16">
        <f t="shared" si="5"/>
        <v>0.1268988621</v>
      </c>
      <c r="Q71" s="30">
        <f t="shared" si="6"/>
        <v>-0.02775239664</v>
      </c>
      <c r="R71" s="30">
        <f t="shared" si="7"/>
        <v>-0.0006255215741</v>
      </c>
      <c r="S71" s="30">
        <f t="shared" si="8"/>
        <v>-0.07540355066</v>
      </c>
      <c r="T71" s="30">
        <f t="shared" si="9"/>
        <v>-0.006502570464</v>
      </c>
      <c r="U71" s="31" t="str">
        <f t="shared" si="10"/>
        <v>#N/A</v>
      </c>
      <c r="V71" s="31">
        <f t="shared" si="11"/>
        <v>41</v>
      </c>
      <c r="W71" s="31">
        <f t="shared" si="12"/>
        <v>93</v>
      </c>
      <c r="X71" s="31">
        <f t="shared" si="13"/>
        <v>45</v>
      </c>
    </row>
    <row r="72">
      <c r="A72" s="1">
        <v>69.0</v>
      </c>
      <c r="B72" s="22" t="s">
        <v>625</v>
      </c>
      <c r="C72" s="22" t="s">
        <v>528</v>
      </c>
      <c r="D72" s="22" t="s">
        <v>171</v>
      </c>
      <c r="E72" s="23">
        <f>IFERROR(__xludf.DUMMYFUNCTION("GOOGLEFINANCE(""NSE:""&amp;D72,""marketcap"")/10000000"),65911.1071523)</f>
        <v>65911.10715</v>
      </c>
      <c r="F72" s="17">
        <f>IFERROR(__xludf.DUMMYFUNCTION("GOOGLEFINANCE(""NSE:""&amp;D72)"),2781.0)</f>
        <v>2781</v>
      </c>
      <c r="G72" s="17">
        <f>IFERROR(__xludf.DUMMYFUNCTION("GOOGLEFINANCE(""NSE:""&amp;D72,""closeyest"")"),2638.1)</f>
        <v>2638.1</v>
      </c>
      <c r="H72" s="17">
        <f>IFERROR(__xludf.DUMMYFUNCTION("INDEX(GOOGLEFINANCE(""NSE:""&amp;D72,""PRICE"",TODAY()-7),2,2)"),2634.7)</f>
        <v>2634.7</v>
      </c>
      <c r="I72" s="17">
        <f>IFERROR(__xludf.DUMMYFUNCTION("INDEX(GOOGLEFINANCE(""NSE:""&amp;D72,""PRICE"",TODAY()-14),2,2)"),2570.6)</f>
        <v>2570.6</v>
      </c>
      <c r="J72" s="17">
        <f>IFERROR(__xludf.DUMMYFUNCTION("INDEX(GOOGLEFINANCE(""NSE:""&amp;D72,""PRICE"",TODAY()-28),2,2)"),2571.1)</f>
        <v>2571.1</v>
      </c>
      <c r="K72" s="17">
        <f>IFERROR(__xludf.DUMMYFUNCTION("INDEX(GOOGLEFINANCE(""NSE:""&amp;D72,""PRICE"",TODAY()-84),2,2)"),2404.75)</f>
        <v>2404.75</v>
      </c>
      <c r="L72" s="16">
        <f t="shared" si="1"/>
        <v>0.05416777226</v>
      </c>
      <c r="M72" s="16">
        <f t="shared" si="2"/>
        <v>0.05552814362</v>
      </c>
      <c r="N72" s="16">
        <f t="shared" si="3"/>
        <v>0.08184859566</v>
      </c>
      <c r="O72" s="16">
        <f t="shared" si="4"/>
        <v>0.08163820933</v>
      </c>
      <c r="P72" s="16">
        <f t="shared" si="5"/>
        <v>0.1564611706</v>
      </c>
      <c r="Q72" s="30">
        <f t="shared" si="6"/>
        <v>0.04314328086</v>
      </c>
      <c r="R72" s="30">
        <f t="shared" si="7"/>
        <v>0.05707609246</v>
      </c>
      <c r="S72" s="30">
        <f t="shared" si="8"/>
        <v>0.01342249659</v>
      </c>
      <c r="T72" s="30">
        <f t="shared" si="9"/>
        <v>0.02305973801</v>
      </c>
      <c r="U72" s="31" t="str">
        <f t="shared" si="10"/>
        <v>#N/A</v>
      </c>
      <c r="V72" s="31">
        <f t="shared" si="11"/>
        <v>17</v>
      </c>
      <c r="W72" s="31">
        <f t="shared" si="12"/>
        <v>40</v>
      </c>
      <c r="X72" s="31">
        <f t="shared" si="13"/>
        <v>35</v>
      </c>
    </row>
    <row r="73">
      <c r="A73" s="1">
        <v>70.0</v>
      </c>
      <c r="B73" s="22" t="s">
        <v>622</v>
      </c>
      <c r="C73" s="22" t="s">
        <v>528</v>
      </c>
      <c r="D73" s="22" t="s">
        <v>173</v>
      </c>
      <c r="E73" s="23">
        <f>IFERROR(__xludf.DUMMYFUNCTION("GOOGLEFINANCE(""NSE:""&amp;D73,""marketcap"")/10000000"),61106.6161064)</f>
        <v>61106.61611</v>
      </c>
      <c r="F73" s="17">
        <f>IFERROR(__xludf.DUMMYFUNCTION("GOOGLEFINANCE(""NSE:""&amp;D73)"),1522.2)</f>
        <v>1522.2</v>
      </c>
      <c r="G73" s="17">
        <f>IFERROR(__xludf.DUMMYFUNCTION("GOOGLEFINANCE(""NSE:""&amp;D73,""closeyest"")"),1543.5)</f>
        <v>1543.5</v>
      </c>
      <c r="H73" s="17">
        <f>IFERROR(__xludf.DUMMYFUNCTION("INDEX(GOOGLEFINANCE(""NSE:""&amp;D73,""PRICE"",TODAY()-7),2,2)"),1513.5)</f>
        <v>1513.5</v>
      </c>
      <c r="I73" s="17">
        <f>IFERROR(__xludf.DUMMYFUNCTION("INDEX(GOOGLEFINANCE(""NSE:""&amp;D73,""PRICE"",TODAY()-14),2,2)"),1544.55)</f>
        <v>1544.55</v>
      </c>
      <c r="J73" s="17">
        <f>IFERROR(__xludf.DUMMYFUNCTION("INDEX(GOOGLEFINANCE(""NSE:""&amp;D73,""PRICE"",TODAY()-28),2,2)"),1491.7)</f>
        <v>1491.7</v>
      </c>
      <c r="K73" s="17">
        <f>IFERROR(__xludf.DUMMYFUNCTION("INDEX(GOOGLEFINANCE(""NSE:""&amp;D73,""PRICE"",TODAY()-84),2,2)"),1477.4)</f>
        <v>1477.4</v>
      </c>
      <c r="L73" s="16">
        <f t="shared" si="1"/>
        <v>-0.01379980564</v>
      </c>
      <c r="M73" s="16">
        <f t="shared" si="2"/>
        <v>0.00574826561</v>
      </c>
      <c r="N73" s="16">
        <f t="shared" si="3"/>
        <v>-0.01447023405</v>
      </c>
      <c r="O73" s="16">
        <f t="shared" si="4"/>
        <v>0.02044647047</v>
      </c>
      <c r="P73" s="16">
        <f t="shared" si="5"/>
        <v>0.03032354136</v>
      </c>
      <c r="Q73" s="30">
        <f t="shared" si="6"/>
        <v>-0.006636597149</v>
      </c>
      <c r="R73" s="30">
        <f t="shared" si="7"/>
        <v>-0.03924273725</v>
      </c>
      <c r="S73" s="30">
        <f t="shared" si="8"/>
        <v>-0.04776924227</v>
      </c>
      <c r="T73" s="30">
        <f t="shared" si="9"/>
        <v>-0.1030778912</v>
      </c>
      <c r="U73" s="31" t="str">
        <f t="shared" si="10"/>
        <v>#N/A</v>
      </c>
      <c r="V73" s="31">
        <f t="shared" si="11"/>
        <v>75</v>
      </c>
      <c r="W73" s="31">
        <f t="shared" si="12"/>
        <v>78</v>
      </c>
      <c r="X73" s="31">
        <f t="shared" si="13"/>
        <v>74</v>
      </c>
    </row>
    <row r="74">
      <c r="A74" s="1">
        <v>71.0</v>
      </c>
      <c r="B74" s="22" t="s">
        <v>623</v>
      </c>
      <c r="C74" s="22" t="s">
        <v>549</v>
      </c>
      <c r="D74" s="22" t="s">
        <v>180</v>
      </c>
      <c r="E74" s="23">
        <f>IFERROR(__xludf.DUMMYFUNCTION("GOOGLEFINANCE(""NSE:""&amp;D74,""marketcap"")/10000000"),58104.5313823)</f>
        <v>58104.53138</v>
      </c>
      <c r="F74" s="17">
        <f>IFERROR(__xludf.DUMMYFUNCTION("GOOGLEFINANCE(""NSE:""&amp;D74)"),567.0)</f>
        <v>567</v>
      </c>
      <c r="G74" s="17">
        <f>IFERROR(__xludf.DUMMYFUNCTION("GOOGLEFINANCE(""NSE:""&amp;D74,""closeyest"")"),561.15)</f>
        <v>561.15</v>
      </c>
      <c r="H74" s="17">
        <f>IFERROR(__xludf.DUMMYFUNCTION("INDEX(GOOGLEFINANCE(""NSE:""&amp;D74,""PRICE"",TODAY()-7),2,2)"),557.2)</f>
        <v>557.2</v>
      </c>
      <c r="I74" s="17">
        <f>IFERROR(__xludf.DUMMYFUNCTION("INDEX(GOOGLEFINANCE(""NSE:""&amp;D74,""PRICE"",TODAY()-14),2,2)"),555.55)</f>
        <v>555.55</v>
      </c>
      <c r="J74" s="17">
        <f>IFERROR(__xludf.DUMMYFUNCTION("INDEX(GOOGLEFINANCE(""NSE:""&amp;D74,""PRICE"",TODAY()-28),2,2)"),550.55)</f>
        <v>550.55</v>
      </c>
      <c r="K74" s="17">
        <f>IFERROR(__xludf.DUMMYFUNCTION("INDEX(GOOGLEFINANCE(""NSE:""&amp;D74,""PRICE"",TODAY()-84),2,2)"),639.35)</f>
        <v>639.35</v>
      </c>
      <c r="L74" s="16">
        <f t="shared" si="1"/>
        <v>0.01042502005</v>
      </c>
      <c r="M74" s="16">
        <f t="shared" si="2"/>
        <v>0.0175879397</v>
      </c>
      <c r="N74" s="16">
        <f t="shared" si="3"/>
        <v>0.0206102061</v>
      </c>
      <c r="O74" s="16">
        <f t="shared" si="4"/>
        <v>0.0298792117</v>
      </c>
      <c r="P74" s="16">
        <f t="shared" si="5"/>
        <v>-0.113161805</v>
      </c>
      <c r="Q74" s="30">
        <f t="shared" si="6"/>
        <v>0.00520307694</v>
      </c>
      <c r="R74" s="30">
        <f t="shared" si="7"/>
        <v>-0.004162297099</v>
      </c>
      <c r="S74" s="30">
        <f t="shared" si="8"/>
        <v>-0.03833650104</v>
      </c>
      <c r="T74" s="30">
        <f t="shared" si="9"/>
        <v>-0.2465632375</v>
      </c>
      <c r="U74" s="31" t="str">
        <f t="shared" si="10"/>
        <v>#N/A</v>
      </c>
      <c r="V74" s="31">
        <f t="shared" si="11"/>
        <v>44</v>
      </c>
      <c r="W74" s="31">
        <f t="shared" si="12"/>
        <v>67</v>
      </c>
      <c r="X74" s="31">
        <f t="shared" si="13"/>
        <v>96</v>
      </c>
    </row>
    <row r="75">
      <c r="A75" s="1">
        <v>72.0</v>
      </c>
      <c r="B75" s="22" t="s">
        <v>576</v>
      </c>
      <c r="C75" s="22" t="s">
        <v>545</v>
      </c>
      <c r="D75" s="22" t="s">
        <v>183</v>
      </c>
      <c r="E75" s="23">
        <f>IFERROR(__xludf.DUMMYFUNCTION("GOOGLEFINANCE(""NSE:""&amp;D75,""marketcap"")/10000000"),56996.28357)</f>
        <v>56996.28357</v>
      </c>
      <c r="F75" s="17">
        <f>IFERROR(__xludf.DUMMYFUNCTION("GOOGLEFINANCE(""NSE:""&amp;D75)"),2852.0)</f>
        <v>2852</v>
      </c>
      <c r="G75" s="17">
        <f>IFERROR(__xludf.DUMMYFUNCTION("GOOGLEFINANCE(""NSE:""&amp;D75,""closeyest"")"),2847.2)</f>
        <v>2847.2</v>
      </c>
      <c r="H75" s="17">
        <f>IFERROR(__xludf.DUMMYFUNCTION("INDEX(GOOGLEFINANCE(""NSE:""&amp;D75,""PRICE"",TODAY()-7),2,2)"),2932.1)</f>
        <v>2932.1</v>
      </c>
      <c r="I75" s="17">
        <f>IFERROR(__xludf.DUMMYFUNCTION("INDEX(GOOGLEFINANCE(""NSE:""&amp;D75,""PRICE"",TODAY()-14),2,2)"),2789.8)</f>
        <v>2789.8</v>
      </c>
      <c r="J75" s="17">
        <f>IFERROR(__xludf.DUMMYFUNCTION("INDEX(GOOGLEFINANCE(""NSE:""&amp;D75,""PRICE"",TODAY()-28),2,2)"),2674.05)</f>
        <v>2674.05</v>
      </c>
      <c r="K75" s="17">
        <f>IFERROR(__xludf.DUMMYFUNCTION("INDEX(GOOGLEFINANCE(""NSE:""&amp;D75,""PRICE"",TODAY()-84),2,2)"),2919.85)</f>
        <v>2919.85</v>
      </c>
      <c r="L75" s="16">
        <f t="shared" si="1"/>
        <v>0.001685866817</v>
      </c>
      <c r="M75" s="16">
        <f t="shared" si="2"/>
        <v>-0.02731830429</v>
      </c>
      <c r="N75" s="16">
        <f t="shared" si="3"/>
        <v>0.02229550505</v>
      </c>
      <c r="O75" s="16">
        <f t="shared" si="4"/>
        <v>0.066546998</v>
      </c>
      <c r="P75" s="16">
        <f t="shared" si="5"/>
        <v>-0.02323749508</v>
      </c>
      <c r="Q75" s="30">
        <f t="shared" si="6"/>
        <v>-0.03970316705</v>
      </c>
      <c r="R75" s="30">
        <f t="shared" si="7"/>
        <v>-0.002476998147</v>
      </c>
      <c r="S75" s="30">
        <f t="shared" si="8"/>
        <v>-0.001668714738</v>
      </c>
      <c r="T75" s="30">
        <f t="shared" si="9"/>
        <v>-0.1566389277</v>
      </c>
      <c r="U75" s="31" t="str">
        <f t="shared" si="10"/>
        <v>#N/A</v>
      </c>
      <c r="V75" s="31">
        <f t="shared" si="11"/>
        <v>43</v>
      </c>
      <c r="W75" s="31">
        <f t="shared" si="12"/>
        <v>45</v>
      </c>
      <c r="X75" s="31">
        <f t="shared" si="13"/>
        <v>83</v>
      </c>
    </row>
    <row r="76">
      <c r="A76" s="1">
        <v>73.0</v>
      </c>
      <c r="B76" s="22" t="s">
        <v>598</v>
      </c>
      <c r="C76" s="22" t="s">
        <v>526</v>
      </c>
      <c r="D76" s="22" t="s">
        <v>191</v>
      </c>
      <c r="E76" s="23">
        <f>IFERROR(__xludf.DUMMYFUNCTION("GOOGLEFINANCE(""NSE:""&amp;D76,""marketcap"")/10000000"),60248.0387241)</f>
        <v>60248.03872</v>
      </c>
      <c r="F76" s="17">
        <f>IFERROR(__xludf.DUMMYFUNCTION("GOOGLEFINANCE(""NSE:""&amp;D76)"),828.0)</f>
        <v>828</v>
      </c>
      <c r="G76" s="17">
        <f>IFERROR(__xludf.DUMMYFUNCTION("GOOGLEFINANCE(""NSE:""&amp;D76,""closeyest"")"),773.5)</f>
        <v>773.5</v>
      </c>
      <c r="H76" s="17">
        <f>IFERROR(__xludf.DUMMYFUNCTION("INDEX(GOOGLEFINANCE(""NSE:""&amp;D76,""PRICE"",TODAY()-7),2,2)"),741.75)</f>
        <v>741.75</v>
      </c>
      <c r="I76" s="17">
        <f>IFERROR(__xludf.DUMMYFUNCTION("INDEX(GOOGLEFINANCE(""NSE:""&amp;D76,""PRICE"",TODAY()-14),2,2)"),754.6)</f>
        <v>754.6</v>
      </c>
      <c r="J76" s="17">
        <f>IFERROR(__xludf.DUMMYFUNCTION("INDEX(GOOGLEFINANCE(""NSE:""&amp;D76,""PRICE"",TODAY()-28),2,2)"),700.45)</f>
        <v>700.45</v>
      </c>
      <c r="K76" s="17">
        <f>IFERROR(__xludf.DUMMYFUNCTION("INDEX(GOOGLEFINANCE(""NSE:""&amp;D76,""PRICE"",TODAY()-84),2,2)"),662.45)</f>
        <v>662.45</v>
      </c>
      <c r="L76" s="16">
        <f t="shared" si="1"/>
        <v>0.07045895281</v>
      </c>
      <c r="M76" s="16">
        <f t="shared" si="2"/>
        <v>0.1162790698</v>
      </c>
      <c r="N76" s="16">
        <f t="shared" si="3"/>
        <v>0.09727007686</v>
      </c>
      <c r="O76" s="16">
        <f t="shared" si="4"/>
        <v>0.1820972232</v>
      </c>
      <c r="P76" s="16">
        <f t="shared" si="5"/>
        <v>0.2499056533</v>
      </c>
      <c r="Q76" s="30">
        <f t="shared" si="6"/>
        <v>0.103894207</v>
      </c>
      <c r="R76" s="30">
        <f t="shared" si="7"/>
        <v>0.07249757366</v>
      </c>
      <c r="S76" s="30">
        <f t="shared" si="8"/>
        <v>0.1138815105</v>
      </c>
      <c r="T76" s="30">
        <f t="shared" si="9"/>
        <v>0.1165042207</v>
      </c>
      <c r="U76" s="31" t="str">
        <f t="shared" si="10"/>
        <v>#N/A</v>
      </c>
      <c r="V76" s="31">
        <f t="shared" si="11"/>
        <v>13</v>
      </c>
      <c r="W76" s="31">
        <f t="shared" si="12"/>
        <v>7</v>
      </c>
      <c r="X76" s="31">
        <f t="shared" si="13"/>
        <v>19</v>
      </c>
    </row>
    <row r="77">
      <c r="A77" s="1">
        <v>74.0</v>
      </c>
      <c r="B77" s="22" t="s">
        <v>577</v>
      </c>
      <c r="C77" s="22" t="s">
        <v>578</v>
      </c>
      <c r="D77" s="22" t="s">
        <v>181</v>
      </c>
      <c r="E77" s="23">
        <f>IFERROR(__xludf.DUMMYFUNCTION("GOOGLEFINANCE(""NSE:""&amp;D77,""marketcap"")/10000000"),55553.8504648)</f>
        <v>55553.85046</v>
      </c>
      <c r="F77" s="17">
        <f>IFERROR(__xludf.DUMMYFUNCTION("GOOGLEFINANCE(""NSE:""&amp;D77)"),727.1)</f>
        <v>727.1</v>
      </c>
      <c r="G77" s="17">
        <f>IFERROR(__xludf.DUMMYFUNCTION("GOOGLEFINANCE(""NSE:""&amp;D77,""closeyest"")"),724.9)</f>
        <v>724.9</v>
      </c>
      <c r="H77" s="17">
        <f>IFERROR(__xludf.DUMMYFUNCTION("INDEX(GOOGLEFINANCE(""NSE:""&amp;D77,""PRICE"",TODAY()-7),2,2)"),742.35)</f>
        <v>742.35</v>
      </c>
      <c r="I77" s="17">
        <f>IFERROR(__xludf.DUMMYFUNCTION("INDEX(GOOGLEFINANCE(""NSE:""&amp;D77,""PRICE"",TODAY()-14),2,2)"),756.0)</f>
        <v>756</v>
      </c>
      <c r="J77" s="17">
        <f>IFERROR(__xludf.DUMMYFUNCTION("INDEX(GOOGLEFINANCE(""NSE:""&amp;D77,""PRICE"",TODAY()-28),2,2)"),729.25)</f>
        <v>729.25</v>
      </c>
      <c r="K77" s="17">
        <f>IFERROR(__xludf.DUMMYFUNCTION("INDEX(GOOGLEFINANCE(""NSE:""&amp;D77,""PRICE"",TODAY()-84),2,2)"),799.35)</f>
        <v>799.35</v>
      </c>
      <c r="L77" s="16">
        <f t="shared" si="1"/>
        <v>0.003034901366</v>
      </c>
      <c r="M77" s="16">
        <f t="shared" si="2"/>
        <v>-0.02054287061</v>
      </c>
      <c r="N77" s="16">
        <f t="shared" si="3"/>
        <v>-0.03822751323</v>
      </c>
      <c r="O77" s="16">
        <f t="shared" si="4"/>
        <v>-0.002948234487</v>
      </c>
      <c r="P77" s="16">
        <f t="shared" si="5"/>
        <v>-0.09038593858</v>
      </c>
      <c r="Q77" s="30">
        <f t="shared" si="6"/>
        <v>-0.03292773337</v>
      </c>
      <c r="R77" s="30">
        <f t="shared" si="7"/>
        <v>-0.06300001643</v>
      </c>
      <c r="S77" s="30">
        <f t="shared" si="8"/>
        <v>-0.07116394722</v>
      </c>
      <c r="T77" s="30">
        <f t="shared" si="9"/>
        <v>-0.2237873712</v>
      </c>
      <c r="U77" s="31" t="str">
        <f t="shared" si="10"/>
        <v>#N/A</v>
      </c>
      <c r="V77" s="31">
        <f t="shared" si="11"/>
        <v>87</v>
      </c>
      <c r="W77" s="31">
        <f t="shared" si="12"/>
        <v>89</v>
      </c>
      <c r="X77" s="31">
        <f t="shared" si="13"/>
        <v>90</v>
      </c>
    </row>
    <row r="78">
      <c r="A78" s="1">
        <v>75.0</v>
      </c>
      <c r="B78" s="22" t="s">
        <v>608</v>
      </c>
      <c r="C78" s="22" t="s">
        <v>590</v>
      </c>
      <c r="D78" s="22" t="s">
        <v>189</v>
      </c>
      <c r="E78" s="23">
        <f>IFERROR(__xludf.DUMMYFUNCTION("GOOGLEFINANCE(""NSE:""&amp;D78,""marketcap"")/10000000"),54981.09914)</f>
        <v>54981.09914</v>
      </c>
      <c r="F78" s="17">
        <f>IFERROR(__xludf.DUMMYFUNCTION("GOOGLEFINANCE(""NSE:""&amp;D78)"),4170.1)</f>
        <v>4170.1</v>
      </c>
      <c r="G78" s="17">
        <f>IFERROR(__xludf.DUMMYFUNCTION("GOOGLEFINANCE(""NSE:""&amp;D78,""closeyest"")"),4109.2)</f>
        <v>4109.2</v>
      </c>
      <c r="H78" s="17">
        <f>IFERROR(__xludf.DUMMYFUNCTION("INDEX(GOOGLEFINANCE(""NSE:""&amp;D78,""PRICE"",TODAY()-7),2,2)"),4102.8)</f>
        <v>4102.8</v>
      </c>
      <c r="I78" s="17">
        <f>IFERROR(__xludf.DUMMYFUNCTION("INDEX(GOOGLEFINANCE(""NSE:""&amp;D78,""PRICE"",TODAY()-14),2,2)"),4135.2)</f>
        <v>4135.2</v>
      </c>
      <c r="J78" s="17">
        <f>IFERROR(__xludf.DUMMYFUNCTION("INDEX(GOOGLEFINANCE(""NSE:""&amp;D78,""PRICE"",TODAY()-28),2,2)"),3812.35)</f>
        <v>3812.35</v>
      </c>
      <c r="K78" s="17">
        <f>IFERROR(__xludf.DUMMYFUNCTION("INDEX(GOOGLEFINANCE(""NSE:""&amp;D78,""PRICE"",TODAY()-84),2,2)"),3145.75)</f>
        <v>3145.75</v>
      </c>
      <c r="L78" s="16">
        <f t="shared" si="1"/>
        <v>0.014820403</v>
      </c>
      <c r="M78" s="16">
        <f t="shared" si="2"/>
        <v>0.0164034318</v>
      </c>
      <c r="N78" s="16">
        <f t="shared" si="3"/>
        <v>0.008439736893</v>
      </c>
      <c r="O78" s="16">
        <f t="shared" si="4"/>
        <v>0.09383975763</v>
      </c>
      <c r="P78" s="16">
        <f t="shared" si="5"/>
        <v>0.325629818</v>
      </c>
      <c r="Q78" s="30">
        <f t="shared" si="6"/>
        <v>0.004018569044</v>
      </c>
      <c r="R78" s="30">
        <f t="shared" si="7"/>
        <v>-0.01633276631</v>
      </c>
      <c r="S78" s="30">
        <f t="shared" si="8"/>
        <v>0.02562404489</v>
      </c>
      <c r="T78" s="30">
        <f t="shared" si="9"/>
        <v>0.1922283854</v>
      </c>
      <c r="U78" s="31" t="str">
        <f t="shared" si="10"/>
        <v>#N/A</v>
      </c>
      <c r="V78" s="31">
        <f t="shared" si="11"/>
        <v>58</v>
      </c>
      <c r="W78" s="31">
        <f t="shared" si="12"/>
        <v>33</v>
      </c>
      <c r="X78" s="31">
        <f t="shared" si="13"/>
        <v>12</v>
      </c>
    </row>
    <row r="79">
      <c r="A79" s="1">
        <v>76.0</v>
      </c>
      <c r="B79" s="22" t="s">
        <v>592</v>
      </c>
      <c r="C79" s="22" t="s">
        <v>528</v>
      </c>
      <c r="D79" s="22" t="s">
        <v>199</v>
      </c>
      <c r="E79" s="23">
        <f>IFERROR(__xludf.DUMMYFUNCTION("GOOGLEFINANCE(""NSE:""&amp;D79,""marketcap"")/10000000"),54817.576037)</f>
        <v>54817.57604</v>
      </c>
      <c r="F79" s="17">
        <f>IFERROR(__xludf.DUMMYFUNCTION("GOOGLEFINANCE(""NSE:""&amp;D79)"),4950.0)</f>
        <v>4950</v>
      </c>
      <c r="G79" s="17">
        <f>IFERROR(__xludf.DUMMYFUNCTION("GOOGLEFINANCE(""NSE:""&amp;D79,""closeyest"")"),4719.2)</f>
        <v>4719.2</v>
      </c>
      <c r="H79" s="17">
        <f>IFERROR(__xludf.DUMMYFUNCTION("INDEX(GOOGLEFINANCE(""NSE:""&amp;D79,""PRICE"",TODAY()-7),2,2)"),4398.85)</f>
        <v>4398.85</v>
      </c>
      <c r="I79" s="17">
        <f>IFERROR(__xludf.DUMMYFUNCTION("INDEX(GOOGLEFINANCE(""NSE:""&amp;D79,""PRICE"",TODAY()-14),2,2)"),4281.4)</f>
        <v>4281.4</v>
      </c>
      <c r="J79" s="17">
        <f>IFERROR(__xludf.DUMMYFUNCTION("INDEX(GOOGLEFINANCE(""NSE:""&amp;D79,""PRICE"",TODAY()-28),2,2)"),4194.95)</f>
        <v>4194.95</v>
      </c>
      <c r="K79" s="17">
        <f>IFERROR(__xludf.DUMMYFUNCTION("INDEX(GOOGLEFINANCE(""NSE:""&amp;D79,""PRICE"",TODAY()-84),2,2)"),3677.0)</f>
        <v>3677</v>
      </c>
      <c r="L79" s="16">
        <f t="shared" si="1"/>
        <v>0.04890659434</v>
      </c>
      <c r="M79" s="16">
        <f t="shared" si="2"/>
        <v>0.125294111</v>
      </c>
      <c r="N79" s="16">
        <f t="shared" si="3"/>
        <v>0.1561638716</v>
      </c>
      <c r="O79" s="16">
        <f t="shared" si="4"/>
        <v>0.1799902263</v>
      </c>
      <c r="P79" s="16">
        <f t="shared" si="5"/>
        <v>0.3462061463</v>
      </c>
      <c r="Q79" s="30">
        <f t="shared" si="6"/>
        <v>0.1129092482</v>
      </c>
      <c r="R79" s="30">
        <f t="shared" si="7"/>
        <v>0.1313913684</v>
      </c>
      <c r="S79" s="30">
        <f t="shared" si="8"/>
        <v>0.1117745136</v>
      </c>
      <c r="T79" s="30">
        <f t="shared" si="9"/>
        <v>0.2128047137</v>
      </c>
      <c r="U79" s="31" t="str">
        <f t="shared" si="10"/>
        <v>#N/A</v>
      </c>
      <c r="V79" s="31">
        <f t="shared" si="11"/>
        <v>6</v>
      </c>
      <c r="W79" s="31">
        <f t="shared" si="12"/>
        <v>10</v>
      </c>
      <c r="X79" s="31">
        <f t="shared" si="13"/>
        <v>10</v>
      </c>
    </row>
    <row r="80">
      <c r="A80" s="1">
        <v>77.0</v>
      </c>
      <c r="B80" s="22" t="s">
        <v>630</v>
      </c>
      <c r="C80" s="22" t="s">
        <v>549</v>
      </c>
      <c r="D80" s="22" t="s">
        <v>187</v>
      </c>
      <c r="E80" s="23">
        <f>IFERROR(__xludf.DUMMYFUNCTION("GOOGLEFINANCE(""NSE:""&amp;D80,""marketcap"")/10000000"),52592.0557703)</f>
        <v>52592.05577</v>
      </c>
      <c r="F80" s="17">
        <f>IFERROR(__xludf.DUMMYFUNCTION("GOOGLEFINANCE(""NSE:""&amp;D80)"),3100.65)</f>
        <v>3100.65</v>
      </c>
      <c r="G80" s="17">
        <f>IFERROR(__xludf.DUMMYFUNCTION("GOOGLEFINANCE(""NSE:""&amp;D80,""closeyest"")"),3085.5)</f>
        <v>3085.5</v>
      </c>
      <c r="H80" s="17">
        <f>IFERROR(__xludf.DUMMYFUNCTION("INDEX(GOOGLEFINANCE(""NSE:""&amp;D80,""PRICE"",TODAY()-7),2,2)"),3097.2)</f>
        <v>3097.2</v>
      </c>
      <c r="I80" s="17">
        <f>IFERROR(__xludf.DUMMYFUNCTION("INDEX(GOOGLEFINANCE(""NSE:""&amp;D80,""PRICE"",TODAY()-14),2,2)"),3126.05)</f>
        <v>3126.05</v>
      </c>
      <c r="J80" s="17">
        <f>IFERROR(__xludf.DUMMYFUNCTION("INDEX(GOOGLEFINANCE(""NSE:""&amp;D80,""PRICE"",TODAY()-28),2,2)"),3046.9)</f>
        <v>3046.9</v>
      </c>
      <c r="K80" s="17">
        <f>IFERROR(__xludf.DUMMYFUNCTION("INDEX(GOOGLEFINANCE(""NSE:""&amp;D80,""PRICE"",TODAY()-84),2,2)"),2950.35)</f>
        <v>2950.35</v>
      </c>
      <c r="L80" s="16">
        <f t="shared" si="1"/>
        <v>0.004910063199</v>
      </c>
      <c r="M80" s="16">
        <f t="shared" si="2"/>
        <v>0.001113909337</v>
      </c>
      <c r="N80" s="16">
        <f t="shared" si="3"/>
        <v>-0.008125269909</v>
      </c>
      <c r="O80" s="16">
        <f t="shared" si="4"/>
        <v>0.0176408809</v>
      </c>
      <c r="P80" s="16">
        <f t="shared" si="5"/>
        <v>0.05094310844</v>
      </c>
      <c r="Q80" s="30">
        <f t="shared" si="6"/>
        <v>-0.01127095342</v>
      </c>
      <c r="R80" s="30">
        <f t="shared" si="7"/>
        <v>-0.03289777311</v>
      </c>
      <c r="S80" s="30">
        <f t="shared" si="8"/>
        <v>-0.05057483184</v>
      </c>
      <c r="T80" s="30">
        <f t="shared" si="9"/>
        <v>-0.08245832415</v>
      </c>
      <c r="U80" s="31" t="str">
        <f t="shared" si="10"/>
        <v>#N/A</v>
      </c>
      <c r="V80" s="31">
        <f t="shared" si="11"/>
        <v>66</v>
      </c>
      <c r="W80" s="31">
        <f t="shared" si="12"/>
        <v>81</v>
      </c>
      <c r="X80" s="31">
        <f t="shared" si="13"/>
        <v>70</v>
      </c>
    </row>
    <row r="81">
      <c r="A81" s="1">
        <v>78.0</v>
      </c>
      <c r="B81" s="22" t="s">
        <v>619</v>
      </c>
      <c r="C81" s="22" t="s">
        <v>526</v>
      </c>
      <c r="D81" s="22" t="s">
        <v>205</v>
      </c>
      <c r="E81" s="23">
        <f>IFERROR(__xludf.DUMMYFUNCTION("GOOGLEFINANCE(""NSE:""&amp;D81,""marketcap"")/10000000"),46357.1508675)</f>
        <v>46357.15087</v>
      </c>
      <c r="F81" s="17">
        <f>IFERROR(__xludf.DUMMYFUNCTION("GOOGLEFINANCE(""NSE:""&amp;D81)"),1703.4)</f>
        <v>1703.4</v>
      </c>
      <c r="G81" s="17">
        <f>IFERROR(__xludf.DUMMYFUNCTION("GOOGLEFINANCE(""NSE:""&amp;D81,""closeyest"")"),1720.4)</f>
        <v>1720.4</v>
      </c>
      <c r="H81" s="17">
        <f>IFERROR(__xludf.DUMMYFUNCTION("INDEX(GOOGLEFINANCE(""NSE:""&amp;D81,""PRICE"",TODAY()-7),2,2)"),1732.55)</f>
        <v>1732.55</v>
      </c>
      <c r="I81" s="17">
        <f>IFERROR(__xludf.DUMMYFUNCTION("INDEX(GOOGLEFINANCE(""NSE:""&amp;D81,""PRICE"",TODAY()-14),2,2)"),1723.3)</f>
        <v>1723.3</v>
      </c>
      <c r="J81" s="17">
        <f>IFERROR(__xludf.DUMMYFUNCTION("INDEX(GOOGLEFINANCE(""NSE:""&amp;D81,""PRICE"",TODAY()-28),2,2)"),1655.6)</f>
        <v>1655.6</v>
      </c>
      <c r="K81" s="17">
        <f>IFERROR(__xludf.DUMMYFUNCTION("INDEX(GOOGLEFINANCE(""NSE:""&amp;D81,""PRICE"",TODAY()-84),2,2)"),1689.55)</f>
        <v>1689.55</v>
      </c>
      <c r="L81" s="16">
        <f t="shared" si="1"/>
        <v>-0.009881422925</v>
      </c>
      <c r="M81" s="16">
        <f t="shared" si="2"/>
        <v>-0.01682491126</v>
      </c>
      <c r="N81" s="16">
        <f t="shared" si="3"/>
        <v>-0.01154761214</v>
      </c>
      <c r="O81" s="16">
        <f t="shared" si="4"/>
        <v>0.02887170814</v>
      </c>
      <c r="P81" s="16">
        <f t="shared" si="5"/>
        <v>0.008197449025</v>
      </c>
      <c r="Q81" s="30">
        <f t="shared" si="6"/>
        <v>-0.02920977402</v>
      </c>
      <c r="R81" s="30">
        <f t="shared" si="7"/>
        <v>-0.03632011534</v>
      </c>
      <c r="S81" s="30">
        <f t="shared" si="8"/>
        <v>-0.0393440046</v>
      </c>
      <c r="T81" s="30">
        <f t="shared" si="9"/>
        <v>-0.1252039836</v>
      </c>
      <c r="U81" s="31" t="str">
        <f t="shared" si="10"/>
        <v>#N/A</v>
      </c>
      <c r="V81" s="31">
        <f t="shared" si="11"/>
        <v>70</v>
      </c>
      <c r="W81" s="31">
        <f t="shared" si="12"/>
        <v>69</v>
      </c>
      <c r="X81" s="31">
        <f t="shared" si="13"/>
        <v>78</v>
      </c>
    </row>
    <row r="82">
      <c r="A82" s="1">
        <v>79.0</v>
      </c>
      <c r="B82" s="22" t="s">
        <v>631</v>
      </c>
      <c r="C82" s="22" t="s">
        <v>549</v>
      </c>
      <c r="D82" s="22" t="s">
        <v>203</v>
      </c>
      <c r="E82" s="23">
        <f>IFERROR(__xludf.DUMMYFUNCTION("GOOGLEFINANCE(""NSE:""&amp;D82,""marketcap"")/10000000"),47377.6600124)</f>
        <v>47377.66001</v>
      </c>
      <c r="F82" s="17">
        <f>IFERROR(__xludf.DUMMYFUNCTION("GOOGLEFINANCE(""NSE:""&amp;D82)"),3957.0)</f>
        <v>3957</v>
      </c>
      <c r="G82" s="17">
        <f>IFERROR(__xludf.DUMMYFUNCTION("GOOGLEFINANCE(""NSE:""&amp;D82,""closeyest"")"),3894.6)</f>
        <v>3894.6</v>
      </c>
      <c r="H82" s="17">
        <f>IFERROR(__xludf.DUMMYFUNCTION("INDEX(GOOGLEFINANCE(""NSE:""&amp;D82,""PRICE"",TODAY()-7),2,2)"),3824.95)</f>
        <v>3824.95</v>
      </c>
      <c r="I82" s="17">
        <f>IFERROR(__xludf.DUMMYFUNCTION("INDEX(GOOGLEFINANCE(""NSE:""&amp;D82,""PRICE"",TODAY()-14),2,2)"),3823.85)</f>
        <v>3823.85</v>
      </c>
      <c r="J82" s="17">
        <f>IFERROR(__xludf.DUMMYFUNCTION("INDEX(GOOGLEFINANCE(""NSE:""&amp;D82,""PRICE"",TODAY()-28),2,2)"),3887.65)</f>
        <v>3887.65</v>
      </c>
      <c r="K82" s="17">
        <f>IFERROR(__xludf.DUMMYFUNCTION("INDEX(GOOGLEFINANCE(""NSE:""&amp;D82,""PRICE"",TODAY()-84),2,2)"),3194.5)</f>
        <v>3194.5</v>
      </c>
      <c r="L82" s="16">
        <f t="shared" si="1"/>
        <v>0.01602218456</v>
      </c>
      <c r="M82" s="16">
        <f t="shared" si="2"/>
        <v>0.0345233271</v>
      </c>
      <c r="N82" s="16">
        <f t="shared" si="3"/>
        <v>0.03482092655</v>
      </c>
      <c r="O82" s="16">
        <f t="shared" si="4"/>
        <v>0.01783853999</v>
      </c>
      <c r="P82" s="16">
        <f t="shared" si="5"/>
        <v>0.238691501</v>
      </c>
      <c r="Q82" s="30">
        <f t="shared" si="6"/>
        <v>0.02213846434</v>
      </c>
      <c r="R82" s="30">
        <f t="shared" si="7"/>
        <v>0.01004842335</v>
      </c>
      <c r="S82" s="30">
        <f t="shared" si="8"/>
        <v>-0.05037717275</v>
      </c>
      <c r="T82" s="30">
        <f t="shared" si="9"/>
        <v>0.1052900684</v>
      </c>
      <c r="U82" s="31" t="str">
        <f t="shared" si="10"/>
        <v>#N/A</v>
      </c>
      <c r="V82" s="31">
        <f t="shared" si="11"/>
        <v>31</v>
      </c>
      <c r="W82" s="31">
        <f t="shared" si="12"/>
        <v>80</v>
      </c>
      <c r="X82" s="31">
        <f t="shared" si="13"/>
        <v>20</v>
      </c>
    </row>
    <row r="83">
      <c r="A83" s="1">
        <v>80.0</v>
      </c>
      <c r="B83" s="22" t="s">
        <v>620</v>
      </c>
      <c r="C83" s="22" t="s">
        <v>526</v>
      </c>
      <c r="D83" s="22" t="s">
        <v>212</v>
      </c>
      <c r="E83" s="23">
        <f>IFERROR(__xludf.DUMMYFUNCTION("GOOGLEFINANCE(""NSE:""&amp;D83,""marketcap"")/10000000"),46502.26861)</f>
        <v>46502.26861</v>
      </c>
      <c r="F83" s="17">
        <f>IFERROR(__xludf.DUMMYFUNCTION("GOOGLEFINANCE(""NSE:""&amp;D83)"),14325.7)</f>
        <v>14325.7</v>
      </c>
      <c r="G83" s="17">
        <f>IFERROR(__xludf.DUMMYFUNCTION("GOOGLEFINANCE(""NSE:""&amp;D83,""closeyest"")"),14072.55)</f>
        <v>14072.55</v>
      </c>
      <c r="H83" s="17">
        <f>IFERROR(__xludf.DUMMYFUNCTION("INDEX(GOOGLEFINANCE(""NSE:""&amp;D83,""PRICE"",TODAY()-7),2,2)"),13923.2)</f>
        <v>13923.2</v>
      </c>
      <c r="I83" s="17">
        <f>IFERROR(__xludf.DUMMYFUNCTION("INDEX(GOOGLEFINANCE(""NSE:""&amp;D83,""PRICE"",TODAY()-14),2,2)"),14202.9)</f>
        <v>14202.9</v>
      </c>
      <c r="J83" s="17">
        <f>IFERROR(__xludf.DUMMYFUNCTION("INDEX(GOOGLEFINANCE(""NSE:""&amp;D83,""PRICE"",TODAY()-28),2,2)"),13737.2)</f>
        <v>13737.2</v>
      </c>
      <c r="K83" s="17">
        <f>IFERROR(__xludf.DUMMYFUNCTION("INDEX(GOOGLEFINANCE(""NSE:""&amp;D83,""PRICE"",TODAY()-84),2,2)"),13537.7)</f>
        <v>13537.7</v>
      </c>
      <c r="L83" s="16">
        <f t="shared" si="1"/>
        <v>0.0179889217</v>
      </c>
      <c r="M83" s="16">
        <f t="shared" si="2"/>
        <v>0.02890858423</v>
      </c>
      <c r="N83" s="16">
        <f t="shared" si="3"/>
        <v>0.008646121567</v>
      </c>
      <c r="O83" s="16">
        <f t="shared" si="4"/>
        <v>0.04283988003</v>
      </c>
      <c r="P83" s="16">
        <f t="shared" si="5"/>
        <v>0.05820781964</v>
      </c>
      <c r="Q83" s="30">
        <f t="shared" si="6"/>
        <v>0.01652372147</v>
      </c>
      <c r="R83" s="30">
        <f t="shared" si="7"/>
        <v>-0.01612638163</v>
      </c>
      <c r="S83" s="30">
        <f t="shared" si="8"/>
        <v>-0.0253758327</v>
      </c>
      <c r="T83" s="30">
        <f t="shared" si="9"/>
        <v>-0.07519361295</v>
      </c>
      <c r="U83" s="31" t="str">
        <f t="shared" si="10"/>
        <v>#N/A</v>
      </c>
      <c r="V83" s="31">
        <f t="shared" si="11"/>
        <v>57</v>
      </c>
      <c r="W83" s="31">
        <f t="shared" si="12"/>
        <v>58</v>
      </c>
      <c r="X83" s="31">
        <f t="shared" si="13"/>
        <v>68</v>
      </c>
    </row>
    <row r="84">
      <c r="A84" s="1">
        <v>81.0</v>
      </c>
      <c r="B84" s="22" t="s">
        <v>610</v>
      </c>
      <c r="C84" s="22" t="s">
        <v>528</v>
      </c>
      <c r="D84" s="22" t="s">
        <v>207</v>
      </c>
      <c r="E84" s="23">
        <f>IFERROR(__xludf.DUMMYFUNCTION("GOOGLEFINANCE(""NSE:""&amp;D84,""marketcap"")/10000000"),46492.6252758)</f>
        <v>46492.62528</v>
      </c>
      <c r="F84" s="17">
        <f>IFERROR(__xludf.DUMMYFUNCTION("GOOGLEFINANCE(""NSE:""&amp;D84)"),288.4)</f>
        <v>288.4</v>
      </c>
      <c r="G84" s="17">
        <f>IFERROR(__xludf.DUMMYFUNCTION("GOOGLEFINANCE(""NSE:""&amp;D84,""closeyest"")"),284.0)</f>
        <v>284</v>
      </c>
      <c r="H84" s="17">
        <f>IFERROR(__xludf.DUMMYFUNCTION("INDEX(GOOGLEFINANCE(""NSE:""&amp;D84,""PRICE"",TODAY()-7),2,2)"),287.25)</f>
        <v>287.25</v>
      </c>
      <c r="I84" s="17">
        <f>IFERROR(__xludf.DUMMYFUNCTION("INDEX(GOOGLEFINANCE(""NSE:""&amp;D84,""PRICE"",TODAY()-14),2,2)"),283.95)</f>
        <v>283.95</v>
      </c>
      <c r="J84" s="17">
        <f>IFERROR(__xludf.DUMMYFUNCTION("INDEX(GOOGLEFINANCE(""NSE:""&amp;D84,""PRICE"",TODAY()-28),2,2)"),276.1)</f>
        <v>276.1</v>
      </c>
      <c r="K84" s="17">
        <f>IFERROR(__xludf.DUMMYFUNCTION("INDEX(GOOGLEFINANCE(""NSE:""&amp;D84,""PRICE"",TODAY()-84),2,2)"),321.65)</f>
        <v>321.65</v>
      </c>
      <c r="L84" s="16">
        <f t="shared" si="1"/>
        <v>0.01549295775</v>
      </c>
      <c r="M84" s="16">
        <f t="shared" si="2"/>
        <v>0.004003481288</v>
      </c>
      <c r="N84" s="16">
        <f t="shared" si="3"/>
        <v>0.0156717732</v>
      </c>
      <c r="O84" s="16">
        <f t="shared" si="4"/>
        <v>0.04454907642</v>
      </c>
      <c r="P84" s="16">
        <f t="shared" si="5"/>
        <v>-0.1033732318</v>
      </c>
      <c r="Q84" s="30">
        <f t="shared" si="6"/>
        <v>-0.008381381471</v>
      </c>
      <c r="R84" s="30">
        <f t="shared" si="7"/>
        <v>-0.009100730002</v>
      </c>
      <c r="S84" s="30">
        <f t="shared" si="8"/>
        <v>-0.02366663632</v>
      </c>
      <c r="T84" s="30">
        <f t="shared" si="9"/>
        <v>-0.2367746644</v>
      </c>
      <c r="U84" s="31" t="str">
        <f t="shared" si="10"/>
        <v>#N/A</v>
      </c>
      <c r="V84" s="31">
        <f t="shared" si="11"/>
        <v>48</v>
      </c>
      <c r="W84" s="31">
        <f t="shared" si="12"/>
        <v>55</v>
      </c>
      <c r="X84" s="31">
        <f t="shared" si="13"/>
        <v>95</v>
      </c>
    </row>
    <row r="85">
      <c r="A85" s="1">
        <v>82.0</v>
      </c>
      <c r="B85" s="22" t="s">
        <v>597</v>
      </c>
      <c r="C85" s="22" t="s">
        <v>549</v>
      </c>
      <c r="D85" s="22" t="s">
        <v>247</v>
      </c>
      <c r="E85" s="23">
        <f>IFERROR(__xludf.DUMMYFUNCTION("GOOGLEFINANCE(""NSE:""&amp;D85,""marketcap"")/10000000"),45810.7883299)</f>
        <v>45810.78833</v>
      </c>
      <c r="F85" s="17">
        <f>IFERROR(__xludf.DUMMYFUNCTION("GOOGLEFINANCE(""NSE:""&amp;D85)"),21610.0)</f>
        <v>21610</v>
      </c>
      <c r="G85" s="17">
        <f>IFERROR(__xludf.DUMMYFUNCTION("GOOGLEFINANCE(""NSE:""&amp;D85,""closeyest"")"),21464.95)</f>
        <v>21464.95</v>
      </c>
      <c r="H85" s="17">
        <f>IFERROR(__xludf.DUMMYFUNCTION("INDEX(GOOGLEFINANCE(""NSE:""&amp;D85,""PRICE"",TODAY()-7),2,2)"),20480.6)</f>
        <v>20480.6</v>
      </c>
      <c r="I85" s="17">
        <f>IFERROR(__xludf.DUMMYFUNCTION("INDEX(GOOGLEFINANCE(""NSE:""&amp;D85,""PRICE"",TODAY()-14),2,2)"),21378.55)</f>
        <v>21378.55</v>
      </c>
      <c r="J85" s="17">
        <f>IFERROR(__xludf.DUMMYFUNCTION("INDEX(GOOGLEFINANCE(""NSE:""&amp;D85,""PRICE"",TODAY()-28),2,2)"),19028.8)</f>
        <v>19028.8</v>
      </c>
      <c r="K85" s="17">
        <f>IFERROR(__xludf.DUMMYFUNCTION("INDEX(GOOGLEFINANCE(""NSE:""&amp;D85,""PRICE"",TODAY()-84),2,2)"),16764.65)</f>
        <v>16764.65</v>
      </c>
      <c r="L85" s="16">
        <f t="shared" si="1"/>
        <v>0.00675752797</v>
      </c>
      <c r="M85" s="16">
        <f t="shared" si="2"/>
        <v>0.0551448688</v>
      </c>
      <c r="N85" s="16">
        <f t="shared" si="3"/>
        <v>0.01082627213</v>
      </c>
      <c r="O85" s="16">
        <f t="shared" si="4"/>
        <v>0.1356470193</v>
      </c>
      <c r="P85" s="16">
        <f t="shared" si="5"/>
        <v>0.2890218406</v>
      </c>
      <c r="Q85" s="30">
        <f t="shared" si="6"/>
        <v>0.04276000604</v>
      </c>
      <c r="R85" s="30">
        <f t="shared" si="7"/>
        <v>-0.01394623107</v>
      </c>
      <c r="S85" s="30">
        <f t="shared" si="8"/>
        <v>0.06743130652</v>
      </c>
      <c r="T85" s="30">
        <f t="shared" si="9"/>
        <v>0.155620408</v>
      </c>
      <c r="U85" s="31" t="str">
        <f t="shared" si="10"/>
        <v>#N/A</v>
      </c>
      <c r="V85" s="31">
        <f t="shared" si="11"/>
        <v>55</v>
      </c>
      <c r="W85" s="31">
        <f t="shared" si="12"/>
        <v>21</v>
      </c>
      <c r="X85" s="31">
        <f t="shared" si="13"/>
        <v>14</v>
      </c>
    </row>
    <row r="86">
      <c r="A86" s="1">
        <v>83.0</v>
      </c>
      <c r="B86" s="22" t="s">
        <v>599</v>
      </c>
      <c r="C86" s="22" t="s">
        <v>545</v>
      </c>
      <c r="D86" s="22" t="s">
        <v>245</v>
      </c>
      <c r="E86" s="23">
        <f>IFERROR(__xludf.DUMMYFUNCTION("GOOGLEFINANCE(""NSE:""&amp;D86,""marketcap"")/10000000"),45403.229952)</f>
        <v>45403.22995</v>
      </c>
      <c r="F86" s="17">
        <f>IFERROR(__xludf.DUMMYFUNCTION("GOOGLEFINANCE(""NSE:""&amp;D86)"),15374.0)</f>
        <v>15374</v>
      </c>
      <c r="G86" s="17">
        <f>IFERROR(__xludf.DUMMYFUNCTION("GOOGLEFINANCE(""NSE:""&amp;D86,""closeyest"")"),15301.5)</f>
        <v>15301.5</v>
      </c>
      <c r="H86" s="17">
        <f>IFERROR(__xludf.DUMMYFUNCTION("INDEX(GOOGLEFINANCE(""NSE:""&amp;D86,""PRICE"",TODAY()-7),2,2)"),15076.0)</f>
        <v>15076</v>
      </c>
      <c r="I86" s="17">
        <f>IFERROR(__xludf.DUMMYFUNCTION("INDEX(GOOGLEFINANCE(""NSE:""&amp;D86,""PRICE"",TODAY()-14),2,2)"),14566.1)</f>
        <v>14566.1</v>
      </c>
      <c r="J86" s="17">
        <f>IFERROR(__xludf.DUMMYFUNCTION("INDEX(GOOGLEFINANCE(""NSE:""&amp;D86,""PRICE"",TODAY()-28),2,2)"),13642.75)</f>
        <v>13642.75</v>
      </c>
      <c r="K86" s="17">
        <f>IFERROR(__xludf.DUMMYFUNCTION("INDEX(GOOGLEFINANCE(""NSE:""&amp;D86,""PRICE"",TODAY()-84),2,2)"),15357.75)</f>
        <v>15357.75</v>
      </c>
      <c r="L86" s="16">
        <f t="shared" si="1"/>
        <v>0.004738097572</v>
      </c>
      <c r="M86" s="16">
        <f t="shared" si="2"/>
        <v>0.01976651632</v>
      </c>
      <c r="N86" s="16">
        <f t="shared" si="3"/>
        <v>0.05546440022</v>
      </c>
      <c r="O86" s="16">
        <f t="shared" si="4"/>
        <v>0.1268989023</v>
      </c>
      <c r="P86" s="16">
        <f t="shared" si="5"/>
        <v>0.001058097703</v>
      </c>
      <c r="Q86" s="30">
        <f t="shared" si="6"/>
        <v>0.007381653558</v>
      </c>
      <c r="R86" s="30">
        <f t="shared" si="7"/>
        <v>0.03069189702</v>
      </c>
      <c r="S86" s="30">
        <f t="shared" si="8"/>
        <v>0.05868318961</v>
      </c>
      <c r="T86" s="30">
        <f t="shared" si="9"/>
        <v>-0.1323433349</v>
      </c>
      <c r="U86" s="31" t="str">
        <f t="shared" si="10"/>
        <v>#N/A</v>
      </c>
      <c r="V86" s="31">
        <f t="shared" si="11"/>
        <v>23</v>
      </c>
      <c r="W86" s="31">
        <f t="shared" si="12"/>
        <v>23</v>
      </c>
      <c r="X86" s="31">
        <f t="shared" si="13"/>
        <v>80</v>
      </c>
    </row>
    <row r="87">
      <c r="A87" s="1">
        <v>84.0</v>
      </c>
      <c r="B87" s="22" t="s">
        <v>621</v>
      </c>
      <c r="C87" s="22" t="s">
        <v>543</v>
      </c>
      <c r="D87" s="22" t="s">
        <v>215</v>
      </c>
      <c r="E87" s="23">
        <f>IFERROR(__xludf.DUMMYFUNCTION("GOOGLEFINANCE(""NSE:""&amp;D87,""marketcap"")/10000000"),44148.77072)</f>
        <v>44148.77072</v>
      </c>
      <c r="F87" s="17">
        <f>IFERROR(__xludf.DUMMYFUNCTION("GOOGLEFINANCE(""NSE:""&amp;D87)"),2351.0)</f>
        <v>2351</v>
      </c>
      <c r="G87" s="17">
        <f>IFERROR(__xludf.DUMMYFUNCTION("GOOGLEFINANCE(""NSE:""&amp;D87,""closeyest"")"),2365.55)</f>
        <v>2365.55</v>
      </c>
      <c r="H87" s="17">
        <f>IFERROR(__xludf.DUMMYFUNCTION("INDEX(GOOGLEFINANCE(""NSE:""&amp;D87,""PRICE"",TODAY()-7),2,2)"),2394.85)</f>
        <v>2394.85</v>
      </c>
      <c r="I87" s="17">
        <f>IFERROR(__xludf.DUMMYFUNCTION("INDEX(GOOGLEFINANCE(""NSE:""&amp;D87,""PRICE"",TODAY()-14),2,2)"),2471.4)</f>
        <v>2471.4</v>
      </c>
      <c r="J87" s="17">
        <f>IFERROR(__xludf.DUMMYFUNCTION("INDEX(GOOGLEFINANCE(""NSE:""&amp;D87,""PRICE"",TODAY()-28),2,2)"),2348.1)</f>
        <v>2348.1</v>
      </c>
      <c r="K87" s="17">
        <f>IFERROR(__xludf.DUMMYFUNCTION("INDEX(GOOGLEFINANCE(""NSE:""&amp;D87,""PRICE"",TODAY()-84),2,2)"),1987.25)</f>
        <v>1987.25</v>
      </c>
      <c r="L87" s="16">
        <f t="shared" si="1"/>
        <v>-0.006150789457</v>
      </c>
      <c r="M87" s="16">
        <f t="shared" si="2"/>
        <v>-0.01831012381</v>
      </c>
      <c r="N87" s="16">
        <f t="shared" si="3"/>
        <v>-0.04871732621</v>
      </c>
      <c r="O87" s="16">
        <f t="shared" si="4"/>
        <v>0.001235041097</v>
      </c>
      <c r="P87" s="16">
        <f t="shared" si="5"/>
        <v>0.1830418921</v>
      </c>
      <c r="Q87" s="30">
        <f t="shared" si="6"/>
        <v>-0.03069498657</v>
      </c>
      <c r="R87" s="30">
        <f t="shared" si="7"/>
        <v>-0.07348982941</v>
      </c>
      <c r="S87" s="30">
        <f t="shared" si="8"/>
        <v>-0.06698067164</v>
      </c>
      <c r="T87" s="30">
        <f t="shared" si="9"/>
        <v>0.04964045947</v>
      </c>
      <c r="U87" s="31" t="str">
        <f t="shared" si="10"/>
        <v>#N/A</v>
      </c>
      <c r="V87" s="31">
        <f t="shared" si="11"/>
        <v>94</v>
      </c>
      <c r="W87" s="31">
        <f t="shared" si="12"/>
        <v>87</v>
      </c>
      <c r="X87" s="31">
        <f t="shared" si="13"/>
        <v>28</v>
      </c>
    </row>
    <row r="88">
      <c r="A88" s="1">
        <v>85.0</v>
      </c>
      <c r="B88" s="22" t="s">
        <v>607</v>
      </c>
      <c r="C88" s="22" t="s">
        <v>549</v>
      </c>
      <c r="D88" s="22" t="s">
        <v>223</v>
      </c>
      <c r="E88" s="23">
        <f>IFERROR(__xludf.DUMMYFUNCTION("GOOGLEFINANCE(""NSE:""&amp;D88,""marketcap"")/10000000"),43781.3290069)</f>
        <v>43781.32901</v>
      </c>
      <c r="F88" s="17">
        <f>IFERROR(__xludf.DUMMYFUNCTION("GOOGLEFINANCE(""NSE:""&amp;D88)"),367.05)</f>
        <v>367.05</v>
      </c>
      <c r="G88" s="17">
        <f>IFERROR(__xludf.DUMMYFUNCTION("GOOGLEFINANCE(""NSE:""&amp;D88,""closeyest"")"),367.55)</f>
        <v>367.55</v>
      </c>
      <c r="H88" s="17">
        <f>IFERROR(__xludf.DUMMYFUNCTION("INDEX(GOOGLEFINANCE(""NSE:""&amp;D88,""PRICE"",TODAY()-7),2,2)"),377.4)</f>
        <v>377.4</v>
      </c>
      <c r="I88" s="17">
        <f>IFERROR(__xludf.DUMMYFUNCTION("INDEX(GOOGLEFINANCE(""NSE:""&amp;D88,""PRICE"",TODAY()-14),2,2)"),353.6)</f>
        <v>353.6</v>
      </c>
      <c r="J88" s="17">
        <f>IFERROR(__xludf.DUMMYFUNCTION("INDEX(GOOGLEFINANCE(""NSE:""&amp;D88,""PRICE"",TODAY()-28),2,2)"),346.7)</f>
        <v>346.7</v>
      </c>
      <c r="K88" s="17">
        <f>IFERROR(__xludf.DUMMYFUNCTION("INDEX(GOOGLEFINANCE(""NSE:""&amp;D88,""PRICE"",TODAY()-84),2,2)"),408.05)</f>
        <v>408.05</v>
      </c>
      <c r="L88" s="16">
        <f t="shared" si="1"/>
        <v>-0.001360359135</v>
      </c>
      <c r="M88" s="16">
        <f t="shared" si="2"/>
        <v>-0.02742448331</v>
      </c>
      <c r="N88" s="16">
        <f t="shared" si="3"/>
        <v>0.03803733032</v>
      </c>
      <c r="O88" s="16">
        <f t="shared" si="4"/>
        <v>0.0586962792</v>
      </c>
      <c r="P88" s="16">
        <f t="shared" si="5"/>
        <v>-0.1004778826</v>
      </c>
      <c r="Q88" s="30">
        <f t="shared" si="6"/>
        <v>-0.03980934607</v>
      </c>
      <c r="R88" s="30">
        <f t="shared" si="7"/>
        <v>0.01326482712</v>
      </c>
      <c r="S88" s="30">
        <f t="shared" si="8"/>
        <v>-0.009519433533</v>
      </c>
      <c r="T88" s="30">
        <f t="shared" si="9"/>
        <v>-0.2338793152</v>
      </c>
      <c r="U88" s="31" t="str">
        <f t="shared" si="10"/>
        <v>#N/A</v>
      </c>
      <c r="V88" s="31">
        <f t="shared" si="11"/>
        <v>29</v>
      </c>
      <c r="W88" s="31">
        <f t="shared" si="12"/>
        <v>51</v>
      </c>
      <c r="X88" s="31">
        <f t="shared" si="13"/>
        <v>94</v>
      </c>
    </row>
    <row r="89">
      <c r="A89" s="1">
        <v>86.0</v>
      </c>
      <c r="B89" s="22" t="s">
        <v>595</v>
      </c>
      <c r="C89" s="22" t="s">
        <v>526</v>
      </c>
      <c r="D89" s="22" t="s">
        <v>263</v>
      </c>
      <c r="E89" s="23">
        <f>IFERROR(__xludf.DUMMYFUNCTION("GOOGLEFINANCE(""NSE:""&amp;D89,""marketcap"")/10000000"),43826.1747619)</f>
        <v>43826.17476</v>
      </c>
      <c r="F89" s="17">
        <f>IFERROR(__xludf.DUMMYFUNCTION("GOOGLEFINANCE(""NSE:""&amp;D89)"),1654.4)</f>
        <v>1654.4</v>
      </c>
      <c r="G89" s="17">
        <f>IFERROR(__xludf.DUMMYFUNCTION("GOOGLEFINANCE(""NSE:""&amp;D89,""closeyest"")"),1638.95)</f>
        <v>1638.95</v>
      </c>
      <c r="H89" s="17">
        <f>IFERROR(__xludf.DUMMYFUNCTION("INDEX(GOOGLEFINANCE(""NSE:""&amp;D89,""PRICE"",TODAY()-7),2,2)"),1594.65)</f>
        <v>1594.65</v>
      </c>
      <c r="I89" s="17">
        <f>IFERROR(__xludf.DUMMYFUNCTION("INDEX(GOOGLEFINANCE(""NSE:""&amp;D89,""PRICE"",TODAY()-14),2,2)"),1599.1)</f>
        <v>1599.1</v>
      </c>
      <c r="J89" s="17">
        <f>IFERROR(__xludf.DUMMYFUNCTION("INDEX(GOOGLEFINANCE(""NSE:""&amp;D89,""PRICE"",TODAY()-28),2,2)"),1448.6)</f>
        <v>1448.6</v>
      </c>
      <c r="K89" s="17">
        <f>IFERROR(__xludf.DUMMYFUNCTION("INDEX(GOOGLEFINANCE(""NSE:""&amp;D89,""PRICE"",TODAY()-84),2,2)"),1446.6)</f>
        <v>1446.6</v>
      </c>
      <c r="L89" s="16">
        <f t="shared" si="1"/>
        <v>0.009426767137</v>
      </c>
      <c r="M89" s="16">
        <f t="shared" si="2"/>
        <v>0.03746903709</v>
      </c>
      <c r="N89" s="16">
        <f t="shared" si="3"/>
        <v>0.03458195235</v>
      </c>
      <c r="O89" s="16">
        <f t="shared" si="4"/>
        <v>0.1420682038</v>
      </c>
      <c r="P89" s="16">
        <f t="shared" si="5"/>
        <v>0.1436471727</v>
      </c>
      <c r="Q89" s="30">
        <f t="shared" si="6"/>
        <v>0.02508417433</v>
      </c>
      <c r="R89" s="30">
        <f t="shared" si="7"/>
        <v>0.009809449147</v>
      </c>
      <c r="S89" s="30">
        <f t="shared" si="8"/>
        <v>0.07385249105</v>
      </c>
      <c r="T89" s="30">
        <f t="shared" si="9"/>
        <v>0.01024574009</v>
      </c>
      <c r="U89" s="31" t="str">
        <f t="shared" si="10"/>
        <v>#N/A</v>
      </c>
      <c r="V89" s="31">
        <f t="shared" si="11"/>
        <v>32</v>
      </c>
      <c r="W89" s="31">
        <f t="shared" si="12"/>
        <v>18</v>
      </c>
      <c r="X89" s="31">
        <f t="shared" si="13"/>
        <v>37</v>
      </c>
    </row>
    <row r="90">
      <c r="A90" s="1">
        <v>87.0</v>
      </c>
      <c r="B90" s="22" t="s">
        <v>616</v>
      </c>
      <c r="C90" s="22" t="s">
        <v>549</v>
      </c>
      <c r="D90" s="22" t="s">
        <v>225</v>
      </c>
      <c r="E90" s="23">
        <f>IFERROR(__xludf.DUMMYFUNCTION("GOOGLEFINANCE(""NSE:""&amp;D90,""marketcap"")/10000000"),42987.4106733)</f>
        <v>42987.41067</v>
      </c>
      <c r="F90" s="17">
        <f>IFERROR(__xludf.DUMMYFUNCTION("GOOGLEFINANCE(""NSE:""&amp;D90)"),732.0)</f>
        <v>732</v>
      </c>
      <c r="G90" s="17">
        <f>IFERROR(__xludf.DUMMYFUNCTION("GOOGLEFINANCE(""NSE:""&amp;D90,""closeyest"")"),731.1)</f>
        <v>731.1</v>
      </c>
      <c r="H90" s="17">
        <f>IFERROR(__xludf.DUMMYFUNCTION("INDEX(GOOGLEFINANCE(""NSE:""&amp;D90,""PRICE"",TODAY()-7),2,2)"),746.2)</f>
        <v>746.2</v>
      </c>
      <c r="I90" s="17">
        <f>IFERROR(__xludf.DUMMYFUNCTION("INDEX(GOOGLEFINANCE(""NSE:""&amp;D90,""PRICE"",TODAY()-14),2,2)"),736.15)</f>
        <v>736.15</v>
      </c>
      <c r="J90" s="17">
        <f>IFERROR(__xludf.DUMMYFUNCTION("INDEX(GOOGLEFINANCE(""NSE:""&amp;D90,""PRICE"",TODAY()-28),2,2)"),710.0)</f>
        <v>710</v>
      </c>
      <c r="K90" s="17">
        <f>IFERROR(__xludf.DUMMYFUNCTION("INDEX(GOOGLEFINANCE(""NSE:""&amp;D90,""PRICE"",TODAY()-84),2,2)"),994.2)</f>
        <v>994.2</v>
      </c>
      <c r="L90" s="16">
        <f t="shared" si="1"/>
        <v>0.001231021748</v>
      </c>
      <c r="M90" s="16">
        <f t="shared" si="2"/>
        <v>-0.01902975074</v>
      </c>
      <c r="N90" s="16">
        <f t="shared" si="3"/>
        <v>-0.005637438022</v>
      </c>
      <c r="O90" s="16">
        <f t="shared" si="4"/>
        <v>0.03098591549</v>
      </c>
      <c r="P90" s="16">
        <f t="shared" si="5"/>
        <v>-0.2637296319</v>
      </c>
      <c r="Q90" s="30">
        <f t="shared" si="6"/>
        <v>-0.0314146135</v>
      </c>
      <c r="R90" s="30">
        <f t="shared" si="7"/>
        <v>-0.03040994122</v>
      </c>
      <c r="S90" s="30">
        <f t="shared" si="8"/>
        <v>-0.03722979724</v>
      </c>
      <c r="T90" s="30">
        <f t="shared" si="9"/>
        <v>-0.3971310645</v>
      </c>
      <c r="U90" s="31" t="str">
        <f t="shared" si="10"/>
        <v>#N/A</v>
      </c>
      <c r="V90" s="31">
        <f t="shared" si="11"/>
        <v>65</v>
      </c>
      <c r="W90" s="31">
        <f t="shared" si="12"/>
        <v>65</v>
      </c>
      <c r="X90" s="31">
        <f t="shared" si="13"/>
        <v>100</v>
      </c>
    </row>
    <row r="91">
      <c r="A91" s="1">
        <v>88.0</v>
      </c>
      <c r="B91" s="22" t="s">
        <v>632</v>
      </c>
      <c r="C91" s="22" t="s">
        <v>549</v>
      </c>
      <c r="D91" s="22" t="s">
        <v>219</v>
      </c>
      <c r="E91" s="23">
        <f>IFERROR(__xludf.DUMMYFUNCTION("GOOGLEFINANCE(""NSE:""&amp;D91,""marketcap"")/10000000"),42709.9128088)</f>
        <v>42709.91281</v>
      </c>
      <c r="F91" s="17">
        <f>IFERROR(__xludf.DUMMYFUNCTION("GOOGLEFINANCE(""NSE:""&amp;D91)"),938.9)</f>
        <v>938.9</v>
      </c>
      <c r="G91" s="17">
        <f>IFERROR(__xludf.DUMMYFUNCTION("GOOGLEFINANCE(""NSE:""&amp;D91,""closeyest"")"),940.0)</f>
        <v>940</v>
      </c>
      <c r="H91" s="17">
        <f>IFERROR(__xludf.DUMMYFUNCTION("INDEX(GOOGLEFINANCE(""NSE:""&amp;D91,""PRICE"",TODAY()-7),2,2)"),950.95)</f>
        <v>950.95</v>
      </c>
      <c r="I91" s="17">
        <f>IFERROR(__xludf.DUMMYFUNCTION("INDEX(GOOGLEFINANCE(""NSE:""&amp;D91,""PRICE"",TODAY()-14),2,2)"),984.1)</f>
        <v>984.1</v>
      </c>
      <c r="J91" s="17">
        <f>IFERROR(__xludf.DUMMYFUNCTION("INDEX(GOOGLEFINANCE(""NSE:""&amp;D91,""PRICE"",TODAY()-28),2,2)"),940.1)</f>
        <v>940.1</v>
      </c>
      <c r="K91" s="17">
        <f>IFERROR(__xludf.DUMMYFUNCTION("INDEX(GOOGLEFINANCE(""NSE:""&amp;D91,""PRICE"",TODAY()-84),2,2)"),1160.5)</f>
        <v>1160.5</v>
      </c>
      <c r="L91" s="16">
        <f t="shared" si="1"/>
        <v>-0.001170212766</v>
      </c>
      <c r="M91" s="16">
        <f t="shared" si="2"/>
        <v>-0.01267153899</v>
      </c>
      <c r="N91" s="16">
        <f t="shared" si="3"/>
        <v>-0.04593029164</v>
      </c>
      <c r="O91" s="16">
        <f t="shared" si="4"/>
        <v>-0.001276459951</v>
      </c>
      <c r="P91" s="16">
        <f t="shared" si="5"/>
        <v>-0.1909521758</v>
      </c>
      <c r="Q91" s="30">
        <f t="shared" si="6"/>
        <v>-0.02505640175</v>
      </c>
      <c r="R91" s="30">
        <f t="shared" si="7"/>
        <v>-0.07070279484</v>
      </c>
      <c r="S91" s="30">
        <f t="shared" si="8"/>
        <v>-0.06949217269</v>
      </c>
      <c r="T91" s="30">
        <f t="shared" si="9"/>
        <v>-0.3243536084</v>
      </c>
      <c r="U91" s="31" t="str">
        <f t="shared" si="10"/>
        <v>#N/A</v>
      </c>
      <c r="V91" s="31">
        <f t="shared" si="11"/>
        <v>93</v>
      </c>
      <c r="W91" s="31">
        <f t="shared" si="12"/>
        <v>88</v>
      </c>
      <c r="X91" s="31">
        <f t="shared" si="13"/>
        <v>98</v>
      </c>
    </row>
    <row r="92">
      <c r="A92" s="1">
        <v>89.0</v>
      </c>
      <c r="B92" s="22" t="s">
        <v>637</v>
      </c>
      <c r="C92" s="22" t="s">
        <v>552</v>
      </c>
      <c r="D92" s="22" t="s">
        <v>208</v>
      </c>
      <c r="E92" s="23">
        <f>IFERROR(__xludf.DUMMYFUNCTION("GOOGLEFINANCE(""NSE:""&amp;D92,""marketcap"")/10000000"),41878.3579513)</f>
        <v>41878.35795</v>
      </c>
      <c r="F92" s="17">
        <f>IFERROR(__xludf.DUMMYFUNCTION("GOOGLEFINANCE(""NSE:""&amp;D92)"),142.85)</f>
        <v>142.85</v>
      </c>
      <c r="G92" s="17">
        <f>IFERROR(__xludf.DUMMYFUNCTION("GOOGLEFINANCE(""NSE:""&amp;D92,""closeyest"")"),144.6)</f>
        <v>144.6</v>
      </c>
      <c r="H92" s="17">
        <f>IFERROR(__xludf.DUMMYFUNCTION("INDEX(GOOGLEFINANCE(""NSE:""&amp;D92,""PRICE"",TODAY()-7),2,2)"),147.4)</f>
        <v>147.4</v>
      </c>
      <c r="I92" s="17">
        <f>IFERROR(__xludf.DUMMYFUNCTION("INDEX(GOOGLEFINANCE(""NSE:""&amp;D92,""PRICE"",TODAY()-14),2,2)"),151.55)</f>
        <v>151.55</v>
      </c>
      <c r="J92" s="17">
        <f>IFERROR(__xludf.DUMMYFUNCTION("INDEX(GOOGLEFINANCE(""NSE:""&amp;D92,""PRICE"",TODAY()-28),2,2)"),152.2)</f>
        <v>152.2</v>
      </c>
      <c r="K92" s="17">
        <f>IFERROR(__xludf.DUMMYFUNCTION("INDEX(GOOGLEFINANCE(""NSE:""&amp;D92,""PRICE"",TODAY()-84),2,2)"),182.95)</f>
        <v>182.95</v>
      </c>
      <c r="L92" s="16">
        <f t="shared" si="1"/>
        <v>-0.01210235131</v>
      </c>
      <c r="M92" s="16">
        <f t="shared" si="2"/>
        <v>-0.03086838535</v>
      </c>
      <c r="N92" s="16">
        <f t="shared" si="3"/>
        <v>-0.05740679644</v>
      </c>
      <c r="O92" s="16">
        <f t="shared" si="4"/>
        <v>-0.06143232589</v>
      </c>
      <c r="P92" s="16">
        <f t="shared" si="5"/>
        <v>-0.2191855698</v>
      </c>
      <c r="Q92" s="30">
        <f t="shared" si="6"/>
        <v>-0.0432532481</v>
      </c>
      <c r="R92" s="30">
        <f t="shared" si="7"/>
        <v>-0.08217929964</v>
      </c>
      <c r="S92" s="30">
        <f t="shared" si="8"/>
        <v>-0.1296480386</v>
      </c>
      <c r="T92" s="30">
        <f t="shared" si="9"/>
        <v>-0.3525870024</v>
      </c>
      <c r="U92" s="31" t="str">
        <f t="shared" si="10"/>
        <v>#N/A</v>
      </c>
      <c r="V92" s="31">
        <f t="shared" si="11"/>
        <v>96</v>
      </c>
      <c r="W92" s="31">
        <f t="shared" si="12"/>
        <v>99</v>
      </c>
      <c r="X92" s="31">
        <f t="shared" si="13"/>
        <v>99</v>
      </c>
    </row>
    <row r="93">
      <c r="A93" s="1">
        <v>90.0</v>
      </c>
      <c r="B93" s="22" t="s">
        <v>611</v>
      </c>
      <c r="C93" s="22" t="s">
        <v>528</v>
      </c>
      <c r="D93" s="22" t="s">
        <v>253</v>
      </c>
      <c r="E93" s="23">
        <f>IFERROR(__xludf.DUMMYFUNCTION("GOOGLEFINANCE(""NSE:""&amp;D93,""marketcap"")/10000000"),42392.3885)</f>
        <v>42392.3885</v>
      </c>
      <c r="F93" s="17">
        <f>IFERROR(__xludf.DUMMYFUNCTION("GOOGLEFINANCE(""NSE:""&amp;D93)"),38.45)</f>
        <v>38.45</v>
      </c>
      <c r="G93" s="17">
        <f>IFERROR(__xludf.DUMMYFUNCTION("GOOGLEFINANCE(""NSE:""&amp;D93,""closeyest"")"),38.15)</f>
        <v>38.15</v>
      </c>
      <c r="H93" s="17">
        <f>IFERROR(__xludf.DUMMYFUNCTION("INDEX(GOOGLEFINANCE(""NSE:""&amp;D93,""PRICE"",TODAY()-7),2,2)"),39.75)</f>
        <v>39.75</v>
      </c>
      <c r="I93" s="17">
        <f>IFERROR(__xludf.DUMMYFUNCTION("INDEX(GOOGLEFINANCE(""NSE:""&amp;D93,""PRICE"",TODAY()-14),2,2)"),37.6)</f>
        <v>37.6</v>
      </c>
      <c r="J93" s="17">
        <f>IFERROR(__xludf.DUMMYFUNCTION("INDEX(GOOGLEFINANCE(""NSE:""&amp;D93,""PRICE"",TODAY()-28),2,2)"),36.15)</f>
        <v>36.15</v>
      </c>
      <c r="K93" s="17">
        <f>IFERROR(__xludf.DUMMYFUNCTION("INDEX(GOOGLEFINANCE(""NSE:""&amp;D93,""PRICE"",TODAY()-84),2,2)"),42.1)</f>
        <v>42.1</v>
      </c>
      <c r="L93" s="16">
        <f t="shared" si="1"/>
        <v>0.007863695937</v>
      </c>
      <c r="M93" s="16">
        <f t="shared" si="2"/>
        <v>-0.03270440252</v>
      </c>
      <c r="N93" s="16">
        <f t="shared" si="3"/>
        <v>0.02260638298</v>
      </c>
      <c r="O93" s="16">
        <f t="shared" si="4"/>
        <v>0.06362378976</v>
      </c>
      <c r="P93" s="16">
        <f t="shared" si="5"/>
        <v>-0.08669833729</v>
      </c>
      <c r="Q93" s="30">
        <f t="shared" si="6"/>
        <v>-0.04508926527</v>
      </c>
      <c r="R93" s="30">
        <f t="shared" si="7"/>
        <v>-0.002166120223</v>
      </c>
      <c r="S93" s="30">
        <f t="shared" si="8"/>
        <v>-0.004591922973</v>
      </c>
      <c r="T93" s="30">
        <f t="shared" si="9"/>
        <v>-0.2200997699</v>
      </c>
      <c r="U93" s="31" t="str">
        <f t="shared" si="10"/>
        <v>#N/A</v>
      </c>
      <c r="V93" s="31">
        <f t="shared" si="11"/>
        <v>42</v>
      </c>
      <c r="W93" s="31">
        <f t="shared" si="12"/>
        <v>48</v>
      </c>
      <c r="X93" s="31">
        <f t="shared" si="13"/>
        <v>89</v>
      </c>
    </row>
    <row r="94">
      <c r="A94" s="1">
        <v>91.0</v>
      </c>
      <c r="B94" s="22" t="s">
        <v>605</v>
      </c>
      <c r="C94" s="22" t="s">
        <v>522</v>
      </c>
      <c r="D94" s="22" t="s">
        <v>269</v>
      </c>
      <c r="E94" s="23">
        <f>IFERROR(__xludf.DUMMYFUNCTION("GOOGLEFINANCE(""NSE:""&amp;D94,""marketcap"")/10000000"),39676.365749)</f>
        <v>39676.36575</v>
      </c>
      <c r="F94" s="17">
        <f>IFERROR(__xludf.DUMMYFUNCTION("GOOGLEFINANCE(""NSE:""&amp;D94)"),279.5)</f>
        <v>279.5</v>
      </c>
      <c r="G94" s="17">
        <f>IFERROR(__xludf.DUMMYFUNCTION("GOOGLEFINANCE(""NSE:""&amp;D94,""closeyest"")"),276.6)</f>
        <v>276.6</v>
      </c>
      <c r="H94" s="17">
        <f>IFERROR(__xludf.DUMMYFUNCTION("INDEX(GOOGLEFINANCE(""NSE:""&amp;D94,""PRICE"",TODAY()-7),2,2)"),282.95)</f>
        <v>282.95</v>
      </c>
      <c r="I94" s="17">
        <f>IFERROR(__xludf.DUMMYFUNCTION("INDEX(GOOGLEFINANCE(""NSE:""&amp;D94,""PRICE"",TODAY()-14),2,2)"),270.65)</f>
        <v>270.65</v>
      </c>
      <c r="J94" s="17">
        <f>IFERROR(__xludf.DUMMYFUNCTION("INDEX(GOOGLEFINANCE(""NSE:""&amp;D94,""PRICE"",TODAY()-28),2,2)"),256.6)</f>
        <v>256.6</v>
      </c>
      <c r="K94" s="17">
        <f>IFERROR(__xludf.DUMMYFUNCTION("INDEX(GOOGLEFINANCE(""NSE:""&amp;D94,""PRICE"",TODAY()-84),2,2)"),297.95)</f>
        <v>297.95</v>
      </c>
      <c r="L94" s="16">
        <f t="shared" si="1"/>
        <v>0.01048445409</v>
      </c>
      <c r="M94" s="16">
        <f t="shared" si="2"/>
        <v>-0.01219296696</v>
      </c>
      <c r="N94" s="16">
        <f t="shared" si="3"/>
        <v>0.03269905782</v>
      </c>
      <c r="O94" s="16">
        <f t="shared" si="4"/>
        <v>0.08924395947</v>
      </c>
      <c r="P94" s="16">
        <f t="shared" si="5"/>
        <v>-0.06192314147</v>
      </c>
      <c r="Q94" s="30">
        <f t="shared" si="6"/>
        <v>-0.02457782971</v>
      </c>
      <c r="R94" s="30">
        <f t="shared" si="7"/>
        <v>0.007926554622</v>
      </c>
      <c r="S94" s="30">
        <f t="shared" si="8"/>
        <v>0.02102824673</v>
      </c>
      <c r="T94" s="30">
        <f t="shared" si="9"/>
        <v>-0.1953245741</v>
      </c>
      <c r="U94" s="31" t="str">
        <f t="shared" si="10"/>
        <v>#N/A</v>
      </c>
      <c r="V94" s="31">
        <f t="shared" si="11"/>
        <v>35</v>
      </c>
      <c r="W94" s="31">
        <f t="shared" si="12"/>
        <v>36</v>
      </c>
      <c r="X94" s="31">
        <f t="shared" si="13"/>
        <v>87</v>
      </c>
    </row>
    <row r="95">
      <c r="A95" s="1">
        <v>92.0</v>
      </c>
      <c r="B95" s="22" t="s">
        <v>626</v>
      </c>
      <c r="C95" s="22" t="s">
        <v>522</v>
      </c>
      <c r="D95" s="22" t="s">
        <v>267</v>
      </c>
      <c r="E95" s="23">
        <f>IFERROR(__xludf.DUMMYFUNCTION("GOOGLEFINANCE(""NSE:""&amp;D95,""marketcap"")/10000000"),37621.5384759)</f>
        <v>37621.53848</v>
      </c>
      <c r="F95" s="17">
        <f>IFERROR(__xludf.DUMMYFUNCTION("GOOGLEFINANCE(""NSE:""&amp;D95)"),537.7)</f>
        <v>537.7</v>
      </c>
      <c r="G95" s="17">
        <f>IFERROR(__xludf.DUMMYFUNCTION("GOOGLEFINANCE(""NSE:""&amp;D95,""closeyest"")"),537.65)</f>
        <v>537.65</v>
      </c>
      <c r="H95" s="17">
        <f>IFERROR(__xludf.DUMMYFUNCTION("INDEX(GOOGLEFINANCE(""NSE:""&amp;D95,""PRICE"",TODAY()-7),2,2)"),561.35)</f>
        <v>561.35</v>
      </c>
      <c r="I95" s="17">
        <f>IFERROR(__xludf.DUMMYFUNCTION("INDEX(GOOGLEFINANCE(""NSE:""&amp;D95,""PRICE"",TODAY()-14),2,2)"),591.45)</f>
        <v>591.45</v>
      </c>
      <c r="J95" s="17">
        <f>IFERROR(__xludf.DUMMYFUNCTION("INDEX(GOOGLEFINANCE(""NSE:""&amp;D95,""PRICE"",TODAY()-28),2,2)"),524.8)</f>
        <v>524.8</v>
      </c>
      <c r="K95" s="17">
        <f>IFERROR(__xludf.DUMMYFUNCTION("INDEX(GOOGLEFINANCE(""NSE:""&amp;D95,""PRICE"",TODAY()-84),2,2)"),563.65)</f>
        <v>563.65</v>
      </c>
      <c r="L95" s="16">
        <f t="shared" si="1"/>
        <v>0.00009299730308</v>
      </c>
      <c r="M95" s="16">
        <f t="shared" si="2"/>
        <v>-0.04213057807</v>
      </c>
      <c r="N95" s="16">
        <f t="shared" si="3"/>
        <v>-0.09087834982</v>
      </c>
      <c r="O95" s="16">
        <f t="shared" si="4"/>
        <v>0.02458079268</v>
      </c>
      <c r="P95" s="16">
        <f t="shared" si="5"/>
        <v>-0.04603920873</v>
      </c>
      <c r="Q95" s="30">
        <f t="shared" si="6"/>
        <v>-0.05451544083</v>
      </c>
      <c r="R95" s="30">
        <f t="shared" si="7"/>
        <v>-0.115650853</v>
      </c>
      <c r="S95" s="30">
        <f t="shared" si="8"/>
        <v>-0.04363492005</v>
      </c>
      <c r="T95" s="30">
        <f t="shared" si="9"/>
        <v>-0.1794406413</v>
      </c>
      <c r="U95" s="31" t="str">
        <f t="shared" si="10"/>
        <v>#N/A</v>
      </c>
      <c r="V95" s="31">
        <f t="shared" si="11"/>
        <v>97</v>
      </c>
      <c r="W95" s="31">
        <f t="shared" si="12"/>
        <v>74</v>
      </c>
      <c r="X95" s="31">
        <f t="shared" si="13"/>
        <v>86</v>
      </c>
    </row>
    <row r="96">
      <c r="A96" s="1">
        <v>93.0</v>
      </c>
      <c r="B96" s="22" t="s">
        <v>627</v>
      </c>
      <c r="C96" s="22" t="s">
        <v>522</v>
      </c>
      <c r="D96" s="22" t="s">
        <v>293</v>
      </c>
      <c r="E96" s="23">
        <f>IFERROR(__xludf.DUMMYFUNCTION("GOOGLEFINANCE(""NSE:""&amp;D96,""marketcap"")/10000000"),35122.9613567)</f>
        <v>35122.96136</v>
      </c>
      <c r="F96" s="17">
        <f>IFERROR(__xludf.DUMMYFUNCTION("GOOGLEFINANCE(""NSE:""&amp;D96)"),233.5)</f>
        <v>233.5</v>
      </c>
      <c r="G96" s="17">
        <f>IFERROR(__xludf.DUMMYFUNCTION("GOOGLEFINANCE(""NSE:""&amp;D96,""closeyest"")"),233.15)</f>
        <v>233.15</v>
      </c>
      <c r="H96" s="17">
        <f>IFERROR(__xludf.DUMMYFUNCTION("INDEX(GOOGLEFINANCE(""NSE:""&amp;D96,""PRICE"",TODAY()-7),2,2)"),232.2)</f>
        <v>232.2</v>
      </c>
      <c r="I96" s="17">
        <f>IFERROR(__xludf.DUMMYFUNCTION("INDEX(GOOGLEFINANCE(""NSE:""&amp;D96,""PRICE"",TODAY()-14),2,2)"),230.05)</f>
        <v>230.05</v>
      </c>
      <c r="J96" s="17">
        <f>IFERROR(__xludf.DUMMYFUNCTION("INDEX(GOOGLEFINANCE(""NSE:""&amp;D96,""PRICE"",TODAY()-28),2,2)"),227.85)</f>
        <v>227.85</v>
      </c>
      <c r="K96" s="17">
        <f>IFERROR(__xludf.DUMMYFUNCTION("INDEX(GOOGLEFINANCE(""NSE:""&amp;D96,""PRICE"",TODAY()-84),2,2)"),223.4)</f>
        <v>223.4</v>
      </c>
      <c r="L96" s="16">
        <f t="shared" si="1"/>
        <v>0.001501179498</v>
      </c>
      <c r="M96" s="16">
        <f t="shared" si="2"/>
        <v>0.005598621878</v>
      </c>
      <c r="N96" s="16">
        <f t="shared" si="3"/>
        <v>0.01499673984</v>
      </c>
      <c r="O96" s="16">
        <f t="shared" si="4"/>
        <v>0.02479701558</v>
      </c>
      <c r="P96" s="16">
        <f t="shared" si="5"/>
        <v>0.04521038496</v>
      </c>
      <c r="Q96" s="30">
        <f t="shared" si="6"/>
        <v>-0.006786240881</v>
      </c>
      <c r="R96" s="30">
        <f t="shared" si="7"/>
        <v>-0.009775763362</v>
      </c>
      <c r="S96" s="30">
        <f t="shared" si="8"/>
        <v>-0.04341869716</v>
      </c>
      <c r="T96" s="30">
        <f t="shared" si="9"/>
        <v>-0.08819104763</v>
      </c>
      <c r="U96" s="31" t="str">
        <f t="shared" si="10"/>
        <v>#N/A</v>
      </c>
      <c r="V96" s="31">
        <f t="shared" si="11"/>
        <v>49</v>
      </c>
      <c r="W96" s="31">
        <f t="shared" si="12"/>
        <v>72</v>
      </c>
      <c r="X96" s="31">
        <f t="shared" si="13"/>
        <v>71</v>
      </c>
    </row>
    <row r="97">
      <c r="A97" s="1">
        <v>94.0</v>
      </c>
      <c r="B97" s="22" t="s">
        <v>615</v>
      </c>
      <c r="C97" s="22" t="s">
        <v>545</v>
      </c>
      <c r="D97" s="22" t="s">
        <v>301</v>
      </c>
      <c r="E97" s="23">
        <f>IFERROR(__xludf.DUMMYFUNCTION("GOOGLEFINANCE(""NSE:""&amp;D97,""marketcap"")/10000000"),33970.4752638)</f>
        <v>33970.47526</v>
      </c>
      <c r="F97" s="17">
        <f>IFERROR(__xludf.DUMMYFUNCTION("GOOGLEFINANCE(""NSE:""&amp;D97)"),80097.45)</f>
        <v>80097.45</v>
      </c>
      <c r="G97" s="17">
        <f>IFERROR(__xludf.DUMMYFUNCTION("GOOGLEFINANCE(""NSE:""&amp;D97,""closeyest"")"),79993.8)</f>
        <v>79993.8</v>
      </c>
      <c r="H97" s="17">
        <f>IFERROR(__xludf.DUMMYFUNCTION("INDEX(GOOGLEFINANCE(""NSE:""&amp;D97,""PRICE"",TODAY()-7),2,2)"),79397.25)</f>
        <v>79397.25</v>
      </c>
      <c r="I97" s="17">
        <f>IFERROR(__xludf.DUMMYFUNCTION("INDEX(GOOGLEFINANCE(""NSE:""&amp;D97,""PRICE"",TODAY()-14),2,2)"),80243.6)</f>
        <v>80243.6</v>
      </c>
      <c r="J97" s="17">
        <f>IFERROR(__xludf.DUMMYFUNCTION("INDEX(GOOGLEFINANCE(""NSE:""&amp;D97,""PRICE"",TODAY()-28),2,2)"),76953.45)</f>
        <v>76953.45</v>
      </c>
      <c r="K97" s="17">
        <f>IFERROR(__xludf.DUMMYFUNCTION("INDEX(GOOGLEFINANCE(""NSE:""&amp;D97,""PRICE"",TODAY()-84),2,2)"),81142.3)</f>
        <v>81142.3</v>
      </c>
      <c r="L97" s="16">
        <f t="shared" si="1"/>
        <v>0.001295725419</v>
      </c>
      <c r="M97" s="16">
        <f t="shared" si="2"/>
        <v>0.008818945241</v>
      </c>
      <c r="N97" s="16">
        <f t="shared" si="3"/>
        <v>-0.001821329053</v>
      </c>
      <c r="O97" s="16">
        <f t="shared" si="4"/>
        <v>0.04085586806</v>
      </c>
      <c r="P97" s="16">
        <f t="shared" si="5"/>
        <v>-0.01287676095</v>
      </c>
      <c r="Q97" s="30">
        <f t="shared" si="6"/>
        <v>-0.003565917518</v>
      </c>
      <c r="R97" s="30">
        <f t="shared" si="7"/>
        <v>-0.02659383225</v>
      </c>
      <c r="S97" s="30">
        <f t="shared" si="8"/>
        <v>-0.02735984468</v>
      </c>
      <c r="T97" s="30">
        <f t="shared" si="9"/>
        <v>-0.1462781935</v>
      </c>
      <c r="U97" s="31" t="str">
        <f t="shared" si="10"/>
        <v>#N/A</v>
      </c>
      <c r="V97" s="31">
        <f t="shared" si="11"/>
        <v>63</v>
      </c>
      <c r="W97" s="31">
        <f t="shared" si="12"/>
        <v>59</v>
      </c>
      <c r="X97" s="31">
        <f t="shared" si="13"/>
        <v>82</v>
      </c>
    </row>
    <row r="98">
      <c r="A98" s="1">
        <v>95.0</v>
      </c>
      <c r="B98" s="22" t="s">
        <v>587</v>
      </c>
      <c r="C98" s="22" t="s">
        <v>528</v>
      </c>
      <c r="D98" s="22" t="s">
        <v>337</v>
      </c>
      <c r="E98" s="23">
        <f>IFERROR(__xludf.DUMMYFUNCTION("GOOGLEFINANCE(""NSE:""&amp;D98,""marketcap"")/10000000"),32596.4254734)</f>
        <v>32596.42547</v>
      </c>
      <c r="F98" s="17">
        <f>IFERROR(__xludf.DUMMYFUNCTION("GOOGLEFINANCE(""NSE:""&amp;D98)"),13.0)</f>
        <v>13</v>
      </c>
      <c r="G98" s="17">
        <f>IFERROR(__xludf.DUMMYFUNCTION("GOOGLEFINANCE(""NSE:""&amp;D98,""closeyest"")"),13.15)</f>
        <v>13.15</v>
      </c>
      <c r="H98" s="17">
        <f>IFERROR(__xludf.DUMMYFUNCTION("INDEX(GOOGLEFINANCE(""NSE:""&amp;D98,""PRICE"",TODAY()-7),2,2)"),13.25)</f>
        <v>13.25</v>
      </c>
      <c r="I98" s="17">
        <f>IFERROR(__xludf.DUMMYFUNCTION("INDEX(GOOGLEFINANCE(""NSE:""&amp;D98,""PRICE"",TODAY()-14),2,2)"),11.1)</f>
        <v>11.1</v>
      </c>
      <c r="J98" s="17">
        <f>IFERROR(__xludf.DUMMYFUNCTION("INDEX(GOOGLEFINANCE(""NSE:""&amp;D98,""PRICE"",TODAY()-28),2,2)"),11.05)</f>
        <v>11.05</v>
      </c>
      <c r="K98" s="17">
        <f>IFERROR(__xludf.DUMMYFUNCTION("INDEX(GOOGLEFINANCE(""NSE:""&amp;D98,""PRICE"",TODAY()-84),2,2)"),13.55)</f>
        <v>13.55</v>
      </c>
      <c r="L98" s="16">
        <f t="shared" si="1"/>
        <v>-0.01140684411</v>
      </c>
      <c r="M98" s="16">
        <f t="shared" si="2"/>
        <v>-0.01886792453</v>
      </c>
      <c r="N98" s="16">
        <f t="shared" si="3"/>
        <v>0.1711711712</v>
      </c>
      <c r="O98" s="16">
        <f t="shared" si="4"/>
        <v>0.1764705882</v>
      </c>
      <c r="P98" s="16">
        <f t="shared" si="5"/>
        <v>-0.0405904059</v>
      </c>
      <c r="Q98" s="30">
        <f t="shared" si="6"/>
        <v>-0.03125278729</v>
      </c>
      <c r="R98" s="30">
        <f t="shared" si="7"/>
        <v>0.146398668</v>
      </c>
      <c r="S98" s="30">
        <f t="shared" si="8"/>
        <v>0.1082548755</v>
      </c>
      <c r="T98" s="30">
        <f t="shared" si="9"/>
        <v>-0.1739918385</v>
      </c>
      <c r="U98" s="31" t="str">
        <f t="shared" si="10"/>
        <v>#N/A</v>
      </c>
      <c r="V98" s="31">
        <f t="shared" si="11"/>
        <v>3</v>
      </c>
      <c r="W98" s="31">
        <f t="shared" si="12"/>
        <v>12</v>
      </c>
      <c r="X98" s="31">
        <f t="shared" si="13"/>
        <v>85</v>
      </c>
    </row>
    <row r="99">
      <c r="A99" s="1">
        <v>96.0</v>
      </c>
      <c r="B99" s="22" t="s">
        <v>579</v>
      </c>
      <c r="C99" s="22" t="s">
        <v>528</v>
      </c>
      <c r="D99" s="22" t="s">
        <v>26</v>
      </c>
      <c r="E99" s="23">
        <f>IFERROR(__xludf.DUMMYFUNCTION("GOOGLEFINANCE(""NSE:""&amp;D99,""marketcap"")/10000000"),11908.7788472)</f>
        <v>11908.77885</v>
      </c>
      <c r="F99" s="17">
        <f>IFERROR(__xludf.DUMMYFUNCTION("GOOGLEFINANCE(""NSE:""&amp;D99)"),1571.6)</f>
        <v>1571.6</v>
      </c>
      <c r="G99" s="17">
        <f>IFERROR(__xludf.DUMMYFUNCTION("GOOGLEFINANCE(""NSE:""&amp;D99,""closeyest"")"),1533.7)</f>
        <v>1533.7</v>
      </c>
      <c r="H99" s="17">
        <f>IFERROR(__xludf.DUMMYFUNCTION("INDEX(GOOGLEFINANCE(""NSE:""&amp;D99,""PRICE"",TODAY()-7),2,2)"),1582.15)</f>
        <v>1582.15</v>
      </c>
      <c r="I99" s="17">
        <f>IFERROR(__xludf.DUMMYFUNCTION("INDEX(GOOGLEFINANCE(""NSE:""&amp;D99,""PRICE"",TODAY()-14),2,2)"),1555.55)</f>
        <v>1555.55</v>
      </c>
      <c r="J99" s="17">
        <f>IFERROR(__xludf.DUMMYFUNCTION("INDEX(GOOGLEFINANCE(""NSE:""&amp;D99,""PRICE"",TODAY()-28),2,2)"),1548.45)</f>
        <v>1548.45</v>
      </c>
      <c r="K99" s="17">
        <f>IFERROR(__xludf.DUMMYFUNCTION("INDEX(GOOGLEFINANCE(""NSE:""&amp;D99,""PRICE"",TODAY()-84),2,2)"),1480.4)</f>
        <v>1480.4</v>
      </c>
      <c r="L99" s="16">
        <f t="shared" si="1"/>
        <v>0.02471148204</v>
      </c>
      <c r="M99" s="16">
        <f t="shared" si="2"/>
        <v>-0.006668141453</v>
      </c>
      <c r="N99" s="16">
        <f t="shared" si="3"/>
        <v>0.01031789399</v>
      </c>
      <c r="O99" s="16">
        <f t="shared" si="4"/>
        <v>0.01495043431</v>
      </c>
      <c r="P99" s="16">
        <f t="shared" si="5"/>
        <v>0.06160497163</v>
      </c>
      <c r="Q99" s="30">
        <f t="shared" si="6"/>
        <v>-0.01905300421</v>
      </c>
      <c r="R99" s="30">
        <f t="shared" si="7"/>
        <v>-0.01445460921</v>
      </c>
      <c r="S99" s="30">
        <f t="shared" si="8"/>
        <v>-0.05326527843</v>
      </c>
      <c r="T99" s="30">
        <f t="shared" si="9"/>
        <v>-0.07179646096</v>
      </c>
      <c r="U99" s="31" t="str">
        <f t="shared" si="10"/>
        <v>#N/A</v>
      </c>
      <c r="V99" s="31">
        <f t="shared" si="11"/>
        <v>56</v>
      </c>
      <c r="W99" s="31">
        <f t="shared" si="12"/>
        <v>82</v>
      </c>
      <c r="X99" s="31">
        <f t="shared" si="13"/>
        <v>64</v>
      </c>
    </row>
    <row r="100">
      <c r="A100" s="1">
        <v>97.0</v>
      </c>
      <c r="B100" s="22" t="s">
        <v>580</v>
      </c>
      <c r="C100" s="22" t="s">
        <v>524</v>
      </c>
      <c r="D100" s="22" t="s">
        <v>28</v>
      </c>
      <c r="E100" s="23">
        <f>IFERROR(__xludf.DUMMYFUNCTION("GOOGLEFINANCE(""NSE:""&amp;D100,""marketcap"")/10000000"),10066.141614)</f>
        <v>10066.14161</v>
      </c>
      <c r="F100" s="17">
        <f>IFERROR(__xludf.DUMMYFUNCTION("GOOGLEFINANCE(""NSE:""&amp;D100)"),1742.1)</f>
        <v>1742.1</v>
      </c>
      <c r="G100" s="17">
        <f>IFERROR(__xludf.DUMMYFUNCTION("GOOGLEFINANCE(""NSE:""&amp;D100,""closeyest"")"),1716.9)</f>
        <v>1716.9</v>
      </c>
      <c r="H100" s="17">
        <f>IFERROR(__xludf.DUMMYFUNCTION("INDEX(GOOGLEFINANCE(""NSE:""&amp;D100,""PRICE"",TODAY()-7),2,2)"),1691.3)</f>
        <v>1691.3</v>
      </c>
      <c r="I100" s="17">
        <f>IFERROR(__xludf.DUMMYFUNCTION("INDEX(GOOGLEFINANCE(""NSE:""&amp;D100,""PRICE"",TODAY()-14),2,2)"),1691.9)</f>
        <v>1691.9</v>
      </c>
      <c r="J100" s="17">
        <f>IFERROR(__xludf.DUMMYFUNCTION("INDEX(GOOGLEFINANCE(""NSE:""&amp;D100,""PRICE"",TODAY()-28),2,2)"),1708.8)</f>
        <v>1708.8</v>
      </c>
      <c r="K100" s="17">
        <f>IFERROR(__xludf.DUMMYFUNCTION("INDEX(GOOGLEFINANCE(""NSE:""&amp;D100,""PRICE"",TODAY()-84),2,2)"),1567.8)</f>
        <v>1567.8</v>
      </c>
      <c r="L100" s="16">
        <f t="shared" si="1"/>
        <v>0.01467761663</v>
      </c>
      <c r="M100" s="16">
        <f t="shared" si="2"/>
        <v>0.03003606693</v>
      </c>
      <c r="N100" s="16">
        <f t="shared" si="3"/>
        <v>0.02967078433</v>
      </c>
      <c r="O100" s="16">
        <f t="shared" si="4"/>
        <v>0.01948735955</v>
      </c>
      <c r="P100" s="16">
        <f t="shared" si="5"/>
        <v>0.1111748948</v>
      </c>
      <c r="Q100" s="30">
        <f t="shared" si="6"/>
        <v>0.01765120417</v>
      </c>
      <c r="R100" s="30">
        <f t="shared" si="7"/>
        <v>0.004898281124</v>
      </c>
      <c r="S100" s="30">
        <f t="shared" si="8"/>
        <v>-0.04872835319</v>
      </c>
      <c r="T100" s="30">
        <f t="shared" si="9"/>
        <v>-0.02222653783</v>
      </c>
      <c r="U100" s="31" t="str">
        <f t="shared" si="10"/>
        <v>#N/A</v>
      </c>
      <c r="V100" s="31">
        <f t="shared" si="11"/>
        <v>37</v>
      </c>
      <c r="W100" s="31">
        <f t="shared" si="12"/>
        <v>79</v>
      </c>
      <c r="X100" s="31">
        <f t="shared" si="13"/>
        <v>52</v>
      </c>
    </row>
    <row r="101">
      <c r="A101" s="1">
        <v>98.0</v>
      </c>
      <c r="B101" s="22" t="s">
        <v>581</v>
      </c>
      <c r="C101" s="22" t="s">
        <v>528</v>
      </c>
      <c r="D101" s="22" t="s">
        <v>34</v>
      </c>
      <c r="E101" s="23">
        <f>IFERROR(__xludf.DUMMYFUNCTION("GOOGLEFINANCE(""NSE:""&amp;D101,""marketcap"")/10000000"),6827.2247571)</f>
        <v>6827.224757</v>
      </c>
      <c r="F101" s="17">
        <f>IFERROR(__xludf.DUMMYFUNCTION("GOOGLEFINANCE(""NSE:""&amp;D101)"),717.0)</f>
        <v>717</v>
      </c>
      <c r="G101" s="17">
        <f>IFERROR(__xludf.DUMMYFUNCTION("GOOGLEFINANCE(""NSE:""&amp;D101,""closeyest"")"),703.35)</f>
        <v>703.35</v>
      </c>
      <c r="H101" s="17">
        <f>IFERROR(__xludf.DUMMYFUNCTION("INDEX(GOOGLEFINANCE(""NSE:""&amp;D101,""PRICE"",TODAY()-7),2,2)"),720.15)</f>
        <v>720.15</v>
      </c>
      <c r="I101" s="17">
        <f>IFERROR(__xludf.DUMMYFUNCTION("INDEX(GOOGLEFINANCE(""NSE:""&amp;D101,""PRICE"",TODAY()-14),2,2)"),707.4)</f>
        <v>707.4</v>
      </c>
      <c r="J101" s="17">
        <f>IFERROR(__xludf.DUMMYFUNCTION("INDEX(GOOGLEFINANCE(""NSE:""&amp;D101,""PRICE"",TODAY()-28),2,2)"),699.75)</f>
        <v>699.75</v>
      </c>
      <c r="K101" s="17">
        <f>IFERROR(__xludf.DUMMYFUNCTION("INDEX(GOOGLEFINANCE(""NSE:""&amp;D101,""PRICE"",TODAY()-84),2,2)"),640.25)</f>
        <v>640.25</v>
      </c>
      <c r="L101" s="16">
        <f t="shared" si="1"/>
        <v>0.01940712305</v>
      </c>
      <c r="M101" s="16">
        <f t="shared" si="2"/>
        <v>-0.004374088732</v>
      </c>
      <c r="N101" s="16">
        <f t="shared" si="3"/>
        <v>0.01357082273</v>
      </c>
      <c r="O101" s="16">
        <f t="shared" si="4"/>
        <v>0.02465166131</v>
      </c>
      <c r="P101" s="16">
        <f t="shared" si="5"/>
        <v>0.1198750488</v>
      </c>
      <c r="Q101" s="30">
        <f t="shared" si="6"/>
        <v>-0.01675895149</v>
      </c>
      <c r="R101" s="30">
        <f t="shared" si="7"/>
        <v>-0.01120168047</v>
      </c>
      <c r="S101" s="30">
        <f t="shared" si="8"/>
        <v>-0.04356405143</v>
      </c>
      <c r="T101" s="30">
        <f t="shared" si="9"/>
        <v>-0.01352638378</v>
      </c>
      <c r="U101" s="31" t="str">
        <f t="shared" si="10"/>
        <v>#N/A</v>
      </c>
      <c r="V101" s="31">
        <f t="shared" si="11"/>
        <v>52</v>
      </c>
      <c r="W101" s="31">
        <f t="shared" si="12"/>
        <v>73</v>
      </c>
      <c r="X101" s="31">
        <f t="shared" si="13"/>
        <v>47</v>
      </c>
    </row>
    <row r="102">
      <c r="A102" s="1">
        <v>99.0</v>
      </c>
      <c r="B102" s="22" t="s">
        <v>582</v>
      </c>
      <c r="C102" s="22" t="s">
        <v>545</v>
      </c>
      <c r="D102" s="22" t="s">
        <v>110</v>
      </c>
      <c r="E102" s="23">
        <f>IFERROR(__xludf.DUMMYFUNCTION("GOOGLEFINANCE(""NSE:""&amp;D102,""marketcap"")/10000000"),1559.8243894)</f>
        <v>1559.824389</v>
      </c>
      <c r="F102" s="17">
        <f>IFERROR(__xludf.DUMMYFUNCTION("GOOGLEFINANCE(""NSE:""&amp;D102)"),321.0)</f>
        <v>321</v>
      </c>
      <c r="G102" s="17">
        <f>IFERROR(__xludf.DUMMYFUNCTION("GOOGLEFINANCE(""NSE:""&amp;D102,""closeyest"")"),310.1)</f>
        <v>310.1</v>
      </c>
      <c r="H102" s="17">
        <f>IFERROR(__xludf.DUMMYFUNCTION("INDEX(GOOGLEFINANCE(""NSE:""&amp;D102,""PRICE"",TODAY()-7),2,2)"),308.6)</f>
        <v>308.6</v>
      </c>
      <c r="I102" s="17">
        <f>IFERROR(__xludf.DUMMYFUNCTION("INDEX(GOOGLEFINANCE(""NSE:""&amp;D102,""PRICE"",TODAY()-14),2,2)"),301.2)</f>
        <v>301.2</v>
      </c>
      <c r="J102" s="17">
        <f>IFERROR(__xludf.DUMMYFUNCTION("INDEX(GOOGLEFINANCE(""NSE:""&amp;D102,""PRICE"",TODAY()-28),2,2)"),285.75)</f>
        <v>285.75</v>
      </c>
      <c r="K102" s="17">
        <f>IFERROR(__xludf.DUMMYFUNCTION("INDEX(GOOGLEFINANCE(""NSE:""&amp;D102,""PRICE"",TODAY()-84),2,2)"),344.9)</f>
        <v>344.9</v>
      </c>
      <c r="L102" s="16">
        <f t="shared" si="1"/>
        <v>0.03514995163</v>
      </c>
      <c r="M102" s="16">
        <f t="shared" si="2"/>
        <v>0.04018146468</v>
      </c>
      <c r="N102" s="16">
        <f t="shared" si="3"/>
        <v>0.06573705179</v>
      </c>
      <c r="O102" s="16">
        <f t="shared" si="4"/>
        <v>0.1233595801</v>
      </c>
      <c r="P102" s="16">
        <f t="shared" si="5"/>
        <v>-0.06929544796</v>
      </c>
      <c r="Q102" s="30">
        <f t="shared" si="6"/>
        <v>0.02779660192</v>
      </c>
      <c r="R102" s="30">
        <f t="shared" si="7"/>
        <v>0.04096454859</v>
      </c>
      <c r="S102" s="30">
        <f t="shared" si="8"/>
        <v>0.05514386732</v>
      </c>
      <c r="T102" s="30">
        <f t="shared" si="9"/>
        <v>-0.2026968805</v>
      </c>
      <c r="U102" s="31" t="str">
        <f t="shared" si="10"/>
        <v>#N/A</v>
      </c>
      <c r="V102" s="31">
        <f t="shared" si="11"/>
        <v>19</v>
      </c>
      <c r="W102" s="31">
        <f t="shared" si="12"/>
        <v>24</v>
      </c>
      <c r="X102" s="31">
        <f t="shared" si="13"/>
        <v>88</v>
      </c>
    </row>
    <row r="103">
      <c r="A103" s="1">
        <v>100.0</v>
      </c>
      <c r="B103" s="22" t="s">
        <v>583</v>
      </c>
      <c r="C103" s="22" t="s">
        <v>549</v>
      </c>
      <c r="D103" s="22" t="s">
        <v>147</v>
      </c>
      <c r="E103" s="23">
        <f>IFERROR(__xludf.DUMMYFUNCTION("GOOGLEFINANCE(""NSE:""&amp;D103,""marketcap"")/10000000"),1080.6777882)</f>
        <v>1080.677788</v>
      </c>
      <c r="F103" s="17">
        <f>IFERROR(__xludf.DUMMYFUNCTION("GOOGLEFINANCE(""NSE:""&amp;D103)"),4799.95)</f>
        <v>4799.95</v>
      </c>
      <c r="G103" s="17">
        <f>IFERROR(__xludf.DUMMYFUNCTION("GOOGLEFINANCE(""NSE:""&amp;D103,""closeyest"")"),4846.35)</f>
        <v>4846.35</v>
      </c>
      <c r="H103" s="17" t="str">
        <f>IFERROR(__xludf.DUMMYFUNCTION("INDEX(GOOGLEFINANCE(""NSE:""&amp;D103,""PRICE"",TODAY()-7),2,2)"),"#N/A")</f>
        <v>#N/A</v>
      </c>
      <c r="I103" s="17">
        <f>IFERROR(__xludf.DUMMYFUNCTION("INDEX(GOOGLEFINANCE(""NSE:""&amp;D103,""PRICE"",TODAY()-14),2,2)"),4931.4)</f>
        <v>4931.4</v>
      </c>
      <c r="J103" s="17">
        <f>IFERROR(__xludf.DUMMYFUNCTION("INDEX(GOOGLEFINANCE(""NSE:""&amp;D103,""PRICE"",TODAY()-28),2,2)"),4600.55)</f>
        <v>4600.55</v>
      </c>
      <c r="K103" s="17">
        <f>IFERROR(__xludf.DUMMYFUNCTION("INDEX(GOOGLEFINANCE(""NSE:""&amp;D103,""PRICE"",TODAY()-84),2,2)"),5575.7)</f>
        <v>5575.7</v>
      </c>
      <c r="L103" s="16">
        <f t="shared" si="1"/>
        <v>-0.009574215647</v>
      </c>
      <c r="M103" s="16" t="str">
        <f t="shared" si="2"/>
        <v>#N/A</v>
      </c>
      <c r="N103" s="16">
        <f t="shared" si="3"/>
        <v>-0.02665571643</v>
      </c>
      <c r="O103" s="16">
        <f t="shared" si="4"/>
        <v>0.04334264381</v>
      </c>
      <c r="P103" s="16">
        <f t="shared" si="5"/>
        <v>-0.1391305128</v>
      </c>
      <c r="Q103" s="32" t="str">
        <f t="shared" si="6"/>
        <v>#N/A</v>
      </c>
      <c r="R103" s="30">
        <f t="shared" si="7"/>
        <v>-0.05142821963</v>
      </c>
      <c r="S103" s="30">
        <f t="shared" si="8"/>
        <v>-0.02487306892</v>
      </c>
      <c r="T103" s="30">
        <f t="shared" si="9"/>
        <v>-0.2725319454</v>
      </c>
      <c r="U103" s="31" t="str">
        <f t="shared" si="10"/>
        <v>#N/A</v>
      </c>
      <c r="V103" s="31">
        <f t="shared" si="11"/>
        <v>81</v>
      </c>
      <c r="W103" s="31">
        <f t="shared" si="12"/>
        <v>57</v>
      </c>
      <c r="X103" s="31">
        <f t="shared" si="13"/>
        <v>97</v>
      </c>
    </row>
    <row r="104">
      <c r="L104" s="16"/>
      <c r="U104" s="4"/>
      <c r="V104" s="4"/>
      <c r="W104" s="4"/>
      <c r="X104" s="4"/>
    </row>
    <row r="105">
      <c r="L105" s="16"/>
      <c r="U105" s="4"/>
      <c r="V105" s="4"/>
      <c r="W105" s="4"/>
      <c r="X105" s="4"/>
    </row>
    <row r="106">
      <c r="L106" s="16"/>
      <c r="U106" s="4"/>
      <c r="V106" s="4"/>
      <c r="W106" s="4"/>
      <c r="X106" s="4"/>
    </row>
    <row r="107">
      <c r="L107" s="16"/>
      <c r="U107" s="4"/>
      <c r="V107" s="4"/>
      <c r="W107" s="4"/>
      <c r="X107" s="4"/>
    </row>
    <row r="108">
      <c r="L108" s="16"/>
      <c r="U108" s="4"/>
      <c r="V108" s="4"/>
      <c r="W108" s="4"/>
      <c r="X108" s="4"/>
    </row>
    <row r="109">
      <c r="L109" s="16"/>
      <c r="U109" s="4"/>
      <c r="V109" s="4"/>
      <c r="W109" s="4"/>
      <c r="X109" s="4"/>
    </row>
    <row r="110">
      <c r="L110" s="16"/>
      <c r="U110" s="4"/>
      <c r="V110" s="4"/>
      <c r="W110" s="4"/>
      <c r="X110" s="4"/>
    </row>
    <row r="111">
      <c r="L111" s="16"/>
      <c r="U111" s="4"/>
      <c r="V111" s="4"/>
      <c r="W111" s="4"/>
      <c r="X111" s="4"/>
    </row>
    <row r="112">
      <c r="L112" s="16"/>
      <c r="U112" s="4"/>
      <c r="V112" s="4"/>
      <c r="W112" s="4"/>
      <c r="X112" s="4"/>
    </row>
    <row r="113">
      <c r="L113" s="16"/>
      <c r="U113" s="4"/>
      <c r="V113" s="4"/>
      <c r="W113" s="4"/>
      <c r="X113" s="4"/>
    </row>
    <row r="114">
      <c r="L114" s="16"/>
      <c r="U114" s="4"/>
      <c r="V114" s="4"/>
      <c r="W114" s="4"/>
      <c r="X114" s="4"/>
    </row>
    <row r="115">
      <c r="L115" s="16"/>
      <c r="U115" s="4"/>
      <c r="V115" s="4"/>
      <c r="W115" s="4"/>
      <c r="X115" s="4"/>
    </row>
    <row r="116">
      <c r="L116" s="16"/>
      <c r="U116" s="4"/>
      <c r="V116" s="4"/>
      <c r="W116" s="4"/>
      <c r="X116" s="4"/>
    </row>
    <row r="117">
      <c r="L117" s="16"/>
      <c r="U117" s="4"/>
      <c r="V117" s="4"/>
      <c r="W117" s="4"/>
      <c r="X117" s="4"/>
    </row>
    <row r="118">
      <c r="L118" s="16"/>
      <c r="U118" s="4"/>
      <c r="V118" s="4"/>
      <c r="W118" s="4"/>
      <c r="X118" s="4"/>
    </row>
    <row r="119">
      <c r="L119" s="16"/>
      <c r="U119" s="4"/>
      <c r="V119" s="4"/>
      <c r="W119" s="4"/>
      <c r="X119" s="4"/>
    </row>
    <row r="120">
      <c r="L120" s="16"/>
      <c r="U120" s="4"/>
      <c r="V120" s="4"/>
      <c r="W120" s="4"/>
      <c r="X120" s="4"/>
    </row>
    <row r="121">
      <c r="L121" s="16"/>
      <c r="U121" s="4"/>
      <c r="V121" s="4"/>
      <c r="W121" s="4"/>
      <c r="X121" s="4"/>
    </row>
    <row r="122">
      <c r="L122" s="16"/>
      <c r="U122" s="4"/>
      <c r="V122" s="4"/>
      <c r="W122" s="4"/>
      <c r="X122" s="4"/>
    </row>
    <row r="123">
      <c r="L123" s="16"/>
      <c r="U123" s="4"/>
      <c r="V123" s="4"/>
      <c r="W123" s="4"/>
      <c r="X123" s="4"/>
    </row>
    <row r="124">
      <c r="L124" s="16"/>
      <c r="U124" s="4"/>
      <c r="V124" s="4"/>
      <c r="W124" s="4"/>
      <c r="X124" s="4"/>
    </row>
    <row r="125">
      <c r="L125" s="16"/>
      <c r="U125" s="4"/>
      <c r="V125" s="4"/>
      <c r="W125" s="4"/>
      <c r="X125" s="4"/>
    </row>
    <row r="126">
      <c r="L126" s="16"/>
      <c r="U126" s="4"/>
      <c r="V126" s="4"/>
      <c r="W126" s="4"/>
      <c r="X126" s="4"/>
    </row>
    <row r="127">
      <c r="L127" s="16"/>
      <c r="U127" s="4"/>
      <c r="V127" s="4"/>
      <c r="W127" s="4"/>
      <c r="X127" s="4"/>
    </row>
    <row r="128">
      <c r="L128" s="16"/>
      <c r="U128" s="4"/>
      <c r="V128" s="4"/>
      <c r="W128" s="4"/>
      <c r="X128" s="4"/>
    </row>
    <row r="129">
      <c r="L129" s="16"/>
      <c r="U129" s="4"/>
      <c r="V129" s="4"/>
      <c r="W129" s="4"/>
      <c r="X129" s="4"/>
    </row>
    <row r="130">
      <c r="L130" s="16"/>
      <c r="U130" s="4"/>
      <c r="V130" s="4"/>
      <c r="W130" s="4"/>
      <c r="X130" s="4"/>
    </row>
    <row r="131">
      <c r="L131" s="16"/>
      <c r="U131" s="4"/>
      <c r="V131" s="4"/>
      <c r="W131" s="4"/>
      <c r="X131" s="4"/>
    </row>
    <row r="132">
      <c r="L132" s="16"/>
      <c r="U132" s="4"/>
      <c r="V132" s="4"/>
      <c r="W132" s="4"/>
      <c r="X132" s="4"/>
    </row>
    <row r="133">
      <c r="L133" s="16"/>
      <c r="U133" s="4"/>
      <c r="V133" s="4"/>
      <c r="W133" s="4"/>
      <c r="X133" s="4"/>
    </row>
    <row r="134">
      <c r="L134" s="16"/>
      <c r="U134" s="4"/>
      <c r="V134" s="4"/>
      <c r="W134" s="4"/>
      <c r="X134" s="4"/>
    </row>
    <row r="135">
      <c r="L135" s="16"/>
      <c r="U135" s="4"/>
      <c r="V135" s="4"/>
      <c r="W135" s="4"/>
      <c r="X135" s="4"/>
    </row>
    <row r="136">
      <c r="L136" s="16"/>
      <c r="U136" s="4"/>
      <c r="V136" s="4"/>
      <c r="W136" s="4"/>
      <c r="X136" s="4"/>
    </row>
    <row r="137">
      <c r="L137" s="16"/>
      <c r="U137" s="4"/>
      <c r="V137" s="4"/>
      <c r="W137" s="4"/>
      <c r="X137" s="4"/>
    </row>
    <row r="138">
      <c r="L138" s="16"/>
      <c r="U138" s="4"/>
      <c r="V138" s="4"/>
      <c r="W138" s="4"/>
      <c r="X138" s="4"/>
    </row>
    <row r="139">
      <c r="L139" s="16"/>
      <c r="U139" s="4"/>
      <c r="V139" s="4"/>
      <c r="W139" s="4"/>
      <c r="X139" s="4"/>
    </row>
    <row r="140">
      <c r="L140" s="16"/>
      <c r="U140" s="4"/>
      <c r="V140" s="4"/>
      <c r="W140" s="4"/>
      <c r="X140" s="4"/>
    </row>
    <row r="141">
      <c r="L141" s="16"/>
      <c r="U141" s="4"/>
      <c r="V141" s="4"/>
      <c r="W141" s="4"/>
      <c r="X141" s="4"/>
    </row>
    <row r="142">
      <c r="L142" s="16"/>
      <c r="U142" s="4"/>
      <c r="V142" s="4"/>
      <c r="W142" s="4"/>
      <c r="X142" s="4"/>
    </row>
    <row r="143">
      <c r="L143" s="16"/>
      <c r="U143" s="4"/>
      <c r="V143" s="4"/>
      <c r="W143" s="4"/>
      <c r="X143" s="4"/>
    </row>
    <row r="144">
      <c r="L144" s="16"/>
      <c r="U144" s="4"/>
      <c r="V144" s="4"/>
      <c r="W144" s="4"/>
      <c r="X144" s="4"/>
    </row>
    <row r="145">
      <c r="L145" s="16"/>
      <c r="U145" s="4"/>
      <c r="V145" s="4"/>
      <c r="W145" s="4"/>
      <c r="X145" s="4"/>
    </row>
    <row r="146">
      <c r="L146" s="16"/>
      <c r="U146" s="4"/>
      <c r="V146" s="4"/>
      <c r="W146" s="4"/>
      <c r="X146" s="4"/>
    </row>
    <row r="147">
      <c r="L147" s="16"/>
      <c r="U147" s="4"/>
      <c r="V147" s="4"/>
      <c r="W147" s="4"/>
      <c r="X147" s="4"/>
    </row>
    <row r="148">
      <c r="L148" s="16"/>
      <c r="U148" s="4"/>
      <c r="V148" s="4"/>
      <c r="W148" s="4"/>
      <c r="X148" s="4"/>
    </row>
    <row r="149">
      <c r="L149" s="16"/>
      <c r="U149" s="4"/>
      <c r="V149" s="4"/>
      <c r="W149" s="4"/>
      <c r="X149" s="4"/>
    </row>
    <row r="150">
      <c r="L150" s="16"/>
      <c r="U150" s="4"/>
      <c r="V150" s="4"/>
      <c r="W150" s="4"/>
      <c r="X150" s="4"/>
    </row>
    <row r="151">
      <c r="L151" s="16"/>
      <c r="U151" s="4"/>
      <c r="V151" s="4"/>
      <c r="W151" s="4"/>
      <c r="X151" s="4"/>
    </row>
    <row r="152">
      <c r="L152" s="16"/>
      <c r="U152" s="4"/>
      <c r="V152" s="4"/>
      <c r="W152" s="4"/>
      <c r="X152" s="4"/>
    </row>
    <row r="153">
      <c r="L153" s="16"/>
      <c r="U153" s="4"/>
      <c r="V153" s="4"/>
      <c r="W153" s="4"/>
      <c r="X153" s="4"/>
    </row>
    <row r="154">
      <c r="L154" s="16"/>
      <c r="U154" s="4"/>
      <c r="V154" s="4"/>
      <c r="W154" s="4"/>
      <c r="X154" s="4"/>
    </row>
    <row r="155">
      <c r="L155" s="16"/>
      <c r="U155" s="4"/>
      <c r="V155" s="4"/>
      <c r="W155" s="4"/>
      <c r="X155" s="4"/>
    </row>
    <row r="156">
      <c r="L156" s="16"/>
      <c r="U156" s="4"/>
      <c r="V156" s="4"/>
      <c r="W156" s="4"/>
      <c r="X156" s="4"/>
    </row>
    <row r="157">
      <c r="L157" s="16"/>
      <c r="U157" s="4"/>
      <c r="V157" s="4"/>
      <c r="W157" s="4"/>
      <c r="X157" s="4"/>
    </row>
    <row r="158">
      <c r="L158" s="16"/>
      <c r="U158" s="4"/>
      <c r="V158" s="4"/>
      <c r="W158" s="4"/>
      <c r="X158" s="4"/>
    </row>
    <row r="159">
      <c r="L159" s="16"/>
      <c r="U159" s="4"/>
      <c r="V159" s="4"/>
      <c r="W159" s="4"/>
      <c r="X159" s="4"/>
    </row>
    <row r="160">
      <c r="L160" s="16"/>
      <c r="U160" s="4"/>
      <c r="V160" s="4"/>
      <c r="W160" s="4"/>
      <c r="X160" s="4"/>
    </row>
    <row r="161">
      <c r="L161" s="16"/>
      <c r="U161" s="4"/>
      <c r="V161" s="4"/>
      <c r="W161" s="4"/>
      <c r="X161" s="4"/>
    </row>
    <row r="162">
      <c r="L162" s="16"/>
      <c r="U162" s="4"/>
      <c r="V162" s="4"/>
      <c r="W162" s="4"/>
      <c r="X162" s="4"/>
    </row>
    <row r="163">
      <c r="L163" s="16"/>
      <c r="U163" s="4"/>
      <c r="V163" s="4"/>
      <c r="W163" s="4"/>
      <c r="X163" s="4"/>
    </row>
    <row r="164">
      <c r="L164" s="16"/>
      <c r="U164" s="4"/>
      <c r="V164" s="4"/>
      <c r="W164" s="4"/>
      <c r="X164" s="4"/>
    </row>
    <row r="165">
      <c r="L165" s="16"/>
      <c r="U165" s="4"/>
      <c r="V165" s="4"/>
      <c r="W165" s="4"/>
      <c r="X165" s="4"/>
    </row>
    <row r="166">
      <c r="L166" s="16"/>
      <c r="U166" s="4"/>
      <c r="V166" s="4"/>
      <c r="W166" s="4"/>
      <c r="X166" s="4"/>
    </row>
    <row r="167">
      <c r="L167" s="16"/>
      <c r="U167" s="4"/>
      <c r="V167" s="4"/>
      <c r="W167" s="4"/>
      <c r="X167" s="4"/>
    </row>
    <row r="168">
      <c r="L168" s="16"/>
      <c r="U168" s="4"/>
      <c r="V168" s="4"/>
      <c r="W168" s="4"/>
      <c r="X168" s="4"/>
    </row>
    <row r="169">
      <c r="L169" s="16"/>
      <c r="U169" s="4"/>
      <c r="V169" s="4"/>
      <c r="W169" s="4"/>
      <c r="X169" s="4"/>
    </row>
    <row r="170">
      <c r="L170" s="16"/>
      <c r="U170" s="4"/>
      <c r="V170" s="4"/>
      <c r="W170" s="4"/>
      <c r="X170" s="4"/>
    </row>
    <row r="171">
      <c r="L171" s="16"/>
      <c r="U171" s="4"/>
      <c r="V171" s="4"/>
      <c r="W171" s="4"/>
      <c r="X171" s="4"/>
    </row>
    <row r="172">
      <c r="L172" s="16"/>
      <c r="U172" s="4"/>
      <c r="V172" s="4"/>
      <c r="W172" s="4"/>
      <c r="X172" s="4"/>
    </row>
    <row r="173">
      <c r="L173" s="16"/>
      <c r="U173" s="4"/>
      <c r="V173" s="4"/>
      <c r="W173" s="4"/>
      <c r="X173" s="4"/>
    </row>
    <row r="174">
      <c r="L174" s="16"/>
      <c r="U174" s="4"/>
      <c r="V174" s="4"/>
      <c r="W174" s="4"/>
      <c r="X174" s="4"/>
    </row>
    <row r="175">
      <c r="L175" s="16"/>
      <c r="U175" s="4"/>
      <c r="V175" s="4"/>
      <c r="W175" s="4"/>
      <c r="X175" s="4"/>
    </row>
    <row r="176">
      <c r="L176" s="16"/>
      <c r="U176" s="4"/>
      <c r="V176" s="4"/>
      <c r="W176" s="4"/>
      <c r="X176" s="4"/>
    </row>
    <row r="177">
      <c r="L177" s="16"/>
      <c r="U177" s="4"/>
      <c r="V177" s="4"/>
      <c r="W177" s="4"/>
      <c r="X177" s="4"/>
    </row>
    <row r="178">
      <c r="L178" s="16"/>
      <c r="U178" s="4"/>
      <c r="V178" s="4"/>
      <c r="W178" s="4"/>
      <c r="X178" s="4"/>
    </row>
    <row r="179">
      <c r="L179" s="16"/>
      <c r="U179" s="4"/>
      <c r="V179" s="4"/>
      <c r="W179" s="4"/>
      <c r="X179" s="4"/>
    </row>
    <row r="180">
      <c r="L180" s="16"/>
      <c r="U180" s="4"/>
      <c r="V180" s="4"/>
      <c r="W180" s="4"/>
      <c r="X180" s="4"/>
    </row>
    <row r="181">
      <c r="L181" s="16"/>
      <c r="U181" s="4"/>
      <c r="V181" s="4"/>
      <c r="W181" s="4"/>
      <c r="X181" s="4"/>
    </row>
    <row r="182">
      <c r="L182" s="16"/>
      <c r="U182" s="4"/>
      <c r="V182" s="4"/>
      <c r="W182" s="4"/>
      <c r="X182" s="4"/>
    </row>
    <row r="183">
      <c r="L183" s="16"/>
      <c r="U183" s="4"/>
      <c r="V183" s="4"/>
      <c r="W183" s="4"/>
      <c r="X183" s="4"/>
    </row>
    <row r="184">
      <c r="L184" s="16"/>
      <c r="U184" s="4"/>
      <c r="V184" s="4"/>
      <c r="W184" s="4"/>
      <c r="X184" s="4"/>
    </row>
    <row r="185">
      <c r="L185" s="16"/>
      <c r="U185" s="4"/>
      <c r="V185" s="4"/>
      <c r="W185" s="4"/>
      <c r="X185" s="4"/>
    </row>
    <row r="186">
      <c r="L186" s="16"/>
      <c r="U186" s="4"/>
      <c r="V186" s="4"/>
      <c r="W186" s="4"/>
      <c r="X186" s="4"/>
    </row>
    <row r="187">
      <c r="L187" s="16"/>
      <c r="U187" s="4"/>
      <c r="V187" s="4"/>
      <c r="W187" s="4"/>
      <c r="X187" s="4"/>
    </row>
    <row r="188">
      <c r="L188" s="16"/>
      <c r="U188" s="4"/>
      <c r="V188" s="4"/>
      <c r="W188" s="4"/>
      <c r="X188" s="4"/>
    </row>
    <row r="189">
      <c r="L189" s="16"/>
      <c r="U189" s="4"/>
      <c r="V189" s="4"/>
      <c r="W189" s="4"/>
      <c r="X189" s="4"/>
    </row>
    <row r="190">
      <c r="L190" s="16"/>
      <c r="U190" s="4"/>
      <c r="V190" s="4"/>
      <c r="W190" s="4"/>
      <c r="X190" s="4"/>
    </row>
    <row r="191">
      <c r="L191" s="16"/>
      <c r="U191" s="4"/>
      <c r="V191" s="4"/>
      <c r="W191" s="4"/>
      <c r="X191" s="4"/>
    </row>
    <row r="192">
      <c r="L192" s="16"/>
      <c r="U192" s="4"/>
      <c r="V192" s="4"/>
      <c r="W192" s="4"/>
      <c r="X192" s="4"/>
    </row>
    <row r="193">
      <c r="L193" s="16"/>
      <c r="U193" s="4"/>
      <c r="V193" s="4"/>
      <c r="W193" s="4"/>
      <c r="X193" s="4"/>
    </row>
    <row r="194">
      <c r="L194" s="16"/>
      <c r="U194" s="4"/>
      <c r="V194" s="4"/>
      <c r="W194" s="4"/>
      <c r="X194" s="4"/>
    </row>
    <row r="195">
      <c r="L195" s="16"/>
      <c r="U195" s="4"/>
      <c r="V195" s="4"/>
      <c r="W195" s="4"/>
      <c r="X195" s="4"/>
    </row>
    <row r="196">
      <c r="L196" s="16"/>
      <c r="U196" s="4"/>
      <c r="V196" s="4"/>
      <c r="W196" s="4"/>
      <c r="X196" s="4"/>
    </row>
    <row r="197">
      <c r="L197" s="16"/>
      <c r="U197" s="4"/>
      <c r="V197" s="4"/>
      <c r="W197" s="4"/>
      <c r="X197" s="4"/>
    </row>
    <row r="198">
      <c r="L198" s="16"/>
      <c r="U198" s="4"/>
      <c r="V198" s="4"/>
      <c r="W198" s="4"/>
      <c r="X198" s="4"/>
    </row>
    <row r="199">
      <c r="L199" s="16"/>
      <c r="U199" s="4"/>
      <c r="V199" s="4"/>
      <c r="W199" s="4"/>
      <c r="X199" s="4"/>
    </row>
    <row r="200">
      <c r="L200" s="16"/>
      <c r="U200" s="4"/>
      <c r="V200" s="4"/>
      <c r="W200" s="4"/>
      <c r="X200" s="4"/>
    </row>
    <row r="201">
      <c r="L201" s="16"/>
      <c r="U201" s="4"/>
      <c r="V201" s="4"/>
      <c r="W201" s="4"/>
      <c r="X201" s="4"/>
    </row>
    <row r="202">
      <c r="L202" s="16"/>
      <c r="U202" s="4"/>
      <c r="V202" s="4"/>
      <c r="W202" s="4"/>
      <c r="X202" s="4"/>
    </row>
    <row r="203">
      <c r="L203" s="16"/>
      <c r="U203" s="4"/>
      <c r="V203" s="4"/>
      <c r="W203" s="4"/>
      <c r="X203" s="4"/>
    </row>
    <row r="204">
      <c r="L204" s="16"/>
      <c r="U204" s="4"/>
      <c r="V204" s="4"/>
      <c r="W204" s="4"/>
      <c r="X204" s="4"/>
    </row>
    <row r="205">
      <c r="L205" s="16"/>
      <c r="U205" s="4"/>
      <c r="V205" s="4"/>
      <c r="W205" s="4"/>
      <c r="X205" s="4"/>
    </row>
    <row r="206">
      <c r="L206" s="16"/>
      <c r="U206" s="4"/>
      <c r="V206" s="4"/>
      <c r="W206" s="4"/>
      <c r="X206" s="4"/>
    </row>
    <row r="207">
      <c r="L207" s="16"/>
      <c r="U207" s="4"/>
      <c r="V207" s="4"/>
      <c r="W207" s="4"/>
      <c r="X207" s="4"/>
    </row>
    <row r="208">
      <c r="L208" s="16"/>
      <c r="U208" s="4"/>
      <c r="V208" s="4"/>
      <c r="W208" s="4"/>
      <c r="X208" s="4"/>
    </row>
    <row r="209">
      <c r="L209" s="16"/>
      <c r="U209" s="4"/>
      <c r="V209" s="4"/>
      <c r="W209" s="4"/>
      <c r="X209" s="4"/>
    </row>
    <row r="210">
      <c r="L210" s="16"/>
      <c r="U210" s="4"/>
      <c r="V210" s="4"/>
      <c r="W210" s="4"/>
      <c r="X210" s="4"/>
    </row>
    <row r="211">
      <c r="L211" s="16"/>
      <c r="U211" s="4"/>
      <c r="V211" s="4"/>
      <c r="W211" s="4"/>
      <c r="X211" s="4"/>
    </row>
    <row r="212">
      <c r="L212" s="16"/>
      <c r="U212" s="4"/>
      <c r="V212" s="4"/>
      <c r="W212" s="4"/>
      <c r="X212" s="4"/>
    </row>
    <row r="213">
      <c r="L213" s="16"/>
      <c r="U213" s="4"/>
      <c r="V213" s="4"/>
      <c r="W213" s="4"/>
      <c r="X213" s="4"/>
    </row>
    <row r="214">
      <c r="L214" s="16"/>
      <c r="U214" s="4"/>
      <c r="V214" s="4"/>
      <c r="W214" s="4"/>
      <c r="X214" s="4"/>
    </row>
    <row r="215">
      <c r="L215" s="16"/>
      <c r="U215" s="4"/>
      <c r="V215" s="4"/>
      <c r="W215" s="4"/>
      <c r="X215" s="4"/>
    </row>
    <row r="216">
      <c r="L216" s="16"/>
      <c r="U216" s="4"/>
      <c r="V216" s="4"/>
      <c r="W216" s="4"/>
      <c r="X216" s="4"/>
    </row>
    <row r="217">
      <c r="L217" s="16"/>
      <c r="U217" s="4"/>
      <c r="V217" s="4"/>
      <c r="W217" s="4"/>
      <c r="X217" s="4"/>
    </row>
    <row r="218">
      <c r="L218" s="16"/>
      <c r="U218" s="4"/>
      <c r="V218" s="4"/>
      <c r="W218" s="4"/>
      <c r="X218" s="4"/>
    </row>
    <row r="219">
      <c r="L219" s="16"/>
      <c r="U219" s="4"/>
      <c r="V219" s="4"/>
      <c r="W219" s="4"/>
      <c r="X219" s="4"/>
    </row>
    <row r="220">
      <c r="L220" s="16"/>
      <c r="U220" s="4"/>
      <c r="V220" s="4"/>
      <c r="W220" s="4"/>
      <c r="X220" s="4"/>
    </row>
    <row r="221">
      <c r="L221" s="16"/>
      <c r="U221" s="4"/>
      <c r="V221" s="4"/>
      <c r="W221" s="4"/>
      <c r="X221" s="4"/>
    </row>
    <row r="222">
      <c r="L222" s="16"/>
      <c r="U222" s="4"/>
      <c r="V222" s="4"/>
      <c r="W222" s="4"/>
      <c r="X222" s="4"/>
    </row>
    <row r="223">
      <c r="L223" s="16"/>
      <c r="U223" s="4"/>
      <c r="V223" s="4"/>
      <c r="W223" s="4"/>
      <c r="X223" s="4"/>
    </row>
    <row r="224">
      <c r="L224" s="16"/>
      <c r="U224" s="4"/>
      <c r="V224" s="4"/>
      <c r="W224" s="4"/>
      <c r="X224" s="4"/>
    </row>
    <row r="225">
      <c r="L225" s="16"/>
      <c r="U225" s="4"/>
      <c r="V225" s="4"/>
      <c r="W225" s="4"/>
      <c r="X225" s="4"/>
    </row>
    <row r="226">
      <c r="L226" s="16"/>
      <c r="U226" s="4"/>
      <c r="V226" s="4"/>
      <c r="W226" s="4"/>
      <c r="X226" s="4"/>
    </row>
    <row r="227">
      <c r="L227" s="16"/>
      <c r="U227" s="4"/>
      <c r="V227" s="4"/>
      <c r="W227" s="4"/>
      <c r="X227" s="4"/>
    </row>
    <row r="228">
      <c r="L228" s="16"/>
      <c r="U228" s="4"/>
      <c r="V228" s="4"/>
      <c r="W228" s="4"/>
      <c r="X228" s="4"/>
    </row>
    <row r="229">
      <c r="L229" s="16"/>
      <c r="U229" s="4"/>
      <c r="V229" s="4"/>
      <c r="W229" s="4"/>
      <c r="X229" s="4"/>
    </row>
    <row r="230">
      <c r="L230" s="16"/>
      <c r="U230" s="4"/>
      <c r="V230" s="4"/>
      <c r="W230" s="4"/>
      <c r="X230" s="4"/>
    </row>
    <row r="231">
      <c r="L231" s="16"/>
      <c r="U231" s="4"/>
      <c r="V231" s="4"/>
      <c r="W231" s="4"/>
      <c r="X231" s="4"/>
    </row>
    <row r="232">
      <c r="L232" s="16"/>
      <c r="U232" s="4"/>
      <c r="V232" s="4"/>
      <c r="W232" s="4"/>
      <c r="X232" s="4"/>
    </row>
    <row r="233">
      <c r="L233" s="16"/>
      <c r="U233" s="4"/>
      <c r="V233" s="4"/>
      <c r="W233" s="4"/>
      <c r="X233" s="4"/>
    </row>
    <row r="234">
      <c r="L234" s="16"/>
      <c r="U234" s="4"/>
      <c r="V234" s="4"/>
      <c r="W234" s="4"/>
      <c r="X234" s="4"/>
    </row>
    <row r="235">
      <c r="L235" s="16"/>
      <c r="U235" s="4"/>
      <c r="V235" s="4"/>
      <c r="W235" s="4"/>
      <c r="X235" s="4"/>
    </row>
    <row r="236">
      <c r="L236" s="16"/>
      <c r="U236" s="4"/>
      <c r="V236" s="4"/>
      <c r="W236" s="4"/>
      <c r="X236" s="4"/>
    </row>
    <row r="237">
      <c r="L237" s="16"/>
      <c r="U237" s="4"/>
      <c r="V237" s="4"/>
      <c r="W237" s="4"/>
      <c r="X237" s="4"/>
    </row>
    <row r="238">
      <c r="L238" s="16"/>
      <c r="U238" s="4"/>
      <c r="V238" s="4"/>
      <c r="W238" s="4"/>
      <c r="X238" s="4"/>
    </row>
    <row r="239">
      <c r="L239" s="16"/>
      <c r="U239" s="4"/>
      <c r="V239" s="4"/>
      <c r="W239" s="4"/>
      <c r="X239" s="4"/>
    </row>
    <row r="240">
      <c r="L240" s="16"/>
      <c r="U240" s="4"/>
      <c r="V240" s="4"/>
      <c r="W240" s="4"/>
      <c r="X240" s="4"/>
    </row>
    <row r="241">
      <c r="L241" s="16"/>
      <c r="U241" s="4"/>
      <c r="V241" s="4"/>
      <c r="W241" s="4"/>
      <c r="X241" s="4"/>
    </row>
    <row r="242">
      <c r="L242" s="16"/>
      <c r="U242" s="4"/>
      <c r="V242" s="4"/>
      <c r="W242" s="4"/>
      <c r="X242" s="4"/>
    </row>
    <row r="243">
      <c r="L243" s="16"/>
      <c r="U243" s="4"/>
      <c r="V243" s="4"/>
      <c r="W243" s="4"/>
      <c r="X243" s="4"/>
    </row>
    <row r="244">
      <c r="L244" s="16"/>
      <c r="U244" s="4"/>
      <c r="V244" s="4"/>
      <c r="W244" s="4"/>
      <c r="X244" s="4"/>
    </row>
    <row r="245">
      <c r="L245" s="16"/>
      <c r="U245" s="4"/>
      <c r="V245" s="4"/>
      <c r="W245" s="4"/>
      <c r="X245" s="4"/>
    </row>
    <row r="246">
      <c r="L246" s="16"/>
      <c r="U246" s="4"/>
      <c r="V246" s="4"/>
      <c r="W246" s="4"/>
      <c r="X246" s="4"/>
    </row>
    <row r="247">
      <c r="L247" s="16"/>
      <c r="U247" s="4"/>
      <c r="V247" s="4"/>
      <c r="W247" s="4"/>
      <c r="X247" s="4"/>
    </row>
    <row r="248">
      <c r="L248" s="16"/>
      <c r="U248" s="4"/>
      <c r="V248" s="4"/>
      <c r="W248" s="4"/>
      <c r="X248" s="4"/>
    </row>
    <row r="249">
      <c r="L249" s="16"/>
      <c r="U249" s="4"/>
      <c r="V249" s="4"/>
      <c r="W249" s="4"/>
      <c r="X249" s="4"/>
    </row>
    <row r="250">
      <c r="L250" s="16"/>
      <c r="U250" s="4"/>
      <c r="V250" s="4"/>
      <c r="W250" s="4"/>
      <c r="X250" s="4"/>
    </row>
    <row r="251">
      <c r="L251" s="16"/>
      <c r="U251" s="4"/>
      <c r="V251" s="4"/>
      <c r="W251" s="4"/>
      <c r="X251" s="4"/>
    </row>
    <row r="252">
      <c r="L252" s="16"/>
      <c r="U252" s="4"/>
      <c r="V252" s="4"/>
      <c r="W252" s="4"/>
      <c r="X252" s="4"/>
    </row>
    <row r="253">
      <c r="L253" s="16"/>
      <c r="U253" s="4"/>
      <c r="V253" s="4"/>
      <c r="W253" s="4"/>
      <c r="X253" s="4"/>
    </row>
    <row r="254">
      <c r="L254" s="16"/>
      <c r="U254" s="4"/>
      <c r="V254" s="4"/>
      <c r="W254" s="4"/>
      <c r="X254" s="4"/>
    </row>
    <row r="255">
      <c r="L255" s="16"/>
      <c r="U255" s="4"/>
      <c r="V255" s="4"/>
      <c r="W255" s="4"/>
      <c r="X255" s="4"/>
    </row>
    <row r="256">
      <c r="L256" s="16"/>
      <c r="U256" s="4"/>
      <c r="V256" s="4"/>
      <c r="W256" s="4"/>
      <c r="X256" s="4"/>
    </row>
    <row r="257">
      <c r="L257" s="16"/>
      <c r="U257" s="4"/>
      <c r="V257" s="4"/>
      <c r="W257" s="4"/>
      <c r="X257" s="4"/>
    </row>
    <row r="258">
      <c r="L258" s="16"/>
      <c r="U258" s="4"/>
      <c r="V258" s="4"/>
      <c r="W258" s="4"/>
      <c r="X258" s="4"/>
    </row>
    <row r="259">
      <c r="L259" s="16"/>
      <c r="U259" s="4"/>
      <c r="V259" s="4"/>
      <c r="W259" s="4"/>
      <c r="X259" s="4"/>
    </row>
    <row r="260">
      <c r="L260" s="16"/>
      <c r="U260" s="4"/>
      <c r="V260" s="4"/>
      <c r="W260" s="4"/>
      <c r="X260" s="4"/>
    </row>
    <row r="261">
      <c r="L261" s="16"/>
      <c r="U261" s="4"/>
      <c r="V261" s="4"/>
      <c r="W261" s="4"/>
      <c r="X261" s="4"/>
    </row>
    <row r="262">
      <c r="L262" s="16"/>
      <c r="U262" s="4"/>
      <c r="V262" s="4"/>
      <c r="W262" s="4"/>
      <c r="X262" s="4"/>
    </row>
    <row r="263">
      <c r="L263" s="16"/>
      <c r="U263" s="4"/>
      <c r="V263" s="4"/>
      <c r="W263" s="4"/>
      <c r="X263" s="4"/>
    </row>
    <row r="264">
      <c r="L264" s="16"/>
      <c r="U264" s="4"/>
      <c r="V264" s="4"/>
      <c r="W264" s="4"/>
      <c r="X264" s="4"/>
    </row>
    <row r="265">
      <c r="L265" s="16"/>
      <c r="U265" s="4"/>
      <c r="V265" s="4"/>
      <c r="W265" s="4"/>
      <c r="X265" s="4"/>
    </row>
    <row r="266">
      <c r="L266" s="16"/>
      <c r="U266" s="4"/>
      <c r="V266" s="4"/>
      <c r="W266" s="4"/>
      <c r="X266" s="4"/>
    </row>
    <row r="267">
      <c r="L267" s="16"/>
      <c r="U267" s="4"/>
      <c r="V267" s="4"/>
      <c r="W267" s="4"/>
      <c r="X267" s="4"/>
    </row>
    <row r="268">
      <c r="L268" s="16"/>
      <c r="U268" s="4"/>
      <c r="V268" s="4"/>
      <c r="W268" s="4"/>
      <c r="X268" s="4"/>
    </row>
    <row r="269">
      <c r="L269" s="16"/>
      <c r="U269" s="4"/>
      <c r="V269" s="4"/>
      <c r="W269" s="4"/>
      <c r="X269" s="4"/>
    </row>
    <row r="270">
      <c r="L270" s="16"/>
      <c r="U270" s="4"/>
      <c r="V270" s="4"/>
      <c r="W270" s="4"/>
      <c r="X270" s="4"/>
    </row>
    <row r="271">
      <c r="L271" s="16"/>
      <c r="U271" s="4"/>
      <c r="V271" s="4"/>
      <c r="W271" s="4"/>
      <c r="X271" s="4"/>
    </row>
    <row r="272">
      <c r="L272" s="16"/>
      <c r="U272" s="4"/>
      <c r="V272" s="4"/>
      <c r="W272" s="4"/>
      <c r="X272" s="4"/>
    </row>
    <row r="273">
      <c r="L273" s="16"/>
      <c r="U273" s="4"/>
      <c r="V273" s="4"/>
      <c r="W273" s="4"/>
      <c r="X273" s="4"/>
    </row>
    <row r="274">
      <c r="L274" s="16"/>
      <c r="U274" s="4"/>
      <c r="V274" s="4"/>
      <c r="W274" s="4"/>
      <c r="X274" s="4"/>
    </row>
    <row r="275">
      <c r="L275" s="16"/>
      <c r="U275" s="4"/>
      <c r="V275" s="4"/>
      <c r="W275" s="4"/>
      <c r="X275" s="4"/>
    </row>
    <row r="276">
      <c r="L276" s="16"/>
      <c r="U276" s="4"/>
      <c r="V276" s="4"/>
      <c r="W276" s="4"/>
      <c r="X276" s="4"/>
    </row>
    <row r="277">
      <c r="L277" s="16"/>
      <c r="U277" s="4"/>
      <c r="V277" s="4"/>
      <c r="W277" s="4"/>
      <c r="X277" s="4"/>
    </row>
    <row r="278">
      <c r="L278" s="16"/>
      <c r="U278" s="4"/>
      <c r="V278" s="4"/>
      <c r="W278" s="4"/>
      <c r="X278" s="4"/>
    </row>
    <row r="279">
      <c r="L279" s="16"/>
      <c r="U279" s="4"/>
      <c r="V279" s="4"/>
      <c r="W279" s="4"/>
      <c r="X279" s="4"/>
    </row>
    <row r="280">
      <c r="L280" s="16"/>
      <c r="U280" s="4"/>
      <c r="V280" s="4"/>
      <c r="W280" s="4"/>
      <c r="X280" s="4"/>
    </row>
    <row r="281">
      <c r="L281" s="16"/>
      <c r="U281" s="4"/>
      <c r="V281" s="4"/>
      <c r="W281" s="4"/>
      <c r="X281" s="4"/>
    </row>
    <row r="282">
      <c r="L282" s="16"/>
      <c r="U282" s="4"/>
      <c r="V282" s="4"/>
      <c r="W282" s="4"/>
      <c r="X282" s="4"/>
    </row>
    <row r="283">
      <c r="L283" s="16"/>
      <c r="U283" s="4"/>
      <c r="V283" s="4"/>
      <c r="W283" s="4"/>
      <c r="X283" s="4"/>
    </row>
    <row r="284">
      <c r="L284" s="16"/>
      <c r="U284" s="4"/>
      <c r="V284" s="4"/>
      <c r="W284" s="4"/>
      <c r="X284" s="4"/>
    </row>
    <row r="285">
      <c r="L285" s="16"/>
      <c r="U285" s="4"/>
      <c r="V285" s="4"/>
      <c r="W285" s="4"/>
      <c r="X285" s="4"/>
    </row>
    <row r="286">
      <c r="L286" s="16"/>
      <c r="U286" s="4"/>
      <c r="V286" s="4"/>
      <c r="W286" s="4"/>
      <c r="X286" s="4"/>
    </row>
    <row r="287">
      <c r="L287" s="16"/>
      <c r="U287" s="4"/>
      <c r="V287" s="4"/>
      <c r="W287" s="4"/>
      <c r="X287" s="4"/>
    </row>
    <row r="288">
      <c r="L288" s="16"/>
      <c r="U288" s="4"/>
      <c r="V288" s="4"/>
      <c r="W288" s="4"/>
      <c r="X288" s="4"/>
    </row>
    <row r="289">
      <c r="L289" s="16"/>
      <c r="U289" s="4"/>
      <c r="V289" s="4"/>
      <c r="W289" s="4"/>
      <c r="X289" s="4"/>
    </row>
    <row r="290">
      <c r="L290" s="16"/>
      <c r="U290" s="4"/>
      <c r="V290" s="4"/>
      <c r="W290" s="4"/>
      <c r="X290" s="4"/>
    </row>
    <row r="291">
      <c r="L291" s="16"/>
      <c r="U291" s="4"/>
      <c r="V291" s="4"/>
      <c r="W291" s="4"/>
      <c r="X291" s="4"/>
    </row>
    <row r="292">
      <c r="L292" s="16"/>
      <c r="U292" s="4"/>
      <c r="V292" s="4"/>
      <c r="W292" s="4"/>
      <c r="X292" s="4"/>
    </row>
    <row r="293">
      <c r="L293" s="16"/>
      <c r="U293" s="4"/>
      <c r="V293" s="4"/>
      <c r="W293" s="4"/>
      <c r="X293" s="4"/>
    </row>
    <row r="294">
      <c r="L294" s="16"/>
      <c r="U294" s="4"/>
      <c r="V294" s="4"/>
      <c r="W294" s="4"/>
      <c r="X294" s="4"/>
    </row>
    <row r="295">
      <c r="L295" s="16"/>
      <c r="U295" s="4"/>
      <c r="V295" s="4"/>
      <c r="W295" s="4"/>
      <c r="X295" s="4"/>
    </row>
    <row r="296">
      <c r="L296" s="16"/>
      <c r="U296" s="4"/>
      <c r="V296" s="4"/>
      <c r="W296" s="4"/>
      <c r="X296" s="4"/>
    </row>
    <row r="297">
      <c r="L297" s="16"/>
      <c r="U297" s="4"/>
      <c r="V297" s="4"/>
      <c r="W297" s="4"/>
      <c r="X297" s="4"/>
    </row>
    <row r="298">
      <c r="L298" s="16"/>
      <c r="U298" s="4"/>
      <c r="V298" s="4"/>
      <c r="W298" s="4"/>
      <c r="X298" s="4"/>
    </row>
    <row r="299">
      <c r="L299" s="16"/>
      <c r="U299" s="4"/>
      <c r="V299" s="4"/>
      <c r="W299" s="4"/>
      <c r="X299" s="4"/>
    </row>
    <row r="300">
      <c r="L300" s="16"/>
      <c r="U300" s="4"/>
      <c r="V300" s="4"/>
      <c r="W300" s="4"/>
      <c r="X300" s="4"/>
    </row>
    <row r="301">
      <c r="L301" s="16"/>
      <c r="U301" s="4"/>
      <c r="V301" s="4"/>
      <c r="W301" s="4"/>
      <c r="X301" s="4"/>
    </row>
    <row r="302">
      <c r="L302" s="16"/>
      <c r="U302" s="4"/>
      <c r="V302" s="4"/>
      <c r="W302" s="4"/>
      <c r="X302" s="4"/>
    </row>
    <row r="303">
      <c r="L303" s="16"/>
      <c r="U303" s="4"/>
      <c r="V303" s="4"/>
      <c r="W303" s="4"/>
      <c r="X303" s="4"/>
    </row>
    <row r="304">
      <c r="L304" s="16"/>
      <c r="U304" s="4"/>
      <c r="V304" s="4"/>
      <c r="W304" s="4"/>
      <c r="X304" s="4"/>
    </row>
    <row r="305">
      <c r="L305" s="16"/>
      <c r="U305" s="4"/>
      <c r="V305" s="4"/>
      <c r="W305" s="4"/>
      <c r="X305" s="4"/>
    </row>
    <row r="306">
      <c r="L306" s="16"/>
      <c r="U306" s="4"/>
      <c r="V306" s="4"/>
      <c r="W306" s="4"/>
      <c r="X306" s="4"/>
    </row>
    <row r="307">
      <c r="L307" s="16"/>
      <c r="U307" s="4"/>
      <c r="V307" s="4"/>
      <c r="W307" s="4"/>
      <c r="X307" s="4"/>
    </row>
    <row r="308">
      <c r="L308" s="16"/>
      <c r="U308" s="4"/>
      <c r="V308" s="4"/>
      <c r="W308" s="4"/>
      <c r="X308" s="4"/>
    </row>
    <row r="309">
      <c r="L309" s="16"/>
      <c r="U309" s="4"/>
      <c r="V309" s="4"/>
      <c r="W309" s="4"/>
      <c r="X309" s="4"/>
    </row>
    <row r="310">
      <c r="L310" s="16"/>
      <c r="U310" s="4"/>
      <c r="V310" s="4"/>
      <c r="W310" s="4"/>
      <c r="X310" s="4"/>
    </row>
    <row r="311">
      <c r="L311" s="16"/>
      <c r="U311" s="4"/>
      <c r="V311" s="4"/>
      <c r="W311" s="4"/>
      <c r="X311" s="4"/>
    </row>
    <row r="312">
      <c r="L312" s="16"/>
      <c r="U312" s="4"/>
      <c r="V312" s="4"/>
      <c r="W312" s="4"/>
      <c r="X312" s="4"/>
    </row>
    <row r="313">
      <c r="L313" s="16"/>
      <c r="U313" s="4"/>
      <c r="V313" s="4"/>
      <c r="W313" s="4"/>
      <c r="X313" s="4"/>
    </row>
    <row r="314">
      <c r="L314" s="16"/>
      <c r="U314" s="4"/>
      <c r="V314" s="4"/>
      <c r="W314" s="4"/>
      <c r="X314" s="4"/>
    </row>
    <row r="315">
      <c r="L315" s="16"/>
      <c r="U315" s="4"/>
      <c r="V315" s="4"/>
      <c r="W315" s="4"/>
      <c r="X315" s="4"/>
    </row>
    <row r="316">
      <c r="L316" s="16"/>
      <c r="U316" s="4"/>
      <c r="V316" s="4"/>
      <c r="W316" s="4"/>
      <c r="X316" s="4"/>
    </row>
    <row r="317">
      <c r="L317" s="16"/>
      <c r="U317" s="4"/>
      <c r="V317" s="4"/>
      <c r="W317" s="4"/>
      <c r="X317" s="4"/>
    </row>
    <row r="318">
      <c r="L318" s="16"/>
      <c r="U318" s="4"/>
      <c r="V318" s="4"/>
      <c r="W318" s="4"/>
      <c r="X318" s="4"/>
    </row>
    <row r="319">
      <c r="L319" s="16"/>
      <c r="U319" s="4"/>
      <c r="V319" s="4"/>
      <c r="W319" s="4"/>
      <c r="X319" s="4"/>
    </row>
    <row r="320">
      <c r="L320" s="16"/>
      <c r="U320" s="4"/>
      <c r="V320" s="4"/>
      <c r="W320" s="4"/>
      <c r="X320" s="4"/>
    </row>
    <row r="321">
      <c r="L321" s="16"/>
      <c r="U321" s="4"/>
      <c r="V321" s="4"/>
      <c r="W321" s="4"/>
      <c r="X321" s="4"/>
    </row>
    <row r="322">
      <c r="L322" s="16"/>
      <c r="U322" s="4"/>
      <c r="V322" s="4"/>
      <c r="W322" s="4"/>
      <c r="X322" s="4"/>
    </row>
    <row r="323">
      <c r="L323" s="16"/>
      <c r="U323" s="4"/>
      <c r="V323" s="4"/>
      <c r="W323" s="4"/>
      <c r="X323" s="4"/>
    </row>
    <row r="324">
      <c r="L324" s="16"/>
      <c r="U324" s="4"/>
      <c r="V324" s="4"/>
      <c r="W324" s="4"/>
      <c r="X324" s="4"/>
    </row>
    <row r="325">
      <c r="L325" s="16"/>
      <c r="U325" s="4"/>
      <c r="V325" s="4"/>
      <c r="W325" s="4"/>
      <c r="X325" s="4"/>
    </row>
    <row r="326">
      <c r="L326" s="16"/>
      <c r="U326" s="4"/>
      <c r="V326" s="4"/>
      <c r="W326" s="4"/>
      <c r="X326" s="4"/>
    </row>
    <row r="327">
      <c r="L327" s="16"/>
      <c r="U327" s="4"/>
      <c r="V327" s="4"/>
      <c r="W327" s="4"/>
      <c r="X327" s="4"/>
    </row>
    <row r="328">
      <c r="L328" s="16"/>
      <c r="U328" s="4"/>
      <c r="V328" s="4"/>
      <c r="W328" s="4"/>
      <c r="X328" s="4"/>
    </row>
    <row r="329">
      <c r="L329" s="16"/>
      <c r="U329" s="4"/>
      <c r="V329" s="4"/>
      <c r="W329" s="4"/>
      <c r="X329" s="4"/>
    </row>
    <row r="330">
      <c r="L330" s="16"/>
      <c r="U330" s="4"/>
      <c r="V330" s="4"/>
      <c r="W330" s="4"/>
      <c r="X330" s="4"/>
    </row>
    <row r="331">
      <c r="L331" s="16"/>
      <c r="U331" s="4"/>
      <c r="V331" s="4"/>
      <c r="W331" s="4"/>
      <c r="X331" s="4"/>
    </row>
    <row r="332">
      <c r="L332" s="16"/>
      <c r="U332" s="4"/>
      <c r="V332" s="4"/>
      <c r="W332" s="4"/>
      <c r="X332" s="4"/>
    </row>
    <row r="333">
      <c r="L333" s="16"/>
      <c r="U333" s="4"/>
      <c r="V333" s="4"/>
      <c r="W333" s="4"/>
      <c r="X333" s="4"/>
    </row>
    <row r="334">
      <c r="L334" s="16"/>
      <c r="U334" s="4"/>
      <c r="V334" s="4"/>
      <c r="W334" s="4"/>
      <c r="X334" s="4"/>
    </row>
    <row r="335">
      <c r="L335" s="16"/>
      <c r="U335" s="4"/>
      <c r="V335" s="4"/>
      <c r="W335" s="4"/>
      <c r="X335" s="4"/>
    </row>
    <row r="336">
      <c r="L336" s="16"/>
      <c r="U336" s="4"/>
      <c r="V336" s="4"/>
      <c r="W336" s="4"/>
      <c r="X336" s="4"/>
    </row>
    <row r="337">
      <c r="L337" s="16"/>
      <c r="U337" s="4"/>
      <c r="V337" s="4"/>
      <c r="W337" s="4"/>
      <c r="X337" s="4"/>
    </row>
    <row r="338">
      <c r="L338" s="16"/>
      <c r="U338" s="4"/>
      <c r="V338" s="4"/>
      <c r="W338" s="4"/>
      <c r="X338" s="4"/>
    </row>
    <row r="339">
      <c r="L339" s="16"/>
      <c r="U339" s="4"/>
      <c r="V339" s="4"/>
      <c r="W339" s="4"/>
      <c r="X339" s="4"/>
    </row>
    <row r="340">
      <c r="L340" s="16"/>
      <c r="U340" s="4"/>
      <c r="V340" s="4"/>
      <c r="W340" s="4"/>
      <c r="X340" s="4"/>
    </row>
    <row r="341">
      <c r="L341" s="16"/>
      <c r="U341" s="4"/>
      <c r="V341" s="4"/>
      <c r="W341" s="4"/>
      <c r="X341" s="4"/>
    </row>
    <row r="342">
      <c r="L342" s="16"/>
      <c r="U342" s="4"/>
      <c r="V342" s="4"/>
      <c r="W342" s="4"/>
      <c r="X342" s="4"/>
    </row>
    <row r="343">
      <c r="L343" s="16"/>
      <c r="U343" s="4"/>
      <c r="V343" s="4"/>
      <c r="W343" s="4"/>
      <c r="X343" s="4"/>
    </row>
    <row r="344">
      <c r="L344" s="16"/>
      <c r="U344" s="4"/>
      <c r="V344" s="4"/>
      <c r="W344" s="4"/>
      <c r="X344" s="4"/>
    </row>
    <row r="345">
      <c r="L345" s="16"/>
      <c r="U345" s="4"/>
      <c r="V345" s="4"/>
      <c r="W345" s="4"/>
      <c r="X345" s="4"/>
    </row>
    <row r="346">
      <c r="L346" s="16"/>
      <c r="U346" s="4"/>
      <c r="V346" s="4"/>
      <c r="W346" s="4"/>
      <c r="X346" s="4"/>
    </row>
    <row r="347">
      <c r="L347" s="16"/>
      <c r="U347" s="4"/>
      <c r="V347" s="4"/>
      <c r="W347" s="4"/>
      <c r="X347" s="4"/>
    </row>
    <row r="348">
      <c r="L348" s="16"/>
      <c r="U348" s="4"/>
      <c r="V348" s="4"/>
      <c r="W348" s="4"/>
      <c r="X348" s="4"/>
    </row>
    <row r="349">
      <c r="L349" s="16"/>
      <c r="U349" s="4"/>
      <c r="V349" s="4"/>
      <c r="W349" s="4"/>
      <c r="X349" s="4"/>
    </row>
    <row r="350">
      <c r="L350" s="16"/>
      <c r="U350" s="4"/>
      <c r="V350" s="4"/>
      <c r="W350" s="4"/>
      <c r="X350" s="4"/>
    </row>
    <row r="351">
      <c r="L351" s="16"/>
      <c r="U351" s="4"/>
      <c r="V351" s="4"/>
      <c r="W351" s="4"/>
      <c r="X351" s="4"/>
    </row>
    <row r="352">
      <c r="L352" s="16"/>
      <c r="U352" s="4"/>
      <c r="V352" s="4"/>
      <c r="W352" s="4"/>
      <c r="X352" s="4"/>
    </row>
    <row r="353">
      <c r="L353" s="16"/>
      <c r="U353" s="4"/>
      <c r="V353" s="4"/>
      <c r="W353" s="4"/>
      <c r="X353" s="4"/>
    </row>
    <row r="354">
      <c r="L354" s="16"/>
      <c r="U354" s="4"/>
      <c r="V354" s="4"/>
      <c r="W354" s="4"/>
      <c r="X354" s="4"/>
    </row>
    <row r="355">
      <c r="L355" s="16"/>
      <c r="U355" s="4"/>
      <c r="V355" s="4"/>
      <c r="W355" s="4"/>
      <c r="X355" s="4"/>
    </row>
    <row r="356">
      <c r="L356" s="16"/>
      <c r="U356" s="4"/>
      <c r="V356" s="4"/>
      <c r="W356" s="4"/>
      <c r="X356" s="4"/>
    </row>
    <row r="357">
      <c r="L357" s="16"/>
      <c r="U357" s="4"/>
      <c r="V357" s="4"/>
      <c r="W357" s="4"/>
      <c r="X357" s="4"/>
    </row>
    <row r="358">
      <c r="L358" s="16"/>
      <c r="U358" s="4"/>
      <c r="V358" s="4"/>
      <c r="W358" s="4"/>
      <c r="X358" s="4"/>
    </row>
    <row r="359">
      <c r="L359" s="16"/>
      <c r="U359" s="4"/>
      <c r="V359" s="4"/>
      <c r="W359" s="4"/>
      <c r="X359" s="4"/>
    </row>
    <row r="360">
      <c r="L360" s="16"/>
      <c r="U360" s="4"/>
      <c r="V360" s="4"/>
      <c r="W360" s="4"/>
      <c r="X360" s="4"/>
    </row>
    <row r="361">
      <c r="L361" s="16"/>
      <c r="U361" s="4"/>
      <c r="V361" s="4"/>
      <c r="W361" s="4"/>
      <c r="X361" s="4"/>
    </row>
    <row r="362">
      <c r="L362" s="16"/>
      <c r="U362" s="4"/>
      <c r="V362" s="4"/>
      <c r="W362" s="4"/>
      <c r="X362" s="4"/>
    </row>
    <row r="363">
      <c r="L363" s="16"/>
      <c r="U363" s="4"/>
      <c r="V363" s="4"/>
      <c r="W363" s="4"/>
      <c r="X363" s="4"/>
    </row>
    <row r="364">
      <c r="L364" s="16"/>
      <c r="U364" s="4"/>
      <c r="V364" s="4"/>
      <c r="W364" s="4"/>
      <c r="X364" s="4"/>
    </row>
    <row r="365">
      <c r="L365" s="16"/>
      <c r="U365" s="4"/>
      <c r="V365" s="4"/>
      <c r="W365" s="4"/>
      <c r="X365" s="4"/>
    </row>
    <row r="366">
      <c r="L366" s="16"/>
      <c r="U366" s="4"/>
      <c r="V366" s="4"/>
      <c r="W366" s="4"/>
      <c r="X366" s="4"/>
    </row>
    <row r="367">
      <c r="L367" s="16"/>
      <c r="U367" s="4"/>
      <c r="V367" s="4"/>
      <c r="W367" s="4"/>
      <c r="X367" s="4"/>
    </row>
    <row r="368">
      <c r="L368" s="16"/>
      <c r="U368" s="4"/>
      <c r="V368" s="4"/>
      <c r="W368" s="4"/>
      <c r="X368" s="4"/>
    </row>
    <row r="369">
      <c r="L369" s="16"/>
      <c r="U369" s="4"/>
      <c r="V369" s="4"/>
      <c r="W369" s="4"/>
      <c r="X369" s="4"/>
    </row>
    <row r="370">
      <c r="L370" s="16"/>
      <c r="U370" s="4"/>
      <c r="V370" s="4"/>
      <c r="W370" s="4"/>
      <c r="X370" s="4"/>
    </row>
    <row r="371">
      <c r="L371" s="16"/>
      <c r="U371" s="4"/>
      <c r="V371" s="4"/>
      <c r="W371" s="4"/>
      <c r="X371" s="4"/>
    </row>
    <row r="372">
      <c r="L372" s="16"/>
      <c r="U372" s="4"/>
      <c r="V372" s="4"/>
      <c r="W372" s="4"/>
      <c r="X372" s="4"/>
    </row>
    <row r="373">
      <c r="L373" s="16"/>
      <c r="U373" s="4"/>
      <c r="V373" s="4"/>
      <c r="W373" s="4"/>
      <c r="X373" s="4"/>
    </row>
    <row r="374">
      <c r="L374" s="16"/>
      <c r="U374" s="4"/>
      <c r="V374" s="4"/>
      <c r="W374" s="4"/>
      <c r="X374" s="4"/>
    </row>
    <row r="375">
      <c r="L375" s="16"/>
      <c r="U375" s="4"/>
      <c r="V375" s="4"/>
      <c r="W375" s="4"/>
      <c r="X375" s="4"/>
    </row>
    <row r="376">
      <c r="L376" s="16"/>
      <c r="U376" s="4"/>
      <c r="V376" s="4"/>
      <c r="W376" s="4"/>
      <c r="X376" s="4"/>
    </row>
    <row r="377">
      <c r="L377" s="16"/>
      <c r="U377" s="4"/>
      <c r="V377" s="4"/>
      <c r="W377" s="4"/>
      <c r="X377" s="4"/>
    </row>
    <row r="378">
      <c r="L378" s="16"/>
      <c r="U378" s="4"/>
      <c r="V378" s="4"/>
      <c r="W378" s="4"/>
      <c r="X378" s="4"/>
    </row>
    <row r="379">
      <c r="L379" s="16"/>
      <c r="U379" s="4"/>
      <c r="V379" s="4"/>
      <c r="W379" s="4"/>
      <c r="X379" s="4"/>
    </row>
    <row r="380">
      <c r="L380" s="16"/>
      <c r="U380" s="4"/>
      <c r="V380" s="4"/>
      <c r="W380" s="4"/>
      <c r="X380" s="4"/>
    </row>
    <row r="381">
      <c r="L381" s="16"/>
      <c r="U381" s="4"/>
      <c r="V381" s="4"/>
      <c r="W381" s="4"/>
      <c r="X381" s="4"/>
    </row>
    <row r="382">
      <c r="L382" s="16"/>
      <c r="U382" s="4"/>
      <c r="V382" s="4"/>
      <c r="W382" s="4"/>
      <c r="X382" s="4"/>
    </row>
    <row r="383">
      <c r="L383" s="16"/>
      <c r="U383" s="4"/>
      <c r="V383" s="4"/>
      <c r="W383" s="4"/>
      <c r="X383" s="4"/>
    </row>
    <row r="384">
      <c r="L384" s="16"/>
      <c r="U384" s="4"/>
      <c r="V384" s="4"/>
      <c r="W384" s="4"/>
      <c r="X384" s="4"/>
    </row>
    <row r="385">
      <c r="L385" s="16"/>
      <c r="U385" s="4"/>
      <c r="V385" s="4"/>
      <c r="W385" s="4"/>
      <c r="X385" s="4"/>
    </row>
    <row r="386">
      <c r="L386" s="16"/>
      <c r="U386" s="4"/>
      <c r="V386" s="4"/>
      <c r="W386" s="4"/>
      <c r="X386" s="4"/>
    </row>
    <row r="387">
      <c r="L387" s="16"/>
      <c r="U387" s="4"/>
      <c r="V387" s="4"/>
      <c r="W387" s="4"/>
      <c r="X387" s="4"/>
    </row>
    <row r="388">
      <c r="L388" s="16"/>
      <c r="U388" s="4"/>
      <c r="V388" s="4"/>
      <c r="W388" s="4"/>
      <c r="X388" s="4"/>
    </row>
    <row r="389">
      <c r="L389" s="16"/>
      <c r="U389" s="4"/>
      <c r="V389" s="4"/>
      <c r="W389" s="4"/>
      <c r="X389" s="4"/>
    </row>
    <row r="390">
      <c r="L390" s="16"/>
      <c r="U390" s="4"/>
      <c r="V390" s="4"/>
      <c r="W390" s="4"/>
      <c r="X390" s="4"/>
    </row>
    <row r="391">
      <c r="L391" s="16"/>
      <c r="U391" s="4"/>
      <c r="V391" s="4"/>
      <c r="W391" s="4"/>
      <c r="X391" s="4"/>
    </row>
    <row r="392">
      <c r="L392" s="16"/>
      <c r="U392" s="4"/>
      <c r="V392" s="4"/>
      <c r="W392" s="4"/>
      <c r="X392" s="4"/>
    </row>
    <row r="393">
      <c r="L393" s="16"/>
      <c r="U393" s="4"/>
      <c r="V393" s="4"/>
      <c r="W393" s="4"/>
      <c r="X393" s="4"/>
    </row>
    <row r="394">
      <c r="L394" s="16"/>
      <c r="U394" s="4"/>
      <c r="V394" s="4"/>
      <c r="W394" s="4"/>
      <c r="X394" s="4"/>
    </row>
    <row r="395">
      <c r="L395" s="16"/>
      <c r="U395" s="4"/>
      <c r="V395" s="4"/>
      <c r="W395" s="4"/>
      <c r="X395" s="4"/>
    </row>
    <row r="396">
      <c r="L396" s="16"/>
      <c r="U396" s="4"/>
      <c r="V396" s="4"/>
      <c r="W396" s="4"/>
      <c r="X396" s="4"/>
    </row>
    <row r="397">
      <c r="L397" s="16"/>
      <c r="U397" s="4"/>
      <c r="V397" s="4"/>
      <c r="W397" s="4"/>
      <c r="X397" s="4"/>
    </row>
    <row r="398">
      <c r="L398" s="16"/>
      <c r="U398" s="4"/>
      <c r="V398" s="4"/>
      <c r="W398" s="4"/>
      <c r="X398" s="4"/>
    </row>
    <row r="399">
      <c r="L399" s="16"/>
      <c r="U399" s="4"/>
      <c r="V399" s="4"/>
      <c r="W399" s="4"/>
      <c r="X399" s="4"/>
    </row>
    <row r="400">
      <c r="L400" s="16"/>
      <c r="U400" s="4"/>
      <c r="V400" s="4"/>
      <c r="W400" s="4"/>
      <c r="X400" s="4"/>
    </row>
    <row r="401">
      <c r="L401" s="16"/>
      <c r="U401" s="4"/>
      <c r="V401" s="4"/>
      <c r="W401" s="4"/>
      <c r="X401" s="4"/>
    </row>
    <row r="402">
      <c r="L402" s="16"/>
      <c r="U402" s="4"/>
      <c r="V402" s="4"/>
      <c r="W402" s="4"/>
      <c r="X402" s="4"/>
    </row>
    <row r="403">
      <c r="L403" s="16"/>
      <c r="U403" s="4"/>
      <c r="V403" s="4"/>
      <c r="W403" s="4"/>
      <c r="X403" s="4"/>
    </row>
    <row r="404">
      <c r="L404" s="16"/>
      <c r="U404" s="4"/>
      <c r="V404" s="4"/>
      <c r="W404" s="4"/>
      <c r="X404" s="4"/>
    </row>
    <row r="405">
      <c r="L405" s="16"/>
      <c r="U405" s="4"/>
      <c r="V405" s="4"/>
      <c r="W405" s="4"/>
      <c r="X405" s="4"/>
    </row>
    <row r="406">
      <c r="L406" s="16"/>
      <c r="U406" s="4"/>
      <c r="V406" s="4"/>
      <c r="W406" s="4"/>
      <c r="X406" s="4"/>
    </row>
    <row r="407">
      <c r="L407" s="16"/>
      <c r="U407" s="4"/>
      <c r="V407" s="4"/>
      <c r="W407" s="4"/>
      <c r="X407" s="4"/>
    </row>
    <row r="408">
      <c r="L408" s="16"/>
      <c r="U408" s="4"/>
      <c r="V408" s="4"/>
      <c r="W408" s="4"/>
      <c r="X408" s="4"/>
    </row>
    <row r="409">
      <c r="L409" s="16"/>
      <c r="U409" s="4"/>
      <c r="V409" s="4"/>
      <c r="W409" s="4"/>
      <c r="X409" s="4"/>
    </row>
    <row r="410">
      <c r="L410" s="16"/>
      <c r="U410" s="4"/>
      <c r="V410" s="4"/>
      <c r="W410" s="4"/>
      <c r="X410" s="4"/>
    </row>
    <row r="411">
      <c r="L411" s="16"/>
      <c r="U411" s="4"/>
      <c r="V411" s="4"/>
      <c r="W411" s="4"/>
      <c r="X411" s="4"/>
    </row>
    <row r="412">
      <c r="L412" s="16"/>
      <c r="U412" s="4"/>
      <c r="V412" s="4"/>
      <c r="W412" s="4"/>
      <c r="X412" s="4"/>
    </row>
    <row r="413">
      <c r="L413" s="16"/>
      <c r="U413" s="4"/>
      <c r="V413" s="4"/>
      <c r="W413" s="4"/>
      <c r="X413" s="4"/>
    </row>
    <row r="414">
      <c r="L414" s="16"/>
      <c r="U414" s="4"/>
      <c r="V414" s="4"/>
      <c r="W414" s="4"/>
      <c r="X414" s="4"/>
    </row>
    <row r="415">
      <c r="L415" s="16"/>
      <c r="U415" s="4"/>
      <c r="V415" s="4"/>
      <c r="W415" s="4"/>
      <c r="X415" s="4"/>
    </row>
    <row r="416">
      <c r="L416" s="16"/>
      <c r="U416" s="4"/>
      <c r="V416" s="4"/>
      <c r="W416" s="4"/>
      <c r="X416" s="4"/>
    </row>
    <row r="417">
      <c r="L417" s="16"/>
      <c r="U417" s="4"/>
      <c r="V417" s="4"/>
      <c r="W417" s="4"/>
      <c r="X417" s="4"/>
    </row>
    <row r="418">
      <c r="L418" s="16"/>
      <c r="U418" s="4"/>
      <c r="V418" s="4"/>
      <c r="W418" s="4"/>
      <c r="X418" s="4"/>
    </row>
    <row r="419">
      <c r="L419" s="16"/>
      <c r="U419" s="4"/>
      <c r="V419" s="4"/>
      <c r="W419" s="4"/>
      <c r="X419" s="4"/>
    </row>
    <row r="420">
      <c r="L420" s="16"/>
      <c r="U420" s="4"/>
      <c r="V420" s="4"/>
      <c r="W420" s="4"/>
      <c r="X420" s="4"/>
    </row>
    <row r="421">
      <c r="L421" s="16"/>
      <c r="U421" s="4"/>
      <c r="V421" s="4"/>
      <c r="W421" s="4"/>
      <c r="X421" s="4"/>
    </row>
    <row r="422">
      <c r="L422" s="16"/>
      <c r="U422" s="4"/>
      <c r="V422" s="4"/>
      <c r="W422" s="4"/>
      <c r="X422" s="4"/>
    </row>
    <row r="423">
      <c r="L423" s="16"/>
      <c r="U423" s="4"/>
      <c r="V423" s="4"/>
      <c r="W423" s="4"/>
      <c r="X423" s="4"/>
    </row>
    <row r="424">
      <c r="L424" s="16"/>
      <c r="U424" s="4"/>
      <c r="V424" s="4"/>
      <c r="W424" s="4"/>
      <c r="X424" s="4"/>
    </row>
    <row r="425">
      <c r="L425" s="16"/>
      <c r="U425" s="4"/>
      <c r="V425" s="4"/>
      <c r="W425" s="4"/>
      <c r="X425" s="4"/>
    </row>
    <row r="426">
      <c r="L426" s="16"/>
      <c r="U426" s="4"/>
      <c r="V426" s="4"/>
      <c r="W426" s="4"/>
      <c r="X426" s="4"/>
    </row>
    <row r="427">
      <c r="L427" s="16"/>
      <c r="U427" s="4"/>
      <c r="V427" s="4"/>
      <c r="W427" s="4"/>
      <c r="X427" s="4"/>
    </row>
    <row r="428">
      <c r="L428" s="16"/>
      <c r="U428" s="4"/>
      <c r="V428" s="4"/>
      <c r="W428" s="4"/>
      <c r="X428" s="4"/>
    </row>
    <row r="429">
      <c r="L429" s="16"/>
      <c r="U429" s="4"/>
      <c r="V429" s="4"/>
      <c r="W429" s="4"/>
      <c r="X429" s="4"/>
    </row>
    <row r="430">
      <c r="L430" s="16"/>
      <c r="U430" s="4"/>
      <c r="V430" s="4"/>
      <c r="W430" s="4"/>
      <c r="X430" s="4"/>
    </row>
    <row r="431">
      <c r="L431" s="16"/>
      <c r="U431" s="4"/>
      <c r="V431" s="4"/>
      <c r="W431" s="4"/>
      <c r="X431" s="4"/>
    </row>
    <row r="432">
      <c r="L432" s="16"/>
      <c r="U432" s="4"/>
      <c r="V432" s="4"/>
      <c r="W432" s="4"/>
      <c r="X432" s="4"/>
    </row>
    <row r="433">
      <c r="L433" s="16"/>
      <c r="U433" s="4"/>
      <c r="V433" s="4"/>
      <c r="W433" s="4"/>
      <c r="X433" s="4"/>
    </row>
    <row r="434">
      <c r="L434" s="16"/>
      <c r="U434" s="4"/>
      <c r="V434" s="4"/>
      <c r="W434" s="4"/>
      <c r="X434" s="4"/>
    </row>
    <row r="435">
      <c r="L435" s="16"/>
      <c r="U435" s="4"/>
      <c r="V435" s="4"/>
      <c r="W435" s="4"/>
      <c r="X435" s="4"/>
    </row>
    <row r="436">
      <c r="L436" s="16"/>
      <c r="U436" s="4"/>
      <c r="V436" s="4"/>
      <c r="W436" s="4"/>
      <c r="X436" s="4"/>
    </row>
    <row r="437">
      <c r="L437" s="16"/>
      <c r="U437" s="4"/>
      <c r="V437" s="4"/>
      <c r="W437" s="4"/>
      <c r="X437" s="4"/>
    </row>
    <row r="438">
      <c r="L438" s="16"/>
      <c r="U438" s="4"/>
      <c r="V438" s="4"/>
      <c r="W438" s="4"/>
      <c r="X438" s="4"/>
    </row>
    <row r="439">
      <c r="L439" s="16"/>
      <c r="U439" s="4"/>
      <c r="V439" s="4"/>
      <c r="W439" s="4"/>
      <c r="X439" s="4"/>
    </row>
    <row r="440">
      <c r="L440" s="16"/>
      <c r="U440" s="4"/>
      <c r="V440" s="4"/>
      <c r="W440" s="4"/>
      <c r="X440" s="4"/>
    </row>
    <row r="441">
      <c r="L441" s="16"/>
      <c r="U441" s="4"/>
      <c r="V441" s="4"/>
      <c r="W441" s="4"/>
      <c r="X441" s="4"/>
    </row>
    <row r="442">
      <c r="L442" s="16"/>
      <c r="U442" s="4"/>
      <c r="V442" s="4"/>
      <c r="W442" s="4"/>
      <c r="X442" s="4"/>
    </row>
    <row r="443">
      <c r="L443" s="16"/>
      <c r="U443" s="4"/>
      <c r="V443" s="4"/>
      <c r="W443" s="4"/>
      <c r="X443" s="4"/>
    </row>
    <row r="444">
      <c r="L444" s="16"/>
      <c r="U444" s="4"/>
      <c r="V444" s="4"/>
      <c r="W444" s="4"/>
      <c r="X444" s="4"/>
    </row>
    <row r="445">
      <c r="L445" s="16"/>
      <c r="U445" s="4"/>
      <c r="V445" s="4"/>
      <c r="W445" s="4"/>
      <c r="X445" s="4"/>
    </row>
    <row r="446">
      <c r="L446" s="16"/>
      <c r="U446" s="4"/>
      <c r="V446" s="4"/>
      <c r="W446" s="4"/>
      <c r="X446" s="4"/>
    </row>
    <row r="447">
      <c r="L447" s="16"/>
      <c r="U447" s="4"/>
      <c r="V447" s="4"/>
      <c r="W447" s="4"/>
      <c r="X447" s="4"/>
    </row>
    <row r="448">
      <c r="L448" s="16"/>
      <c r="U448" s="4"/>
      <c r="V448" s="4"/>
      <c r="W448" s="4"/>
      <c r="X448" s="4"/>
    </row>
    <row r="449">
      <c r="L449" s="16"/>
      <c r="U449" s="4"/>
      <c r="V449" s="4"/>
      <c r="W449" s="4"/>
      <c r="X449" s="4"/>
    </row>
    <row r="450">
      <c r="L450" s="16"/>
      <c r="U450" s="4"/>
      <c r="V450" s="4"/>
      <c r="W450" s="4"/>
      <c r="X450" s="4"/>
    </row>
    <row r="451">
      <c r="L451" s="16"/>
      <c r="U451" s="4"/>
      <c r="V451" s="4"/>
      <c r="W451" s="4"/>
      <c r="X451" s="4"/>
    </row>
    <row r="452">
      <c r="L452" s="16"/>
      <c r="U452" s="4"/>
      <c r="V452" s="4"/>
      <c r="W452" s="4"/>
      <c r="X452" s="4"/>
    </row>
    <row r="453">
      <c r="L453" s="16"/>
      <c r="U453" s="4"/>
      <c r="V453" s="4"/>
      <c r="W453" s="4"/>
      <c r="X453" s="4"/>
    </row>
    <row r="454">
      <c r="L454" s="16"/>
      <c r="U454" s="4"/>
      <c r="V454" s="4"/>
      <c r="W454" s="4"/>
      <c r="X454" s="4"/>
    </row>
    <row r="455">
      <c r="L455" s="16"/>
      <c r="U455" s="4"/>
      <c r="V455" s="4"/>
      <c r="W455" s="4"/>
      <c r="X455" s="4"/>
    </row>
    <row r="456">
      <c r="L456" s="16"/>
      <c r="U456" s="4"/>
      <c r="V456" s="4"/>
      <c r="W456" s="4"/>
      <c r="X456" s="4"/>
    </row>
    <row r="457">
      <c r="L457" s="16"/>
      <c r="U457" s="4"/>
      <c r="V457" s="4"/>
      <c r="W457" s="4"/>
      <c r="X457" s="4"/>
    </row>
    <row r="458">
      <c r="L458" s="16"/>
      <c r="U458" s="4"/>
      <c r="V458" s="4"/>
      <c r="W458" s="4"/>
      <c r="X458" s="4"/>
    </row>
    <row r="459">
      <c r="L459" s="16"/>
      <c r="U459" s="4"/>
      <c r="V459" s="4"/>
      <c r="W459" s="4"/>
      <c r="X459" s="4"/>
    </row>
    <row r="460">
      <c r="L460" s="16"/>
      <c r="U460" s="4"/>
      <c r="V460" s="4"/>
      <c r="W460" s="4"/>
      <c r="X460" s="4"/>
    </row>
    <row r="461">
      <c r="L461" s="16"/>
      <c r="U461" s="4"/>
      <c r="V461" s="4"/>
      <c r="W461" s="4"/>
      <c r="X461" s="4"/>
    </row>
    <row r="462">
      <c r="L462" s="16"/>
      <c r="U462" s="4"/>
      <c r="V462" s="4"/>
      <c r="W462" s="4"/>
      <c r="X462" s="4"/>
    </row>
    <row r="463">
      <c r="L463" s="16"/>
      <c r="U463" s="4"/>
      <c r="V463" s="4"/>
      <c r="W463" s="4"/>
      <c r="X463" s="4"/>
    </row>
    <row r="464">
      <c r="L464" s="16"/>
      <c r="U464" s="4"/>
      <c r="V464" s="4"/>
      <c r="W464" s="4"/>
      <c r="X464" s="4"/>
    </row>
    <row r="465">
      <c r="L465" s="16"/>
      <c r="U465" s="4"/>
      <c r="V465" s="4"/>
      <c r="W465" s="4"/>
      <c r="X465" s="4"/>
    </row>
    <row r="466">
      <c r="L466" s="16"/>
      <c r="U466" s="4"/>
      <c r="V466" s="4"/>
      <c r="W466" s="4"/>
      <c r="X466" s="4"/>
    </row>
    <row r="467">
      <c r="L467" s="16"/>
      <c r="U467" s="4"/>
      <c r="V467" s="4"/>
      <c r="W467" s="4"/>
      <c r="X467" s="4"/>
    </row>
    <row r="468">
      <c r="L468" s="16"/>
      <c r="U468" s="4"/>
      <c r="V468" s="4"/>
      <c r="W468" s="4"/>
      <c r="X468" s="4"/>
    </row>
    <row r="469">
      <c r="L469" s="16"/>
      <c r="U469" s="4"/>
      <c r="V469" s="4"/>
      <c r="W469" s="4"/>
      <c r="X469" s="4"/>
    </row>
    <row r="470">
      <c r="L470" s="16"/>
      <c r="U470" s="4"/>
      <c r="V470" s="4"/>
      <c r="W470" s="4"/>
      <c r="X470" s="4"/>
    </row>
    <row r="471">
      <c r="L471" s="16"/>
      <c r="U471" s="4"/>
      <c r="V471" s="4"/>
      <c r="W471" s="4"/>
      <c r="X471" s="4"/>
    </row>
    <row r="472">
      <c r="L472" s="16"/>
      <c r="U472" s="4"/>
      <c r="V472" s="4"/>
      <c r="W472" s="4"/>
      <c r="X472" s="4"/>
    </row>
    <row r="473">
      <c r="L473" s="16"/>
      <c r="U473" s="4"/>
      <c r="V473" s="4"/>
      <c r="W473" s="4"/>
      <c r="X473" s="4"/>
    </row>
    <row r="474">
      <c r="L474" s="16"/>
      <c r="U474" s="4"/>
      <c r="V474" s="4"/>
      <c r="W474" s="4"/>
      <c r="X474" s="4"/>
    </row>
    <row r="475">
      <c r="L475" s="16"/>
      <c r="U475" s="4"/>
      <c r="V475" s="4"/>
      <c r="W475" s="4"/>
      <c r="X475" s="4"/>
    </row>
    <row r="476">
      <c r="L476" s="16"/>
      <c r="U476" s="4"/>
      <c r="V476" s="4"/>
      <c r="W476" s="4"/>
      <c r="X476" s="4"/>
    </row>
    <row r="477">
      <c r="L477" s="16"/>
      <c r="U477" s="4"/>
      <c r="V477" s="4"/>
      <c r="W477" s="4"/>
      <c r="X477" s="4"/>
    </row>
    <row r="478">
      <c r="L478" s="16"/>
      <c r="U478" s="4"/>
      <c r="V478" s="4"/>
      <c r="W478" s="4"/>
      <c r="X478" s="4"/>
    </row>
    <row r="479">
      <c r="L479" s="16"/>
      <c r="U479" s="4"/>
      <c r="V479" s="4"/>
      <c r="W479" s="4"/>
      <c r="X479" s="4"/>
    </row>
    <row r="480">
      <c r="L480" s="16"/>
      <c r="U480" s="4"/>
      <c r="V480" s="4"/>
      <c r="W480" s="4"/>
      <c r="X480" s="4"/>
    </row>
    <row r="481">
      <c r="L481" s="16"/>
      <c r="U481" s="4"/>
      <c r="V481" s="4"/>
      <c r="W481" s="4"/>
      <c r="X481" s="4"/>
    </row>
    <row r="482">
      <c r="L482" s="16"/>
      <c r="U482" s="4"/>
      <c r="V482" s="4"/>
      <c r="W482" s="4"/>
      <c r="X482" s="4"/>
    </row>
    <row r="483">
      <c r="L483" s="16"/>
      <c r="U483" s="4"/>
      <c r="V483" s="4"/>
      <c r="W483" s="4"/>
      <c r="X483" s="4"/>
    </row>
    <row r="484">
      <c r="L484" s="16"/>
      <c r="U484" s="4"/>
      <c r="V484" s="4"/>
      <c r="W484" s="4"/>
      <c r="X484" s="4"/>
    </row>
    <row r="485">
      <c r="L485" s="16"/>
      <c r="U485" s="4"/>
      <c r="V485" s="4"/>
      <c r="W485" s="4"/>
      <c r="X485" s="4"/>
    </row>
    <row r="486">
      <c r="L486" s="16"/>
      <c r="U486" s="4"/>
      <c r="V486" s="4"/>
      <c r="W486" s="4"/>
      <c r="X486" s="4"/>
    </row>
    <row r="487">
      <c r="L487" s="16"/>
      <c r="U487" s="4"/>
      <c r="V487" s="4"/>
      <c r="W487" s="4"/>
      <c r="X487" s="4"/>
    </row>
    <row r="488">
      <c r="L488" s="16"/>
      <c r="U488" s="4"/>
      <c r="V488" s="4"/>
      <c r="W488" s="4"/>
      <c r="X488" s="4"/>
    </row>
    <row r="489">
      <c r="L489" s="16"/>
      <c r="U489" s="4"/>
      <c r="V489" s="4"/>
      <c r="W489" s="4"/>
      <c r="X489" s="4"/>
    </row>
    <row r="490">
      <c r="L490" s="16"/>
      <c r="U490" s="4"/>
      <c r="V490" s="4"/>
      <c r="W490" s="4"/>
      <c r="X490" s="4"/>
    </row>
    <row r="491">
      <c r="L491" s="16"/>
      <c r="U491" s="4"/>
      <c r="V491" s="4"/>
      <c r="W491" s="4"/>
      <c r="X491" s="4"/>
    </row>
    <row r="492">
      <c r="L492" s="16"/>
      <c r="U492" s="4"/>
      <c r="V492" s="4"/>
      <c r="W492" s="4"/>
      <c r="X492" s="4"/>
    </row>
    <row r="493">
      <c r="L493" s="16"/>
      <c r="U493" s="4"/>
      <c r="V493" s="4"/>
      <c r="W493" s="4"/>
      <c r="X493" s="4"/>
    </row>
    <row r="494">
      <c r="L494" s="16"/>
      <c r="U494" s="4"/>
      <c r="V494" s="4"/>
      <c r="W494" s="4"/>
      <c r="X494" s="4"/>
    </row>
    <row r="495">
      <c r="L495" s="16"/>
      <c r="U495" s="4"/>
      <c r="V495" s="4"/>
      <c r="W495" s="4"/>
      <c r="X495" s="4"/>
    </row>
    <row r="496">
      <c r="L496" s="16"/>
      <c r="U496" s="4"/>
      <c r="V496" s="4"/>
      <c r="W496" s="4"/>
      <c r="X496" s="4"/>
    </row>
    <row r="497">
      <c r="L497" s="16"/>
      <c r="U497" s="4"/>
      <c r="V497" s="4"/>
      <c r="W497" s="4"/>
      <c r="X497" s="4"/>
    </row>
    <row r="498">
      <c r="L498" s="16"/>
      <c r="U498" s="4"/>
      <c r="V498" s="4"/>
      <c r="W498" s="4"/>
      <c r="X498" s="4"/>
    </row>
    <row r="499">
      <c r="L499" s="16"/>
      <c r="U499" s="4"/>
      <c r="V499" s="4"/>
      <c r="W499" s="4"/>
      <c r="X499" s="4"/>
    </row>
    <row r="500">
      <c r="L500" s="16"/>
      <c r="U500" s="4"/>
      <c r="V500" s="4"/>
      <c r="W500" s="4"/>
      <c r="X500" s="4"/>
    </row>
    <row r="501">
      <c r="L501" s="16"/>
      <c r="U501" s="4"/>
      <c r="V501" s="4"/>
      <c r="W501" s="4"/>
      <c r="X501" s="4"/>
    </row>
    <row r="502">
      <c r="L502" s="16"/>
      <c r="U502" s="4"/>
      <c r="V502" s="4"/>
      <c r="W502" s="4"/>
      <c r="X502" s="4"/>
    </row>
    <row r="503">
      <c r="L503" s="16"/>
      <c r="U503" s="4"/>
      <c r="V503" s="4"/>
      <c r="W503" s="4"/>
      <c r="X503" s="4"/>
    </row>
    <row r="504">
      <c r="L504" s="16"/>
      <c r="U504" s="4"/>
      <c r="V504" s="4"/>
      <c r="W504" s="4"/>
      <c r="X504" s="4"/>
    </row>
    <row r="505">
      <c r="L505" s="16"/>
      <c r="U505" s="4"/>
      <c r="V505" s="4"/>
      <c r="W505" s="4"/>
      <c r="X505" s="4"/>
    </row>
    <row r="506">
      <c r="L506" s="16"/>
      <c r="U506" s="4"/>
      <c r="V506" s="4"/>
      <c r="W506" s="4"/>
      <c r="X506" s="4"/>
    </row>
    <row r="507">
      <c r="L507" s="16"/>
      <c r="U507" s="4"/>
      <c r="V507" s="4"/>
      <c r="W507" s="4"/>
      <c r="X507" s="4"/>
    </row>
    <row r="508">
      <c r="L508" s="16"/>
      <c r="U508" s="4"/>
      <c r="V508" s="4"/>
      <c r="W508" s="4"/>
      <c r="X508" s="4"/>
    </row>
    <row r="509">
      <c r="L509" s="16"/>
      <c r="U509" s="4"/>
      <c r="V509" s="4"/>
      <c r="W509" s="4"/>
      <c r="X509" s="4"/>
    </row>
    <row r="510">
      <c r="L510" s="16"/>
      <c r="U510" s="4"/>
      <c r="V510" s="4"/>
      <c r="W510" s="4"/>
      <c r="X510" s="4"/>
    </row>
    <row r="511">
      <c r="L511" s="16"/>
      <c r="U511" s="4"/>
      <c r="V511" s="4"/>
      <c r="W511" s="4"/>
      <c r="X511" s="4"/>
    </row>
    <row r="512">
      <c r="L512" s="16"/>
      <c r="U512" s="4"/>
      <c r="V512" s="4"/>
      <c r="W512" s="4"/>
      <c r="X512" s="4"/>
    </row>
    <row r="513">
      <c r="L513" s="16"/>
      <c r="U513" s="4"/>
      <c r="V513" s="4"/>
      <c r="W513" s="4"/>
      <c r="X513" s="4"/>
    </row>
    <row r="514">
      <c r="L514" s="16"/>
      <c r="U514" s="4"/>
      <c r="V514" s="4"/>
      <c r="W514" s="4"/>
      <c r="X514" s="4"/>
    </row>
    <row r="515">
      <c r="L515" s="16"/>
      <c r="U515" s="4"/>
      <c r="V515" s="4"/>
      <c r="W515" s="4"/>
      <c r="X515" s="4"/>
    </row>
    <row r="516">
      <c r="L516" s="16"/>
      <c r="U516" s="4"/>
      <c r="V516" s="4"/>
      <c r="W516" s="4"/>
      <c r="X516" s="4"/>
    </row>
    <row r="517">
      <c r="L517" s="16"/>
      <c r="U517" s="4"/>
      <c r="V517" s="4"/>
      <c r="W517" s="4"/>
      <c r="X517" s="4"/>
    </row>
    <row r="518">
      <c r="L518" s="16"/>
      <c r="U518" s="4"/>
      <c r="V518" s="4"/>
      <c r="W518" s="4"/>
      <c r="X518" s="4"/>
    </row>
    <row r="519">
      <c r="L519" s="16"/>
      <c r="U519" s="4"/>
      <c r="V519" s="4"/>
      <c r="W519" s="4"/>
      <c r="X519" s="4"/>
    </row>
    <row r="520">
      <c r="L520" s="16"/>
      <c r="U520" s="4"/>
      <c r="V520" s="4"/>
      <c r="W520" s="4"/>
      <c r="X520" s="4"/>
    </row>
    <row r="521">
      <c r="L521" s="16"/>
      <c r="U521" s="4"/>
      <c r="V521" s="4"/>
      <c r="W521" s="4"/>
      <c r="X521" s="4"/>
    </row>
    <row r="522">
      <c r="L522" s="16"/>
      <c r="U522" s="4"/>
      <c r="V522" s="4"/>
      <c r="W522" s="4"/>
      <c r="X522" s="4"/>
    </row>
    <row r="523">
      <c r="L523" s="16"/>
      <c r="U523" s="4"/>
      <c r="V523" s="4"/>
      <c r="W523" s="4"/>
      <c r="X523" s="4"/>
    </row>
    <row r="524">
      <c r="L524" s="16"/>
      <c r="U524" s="4"/>
      <c r="V524" s="4"/>
      <c r="W524" s="4"/>
      <c r="X524" s="4"/>
    </row>
    <row r="525">
      <c r="L525" s="16"/>
      <c r="U525" s="4"/>
      <c r="V525" s="4"/>
      <c r="W525" s="4"/>
      <c r="X525" s="4"/>
    </row>
    <row r="526">
      <c r="L526" s="16"/>
      <c r="U526" s="4"/>
      <c r="V526" s="4"/>
      <c r="W526" s="4"/>
      <c r="X526" s="4"/>
    </row>
    <row r="527">
      <c r="L527" s="16"/>
      <c r="U527" s="4"/>
      <c r="V527" s="4"/>
      <c r="W527" s="4"/>
      <c r="X527" s="4"/>
    </row>
    <row r="528">
      <c r="L528" s="16"/>
      <c r="U528" s="4"/>
      <c r="V528" s="4"/>
      <c r="W528" s="4"/>
      <c r="X528" s="4"/>
    </row>
    <row r="529">
      <c r="L529" s="16"/>
      <c r="U529" s="4"/>
      <c r="V529" s="4"/>
      <c r="W529" s="4"/>
      <c r="X529" s="4"/>
    </row>
    <row r="530">
      <c r="L530" s="16"/>
      <c r="U530" s="4"/>
      <c r="V530" s="4"/>
      <c r="W530" s="4"/>
      <c r="X530" s="4"/>
    </row>
    <row r="531">
      <c r="L531" s="16"/>
      <c r="U531" s="4"/>
      <c r="V531" s="4"/>
      <c r="W531" s="4"/>
      <c r="X531" s="4"/>
    </row>
    <row r="532">
      <c r="L532" s="16"/>
      <c r="U532" s="4"/>
      <c r="V532" s="4"/>
      <c r="W532" s="4"/>
      <c r="X532" s="4"/>
    </row>
    <row r="533">
      <c r="L533" s="16"/>
      <c r="U533" s="4"/>
      <c r="V533" s="4"/>
      <c r="W533" s="4"/>
      <c r="X533" s="4"/>
    </row>
    <row r="534">
      <c r="L534" s="16"/>
      <c r="U534" s="4"/>
      <c r="V534" s="4"/>
      <c r="W534" s="4"/>
      <c r="X534" s="4"/>
    </row>
    <row r="535">
      <c r="L535" s="16"/>
      <c r="U535" s="4"/>
      <c r="V535" s="4"/>
      <c r="W535" s="4"/>
      <c r="X535" s="4"/>
    </row>
    <row r="536">
      <c r="L536" s="16"/>
      <c r="U536" s="4"/>
      <c r="V536" s="4"/>
      <c r="W536" s="4"/>
      <c r="X536" s="4"/>
    </row>
    <row r="537">
      <c r="L537" s="16"/>
      <c r="U537" s="4"/>
      <c r="V537" s="4"/>
      <c r="W537" s="4"/>
      <c r="X537" s="4"/>
    </row>
    <row r="538">
      <c r="L538" s="16"/>
      <c r="U538" s="4"/>
      <c r="V538" s="4"/>
      <c r="W538" s="4"/>
      <c r="X538" s="4"/>
    </row>
    <row r="539">
      <c r="L539" s="16"/>
      <c r="U539" s="4"/>
      <c r="V539" s="4"/>
      <c r="W539" s="4"/>
      <c r="X539" s="4"/>
    </row>
    <row r="540">
      <c r="L540" s="16"/>
      <c r="U540" s="4"/>
      <c r="V540" s="4"/>
      <c r="W540" s="4"/>
      <c r="X540" s="4"/>
    </row>
    <row r="541">
      <c r="L541" s="16"/>
      <c r="U541" s="4"/>
      <c r="V541" s="4"/>
      <c r="W541" s="4"/>
      <c r="X541" s="4"/>
    </row>
    <row r="542">
      <c r="L542" s="16"/>
      <c r="U542" s="4"/>
      <c r="V542" s="4"/>
      <c r="W542" s="4"/>
      <c r="X542" s="4"/>
    </row>
    <row r="543">
      <c r="L543" s="16"/>
      <c r="U543" s="4"/>
      <c r="V543" s="4"/>
      <c r="W543" s="4"/>
      <c r="X543" s="4"/>
    </row>
    <row r="544">
      <c r="L544" s="16"/>
      <c r="U544" s="4"/>
      <c r="V544" s="4"/>
      <c r="W544" s="4"/>
      <c r="X544" s="4"/>
    </row>
    <row r="545">
      <c r="L545" s="16"/>
      <c r="U545" s="4"/>
      <c r="V545" s="4"/>
      <c r="W545" s="4"/>
      <c r="X545" s="4"/>
    </row>
    <row r="546">
      <c r="L546" s="16"/>
      <c r="U546" s="4"/>
      <c r="V546" s="4"/>
      <c r="W546" s="4"/>
      <c r="X546" s="4"/>
    </row>
    <row r="547">
      <c r="L547" s="16"/>
      <c r="U547" s="4"/>
      <c r="V547" s="4"/>
      <c r="W547" s="4"/>
      <c r="X547" s="4"/>
    </row>
    <row r="548">
      <c r="L548" s="16"/>
      <c r="U548" s="4"/>
      <c r="V548" s="4"/>
      <c r="W548" s="4"/>
      <c r="X548" s="4"/>
    </row>
    <row r="549">
      <c r="L549" s="16"/>
      <c r="U549" s="4"/>
      <c r="V549" s="4"/>
      <c r="W549" s="4"/>
      <c r="X549" s="4"/>
    </row>
    <row r="550">
      <c r="L550" s="16"/>
      <c r="U550" s="4"/>
      <c r="V550" s="4"/>
      <c r="W550" s="4"/>
      <c r="X550" s="4"/>
    </row>
    <row r="551">
      <c r="L551" s="16"/>
      <c r="U551" s="4"/>
      <c r="V551" s="4"/>
      <c r="W551" s="4"/>
      <c r="X551" s="4"/>
    </row>
    <row r="552">
      <c r="L552" s="16"/>
      <c r="U552" s="4"/>
      <c r="V552" s="4"/>
      <c r="W552" s="4"/>
      <c r="X552" s="4"/>
    </row>
    <row r="553">
      <c r="L553" s="16"/>
      <c r="U553" s="4"/>
      <c r="V553" s="4"/>
      <c r="W553" s="4"/>
      <c r="X553" s="4"/>
    </row>
    <row r="554">
      <c r="L554" s="16"/>
      <c r="U554" s="4"/>
      <c r="V554" s="4"/>
      <c r="W554" s="4"/>
      <c r="X554" s="4"/>
    </row>
    <row r="555">
      <c r="L555" s="16"/>
      <c r="U555" s="4"/>
      <c r="V555" s="4"/>
      <c r="W555" s="4"/>
      <c r="X555" s="4"/>
    </row>
    <row r="556">
      <c r="L556" s="16"/>
      <c r="U556" s="4"/>
      <c r="V556" s="4"/>
      <c r="W556" s="4"/>
      <c r="X556" s="4"/>
    </row>
    <row r="557">
      <c r="L557" s="16"/>
      <c r="U557" s="4"/>
      <c r="V557" s="4"/>
      <c r="W557" s="4"/>
      <c r="X557" s="4"/>
    </row>
    <row r="558">
      <c r="L558" s="16"/>
      <c r="U558" s="4"/>
      <c r="V558" s="4"/>
      <c r="W558" s="4"/>
      <c r="X558" s="4"/>
    </row>
    <row r="559">
      <c r="L559" s="16"/>
      <c r="U559" s="4"/>
      <c r="V559" s="4"/>
      <c r="W559" s="4"/>
      <c r="X559" s="4"/>
    </row>
    <row r="560">
      <c r="L560" s="16"/>
      <c r="U560" s="4"/>
      <c r="V560" s="4"/>
      <c r="W560" s="4"/>
      <c r="X560" s="4"/>
    </row>
    <row r="561">
      <c r="L561" s="16"/>
      <c r="U561" s="4"/>
      <c r="V561" s="4"/>
      <c r="W561" s="4"/>
      <c r="X561" s="4"/>
    </row>
    <row r="562">
      <c r="L562" s="16"/>
      <c r="U562" s="4"/>
      <c r="V562" s="4"/>
      <c r="W562" s="4"/>
      <c r="X562" s="4"/>
    </row>
    <row r="563">
      <c r="L563" s="16"/>
      <c r="U563" s="4"/>
      <c r="V563" s="4"/>
      <c r="W563" s="4"/>
      <c r="X563" s="4"/>
    </row>
    <row r="564">
      <c r="L564" s="16"/>
      <c r="U564" s="4"/>
      <c r="V564" s="4"/>
      <c r="W564" s="4"/>
      <c r="X564" s="4"/>
    </row>
    <row r="565">
      <c r="L565" s="16"/>
      <c r="U565" s="4"/>
      <c r="V565" s="4"/>
      <c r="W565" s="4"/>
      <c r="X565" s="4"/>
    </row>
    <row r="566">
      <c r="L566" s="16"/>
      <c r="U566" s="4"/>
      <c r="V566" s="4"/>
      <c r="W566" s="4"/>
      <c r="X566" s="4"/>
    </row>
    <row r="567">
      <c r="L567" s="16"/>
      <c r="U567" s="4"/>
      <c r="V567" s="4"/>
      <c r="W567" s="4"/>
      <c r="X567" s="4"/>
    </row>
    <row r="568">
      <c r="L568" s="16"/>
      <c r="U568" s="4"/>
      <c r="V568" s="4"/>
      <c r="W568" s="4"/>
      <c r="X568" s="4"/>
    </row>
    <row r="569">
      <c r="L569" s="16"/>
      <c r="U569" s="4"/>
      <c r="V569" s="4"/>
      <c r="W569" s="4"/>
      <c r="X569" s="4"/>
    </row>
    <row r="570">
      <c r="L570" s="16"/>
      <c r="U570" s="4"/>
      <c r="V570" s="4"/>
      <c r="W570" s="4"/>
      <c r="X570" s="4"/>
    </row>
    <row r="571">
      <c r="L571" s="16"/>
      <c r="U571" s="4"/>
      <c r="V571" s="4"/>
      <c r="W571" s="4"/>
      <c r="X571" s="4"/>
    </row>
    <row r="572">
      <c r="L572" s="16"/>
      <c r="U572" s="4"/>
      <c r="V572" s="4"/>
      <c r="W572" s="4"/>
      <c r="X572" s="4"/>
    </row>
    <row r="573">
      <c r="L573" s="16"/>
      <c r="U573" s="4"/>
      <c r="V573" s="4"/>
      <c r="W573" s="4"/>
      <c r="X573" s="4"/>
    </row>
    <row r="574">
      <c r="L574" s="16"/>
      <c r="U574" s="4"/>
      <c r="V574" s="4"/>
      <c r="W574" s="4"/>
      <c r="X574" s="4"/>
    </row>
    <row r="575">
      <c r="L575" s="16"/>
      <c r="U575" s="4"/>
      <c r="V575" s="4"/>
      <c r="W575" s="4"/>
      <c r="X575" s="4"/>
    </row>
    <row r="576">
      <c r="L576" s="16"/>
      <c r="U576" s="4"/>
      <c r="V576" s="4"/>
      <c r="W576" s="4"/>
      <c r="X576" s="4"/>
    </row>
    <row r="577">
      <c r="L577" s="16"/>
      <c r="U577" s="4"/>
      <c r="V577" s="4"/>
      <c r="W577" s="4"/>
      <c r="X577" s="4"/>
    </row>
    <row r="578">
      <c r="L578" s="16"/>
      <c r="U578" s="4"/>
      <c r="V578" s="4"/>
      <c r="W578" s="4"/>
      <c r="X578" s="4"/>
    </row>
    <row r="579">
      <c r="L579" s="16"/>
      <c r="U579" s="4"/>
      <c r="V579" s="4"/>
      <c r="W579" s="4"/>
      <c r="X579" s="4"/>
    </row>
    <row r="580">
      <c r="L580" s="16"/>
      <c r="U580" s="4"/>
      <c r="V580" s="4"/>
      <c r="W580" s="4"/>
      <c r="X580" s="4"/>
    </row>
    <row r="581">
      <c r="L581" s="16"/>
      <c r="U581" s="4"/>
      <c r="V581" s="4"/>
      <c r="W581" s="4"/>
      <c r="X581" s="4"/>
    </row>
    <row r="582">
      <c r="L582" s="16"/>
      <c r="U582" s="4"/>
      <c r="V582" s="4"/>
      <c r="W582" s="4"/>
      <c r="X582" s="4"/>
    </row>
    <row r="583">
      <c r="L583" s="16"/>
      <c r="U583" s="4"/>
      <c r="V583" s="4"/>
      <c r="W583" s="4"/>
      <c r="X583" s="4"/>
    </row>
    <row r="584">
      <c r="L584" s="16"/>
      <c r="U584" s="4"/>
      <c r="V584" s="4"/>
      <c r="W584" s="4"/>
      <c r="X584" s="4"/>
    </row>
    <row r="585">
      <c r="L585" s="16"/>
      <c r="U585" s="4"/>
      <c r="V585" s="4"/>
      <c r="W585" s="4"/>
      <c r="X585" s="4"/>
    </row>
    <row r="586">
      <c r="L586" s="16"/>
      <c r="U586" s="4"/>
      <c r="V586" s="4"/>
      <c r="W586" s="4"/>
      <c r="X586" s="4"/>
    </row>
    <row r="587">
      <c r="L587" s="16"/>
      <c r="U587" s="4"/>
      <c r="V587" s="4"/>
      <c r="W587" s="4"/>
      <c r="X587" s="4"/>
    </row>
    <row r="588">
      <c r="L588" s="16"/>
      <c r="U588" s="4"/>
      <c r="V588" s="4"/>
      <c r="W588" s="4"/>
      <c r="X588" s="4"/>
    </row>
    <row r="589">
      <c r="L589" s="16"/>
      <c r="U589" s="4"/>
      <c r="V589" s="4"/>
      <c r="W589" s="4"/>
      <c r="X589" s="4"/>
    </row>
    <row r="590">
      <c r="L590" s="16"/>
      <c r="U590" s="4"/>
      <c r="V590" s="4"/>
      <c r="W590" s="4"/>
      <c r="X590" s="4"/>
    </row>
    <row r="591">
      <c r="L591" s="16"/>
      <c r="U591" s="4"/>
      <c r="V591" s="4"/>
      <c r="W591" s="4"/>
      <c r="X591" s="4"/>
    </row>
    <row r="592">
      <c r="L592" s="16"/>
      <c r="U592" s="4"/>
      <c r="V592" s="4"/>
      <c r="W592" s="4"/>
      <c r="X592" s="4"/>
    </row>
    <row r="593">
      <c r="L593" s="16"/>
      <c r="U593" s="4"/>
      <c r="V593" s="4"/>
      <c r="W593" s="4"/>
      <c r="X593" s="4"/>
    </row>
    <row r="594">
      <c r="L594" s="16"/>
      <c r="U594" s="4"/>
      <c r="V594" s="4"/>
      <c r="W594" s="4"/>
      <c r="X594" s="4"/>
    </row>
    <row r="595">
      <c r="L595" s="16"/>
      <c r="U595" s="4"/>
      <c r="V595" s="4"/>
      <c r="W595" s="4"/>
      <c r="X595" s="4"/>
    </row>
    <row r="596">
      <c r="L596" s="16"/>
      <c r="U596" s="4"/>
      <c r="V596" s="4"/>
      <c r="W596" s="4"/>
      <c r="X596" s="4"/>
    </row>
    <row r="597">
      <c r="L597" s="16"/>
      <c r="U597" s="4"/>
      <c r="V597" s="4"/>
      <c r="W597" s="4"/>
      <c r="X597" s="4"/>
    </row>
    <row r="598">
      <c r="L598" s="16"/>
      <c r="U598" s="4"/>
      <c r="V598" s="4"/>
      <c r="W598" s="4"/>
      <c r="X598" s="4"/>
    </row>
    <row r="599">
      <c r="L599" s="16"/>
      <c r="U599" s="4"/>
      <c r="V599" s="4"/>
      <c r="W599" s="4"/>
      <c r="X599" s="4"/>
    </row>
    <row r="600">
      <c r="L600" s="16"/>
      <c r="U600" s="4"/>
      <c r="V600" s="4"/>
      <c r="W600" s="4"/>
      <c r="X600" s="4"/>
    </row>
    <row r="601">
      <c r="L601" s="16"/>
      <c r="U601" s="4"/>
      <c r="V601" s="4"/>
      <c r="W601" s="4"/>
      <c r="X601" s="4"/>
    </row>
    <row r="602">
      <c r="L602" s="16"/>
      <c r="U602" s="4"/>
      <c r="V602" s="4"/>
      <c r="W602" s="4"/>
      <c r="X602" s="4"/>
    </row>
    <row r="603">
      <c r="L603" s="16"/>
      <c r="U603" s="4"/>
      <c r="V603" s="4"/>
      <c r="W603" s="4"/>
      <c r="X603" s="4"/>
    </row>
    <row r="604">
      <c r="L604" s="16"/>
      <c r="U604" s="4"/>
      <c r="V604" s="4"/>
      <c r="W604" s="4"/>
      <c r="X604" s="4"/>
    </row>
    <row r="605">
      <c r="L605" s="16"/>
      <c r="U605" s="4"/>
      <c r="V605" s="4"/>
      <c r="W605" s="4"/>
      <c r="X605" s="4"/>
    </row>
    <row r="606">
      <c r="L606" s="16"/>
      <c r="U606" s="4"/>
      <c r="V606" s="4"/>
      <c r="W606" s="4"/>
      <c r="X606" s="4"/>
    </row>
    <row r="607">
      <c r="L607" s="16"/>
      <c r="U607" s="4"/>
      <c r="V607" s="4"/>
      <c r="W607" s="4"/>
      <c r="X607" s="4"/>
    </row>
    <row r="608">
      <c r="L608" s="16"/>
      <c r="U608" s="4"/>
      <c r="V608" s="4"/>
      <c r="W608" s="4"/>
      <c r="X608" s="4"/>
    </row>
    <row r="609">
      <c r="L609" s="16"/>
      <c r="U609" s="4"/>
      <c r="V609" s="4"/>
      <c r="W609" s="4"/>
      <c r="X609" s="4"/>
    </row>
    <row r="610">
      <c r="L610" s="16"/>
      <c r="U610" s="4"/>
      <c r="V610" s="4"/>
      <c r="W610" s="4"/>
      <c r="X610" s="4"/>
    </row>
    <row r="611">
      <c r="L611" s="16"/>
      <c r="U611" s="4"/>
      <c r="V611" s="4"/>
      <c r="W611" s="4"/>
      <c r="X611" s="4"/>
    </row>
    <row r="612">
      <c r="L612" s="16"/>
      <c r="U612" s="4"/>
      <c r="V612" s="4"/>
      <c r="W612" s="4"/>
      <c r="X612" s="4"/>
    </row>
    <row r="613">
      <c r="L613" s="16"/>
      <c r="U613" s="4"/>
      <c r="V613" s="4"/>
      <c r="W613" s="4"/>
      <c r="X613" s="4"/>
    </row>
    <row r="614">
      <c r="L614" s="16"/>
      <c r="U614" s="4"/>
      <c r="V614" s="4"/>
      <c r="W614" s="4"/>
      <c r="X614" s="4"/>
    </row>
    <row r="615">
      <c r="L615" s="16"/>
      <c r="U615" s="4"/>
      <c r="V615" s="4"/>
      <c r="W615" s="4"/>
      <c r="X615" s="4"/>
    </row>
    <row r="616">
      <c r="L616" s="16"/>
      <c r="U616" s="4"/>
      <c r="V616" s="4"/>
      <c r="W616" s="4"/>
      <c r="X616" s="4"/>
    </row>
    <row r="617">
      <c r="L617" s="16"/>
      <c r="U617" s="4"/>
      <c r="V617" s="4"/>
      <c r="W617" s="4"/>
      <c r="X617" s="4"/>
    </row>
    <row r="618">
      <c r="L618" s="16"/>
      <c r="U618" s="4"/>
      <c r="V618" s="4"/>
      <c r="W618" s="4"/>
      <c r="X618" s="4"/>
    </row>
    <row r="619">
      <c r="L619" s="16"/>
      <c r="U619" s="4"/>
      <c r="V619" s="4"/>
      <c r="W619" s="4"/>
      <c r="X619" s="4"/>
    </row>
    <row r="620">
      <c r="L620" s="16"/>
      <c r="U620" s="4"/>
      <c r="V620" s="4"/>
      <c r="W620" s="4"/>
      <c r="X620" s="4"/>
    </row>
    <row r="621">
      <c r="L621" s="16"/>
      <c r="U621" s="4"/>
      <c r="V621" s="4"/>
      <c r="W621" s="4"/>
      <c r="X621" s="4"/>
    </row>
    <row r="622">
      <c r="L622" s="16"/>
      <c r="U622" s="4"/>
      <c r="V622" s="4"/>
      <c r="W622" s="4"/>
      <c r="X622" s="4"/>
    </row>
    <row r="623">
      <c r="L623" s="16"/>
      <c r="U623" s="4"/>
      <c r="V623" s="4"/>
      <c r="W623" s="4"/>
      <c r="X623" s="4"/>
    </row>
    <row r="624">
      <c r="L624" s="16"/>
      <c r="U624" s="4"/>
      <c r="V624" s="4"/>
      <c r="W624" s="4"/>
      <c r="X624" s="4"/>
    </row>
    <row r="625">
      <c r="L625" s="16"/>
      <c r="U625" s="4"/>
      <c r="V625" s="4"/>
      <c r="W625" s="4"/>
      <c r="X625" s="4"/>
    </row>
    <row r="626">
      <c r="L626" s="16"/>
      <c r="U626" s="4"/>
      <c r="V626" s="4"/>
      <c r="W626" s="4"/>
      <c r="X626" s="4"/>
    </row>
    <row r="627">
      <c r="L627" s="16"/>
      <c r="U627" s="4"/>
      <c r="V627" s="4"/>
      <c r="W627" s="4"/>
      <c r="X627" s="4"/>
    </row>
    <row r="628">
      <c r="L628" s="16"/>
      <c r="U628" s="4"/>
      <c r="V628" s="4"/>
      <c r="W628" s="4"/>
      <c r="X628" s="4"/>
    </row>
    <row r="629">
      <c r="L629" s="16"/>
      <c r="U629" s="4"/>
      <c r="V629" s="4"/>
      <c r="W629" s="4"/>
      <c r="X629" s="4"/>
    </row>
    <row r="630">
      <c r="L630" s="16"/>
      <c r="U630" s="4"/>
      <c r="V630" s="4"/>
      <c r="W630" s="4"/>
      <c r="X630" s="4"/>
    </row>
    <row r="631">
      <c r="L631" s="16"/>
      <c r="U631" s="4"/>
      <c r="V631" s="4"/>
      <c r="W631" s="4"/>
      <c r="X631" s="4"/>
    </row>
    <row r="632">
      <c r="L632" s="16"/>
      <c r="U632" s="4"/>
      <c r="V632" s="4"/>
      <c r="W632" s="4"/>
      <c r="X632" s="4"/>
    </row>
    <row r="633">
      <c r="L633" s="16"/>
      <c r="U633" s="4"/>
      <c r="V633" s="4"/>
      <c r="W633" s="4"/>
      <c r="X633" s="4"/>
    </row>
    <row r="634">
      <c r="L634" s="16"/>
      <c r="U634" s="4"/>
      <c r="V634" s="4"/>
      <c r="W634" s="4"/>
      <c r="X634" s="4"/>
    </row>
    <row r="635">
      <c r="L635" s="16"/>
      <c r="U635" s="4"/>
      <c r="V635" s="4"/>
      <c r="W635" s="4"/>
      <c r="X635" s="4"/>
    </row>
    <row r="636">
      <c r="L636" s="16"/>
      <c r="U636" s="4"/>
      <c r="V636" s="4"/>
      <c r="W636" s="4"/>
      <c r="X636" s="4"/>
    </row>
    <row r="637">
      <c r="L637" s="16"/>
      <c r="U637" s="4"/>
      <c r="V637" s="4"/>
      <c r="W637" s="4"/>
      <c r="X637" s="4"/>
    </row>
    <row r="638">
      <c r="L638" s="16"/>
      <c r="U638" s="4"/>
      <c r="V638" s="4"/>
      <c r="W638" s="4"/>
      <c r="X638" s="4"/>
    </row>
    <row r="639">
      <c r="L639" s="16"/>
      <c r="U639" s="4"/>
      <c r="V639" s="4"/>
      <c r="W639" s="4"/>
      <c r="X639" s="4"/>
    </row>
    <row r="640">
      <c r="L640" s="16"/>
      <c r="U640" s="4"/>
      <c r="V640" s="4"/>
      <c r="W640" s="4"/>
      <c r="X640" s="4"/>
    </row>
    <row r="641">
      <c r="L641" s="16"/>
      <c r="U641" s="4"/>
      <c r="V641" s="4"/>
      <c r="W641" s="4"/>
      <c r="X641" s="4"/>
    </row>
    <row r="642">
      <c r="L642" s="16"/>
      <c r="U642" s="4"/>
      <c r="V642" s="4"/>
      <c r="W642" s="4"/>
      <c r="X642" s="4"/>
    </row>
    <row r="643">
      <c r="L643" s="16"/>
      <c r="U643" s="4"/>
      <c r="V643" s="4"/>
      <c r="W643" s="4"/>
      <c r="X643" s="4"/>
    </row>
    <row r="644">
      <c r="L644" s="16"/>
      <c r="U644" s="4"/>
      <c r="V644" s="4"/>
      <c r="W644" s="4"/>
      <c r="X644" s="4"/>
    </row>
    <row r="645">
      <c r="L645" s="16"/>
      <c r="U645" s="4"/>
      <c r="V645" s="4"/>
      <c r="W645" s="4"/>
      <c r="X645" s="4"/>
    </row>
    <row r="646">
      <c r="L646" s="16"/>
      <c r="U646" s="4"/>
      <c r="V646" s="4"/>
      <c r="W646" s="4"/>
      <c r="X646" s="4"/>
    </row>
    <row r="647">
      <c r="L647" s="16"/>
      <c r="U647" s="4"/>
      <c r="V647" s="4"/>
      <c r="W647" s="4"/>
      <c r="X647" s="4"/>
    </row>
    <row r="648">
      <c r="L648" s="16"/>
      <c r="U648" s="4"/>
      <c r="V648" s="4"/>
      <c r="W648" s="4"/>
      <c r="X648" s="4"/>
    </row>
    <row r="649">
      <c r="L649" s="16"/>
      <c r="U649" s="4"/>
      <c r="V649" s="4"/>
      <c r="W649" s="4"/>
      <c r="X649" s="4"/>
    </row>
    <row r="650">
      <c r="L650" s="16"/>
      <c r="U650" s="4"/>
      <c r="V650" s="4"/>
      <c r="W650" s="4"/>
      <c r="X650" s="4"/>
    </row>
    <row r="651">
      <c r="L651" s="16"/>
      <c r="U651" s="4"/>
      <c r="V651" s="4"/>
      <c r="W651" s="4"/>
      <c r="X651" s="4"/>
    </row>
    <row r="652">
      <c r="L652" s="16"/>
      <c r="U652" s="4"/>
      <c r="V652" s="4"/>
      <c r="W652" s="4"/>
      <c r="X652" s="4"/>
    </row>
    <row r="653">
      <c r="L653" s="16"/>
      <c r="U653" s="4"/>
      <c r="V653" s="4"/>
      <c r="W653" s="4"/>
      <c r="X653" s="4"/>
    </row>
    <row r="654">
      <c r="L654" s="16"/>
      <c r="U654" s="4"/>
      <c r="V654" s="4"/>
      <c r="W654" s="4"/>
      <c r="X654" s="4"/>
    </row>
    <row r="655">
      <c r="L655" s="16"/>
      <c r="U655" s="4"/>
      <c r="V655" s="4"/>
      <c r="W655" s="4"/>
      <c r="X655" s="4"/>
    </row>
    <row r="656">
      <c r="L656" s="16"/>
      <c r="U656" s="4"/>
      <c r="V656" s="4"/>
      <c r="W656" s="4"/>
      <c r="X656" s="4"/>
    </row>
    <row r="657">
      <c r="L657" s="16"/>
      <c r="U657" s="4"/>
      <c r="V657" s="4"/>
      <c r="W657" s="4"/>
      <c r="X657" s="4"/>
    </row>
    <row r="658">
      <c r="L658" s="16"/>
      <c r="U658" s="4"/>
      <c r="V658" s="4"/>
      <c r="W658" s="4"/>
      <c r="X658" s="4"/>
    </row>
    <row r="659">
      <c r="L659" s="16"/>
      <c r="U659" s="4"/>
      <c r="V659" s="4"/>
      <c r="W659" s="4"/>
      <c r="X659" s="4"/>
    </row>
    <row r="660">
      <c r="L660" s="16"/>
      <c r="U660" s="4"/>
      <c r="V660" s="4"/>
      <c r="W660" s="4"/>
      <c r="X660" s="4"/>
    </row>
    <row r="661">
      <c r="L661" s="16"/>
      <c r="U661" s="4"/>
      <c r="V661" s="4"/>
      <c r="W661" s="4"/>
      <c r="X661" s="4"/>
    </row>
    <row r="662">
      <c r="L662" s="16"/>
      <c r="U662" s="4"/>
      <c r="V662" s="4"/>
      <c r="W662" s="4"/>
      <c r="X662" s="4"/>
    </row>
    <row r="663">
      <c r="L663" s="16"/>
      <c r="U663" s="4"/>
      <c r="V663" s="4"/>
      <c r="W663" s="4"/>
      <c r="X663" s="4"/>
    </row>
    <row r="664">
      <c r="L664" s="16"/>
      <c r="U664" s="4"/>
      <c r="V664" s="4"/>
      <c r="W664" s="4"/>
      <c r="X664" s="4"/>
    </row>
    <row r="665">
      <c r="L665" s="16"/>
      <c r="U665" s="4"/>
      <c r="V665" s="4"/>
      <c r="W665" s="4"/>
      <c r="X665" s="4"/>
    </row>
    <row r="666">
      <c r="L666" s="16"/>
      <c r="U666" s="4"/>
      <c r="V666" s="4"/>
      <c r="W666" s="4"/>
      <c r="X666" s="4"/>
    </row>
    <row r="667">
      <c r="L667" s="16"/>
      <c r="U667" s="4"/>
      <c r="V667" s="4"/>
      <c r="W667" s="4"/>
      <c r="X667" s="4"/>
    </row>
    <row r="668">
      <c r="L668" s="16"/>
      <c r="U668" s="4"/>
      <c r="V668" s="4"/>
      <c r="W668" s="4"/>
      <c r="X668" s="4"/>
    </row>
    <row r="669">
      <c r="L669" s="16"/>
      <c r="U669" s="4"/>
      <c r="V669" s="4"/>
      <c r="W669" s="4"/>
      <c r="X669" s="4"/>
    </row>
    <row r="670">
      <c r="L670" s="16"/>
      <c r="U670" s="4"/>
      <c r="V670" s="4"/>
      <c r="W670" s="4"/>
      <c r="X670" s="4"/>
    </row>
    <row r="671">
      <c r="L671" s="16"/>
      <c r="U671" s="4"/>
      <c r="V671" s="4"/>
      <c r="W671" s="4"/>
      <c r="X671" s="4"/>
    </row>
    <row r="672">
      <c r="L672" s="16"/>
      <c r="U672" s="4"/>
      <c r="V672" s="4"/>
      <c r="W672" s="4"/>
      <c r="X672" s="4"/>
    </row>
    <row r="673">
      <c r="L673" s="16"/>
      <c r="U673" s="4"/>
      <c r="V673" s="4"/>
      <c r="W673" s="4"/>
      <c r="X673" s="4"/>
    </row>
    <row r="674">
      <c r="L674" s="16"/>
      <c r="U674" s="4"/>
      <c r="V674" s="4"/>
      <c r="W674" s="4"/>
      <c r="X674" s="4"/>
    </row>
    <row r="675">
      <c r="L675" s="16"/>
      <c r="U675" s="4"/>
      <c r="V675" s="4"/>
      <c r="W675" s="4"/>
      <c r="X675" s="4"/>
    </row>
    <row r="676">
      <c r="L676" s="16"/>
      <c r="U676" s="4"/>
      <c r="V676" s="4"/>
      <c r="W676" s="4"/>
      <c r="X676" s="4"/>
    </row>
    <row r="677">
      <c r="L677" s="16"/>
      <c r="U677" s="4"/>
      <c r="V677" s="4"/>
      <c r="W677" s="4"/>
      <c r="X677" s="4"/>
    </row>
    <row r="678">
      <c r="L678" s="16"/>
      <c r="U678" s="4"/>
      <c r="V678" s="4"/>
      <c r="W678" s="4"/>
      <c r="X678" s="4"/>
    </row>
    <row r="679">
      <c r="L679" s="16"/>
      <c r="U679" s="4"/>
      <c r="V679" s="4"/>
      <c r="W679" s="4"/>
      <c r="X679" s="4"/>
    </row>
    <row r="680">
      <c r="L680" s="16"/>
      <c r="U680" s="4"/>
      <c r="V680" s="4"/>
      <c r="W680" s="4"/>
      <c r="X680" s="4"/>
    </row>
    <row r="681">
      <c r="L681" s="16"/>
      <c r="U681" s="4"/>
      <c r="V681" s="4"/>
      <c r="W681" s="4"/>
      <c r="X681" s="4"/>
    </row>
    <row r="682">
      <c r="L682" s="16"/>
      <c r="U682" s="4"/>
      <c r="V682" s="4"/>
      <c r="W682" s="4"/>
      <c r="X682" s="4"/>
    </row>
    <row r="683">
      <c r="L683" s="16"/>
      <c r="U683" s="4"/>
      <c r="V683" s="4"/>
      <c r="W683" s="4"/>
      <c r="X683" s="4"/>
    </row>
    <row r="684">
      <c r="L684" s="16"/>
      <c r="U684" s="4"/>
      <c r="V684" s="4"/>
      <c r="W684" s="4"/>
      <c r="X684" s="4"/>
    </row>
    <row r="685">
      <c r="L685" s="16"/>
      <c r="U685" s="4"/>
      <c r="V685" s="4"/>
      <c r="W685" s="4"/>
      <c r="X685" s="4"/>
    </row>
    <row r="686">
      <c r="L686" s="16"/>
      <c r="U686" s="4"/>
      <c r="V686" s="4"/>
      <c r="W686" s="4"/>
      <c r="X686" s="4"/>
    </row>
    <row r="687">
      <c r="L687" s="16"/>
      <c r="U687" s="4"/>
      <c r="V687" s="4"/>
      <c r="W687" s="4"/>
      <c r="X687" s="4"/>
    </row>
    <row r="688">
      <c r="L688" s="16"/>
      <c r="U688" s="4"/>
      <c r="V688" s="4"/>
      <c r="W688" s="4"/>
      <c r="X688" s="4"/>
    </row>
    <row r="689">
      <c r="L689" s="16"/>
      <c r="U689" s="4"/>
      <c r="V689" s="4"/>
      <c r="W689" s="4"/>
      <c r="X689" s="4"/>
    </row>
    <row r="690">
      <c r="L690" s="16"/>
      <c r="U690" s="4"/>
      <c r="V690" s="4"/>
      <c r="W690" s="4"/>
      <c r="X690" s="4"/>
    </row>
    <row r="691">
      <c r="L691" s="16"/>
      <c r="U691" s="4"/>
      <c r="V691" s="4"/>
      <c r="W691" s="4"/>
      <c r="X691" s="4"/>
    </row>
    <row r="692">
      <c r="L692" s="16"/>
      <c r="U692" s="4"/>
      <c r="V692" s="4"/>
      <c r="W692" s="4"/>
      <c r="X692" s="4"/>
    </row>
    <row r="693">
      <c r="L693" s="16"/>
      <c r="U693" s="4"/>
      <c r="V693" s="4"/>
      <c r="W693" s="4"/>
      <c r="X693" s="4"/>
    </row>
    <row r="694">
      <c r="L694" s="16"/>
      <c r="U694" s="4"/>
      <c r="V694" s="4"/>
      <c r="W694" s="4"/>
      <c r="X694" s="4"/>
    </row>
    <row r="695">
      <c r="L695" s="16"/>
      <c r="U695" s="4"/>
      <c r="V695" s="4"/>
      <c r="W695" s="4"/>
      <c r="X695" s="4"/>
    </row>
    <row r="696">
      <c r="L696" s="16"/>
      <c r="U696" s="4"/>
      <c r="V696" s="4"/>
      <c r="W696" s="4"/>
      <c r="X696" s="4"/>
    </row>
    <row r="697">
      <c r="L697" s="16"/>
      <c r="U697" s="4"/>
      <c r="V697" s="4"/>
      <c r="W697" s="4"/>
      <c r="X697" s="4"/>
    </row>
    <row r="698">
      <c r="L698" s="16"/>
      <c r="U698" s="4"/>
      <c r="V698" s="4"/>
      <c r="W698" s="4"/>
      <c r="X698" s="4"/>
    </row>
    <row r="699">
      <c r="L699" s="16"/>
      <c r="U699" s="4"/>
      <c r="V699" s="4"/>
      <c r="W699" s="4"/>
      <c r="X699" s="4"/>
    </row>
    <row r="700">
      <c r="L700" s="16"/>
      <c r="U700" s="4"/>
      <c r="V700" s="4"/>
      <c r="W700" s="4"/>
      <c r="X700" s="4"/>
    </row>
    <row r="701">
      <c r="L701" s="16"/>
      <c r="U701" s="4"/>
      <c r="V701" s="4"/>
      <c r="W701" s="4"/>
      <c r="X701" s="4"/>
    </row>
    <row r="702">
      <c r="L702" s="16"/>
      <c r="U702" s="4"/>
      <c r="V702" s="4"/>
      <c r="W702" s="4"/>
      <c r="X702" s="4"/>
    </row>
    <row r="703">
      <c r="L703" s="16"/>
      <c r="U703" s="4"/>
      <c r="V703" s="4"/>
      <c r="W703" s="4"/>
      <c r="X703" s="4"/>
    </row>
    <row r="704">
      <c r="L704" s="16"/>
      <c r="U704" s="4"/>
      <c r="V704" s="4"/>
      <c r="W704" s="4"/>
      <c r="X704" s="4"/>
    </row>
    <row r="705">
      <c r="L705" s="16"/>
      <c r="U705" s="4"/>
      <c r="V705" s="4"/>
      <c r="W705" s="4"/>
      <c r="X705" s="4"/>
    </row>
    <row r="706">
      <c r="L706" s="16"/>
      <c r="U706" s="4"/>
      <c r="V706" s="4"/>
      <c r="W706" s="4"/>
      <c r="X706" s="4"/>
    </row>
    <row r="707">
      <c r="L707" s="16"/>
      <c r="U707" s="4"/>
      <c r="V707" s="4"/>
      <c r="W707" s="4"/>
      <c r="X707" s="4"/>
    </row>
    <row r="708">
      <c r="L708" s="16"/>
      <c r="U708" s="4"/>
      <c r="V708" s="4"/>
      <c r="W708" s="4"/>
      <c r="X708" s="4"/>
    </row>
    <row r="709">
      <c r="L709" s="16"/>
      <c r="U709" s="4"/>
      <c r="V709" s="4"/>
      <c r="W709" s="4"/>
      <c r="X709" s="4"/>
    </row>
    <row r="710">
      <c r="L710" s="16"/>
      <c r="U710" s="4"/>
      <c r="V710" s="4"/>
      <c r="W710" s="4"/>
      <c r="X710" s="4"/>
    </row>
    <row r="711">
      <c r="L711" s="16"/>
      <c r="U711" s="4"/>
      <c r="V711" s="4"/>
      <c r="W711" s="4"/>
      <c r="X711" s="4"/>
    </row>
    <row r="712">
      <c r="L712" s="16"/>
      <c r="U712" s="4"/>
      <c r="V712" s="4"/>
      <c r="W712" s="4"/>
      <c r="X712" s="4"/>
    </row>
    <row r="713">
      <c r="L713" s="16"/>
      <c r="U713" s="4"/>
      <c r="V713" s="4"/>
      <c r="W713" s="4"/>
      <c r="X713" s="4"/>
    </row>
    <row r="714">
      <c r="L714" s="16"/>
      <c r="U714" s="4"/>
      <c r="V714" s="4"/>
      <c r="W714" s="4"/>
      <c r="X714" s="4"/>
    </row>
    <row r="715">
      <c r="L715" s="16"/>
      <c r="U715" s="4"/>
      <c r="V715" s="4"/>
      <c r="W715" s="4"/>
      <c r="X715" s="4"/>
    </row>
    <row r="716">
      <c r="L716" s="16"/>
      <c r="U716" s="4"/>
      <c r="V716" s="4"/>
      <c r="W716" s="4"/>
      <c r="X716" s="4"/>
    </row>
    <row r="717">
      <c r="L717" s="16"/>
      <c r="U717" s="4"/>
      <c r="V717" s="4"/>
      <c r="W717" s="4"/>
      <c r="X717" s="4"/>
    </row>
    <row r="718">
      <c r="L718" s="16"/>
      <c r="U718" s="4"/>
      <c r="V718" s="4"/>
      <c r="W718" s="4"/>
      <c r="X718" s="4"/>
    </row>
    <row r="719">
      <c r="L719" s="16"/>
      <c r="U719" s="4"/>
      <c r="V719" s="4"/>
      <c r="W719" s="4"/>
      <c r="X719" s="4"/>
    </row>
    <row r="720">
      <c r="L720" s="16"/>
      <c r="U720" s="4"/>
      <c r="V720" s="4"/>
      <c r="W720" s="4"/>
      <c r="X720" s="4"/>
    </row>
    <row r="721">
      <c r="L721" s="16"/>
      <c r="U721" s="4"/>
      <c r="V721" s="4"/>
      <c r="W721" s="4"/>
      <c r="X721" s="4"/>
    </row>
    <row r="722">
      <c r="L722" s="16"/>
      <c r="U722" s="4"/>
      <c r="V722" s="4"/>
      <c r="W722" s="4"/>
      <c r="X722" s="4"/>
    </row>
    <row r="723">
      <c r="L723" s="16"/>
      <c r="U723" s="4"/>
      <c r="V723" s="4"/>
      <c r="W723" s="4"/>
      <c r="X723" s="4"/>
    </row>
    <row r="724">
      <c r="L724" s="16"/>
      <c r="U724" s="4"/>
      <c r="V724" s="4"/>
      <c r="W724" s="4"/>
      <c r="X724" s="4"/>
    </row>
    <row r="725">
      <c r="L725" s="16"/>
      <c r="U725" s="4"/>
      <c r="V725" s="4"/>
      <c r="W725" s="4"/>
      <c r="X725" s="4"/>
    </row>
    <row r="726">
      <c r="L726" s="16"/>
      <c r="U726" s="4"/>
      <c r="V726" s="4"/>
      <c r="W726" s="4"/>
      <c r="X726" s="4"/>
    </row>
    <row r="727">
      <c r="L727" s="16"/>
      <c r="U727" s="4"/>
      <c r="V727" s="4"/>
      <c r="W727" s="4"/>
      <c r="X727" s="4"/>
    </row>
    <row r="728">
      <c r="L728" s="16"/>
      <c r="U728" s="4"/>
      <c r="V728" s="4"/>
      <c r="W728" s="4"/>
      <c r="X728" s="4"/>
    </row>
    <row r="729">
      <c r="L729" s="16"/>
      <c r="U729" s="4"/>
      <c r="V729" s="4"/>
      <c r="W729" s="4"/>
      <c r="X729" s="4"/>
    </row>
    <row r="730">
      <c r="L730" s="16"/>
      <c r="U730" s="4"/>
      <c r="V730" s="4"/>
      <c r="W730" s="4"/>
      <c r="X730" s="4"/>
    </row>
    <row r="731">
      <c r="L731" s="16"/>
      <c r="U731" s="4"/>
      <c r="V731" s="4"/>
      <c r="W731" s="4"/>
      <c r="X731" s="4"/>
    </row>
    <row r="732">
      <c r="L732" s="16"/>
      <c r="U732" s="4"/>
      <c r="V732" s="4"/>
      <c r="W732" s="4"/>
      <c r="X732" s="4"/>
    </row>
    <row r="733">
      <c r="L733" s="16"/>
      <c r="U733" s="4"/>
      <c r="V733" s="4"/>
      <c r="W733" s="4"/>
      <c r="X733" s="4"/>
    </row>
    <row r="734">
      <c r="L734" s="16"/>
      <c r="U734" s="4"/>
      <c r="V734" s="4"/>
      <c r="W734" s="4"/>
      <c r="X734" s="4"/>
    </row>
    <row r="735">
      <c r="L735" s="16"/>
      <c r="U735" s="4"/>
      <c r="V735" s="4"/>
      <c r="W735" s="4"/>
      <c r="X735" s="4"/>
    </row>
    <row r="736">
      <c r="L736" s="16"/>
      <c r="U736" s="4"/>
      <c r="V736" s="4"/>
      <c r="W736" s="4"/>
      <c r="X736" s="4"/>
    </row>
    <row r="737">
      <c r="L737" s="16"/>
      <c r="U737" s="4"/>
      <c r="V737" s="4"/>
      <c r="W737" s="4"/>
      <c r="X737" s="4"/>
    </row>
    <row r="738">
      <c r="L738" s="16"/>
      <c r="U738" s="4"/>
      <c r="V738" s="4"/>
      <c r="W738" s="4"/>
      <c r="X738" s="4"/>
    </row>
    <row r="739">
      <c r="L739" s="16"/>
      <c r="U739" s="4"/>
      <c r="V739" s="4"/>
      <c r="W739" s="4"/>
      <c r="X739" s="4"/>
    </row>
    <row r="740">
      <c r="L740" s="16"/>
      <c r="U740" s="4"/>
      <c r="V740" s="4"/>
      <c r="W740" s="4"/>
      <c r="X740" s="4"/>
    </row>
    <row r="741">
      <c r="L741" s="16"/>
      <c r="U741" s="4"/>
      <c r="V741" s="4"/>
      <c r="W741" s="4"/>
      <c r="X741" s="4"/>
    </row>
    <row r="742">
      <c r="L742" s="16"/>
      <c r="U742" s="4"/>
      <c r="V742" s="4"/>
      <c r="W742" s="4"/>
      <c r="X742" s="4"/>
    </row>
    <row r="743">
      <c r="L743" s="16"/>
      <c r="U743" s="4"/>
      <c r="V743" s="4"/>
      <c r="W743" s="4"/>
      <c r="X743" s="4"/>
    </row>
    <row r="744">
      <c r="L744" s="16"/>
      <c r="U744" s="4"/>
      <c r="V744" s="4"/>
      <c r="W744" s="4"/>
      <c r="X744" s="4"/>
    </row>
    <row r="745">
      <c r="L745" s="16"/>
      <c r="U745" s="4"/>
      <c r="V745" s="4"/>
      <c r="W745" s="4"/>
      <c r="X745" s="4"/>
    </row>
    <row r="746">
      <c r="L746" s="16"/>
      <c r="U746" s="4"/>
      <c r="V746" s="4"/>
      <c r="W746" s="4"/>
      <c r="X746" s="4"/>
    </row>
    <row r="747">
      <c r="L747" s="16"/>
      <c r="U747" s="4"/>
      <c r="V747" s="4"/>
      <c r="W747" s="4"/>
      <c r="X747" s="4"/>
    </row>
    <row r="748">
      <c r="L748" s="16"/>
      <c r="U748" s="4"/>
      <c r="V748" s="4"/>
      <c r="W748" s="4"/>
      <c r="X748" s="4"/>
    </row>
    <row r="749">
      <c r="L749" s="16"/>
      <c r="U749" s="4"/>
      <c r="V749" s="4"/>
      <c r="W749" s="4"/>
      <c r="X749" s="4"/>
    </row>
    <row r="750">
      <c r="L750" s="16"/>
      <c r="U750" s="4"/>
      <c r="V750" s="4"/>
      <c r="W750" s="4"/>
      <c r="X750" s="4"/>
    </row>
    <row r="751">
      <c r="L751" s="16"/>
      <c r="U751" s="4"/>
      <c r="V751" s="4"/>
      <c r="W751" s="4"/>
      <c r="X751" s="4"/>
    </row>
    <row r="752">
      <c r="L752" s="16"/>
      <c r="U752" s="4"/>
      <c r="V752" s="4"/>
      <c r="W752" s="4"/>
      <c r="X752" s="4"/>
    </row>
    <row r="753">
      <c r="L753" s="16"/>
      <c r="U753" s="4"/>
      <c r="V753" s="4"/>
      <c r="W753" s="4"/>
      <c r="X753" s="4"/>
    </row>
    <row r="754">
      <c r="L754" s="16"/>
      <c r="U754" s="4"/>
      <c r="V754" s="4"/>
      <c r="W754" s="4"/>
      <c r="X754" s="4"/>
    </row>
    <row r="755">
      <c r="L755" s="16"/>
      <c r="U755" s="4"/>
      <c r="V755" s="4"/>
      <c r="W755" s="4"/>
      <c r="X755" s="4"/>
    </row>
    <row r="756">
      <c r="L756" s="16"/>
      <c r="U756" s="4"/>
      <c r="V756" s="4"/>
      <c r="W756" s="4"/>
      <c r="X756" s="4"/>
    </row>
    <row r="757">
      <c r="L757" s="16"/>
      <c r="U757" s="4"/>
      <c r="V757" s="4"/>
      <c r="W757" s="4"/>
      <c r="X757" s="4"/>
    </row>
    <row r="758">
      <c r="L758" s="16"/>
      <c r="U758" s="4"/>
      <c r="V758" s="4"/>
      <c r="W758" s="4"/>
      <c r="X758" s="4"/>
    </row>
    <row r="759">
      <c r="L759" s="16"/>
      <c r="U759" s="4"/>
      <c r="V759" s="4"/>
      <c r="W759" s="4"/>
      <c r="X759" s="4"/>
    </row>
    <row r="760">
      <c r="L760" s="16"/>
      <c r="U760" s="4"/>
      <c r="V760" s="4"/>
      <c r="W760" s="4"/>
      <c r="X760" s="4"/>
    </row>
    <row r="761">
      <c r="L761" s="16"/>
      <c r="U761" s="4"/>
      <c r="V761" s="4"/>
      <c r="W761" s="4"/>
      <c r="X761" s="4"/>
    </row>
    <row r="762">
      <c r="L762" s="16"/>
      <c r="U762" s="4"/>
      <c r="V762" s="4"/>
      <c r="W762" s="4"/>
      <c r="X762" s="4"/>
    </row>
    <row r="763">
      <c r="L763" s="16"/>
      <c r="U763" s="4"/>
      <c r="V763" s="4"/>
      <c r="W763" s="4"/>
      <c r="X763" s="4"/>
    </row>
    <row r="764">
      <c r="L764" s="16"/>
      <c r="U764" s="4"/>
      <c r="V764" s="4"/>
      <c r="W764" s="4"/>
      <c r="X764" s="4"/>
    </row>
    <row r="765">
      <c r="L765" s="16"/>
      <c r="U765" s="4"/>
      <c r="V765" s="4"/>
      <c r="W765" s="4"/>
      <c r="X765" s="4"/>
    </row>
    <row r="766">
      <c r="L766" s="16"/>
      <c r="U766" s="4"/>
      <c r="V766" s="4"/>
      <c r="W766" s="4"/>
      <c r="X766" s="4"/>
    </row>
    <row r="767">
      <c r="L767" s="16"/>
      <c r="U767" s="4"/>
      <c r="V767" s="4"/>
      <c r="W767" s="4"/>
      <c r="X767" s="4"/>
    </row>
    <row r="768">
      <c r="L768" s="16"/>
      <c r="U768" s="4"/>
      <c r="V768" s="4"/>
      <c r="W768" s="4"/>
      <c r="X768" s="4"/>
    </row>
    <row r="769">
      <c r="L769" s="16"/>
      <c r="U769" s="4"/>
      <c r="V769" s="4"/>
      <c r="W769" s="4"/>
      <c r="X769" s="4"/>
    </row>
    <row r="770">
      <c r="L770" s="16"/>
      <c r="U770" s="4"/>
      <c r="V770" s="4"/>
      <c r="W770" s="4"/>
      <c r="X770" s="4"/>
    </row>
    <row r="771">
      <c r="L771" s="16"/>
      <c r="U771" s="4"/>
      <c r="V771" s="4"/>
      <c r="W771" s="4"/>
      <c r="X771" s="4"/>
    </row>
    <row r="772">
      <c r="L772" s="16"/>
      <c r="U772" s="4"/>
      <c r="V772" s="4"/>
      <c r="W772" s="4"/>
      <c r="X772" s="4"/>
    </row>
    <row r="773">
      <c r="L773" s="16"/>
      <c r="U773" s="4"/>
      <c r="V773" s="4"/>
      <c r="W773" s="4"/>
      <c r="X773" s="4"/>
    </row>
    <row r="774">
      <c r="L774" s="16"/>
      <c r="U774" s="4"/>
      <c r="V774" s="4"/>
      <c r="W774" s="4"/>
      <c r="X774" s="4"/>
    </row>
    <row r="775">
      <c r="L775" s="16"/>
      <c r="U775" s="4"/>
      <c r="V775" s="4"/>
      <c r="W775" s="4"/>
      <c r="X775" s="4"/>
    </row>
    <row r="776">
      <c r="L776" s="16"/>
      <c r="U776" s="4"/>
      <c r="V776" s="4"/>
      <c r="W776" s="4"/>
      <c r="X776" s="4"/>
    </row>
    <row r="777">
      <c r="L777" s="16"/>
      <c r="U777" s="4"/>
      <c r="V777" s="4"/>
      <c r="W777" s="4"/>
      <c r="X777" s="4"/>
    </row>
    <row r="778">
      <c r="L778" s="16"/>
      <c r="U778" s="4"/>
      <c r="V778" s="4"/>
      <c r="W778" s="4"/>
      <c r="X778" s="4"/>
    </row>
    <row r="779">
      <c r="L779" s="16"/>
      <c r="U779" s="4"/>
      <c r="V779" s="4"/>
      <c r="W779" s="4"/>
      <c r="X779" s="4"/>
    </row>
    <row r="780">
      <c r="L780" s="16"/>
      <c r="U780" s="4"/>
      <c r="V780" s="4"/>
      <c r="W780" s="4"/>
      <c r="X780" s="4"/>
    </row>
    <row r="781">
      <c r="L781" s="16"/>
      <c r="U781" s="4"/>
      <c r="V781" s="4"/>
      <c r="W781" s="4"/>
      <c r="X781" s="4"/>
    </row>
    <row r="782">
      <c r="L782" s="16"/>
      <c r="U782" s="4"/>
      <c r="V782" s="4"/>
      <c r="W782" s="4"/>
      <c r="X782" s="4"/>
    </row>
    <row r="783">
      <c r="L783" s="16"/>
      <c r="U783" s="4"/>
      <c r="V783" s="4"/>
      <c r="W783" s="4"/>
      <c r="X783" s="4"/>
    </row>
    <row r="784">
      <c r="L784" s="16"/>
      <c r="U784" s="4"/>
      <c r="V784" s="4"/>
      <c r="W784" s="4"/>
      <c r="X784" s="4"/>
    </row>
    <row r="785">
      <c r="L785" s="16"/>
      <c r="U785" s="4"/>
      <c r="V785" s="4"/>
      <c r="W785" s="4"/>
      <c r="X785" s="4"/>
    </row>
    <row r="786">
      <c r="L786" s="16"/>
      <c r="U786" s="4"/>
      <c r="V786" s="4"/>
      <c r="W786" s="4"/>
      <c r="X786" s="4"/>
    </row>
    <row r="787">
      <c r="L787" s="16"/>
      <c r="U787" s="4"/>
      <c r="V787" s="4"/>
      <c r="W787" s="4"/>
      <c r="X787" s="4"/>
    </row>
    <row r="788">
      <c r="L788" s="16"/>
      <c r="U788" s="4"/>
      <c r="V788" s="4"/>
      <c r="W788" s="4"/>
      <c r="X788" s="4"/>
    </row>
    <row r="789">
      <c r="L789" s="16"/>
      <c r="U789" s="4"/>
      <c r="V789" s="4"/>
      <c r="W789" s="4"/>
      <c r="X789" s="4"/>
    </row>
    <row r="790">
      <c r="L790" s="16"/>
      <c r="U790" s="4"/>
      <c r="V790" s="4"/>
      <c r="W790" s="4"/>
      <c r="X790" s="4"/>
    </row>
    <row r="791">
      <c r="L791" s="16"/>
      <c r="U791" s="4"/>
      <c r="V791" s="4"/>
      <c r="W791" s="4"/>
      <c r="X791" s="4"/>
    </row>
    <row r="792">
      <c r="L792" s="16"/>
      <c r="U792" s="4"/>
      <c r="V792" s="4"/>
      <c r="W792" s="4"/>
      <c r="X792" s="4"/>
    </row>
    <row r="793">
      <c r="L793" s="16"/>
      <c r="U793" s="4"/>
      <c r="V793" s="4"/>
      <c r="W793" s="4"/>
      <c r="X793" s="4"/>
    </row>
    <row r="794">
      <c r="L794" s="16"/>
      <c r="U794" s="4"/>
      <c r="V794" s="4"/>
      <c r="W794" s="4"/>
      <c r="X794" s="4"/>
    </row>
    <row r="795">
      <c r="L795" s="16"/>
      <c r="U795" s="4"/>
      <c r="V795" s="4"/>
      <c r="W795" s="4"/>
      <c r="X795" s="4"/>
    </row>
    <row r="796">
      <c r="L796" s="16"/>
      <c r="U796" s="4"/>
      <c r="V796" s="4"/>
      <c r="W796" s="4"/>
      <c r="X796" s="4"/>
    </row>
    <row r="797">
      <c r="L797" s="16"/>
      <c r="U797" s="4"/>
      <c r="V797" s="4"/>
      <c r="W797" s="4"/>
      <c r="X797" s="4"/>
    </row>
    <row r="798">
      <c r="L798" s="16"/>
      <c r="U798" s="4"/>
      <c r="V798" s="4"/>
      <c r="W798" s="4"/>
      <c r="X798" s="4"/>
    </row>
    <row r="799">
      <c r="L799" s="16"/>
      <c r="U799" s="4"/>
      <c r="V799" s="4"/>
      <c r="W799" s="4"/>
      <c r="X799" s="4"/>
    </row>
    <row r="800">
      <c r="L800" s="16"/>
      <c r="U800" s="4"/>
      <c r="V800" s="4"/>
      <c r="W800" s="4"/>
      <c r="X800" s="4"/>
    </row>
    <row r="801">
      <c r="L801" s="16"/>
      <c r="U801" s="4"/>
      <c r="V801" s="4"/>
      <c r="W801" s="4"/>
      <c r="X801" s="4"/>
    </row>
    <row r="802">
      <c r="L802" s="16"/>
      <c r="U802" s="4"/>
      <c r="V802" s="4"/>
      <c r="W802" s="4"/>
      <c r="X802" s="4"/>
    </row>
    <row r="803">
      <c r="L803" s="16"/>
      <c r="U803" s="4"/>
      <c r="V803" s="4"/>
      <c r="W803" s="4"/>
      <c r="X803" s="4"/>
    </row>
    <row r="804">
      <c r="L804" s="16"/>
      <c r="U804" s="4"/>
      <c r="V804" s="4"/>
      <c r="W804" s="4"/>
      <c r="X804" s="4"/>
    </row>
    <row r="805">
      <c r="L805" s="16"/>
      <c r="U805" s="4"/>
      <c r="V805" s="4"/>
      <c r="W805" s="4"/>
      <c r="X805" s="4"/>
    </row>
    <row r="806">
      <c r="L806" s="16"/>
      <c r="U806" s="4"/>
      <c r="V806" s="4"/>
      <c r="W806" s="4"/>
      <c r="X806" s="4"/>
    </row>
    <row r="807">
      <c r="L807" s="16"/>
      <c r="U807" s="4"/>
      <c r="V807" s="4"/>
      <c r="W807" s="4"/>
      <c r="X807" s="4"/>
    </row>
    <row r="808">
      <c r="L808" s="16"/>
      <c r="U808" s="4"/>
      <c r="V808" s="4"/>
      <c r="W808" s="4"/>
      <c r="X808" s="4"/>
    </row>
    <row r="809">
      <c r="L809" s="16"/>
      <c r="U809" s="4"/>
      <c r="V809" s="4"/>
      <c r="W809" s="4"/>
      <c r="X809" s="4"/>
    </row>
    <row r="810">
      <c r="L810" s="16"/>
      <c r="U810" s="4"/>
      <c r="V810" s="4"/>
      <c r="W810" s="4"/>
      <c r="X810" s="4"/>
    </row>
    <row r="811">
      <c r="L811" s="16"/>
      <c r="U811" s="4"/>
      <c r="V811" s="4"/>
      <c r="W811" s="4"/>
      <c r="X811" s="4"/>
    </row>
    <row r="812">
      <c r="L812" s="16"/>
      <c r="U812" s="4"/>
      <c r="V812" s="4"/>
      <c r="W812" s="4"/>
      <c r="X812" s="4"/>
    </row>
    <row r="813">
      <c r="L813" s="16"/>
      <c r="U813" s="4"/>
      <c r="V813" s="4"/>
      <c r="W813" s="4"/>
      <c r="X813" s="4"/>
    </row>
    <row r="814">
      <c r="L814" s="16"/>
      <c r="U814" s="4"/>
      <c r="V814" s="4"/>
      <c r="W814" s="4"/>
      <c r="X814" s="4"/>
    </row>
    <row r="815">
      <c r="L815" s="16"/>
      <c r="U815" s="4"/>
      <c r="V815" s="4"/>
      <c r="W815" s="4"/>
      <c r="X815" s="4"/>
    </row>
    <row r="816">
      <c r="L816" s="16"/>
      <c r="U816" s="4"/>
      <c r="V816" s="4"/>
      <c r="W816" s="4"/>
      <c r="X816" s="4"/>
    </row>
    <row r="817">
      <c r="L817" s="16"/>
      <c r="U817" s="4"/>
      <c r="V817" s="4"/>
      <c r="W817" s="4"/>
      <c r="X817" s="4"/>
    </row>
    <row r="818">
      <c r="L818" s="16"/>
      <c r="U818" s="4"/>
      <c r="V818" s="4"/>
      <c r="W818" s="4"/>
      <c r="X818" s="4"/>
    </row>
    <row r="819">
      <c r="L819" s="16"/>
      <c r="U819" s="4"/>
      <c r="V819" s="4"/>
      <c r="W819" s="4"/>
      <c r="X819" s="4"/>
    </row>
    <row r="820">
      <c r="L820" s="16"/>
      <c r="U820" s="4"/>
      <c r="V820" s="4"/>
      <c r="W820" s="4"/>
      <c r="X820" s="4"/>
    </row>
    <row r="821">
      <c r="L821" s="16"/>
      <c r="U821" s="4"/>
      <c r="V821" s="4"/>
      <c r="W821" s="4"/>
      <c r="X821" s="4"/>
    </row>
    <row r="822">
      <c r="L822" s="16"/>
      <c r="U822" s="4"/>
      <c r="V822" s="4"/>
      <c r="W822" s="4"/>
      <c r="X822" s="4"/>
    </row>
    <row r="823">
      <c r="L823" s="16"/>
      <c r="U823" s="4"/>
      <c r="V823" s="4"/>
      <c r="W823" s="4"/>
      <c r="X823" s="4"/>
    </row>
    <row r="824">
      <c r="L824" s="16"/>
      <c r="U824" s="4"/>
      <c r="V824" s="4"/>
      <c r="W824" s="4"/>
      <c r="X824" s="4"/>
    </row>
    <row r="825">
      <c r="L825" s="16"/>
      <c r="U825" s="4"/>
      <c r="V825" s="4"/>
      <c r="W825" s="4"/>
      <c r="X825" s="4"/>
    </row>
    <row r="826">
      <c r="L826" s="16"/>
      <c r="U826" s="4"/>
      <c r="V826" s="4"/>
      <c r="W826" s="4"/>
      <c r="X826" s="4"/>
    </row>
    <row r="827">
      <c r="L827" s="16"/>
      <c r="U827" s="4"/>
      <c r="V827" s="4"/>
      <c r="W827" s="4"/>
      <c r="X827" s="4"/>
    </row>
    <row r="828">
      <c r="L828" s="16"/>
      <c r="U828" s="4"/>
      <c r="V828" s="4"/>
      <c r="W828" s="4"/>
      <c r="X828" s="4"/>
    </row>
    <row r="829">
      <c r="L829" s="16"/>
      <c r="U829" s="4"/>
      <c r="V829" s="4"/>
      <c r="W829" s="4"/>
      <c r="X829" s="4"/>
    </row>
    <row r="830">
      <c r="L830" s="16"/>
      <c r="U830" s="4"/>
      <c r="V830" s="4"/>
      <c r="W830" s="4"/>
      <c r="X830" s="4"/>
    </row>
    <row r="831">
      <c r="L831" s="16"/>
      <c r="U831" s="4"/>
      <c r="V831" s="4"/>
      <c r="W831" s="4"/>
      <c r="X831" s="4"/>
    </row>
    <row r="832">
      <c r="L832" s="16"/>
      <c r="U832" s="4"/>
      <c r="V832" s="4"/>
      <c r="W832" s="4"/>
      <c r="X832" s="4"/>
    </row>
    <row r="833">
      <c r="L833" s="16"/>
      <c r="U833" s="4"/>
      <c r="V833" s="4"/>
      <c r="W833" s="4"/>
      <c r="X833" s="4"/>
    </row>
    <row r="834">
      <c r="L834" s="16"/>
      <c r="U834" s="4"/>
      <c r="V834" s="4"/>
      <c r="W834" s="4"/>
      <c r="X834" s="4"/>
    </row>
    <row r="835">
      <c r="L835" s="16"/>
      <c r="U835" s="4"/>
      <c r="V835" s="4"/>
      <c r="W835" s="4"/>
      <c r="X835" s="4"/>
    </row>
    <row r="836">
      <c r="L836" s="16"/>
      <c r="U836" s="4"/>
      <c r="V836" s="4"/>
      <c r="W836" s="4"/>
      <c r="X836" s="4"/>
    </row>
    <row r="837">
      <c r="L837" s="16"/>
      <c r="U837" s="4"/>
      <c r="V837" s="4"/>
      <c r="W837" s="4"/>
      <c r="X837" s="4"/>
    </row>
    <row r="838">
      <c r="L838" s="16"/>
      <c r="U838" s="4"/>
      <c r="V838" s="4"/>
      <c r="W838" s="4"/>
      <c r="X838" s="4"/>
    </row>
    <row r="839">
      <c r="L839" s="16"/>
      <c r="U839" s="4"/>
      <c r="V839" s="4"/>
      <c r="W839" s="4"/>
      <c r="X839" s="4"/>
    </row>
    <row r="840">
      <c r="L840" s="16"/>
      <c r="U840" s="4"/>
      <c r="V840" s="4"/>
      <c r="W840" s="4"/>
      <c r="X840" s="4"/>
    </row>
    <row r="841">
      <c r="L841" s="16"/>
      <c r="U841" s="4"/>
      <c r="V841" s="4"/>
      <c r="W841" s="4"/>
      <c r="X841" s="4"/>
    </row>
    <row r="842">
      <c r="L842" s="16"/>
      <c r="U842" s="4"/>
      <c r="V842" s="4"/>
      <c r="W842" s="4"/>
      <c r="X842" s="4"/>
    </row>
    <row r="843">
      <c r="L843" s="16"/>
      <c r="U843" s="4"/>
      <c r="V843" s="4"/>
      <c r="W843" s="4"/>
      <c r="X843" s="4"/>
    </row>
    <row r="844">
      <c r="L844" s="16"/>
      <c r="U844" s="4"/>
      <c r="V844" s="4"/>
      <c r="W844" s="4"/>
      <c r="X844" s="4"/>
    </row>
    <row r="845">
      <c r="L845" s="16"/>
      <c r="U845" s="4"/>
      <c r="V845" s="4"/>
      <c r="W845" s="4"/>
      <c r="X845" s="4"/>
    </row>
    <row r="846">
      <c r="L846" s="16"/>
      <c r="U846" s="4"/>
      <c r="V846" s="4"/>
      <c r="W846" s="4"/>
      <c r="X846" s="4"/>
    </row>
    <row r="847">
      <c r="L847" s="16"/>
      <c r="U847" s="4"/>
      <c r="V847" s="4"/>
      <c r="W847" s="4"/>
      <c r="X847" s="4"/>
    </row>
    <row r="848">
      <c r="L848" s="16"/>
      <c r="U848" s="4"/>
      <c r="V848" s="4"/>
      <c r="W848" s="4"/>
      <c r="X848" s="4"/>
    </row>
    <row r="849">
      <c r="L849" s="16"/>
      <c r="U849" s="4"/>
      <c r="V849" s="4"/>
      <c r="W849" s="4"/>
      <c r="X849" s="4"/>
    </row>
    <row r="850">
      <c r="L850" s="16"/>
      <c r="U850" s="4"/>
      <c r="V850" s="4"/>
      <c r="W850" s="4"/>
      <c r="X850" s="4"/>
    </row>
    <row r="851">
      <c r="L851" s="16"/>
      <c r="U851" s="4"/>
      <c r="V851" s="4"/>
      <c r="W851" s="4"/>
      <c r="X851" s="4"/>
    </row>
    <row r="852">
      <c r="L852" s="16"/>
      <c r="U852" s="4"/>
      <c r="V852" s="4"/>
      <c r="W852" s="4"/>
      <c r="X852" s="4"/>
    </row>
    <row r="853">
      <c r="L853" s="16"/>
      <c r="U853" s="4"/>
      <c r="V853" s="4"/>
      <c r="W853" s="4"/>
      <c r="X853" s="4"/>
    </row>
    <row r="854">
      <c r="L854" s="16"/>
      <c r="U854" s="4"/>
      <c r="V854" s="4"/>
      <c r="W854" s="4"/>
      <c r="X854" s="4"/>
    </row>
    <row r="855">
      <c r="L855" s="16"/>
      <c r="U855" s="4"/>
      <c r="V855" s="4"/>
      <c r="W855" s="4"/>
      <c r="X855" s="4"/>
    </row>
    <row r="856">
      <c r="L856" s="16"/>
      <c r="U856" s="4"/>
      <c r="V856" s="4"/>
      <c r="W856" s="4"/>
      <c r="X856" s="4"/>
    </row>
    <row r="857">
      <c r="L857" s="16"/>
      <c r="U857" s="4"/>
      <c r="V857" s="4"/>
      <c r="W857" s="4"/>
      <c r="X857" s="4"/>
    </row>
    <row r="858">
      <c r="L858" s="16"/>
      <c r="U858" s="4"/>
      <c r="V858" s="4"/>
      <c r="W858" s="4"/>
      <c r="X858" s="4"/>
    </row>
    <row r="859">
      <c r="L859" s="16"/>
      <c r="U859" s="4"/>
      <c r="V859" s="4"/>
      <c r="W859" s="4"/>
      <c r="X859" s="4"/>
    </row>
    <row r="860">
      <c r="L860" s="16"/>
      <c r="U860" s="4"/>
      <c r="V860" s="4"/>
      <c r="W860" s="4"/>
      <c r="X860" s="4"/>
    </row>
    <row r="861">
      <c r="L861" s="16"/>
      <c r="U861" s="4"/>
      <c r="V861" s="4"/>
      <c r="W861" s="4"/>
      <c r="X861" s="4"/>
    </row>
    <row r="862">
      <c r="L862" s="16"/>
      <c r="U862" s="4"/>
      <c r="V862" s="4"/>
      <c r="W862" s="4"/>
      <c r="X862" s="4"/>
    </row>
    <row r="863">
      <c r="L863" s="16"/>
      <c r="U863" s="4"/>
      <c r="V863" s="4"/>
      <c r="W863" s="4"/>
      <c r="X863" s="4"/>
    </row>
    <row r="864">
      <c r="L864" s="16"/>
      <c r="U864" s="4"/>
      <c r="V864" s="4"/>
      <c r="W864" s="4"/>
      <c r="X864" s="4"/>
    </row>
    <row r="865">
      <c r="L865" s="16"/>
      <c r="U865" s="4"/>
      <c r="V865" s="4"/>
      <c r="W865" s="4"/>
      <c r="X865" s="4"/>
    </row>
    <row r="866">
      <c r="L866" s="16"/>
      <c r="U866" s="4"/>
      <c r="V866" s="4"/>
      <c r="W866" s="4"/>
      <c r="X866" s="4"/>
    </row>
    <row r="867">
      <c r="L867" s="16"/>
      <c r="U867" s="4"/>
      <c r="V867" s="4"/>
      <c r="W867" s="4"/>
      <c r="X867" s="4"/>
    </row>
    <row r="868">
      <c r="L868" s="16"/>
      <c r="U868" s="4"/>
      <c r="V868" s="4"/>
      <c r="W868" s="4"/>
      <c r="X868" s="4"/>
    </row>
    <row r="869">
      <c r="L869" s="16"/>
      <c r="U869" s="4"/>
      <c r="V869" s="4"/>
      <c r="W869" s="4"/>
      <c r="X869" s="4"/>
    </row>
    <row r="870">
      <c r="L870" s="16"/>
      <c r="U870" s="4"/>
      <c r="V870" s="4"/>
      <c r="W870" s="4"/>
      <c r="X870" s="4"/>
    </row>
    <row r="871">
      <c r="L871" s="16"/>
      <c r="U871" s="4"/>
      <c r="V871" s="4"/>
      <c r="W871" s="4"/>
      <c r="X871" s="4"/>
    </row>
    <row r="872">
      <c r="L872" s="16"/>
      <c r="U872" s="4"/>
      <c r="V872" s="4"/>
      <c r="W872" s="4"/>
      <c r="X872" s="4"/>
    </row>
    <row r="873">
      <c r="L873" s="16"/>
      <c r="U873" s="4"/>
      <c r="V873" s="4"/>
      <c r="W873" s="4"/>
      <c r="X873" s="4"/>
    </row>
    <row r="874">
      <c r="L874" s="16"/>
      <c r="U874" s="4"/>
      <c r="V874" s="4"/>
      <c r="W874" s="4"/>
      <c r="X874" s="4"/>
    </row>
    <row r="875">
      <c r="L875" s="16"/>
      <c r="U875" s="4"/>
      <c r="V875" s="4"/>
      <c r="W875" s="4"/>
      <c r="X875" s="4"/>
    </row>
    <row r="876">
      <c r="L876" s="16"/>
      <c r="U876" s="4"/>
      <c r="V876" s="4"/>
      <c r="W876" s="4"/>
      <c r="X876" s="4"/>
    </row>
    <row r="877">
      <c r="L877" s="16"/>
      <c r="U877" s="4"/>
      <c r="V877" s="4"/>
      <c r="W877" s="4"/>
      <c r="X877" s="4"/>
    </row>
    <row r="878">
      <c r="L878" s="16"/>
      <c r="U878" s="4"/>
      <c r="V878" s="4"/>
      <c r="W878" s="4"/>
      <c r="X878" s="4"/>
    </row>
    <row r="879">
      <c r="L879" s="16"/>
      <c r="U879" s="4"/>
      <c r="V879" s="4"/>
      <c r="W879" s="4"/>
      <c r="X879" s="4"/>
    </row>
    <row r="880">
      <c r="L880" s="16"/>
      <c r="U880" s="4"/>
      <c r="V880" s="4"/>
      <c r="W880" s="4"/>
      <c r="X880" s="4"/>
    </row>
    <row r="881">
      <c r="L881" s="16"/>
      <c r="U881" s="4"/>
      <c r="V881" s="4"/>
      <c r="W881" s="4"/>
      <c r="X881" s="4"/>
    </row>
    <row r="882">
      <c r="L882" s="16"/>
      <c r="U882" s="4"/>
      <c r="V882" s="4"/>
      <c r="W882" s="4"/>
      <c r="X882" s="4"/>
    </row>
    <row r="883">
      <c r="L883" s="16"/>
      <c r="U883" s="4"/>
      <c r="V883" s="4"/>
      <c r="W883" s="4"/>
      <c r="X883" s="4"/>
    </row>
    <row r="884">
      <c r="L884" s="16"/>
      <c r="U884" s="4"/>
      <c r="V884" s="4"/>
      <c r="W884" s="4"/>
      <c r="X884" s="4"/>
    </row>
    <row r="885">
      <c r="L885" s="16"/>
      <c r="U885" s="4"/>
      <c r="V885" s="4"/>
      <c r="W885" s="4"/>
      <c r="X885" s="4"/>
    </row>
    <row r="886">
      <c r="L886" s="16"/>
      <c r="U886" s="4"/>
      <c r="V886" s="4"/>
      <c r="W886" s="4"/>
      <c r="X886" s="4"/>
    </row>
    <row r="887">
      <c r="L887" s="16"/>
      <c r="U887" s="4"/>
      <c r="V887" s="4"/>
      <c r="W887" s="4"/>
      <c r="X887" s="4"/>
    </row>
    <row r="888">
      <c r="L888" s="16"/>
      <c r="U888" s="4"/>
      <c r="V888" s="4"/>
      <c r="W888" s="4"/>
      <c r="X888" s="4"/>
    </row>
    <row r="889">
      <c r="L889" s="16"/>
      <c r="U889" s="4"/>
      <c r="V889" s="4"/>
      <c r="W889" s="4"/>
      <c r="X889" s="4"/>
    </row>
    <row r="890">
      <c r="L890" s="16"/>
      <c r="U890" s="4"/>
      <c r="V890" s="4"/>
      <c r="W890" s="4"/>
      <c r="X890" s="4"/>
    </row>
    <row r="891">
      <c r="L891" s="16"/>
      <c r="U891" s="4"/>
      <c r="V891" s="4"/>
      <c r="W891" s="4"/>
      <c r="X891" s="4"/>
    </row>
    <row r="892">
      <c r="L892" s="16"/>
      <c r="U892" s="4"/>
      <c r="V892" s="4"/>
      <c r="W892" s="4"/>
      <c r="X892" s="4"/>
    </row>
    <row r="893">
      <c r="L893" s="16"/>
      <c r="U893" s="4"/>
      <c r="V893" s="4"/>
      <c r="W893" s="4"/>
      <c r="X893" s="4"/>
    </row>
    <row r="894">
      <c r="L894" s="16"/>
      <c r="U894" s="4"/>
      <c r="V894" s="4"/>
      <c r="W894" s="4"/>
      <c r="X894" s="4"/>
    </row>
    <row r="895">
      <c r="L895" s="16"/>
      <c r="U895" s="4"/>
      <c r="V895" s="4"/>
      <c r="W895" s="4"/>
      <c r="X895" s="4"/>
    </row>
    <row r="896">
      <c r="L896" s="16"/>
      <c r="U896" s="4"/>
      <c r="V896" s="4"/>
      <c r="W896" s="4"/>
      <c r="X896" s="4"/>
    </row>
    <row r="897">
      <c r="L897" s="16"/>
      <c r="U897" s="4"/>
      <c r="V897" s="4"/>
      <c r="W897" s="4"/>
      <c r="X897" s="4"/>
    </row>
    <row r="898">
      <c r="L898" s="16"/>
      <c r="U898" s="4"/>
      <c r="V898" s="4"/>
      <c r="W898" s="4"/>
      <c r="X898" s="4"/>
    </row>
    <row r="899">
      <c r="L899" s="16"/>
      <c r="U899" s="4"/>
      <c r="V899" s="4"/>
      <c r="W899" s="4"/>
      <c r="X899" s="4"/>
    </row>
    <row r="900">
      <c r="L900" s="16"/>
      <c r="U900" s="4"/>
      <c r="V900" s="4"/>
      <c r="W900" s="4"/>
      <c r="X900" s="4"/>
    </row>
    <row r="901">
      <c r="L901" s="16"/>
      <c r="U901" s="4"/>
      <c r="V901" s="4"/>
      <c r="W901" s="4"/>
      <c r="X901" s="4"/>
    </row>
    <row r="902">
      <c r="L902" s="16"/>
      <c r="U902" s="4"/>
      <c r="V902" s="4"/>
      <c r="W902" s="4"/>
      <c r="X902" s="4"/>
    </row>
    <row r="903">
      <c r="L903" s="16"/>
      <c r="U903" s="4"/>
      <c r="V903" s="4"/>
      <c r="W903" s="4"/>
      <c r="X903" s="4"/>
    </row>
    <row r="904">
      <c r="L904" s="16"/>
      <c r="U904" s="4"/>
      <c r="V904" s="4"/>
      <c r="W904" s="4"/>
      <c r="X904" s="4"/>
    </row>
    <row r="905">
      <c r="L905" s="16"/>
      <c r="U905" s="4"/>
      <c r="V905" s="4"/>
      <c r="W905" s="4"/>
      <c r="X905" s="4"/>
    </row>
    <row r="906">
      <c r="L906" s="16"/>
      <c r="U906" s="4"/>
      <c r="V906" s="4"/>
      <c r="W906" s="4"/>
      <c r="X906" s="4"/>
    </row>
    <row r="907">
      <c r="L907" s="16"/>
      <c r="U907" s="4"/>
      <c r="V907" s="4"/>
      <c r="W907" s="4"/>
      <c r="X907" s="4"/>
    </row>
    <row r="908">
      <c r="L908" s="16"/>
      <c r="U908" s="4"/>
      <c r="V908" s="4"/>
      <c r="W908" s="4"/>
      <c r="X908" s="4"/>
    </row>
    <row r="909">
      <c r="L909" s="16"/>
      <c r="U909" s="4"/>
      <c r="V909" s="4"/>
      <c r="W909" s="4"/>
      <c r="X909" s="4"/>
    </row>
    <row r="910">
      <c r="L910" s="16"/>
      <c r="U910" s="4"/>
      <c r="V910" s="4"/>
      <c r="W910" s="4"/>
      <c r="X910" s="4"/>
    </row>
    <row r="911">
      <c r="L911" s="16"/>
      <c r="U911" s="4"/>
      <c r="V911" s="4"/>
      <c r="W911" s="4"/>
      <c r="X911" s="4"/>
    </row>
    <row r="912">
      <c r="L912" s="16"/>
      <c r="U912" s="4"/>
      <c r="V912" s="4"/>
      <c r="W912" s="4"/>
      <c r="X912" s="4"/>
    </row>
    <row r="913">
      <c r="L913" s="16"/>
      <c r="U913" s="4"/>
      <c r="V913" s="4"/>
      <c r="W913" s="4"/>
      <c r="X913" s="4"/>
    </row>
    <row r="914">
      <c r="L914" s="16"/>
      <c r="U914" s="4"/>
      <c r="V914" s="4"/>
      <c r="W914" s="4"/>
      <c r="X914" s="4"/>
    </row>
    <row r="915">
      <c r="L915" s="16"/>
      <c r="U915" s="4"/>
      <c r="V915" s="4"/>
      <c r="W915" s="4"/>
      <c r="X915" s="4"/>
    </row>
    <row r="916">
      <c r="L916" s="16"/>
      <c r="U916" s="4"/>
      <c r="V916" s="4"/>
      <c r="W916" s="4"/>
      <c r="X916" s="4"/>
    </row>
    <row r="917">
      <c r="L917" s="16"/>
      <c r="U917" s="4"/>
      <c r="V917" s="4"/>
      <c r="W917" s="4"/>
      <c r="X917" s="4"/>
    </row>
    <row r="918">
      <c r="L918" s="16"/>
      <c r="U918" s="4"/>
      <c r="V918" s="4"/>
      <c r="W918" s="4"/>
      <c r="X918" s="4"/>
    </row>
    <row r="919">
      <c r="L919" s="16"/>
      <c r="U919" s="4"/>
      <c r="V919" s="4"/>
      <c r="W919" s="4"/>
      <c r="X919" s="4"/>
    </row>
    <row r="920">
      <c r="L920" s="16"/>
      <c r="U920" s="4"/>
      <c r="V920" s="4"/>
      <c r="W920" s="4"/>
      <c r="X920" s="4"/>
    </row>
    <row r="921">
      <c r="L921" s="16"/>
      <c r="U921" s="4"/>
      <c r="V921" s="4"/>
      <c r="W921" s="4"/>
      <c r="X921" s="4"/>
    </row>
    <row r="922">
      <c r="L922" s="16"/>
      <c r="U922" s="4"/>
      <c r="V922" s="4"/>
      <c r="W922" s="4"/>
      <c r="X922" s="4"/>
    </row>
    <row r="923">
      <c r="L923" s="16"/>
      <c r="U923" s="4"/>
      <c r="V923" s="4"/>
      <c r="W923" s="4"/>
      <c r="X923" s="4"/>
    </row>
    <row r="924">
      <c r="L924" s="16"/>
      <c r="U924" s="4"/>
      <c r="V924" s="4"/>
      <c r="W924" s="4"/>
      <c r="X924" s="4"/>
    </row>
    <row r="925">
      <c r="L925" s="16"/>
      <c r="U925" s="4"/>
      <c r="V925" s="4"/>
      <c r="W925" s="4"/>
      <c r="X925" s="4"/>
    </row>
    <row r="926">
      <c r="L926" s="16"/>
      <c r="U926" s="4"/>
      <c r="V926" s="4"/>
      <c r="W926" s="4"/>
      <c r="X926" s="4"/>
    </row>
    <row r="927">
      <c r="L927" s="16"/>
      <c r="U927" s="4"/>
      <c r="V927" s="4"/>
      <c r="W927" s="4"/>
      <c r="X927" s="4"/>
    </row>
    <row r="928">
      <c r="L928" s="16"/>
      <c r="U928" s="4"/>
      <c r="V928" s="4"/>
      <c r="W928" s="4"/>
      <c r="X928" s="4"/>
    </row>
    <row r="929">
      <c r="L929" s="16"/>
      <c r="U929" s="4"/>
      <c r="V929" s="4"/>
      <c r="W929" s="4"/>
      <c r="X929" s="4"/>
    </row>
    <row r="930">
      <c r="L930" s="16"/>
      <c r="U930" s="4"/>
      <c r="V930" s="4"/>
      <c r="W930" s="4"/>
      <c r="X930" s="4"/>
    </row>
    <row r="931">
      <c r="L931" s="16"/>
      <c r="U931" s="4"/>
      <c r="V931" s="4"/>
      <c r="W931" s="4"/>
      <c r="X931" s="4"/>
    </row>
    <row r="932">
      <c r="L932" s="16"/>
      <c r="U932" s="4"/>
      <c r="V932" s="4"/>
      <c r="W932" s="4"/>
      <c r="X932" s="4"/>
    </row>
    <row r="933">
      <c r="L933" s="16"/>
      <c r="U933" s="4"/>
      <c r="V933" s="4"/>
      <c r="W933" s="4"/>
      <c r="X933" s="4"/>
    </row>
    <row r="934">
      <c r="L934" s="16"/>
      <c r="U934" s="4"/>
      <c r="V934" s="4"/>
      <c r="W934" s="4"/>
      <c r="X934" s="4"/>
    </row>
    <row r="935">
      <c r="L935" s="16"/>
      <c r="U935" s="4"/>
      <c r="V935" s="4"/>
      <c r="W935" s="4"/>
      <c r="X935" s="4"/>
    </row>
    <row r="936">
      <c r="L936" s="16"/>
      <c r="U936" s="4"/>
      <c r="V936" s="4"/>
      <c r="W936" s="4"/>
      <c r="X936" s="4"/>
    </row>
    <row r="937">
      <c r="L937" s="16"/>
      <c r="U937" s="4"/>
      <c r="V937" s="4"/>
      <c r="W937" s="4"/>
      <c r="X937" s="4"/>
    </row>
    <row r="938">
      <c r="L938" s="16"/>
      <c r="U938" s="4"/>
      <c r="V938" s="4"/>
      <c r="W938" s="4"/>
      <c r="X938" s="4"/>
    </row>
    <row r="939">
      <c r="L939" s="16"/>
      <c r="U939" s="4"/>
      <c r="V939" s="4"/>
      <c r="W939" s="4"/>
      <c r="X939" s="4"/>
    </row>
    <row r="940">
      <c r="L940" s="16"/>
      <c r="U940" s="4"/>
      <c r="V940" s="4"/>
      <c r="W940" s="4"/>
      <c r="X940" s="4"/>
    </row>
    <row r="941">
      <c r="L941" s="16"/>
      <c r="U941" s="4"/>
      <c r="V941" s="4"/>
      <c r="W941" s="4"/>
      <c r="X941" s="4"/>
    </row>
    <row r="942">
      <c r="L942" s="16"/>
      <c r="U942" s="4"/>
      <c r="V942" s="4"/>
      <c r="W942" s="4"/>
      <c r="X942" s="4"/>
    </row>
    <row r="943">
      <c r="L943" s="16"/>
      <c r="U943" s="4"/>
      <c r="V943" s="4"/>
      <c r="W943" s="4"/>
      <c r="X943" s="4"/>
    </row>
    <row r="944">
      <c r="L944" s="16"/>
      <c r="U944" s="4"/>
      <c r="V944" s="4"/>
      <c r="W944" s="4"/>
      <c r="X944" s="4"/>
    </row>
    <row r="945">
      <c r="L945" s="16"/>
      <c r="U945" s="4"/>
      <c r="V945" s="4"/>
      <c r="W945" s="4"/>
      <c r="X945" s="4"/>
    </row>
    <row r="946">
      <c r="L946" s="16"/>
      <c r="U946" s="4"/>
      <c r="V946" s="4"/>
      <c r="W946" s="4"/>
      <c r="X946" s="4"/>
    </row>
    <row r="947">
      <c r="L947" s="16"/>
      <c r="U947" s="4"/>
      <c r="V947" s="4"/>
      <c r="W947" s="4"/>
      <c r="X947" s="4"/>
    </row>
    <row r="948">
      <c r="L948" s="16"/>
      <c r="U948" s="4"/>
      <c r="V948" s="4"/>
      <c r="W948" s="4"/>
      <c r="X948" s="4"/>
    </row>
    <row r="949">
      <c r="L949" s="16"/>
      <c r="U949" s="4"/>
      <c r="V949" s="4"/>
      <c r="W949" s="4"/>
      <c r="X949" s="4"/>
    </row>
    <row r="950">
      <c r="L950" s="16"/>
      <c r="U950" s="4"/>
      <c r="V950" s="4"/>
      <c r="W950" s="4"/>
      <c r="X950" s="4"/>
    </row>
    <row r="951">
      <c r="L951" s="16"/>
      <c r="U951" s="4"/>
      <c r="V951" s="4"/>
      <c r="W951" s="4"/>
      <c r="X951" s="4"/>
    </row>
    <row r="952">
      <c r="L952" s="16"/>
      <c r="U952" s="4"/>
      <c r="V952" s="4"/>
      <c r="W952" s="4"/>
      <c r="X952" s="4"/>
    </row>
    <row r="953">
      <c r="L953" s="16"/>
      <c r="U953" s="4"/>
      <c r="V953" s="4"/>
      <c r="W953" s="4"/>
      <c r="X953" s="4"/>
    </row>
    <row r="954">
      <c r="L954" s="16"/>
      <c r="U954" s="4"/>
      <c r="V954" s="4"/>
      <c r="W954" s="4"/>
      <c r="X954" s="4"/>
    </row>
    <row r="955">
      <c r="L955" s="16"/>
      <c r="U955" s="4"/>
      <c r="V955" s="4"/>
      <c r="W955" s="4"/>
      <c r="X955" s="4"/>
    </row>
    <row r="956">
      <c r="L956" s="16"/>
      <c r="U956" s="4"/>
      <c r="V956" s="4"/>
      <c r="W956" s="4"/>
      <c r="X956" s="4"/>
    </row>
    <row r="957">
      <c r="L957" s="16"/>
      <c r="U957" s="4"/>
      <c r="V957" s="4"/>
      <c r="W957" s="4"/>
      <c r="X957" s="4"/>
    </row>
    <row r="958">
      <c r="L958" s="16"/>
      <c r="U958" s="4"/>
      <c r="V958" s="4"/>
      <c r="W958" s="4"/>
      <c r="X958" s="4"/>
    </row>
    <row r="959">
      <c r="L959" s="16"/>
      <c r="U959" s="4"/>
      <c r="V959" s="4"/>
      <c r="W959" s="4"/>
      <c r="X959" s="4"/>
    </row>
    <row r="960">
      <c r="L960" s="16"/>
      <c r="U960" s="4"/>
      <c r="V960" s="4"/>
      <c r="W960" s="4"/>
      <c r="X960" s="4"/>
    </row>
    <row r="961">
      <c r="L961" s="16"/>
      <c r="U961" s="4"/>
      <c r="V961" s="4"/>
      <c r="W961" s="4"/>
      <c r="X961" s="4"/>
    </row>
    <row r="962">
      <c r="L962" s="16"/>
      <c r="U962" s="4"/>
      <c r="V962" s="4"/>
      <c r="W962" s="4"/>
      <c r="X962" s="4"/>
    </row>
    <row r="963">
      <c r="L963" s="16"/>
      <c r="U963" s="4"/>
      <c r="V963" s="4"/>
      <c r="W963" s="4"/>
      <c r="X963" s="4"/>
    </row>
    <row r="964">
      <c r="L964" s="16"/>
      <c r="U964" s="4"/>
      <c r="V964" s="4"/>
      <c r="W964" s="4"/>
      <c r="X964" s="4"/>
    </row>
    <row r="965">
      <c r="L965" s="16"/>
      <c r="U965" s="4"/>
      <c r="V965" s="4"/>
      <c r="W965" s="4"/>
      <c r="X965" s="4"/>
    </row>
    <row r="966">
      <c r="L966" s="16"/>
      <c r="U966" s="4"/>
      <c r="V966" s="4"/>
      <c r="W966" s="4"/>
      <c r="X966" s="4"/>
    </row>
    <row r="967">
      <c r="L967" s="16"/>
      <c r="U967" s="4"/>
      <c r="V967" s="4"/>
      <c r="W967" s="4"/>
      <c r="X967" s="4"/>
    </row>
    <row r="968">
      <c r="L968" s="16"/>
      <c r="U968" s="4"/>
      <c r="V968" s="4"/>
      <c r="W968" s="4"/>
      <c r="X968" s="4"/>
    </row>
    <row r="969">
      <c r="L969" s="16"/>
      <c r="U969" s="4"/>
      <c r="V969" s="4"/>
      <c r="W969" s="4"/>
      <c r="X969" s="4"/>
    </row>
    <row r="970">
      <c r="L970" s="16"/>
      <c r="U970" s="4"/>
      <c r="V970" s="4"/>
      <c r="W970" s="4"/>
      <c r="X970" s="4"/>
    </row>
    <row r="971">
      <c r="L971" s="16"/>
      <c r="U971" s="4"/>
      <c r="V971" s="4"/>
      <c r="W971" s="4"/>
      <c r="X971" s="4"/>
    </row>
    <row r="972">
      <c r="L972" s="16"/>
      <c r="U972" s="4"/>
      <c r="V972" s="4"/>
      <c r="W972" s="4"/>
      <c r="X972" s="4"/>
    </row>
    <row r="973">
      <c r="L973" s="16"/>
      <c r="U973" s="4"/>
      <c r="V973" s="4"/>
      <c r="W973" s="4"/>
      <c r="X973" s="4"/>
    </row>
    <row r="974">
      <c r="L974" s="16"/>
      <c r="U974" s="4"/>
      <c r="V974" s="4"/>
      <c r="W974" s="4"/>
      <c r="X974" s="4"/>
    </row>
    <row r="975">
      <c r="L975" s="16"/>
      <c r="U975" s="4"/>
      <c r="V975" s="4"/>
      <c r="W975" s="4"/>
      <c r="X975" s="4"/>
    </row>
    <row r="976">
      <c r="L976" s="16"/>
      <c r="U976" s="4"/>
      <c r="V976" s="4"/>
      <c r="W976" s="4"/>
      <c r="X976" s="4"/>
    </row>
    <row r="977">
      <c r="L977" s="16"/>
      <c r="U977" s="4"/>
      <c r="V977" s="4"/>
      <c r="W977" s="4"/>
      <c r="X977" s="4"/>
    </row>
    <row r="978">
      <c r="L978" s="16"/>
      <c r="U978" s="4"/>
      <c r="V978" s="4"/>
      <c r="W978" s="4"/>
      <c r="X978" s="4"/>
    </row>
    <row r="979">
      <c r="L979" s="16"/>
      <c r="U979" s="4"/>
      <c r="V979" s="4"/>
      <c r="W979" s="4"/>
      <c r="X979" s="4"/>
    </row>
    <row r="980">
      <c r="L980" s="16"/>
      <c r="U980" s="4"/>
      <c r="V980" s="4"/>
      <c r="W980" s="4"/>
      <c r="X980" s="4"/>
    </row>
    <row r="981">
      <c r="L981" s="16"/>
      <c r="U981" s="4"/>
      <c r="V981" s="4"/>
      <c r="W981" s="4"/>
      <c r="X981" s="4"/>
    </row>
    <row r="982">
      <c r="L982" s="16"/>
      <c r="U982" s="4"/>
      <c r="V982" s="4"/>
      <c r="W982" s="4"/>
      <c r="X982" s="4"/>
    </row>
    <row r="983">
      <c r="L983" s="16"/>
      <c r="U983" s="4"/>
      <c r="V983" s="4"/>
      <c r="W983" s="4"/>
      <c r="X983" s="4"/>
    </row>
    <row r="984">
      <c r="L984" s="16"/>
      <c r="U984" s="4"/>
      <c r="V984" s="4"/>
      <c r="W984" s="4"/>
      <c r="X984" s="4"/>
    </row>
    <row r="985">
      <c r="L985" s="16"/>
      <c r="U985" s="4"/>
      <c r="V985" s="4"/>
      <c r="W985" s="4"/>
      <c r="X985" s="4"/>
    </row>
    <row r="986">
      <c r="L986" s="16"/>
      <c r="U986" s="4"/>
      <c r="V986" s="4"/>
      <c r="W986" s="4"/>
      <c r="X986" s="4"/>
    </row>
    <row r="987">
      <c r="L987" s="16"/>
      <c r="U987" s="4"/>
      <c r="V987" s="4"/>
      <c r="W987" s="4"/>
      <c r="X987" s="4"/>
    </row>
    <row r="988">
      <c r="L988" s="16"/>
      <c r="U988" s="4"/>
      <c r="V988" s="4"/>
      <c r="W988" s="4"/>
      <c r="X988" s="4"/>
    </row>
    <row r="989">
      <c r="L989" s="16"/>
      <c r="U989" s="4"/>
      <c r="V989" s="4"/>
      <c r="W989" s="4"/>
      <c r="X989" s="4"/>
    </row>
    <row r="990">
      <c r="L990" s="16"/>
      <c r="U990" s="4"/>
      <c r="V990" s="4"/>
      <c r="W990" s="4"/>
      <c r="X990" s="4"/>
    </row>
    <row r="991">
      <c r="L991" s="16"/>
      <c r="U991" s="4"/>
      <c r="V991" s="4"/>
      <c r="W991" s="4"/>
      <c r="X991" s="4"/>
    </row>
    <row r="992">
      <c r="L992" s="16"/>
      <c r="U992" s="4"/>
      <c r="V992" s="4"/>
      <c r="W992" s="4"/>
      <c r="X992" s="4"/>
    </row>
    <row r="993">
      <c r="L993" s="16"/>
      <c r="U993" s="4"/>
      <c r="V993" s="4"/>
      <c r="W993" s="4"/>
      <c r="X993" s="4"/>
    </row>
    <row r="994">
      <c r="L994" s="16"/>
      <c r="U994" s="4"/>
      <c r="V994" s="4"/>
      <c r="W994" s="4"/>
      <c r="X994" s="4"/>
    </row>
    <row r="995">
      <c r="L995" s="16"/>
      <c r="U995" s="4"/>
      <c r="V995" s="4"/>
      <c r="W995" s="4"/>
      <c r="X995" s="4"/>
    </row>
    <row r="996">
      <c r="L996" s="16"/>
      <c r="U996" s="4"/>
      <c r="V996" s="4"/>
      <c r="W996" s="4"/>
      <c r="X996" s="4"/>
    </row>
    <row r="997">
      <c r="L997" s="16"/>
      <c r="U997" s="4"/>
      <c r="V997" s="4"/>
      <c r="W997" s="4"/>
      <c r="X997" s="4"/>
    </row>
    <row r="998">
      <c r="L998" s="16"/>
      <c r="U998" s="4"/>
      <c r="V998" s="4"/>
      <c r="W998" s="4"/>
      <c r="X998" s="4"/>
    </row>
    <row r="999">
      <c r="L999" s="16"/>
      <c r="U999" s="4"/>
      <c r="V999" s="4"/>
      <c r="W999" s="4"/>
      <c r="X999" s="4"/>
    </row>
    <row r="1000">
      <c r="L1000" s="16"/>
      <c r="U1000" s="4"/>
      <c r="V1000" s="4"/>
      <c r="W1000" s="4"/>
      <c r="X1000" s="4"/>
    </row>
    <row r="1001">
      <c r="L1001" s="16"/>
      <c r="U1001" s="4"/>
      <c r="V1001" s="4"/>
      <c r="W1001" s="4"/>
      <c r="X1001" s="4"/>
    </row>
    <row r="1002">
      <c r="L1002" s="16"/>
      <c r="U1002" s="4"/>
      <c r="V1002" s="4"/>
      <c r="W1002" s="4"/>
      <c r="X1002" s="4"/>
    </row>
    <row r="1003">
      <c r="L1003" s="16"/>
      <c r="U1003" s="4"/>
      <c r="V1003" s="4"/>
      <c r="W1003" s="4"/>
      <c r="X1003" s="4"/>
    </row>
  </sheetData>
  <autoFilter ref="$A$3:$Z$103">
    <sortState ref="A3:Z103">
      <sortCondition ref="A3:A103"/>
      <sortCondition descending="1" ref="L3:L103"/>
      <sortCondition descending="1" ref="E3:E103"/>
    </sortState>
  </autoFilter>
  <conditionalFormatting sqref="L4:L103">
    <cfRule type="cellIs" dxfId="0" priority="1" operator="greaterThanOrEqual">
      <formula>"0%"</formula>
    </cfRule>
  </conditionalFormatting>
  <conditionalFormatting sqref="Q1:T1 Q4:T103">
    <cfRule type="cellIs" dxfId="0" priority="2" operator="greaterThan">
      <formula>0</formula>
    </cfRule>
  </conditionalFormatting>
  <hyperlinks>
    <hyperlink r:id="rId1" ref="A3"/>
    <hyperlink r:id="rId2" ref="B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4" max="4" width="14.29"/>
    <col customWidth="1" min="5" max="5" width="10.14"/>
    <col customWidth="1" min="6" max="6" width="8.0"/>
    <col customWidth="1" hidden="1" min="7" max="11" width="9.14"/>
    <col customWidth="1" min="12" max="12" width="8.14"/>
    <col customWidth="1" min="13" max="14" width="8.57"/>
    <col customWidth="1" min="15" max="16" width="8.29"/>
    <col customWidth="1" min="17" max="18" width="10.0"/>
    <col customWidth="1" min="19" max="20" width="9.86"/>
  </cols>
  <sheetData>
    <row r="1">
      <c r="A1" s="37">
        <v>0.0</v>
      </c>
      <c r="B1" s="38" t="s">
        <v>640</v>
      </c>
      <c r="C1" s="39"/>
      <c r="D1" s="38" t="s">
        <v>640</v>
      </c>
      <c r="E1" s="40" t="str">
        <f>IFERROR(__xludf.DUMMYFUNCTION("GOOGLEFINANCE(""NSE:""&amp;D1,""marketcap"")/10000000"),"#N/A")</f>
        <v>#N/A</v>
      </c>
      <c r="F1" s="41">
        <f>IFERROR(__xludf.DUMMYFUNCTION("GOOGLEFINANCE(""INDEXNSE:""&amp;D1)"),9427.55)</f>
        <v>9427.55</v>
      </c>
      <c r="G1" s="41">
        <f>IFERROR(__xludf.DUMMYFUNCTION("GOOGLEFINANCE(""INDEXNSE:""&amp;D1,""closeyest"")"),9287.95)</f>
        <v>9287.95</v>
      </c>
      <c r="H1" s="41">
        <f>IFERROR(__xludf.DUMMYFUNCTION("INDEX(GOOGLEFINANCE(""INDEXNSE:""&amp;D1,""PRICE"",TODAY()-7),2,2)"),9307.8)</f>
        <v>9307.8</v>
      </c>
      <c r="I1" s="41">
        <f>IFERROR(__xludf.DUMMYFUNCTION("INDEX(GOOGLEFINANCE(""INDEXNSE:""&amp;D1,""PRICE"",TODAY()-14),2,2)"),9192.7)</f>
        <v>9192.7</v>
      </c>
      <c r="J1" s="41">
        <f>IFERROR(__xludf.DUMMYFUNCTION("INDEX(GOOGLEFINANCE(""INDEXNSE:""&amp;D1,""PRICE"",TODAY()-28),2,2)"),8795.95)</f>
        <v>8795.95</v>
      </c>
      <c r="K1" s="41">
        <f>IFERROR(__xludf.DUMMYFUNCTION("INDEX(GOOGLEFINANCE(""INDEXNSE:""&amp;D1,""PRICE"",TODAY()-84),2,2)"),8326.5)</f>
        <v>8326.5</v>
      </c>
      <c r="L1" s="16">
        <f>F1/G1-1</f>
        <v>0.01503022734</v>
      </c>
      <c r="M1" s="33">
        <f>F1/H1-1</f>
        <v>0.01286555362</v>
      </c>
      <c r="N1" s="33">
        <f>F1/I1-1</f>
        <v>0.02554744526</v>
      </c>
      <c r="O1" s="33">
        <f>F1/J1-1</f>
        <v>0.07180577425</v>
      </c>
      <c r="P1" s="33">
        <f>F1/K1-1</f>
        <v>0.1322344322</v>
      </c>
      <c r="Q1" s="42"/>
      <c r="R1" s="42"/>
      <c r="S1" s="42"/>
      <c r="T1" s="42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24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7"/>
      <c r="R2" s="27"/>
      <c r="S2" s="27"/>
      <c r="T2" s="27"/>
      <c r="U2" s="4"/>
      <c r="V2" s="4"/>
      <c r="W2" s="4"/>
      <c r="X2" s="4"/>
    </row>
    <row r="3">
      <c r="A3" s="28" t="s">
        <v>3</v>
      </c>
      <c r="B3" s="28" t="s">
        <v>4</v>
      </c>
      <c r="C3" s="28" t="s">
        <v>506</v>
      </c>
      <c r="D3" s="28" t="s">
        <v>507</v>
      </c>
      <c r="E3" s="24" t="s">
        <v>508</v>
      </c>
      <c r="F3" s="25" t="s">
        <v>5</v>
      </c>
      <c r="G3" s="25" t="s">
        <v>12</v>
      </c>
      <c r="H3" s="25" t="s">
        <v>509</v>
      </c>
      <c r="I3" s="25" t="s">
        <v>14</v>
      </c>
      <c r="J3" s="25" t="s">
        <v>510</v>
      </c>
      <c r="K3" s="25" t="s">
        <v>511</v>
      </c>
      <c r="L3" s="26" t="s">
        <v>512</v>
      </c>
      <c r="M3" s="26" t="s">
        <v>513</v>
      </c>
      <c r="N3" s="26" t="s">
        <v>514</v>
      </c>
      <c r="O3" s="26" t="s">
        <v>515</v>
      </c>
      <c r="P3" s="26" t="s">
        <v>516</v>
      </c>
      <c r="Q3" s="25" t="s">
        <v>517</v>
      </c>
      <c r="R3" s="25" t="s">
        <v>518</v>
      </c>
      <c r="S3" s="25" t="s">
        <v>519</v>
      </c>
      <c r="T3" s="25" t="s">
        <v>520</v>
      </c>
      <c r="U3" s="29" t="s">
        <v>509</v>
      </c>
      <c r="V3" s="29" t="s">
        <v>14</v>
      </c>
      <c r="W3" s="29" t="s">
        <v>510</v>
      </c>
      <c r="X3" s="29" t="s">
        <v>511</v>
      </c>
      <c r="Y3" s="17"/>
      <c r="Z3" s="17"/>
    </row>
    <row r="4">
      <c r="A4" s="1">
        <v>1.0</v>
      </c>
      <c r="B4" s="22" t="s">
        <v>521</v>
      </c>
      <c r="C4" s="22" t="s">
        <v>522</v>
      </c>
      <c r="D4" s="22" t="s">
        <v>9</v>
      </c>
      <c r="E4" s="23">
        <f>IFERROR(__xludf.DUMMYFUNCTION("GOOGLEFINANCE(""NSE:""&amp;D4,""marketcap"")/10000000"),1655705.3186651)</f>
        <v>1655705.319</v>
      </c>
      <c r="F4" s="17">
        <f>IFERROR(__xludf.DUMMYFUNCTION("GOOGLEFINANCE(""NSE:""&amp;D4)"),2488.1)</f>
        <v>2488.1</v>
      </c>
      <c r="G4" s="17">
        <f>IFERROR(__xludf.DUMMYFUNCTION("GOOGLEFINANCE(""NSE:""&amp;D4,""closeyest"")"),2430.5)</f>
        <v>2430.5</v>
      </c>
      <c r="H4" s="17">
        <f>IFERROR(__xludf.DUMMYFUNCTION("INDEX(GOOGLEFINANCE(""NSE:""&amp;D4,""PRICE"",TODAY()-7),2,2)"),2390.55)</f>
        <v>2390.55</v>
      </c>
      <c r="I4" s="17">
        <f>IFERROR(__xludf.DUMMYFUNCTION("INDEX(GOOGLEFINANCE(""NSE:""&amp;D4,""PRICE"",TODAY()-14),2,2)"),2371.55)</f>
        <v>2371.55</v>
      </c>
      <c r="J4" s="17">
        <f>IFERROR(__xludf.DUMMYFUNCTION("INDEX(GOOGLEFINANCE(""NSE:""&amp;D4,""PRICE"",TODAY()-28),2,2)"),2227.4)</f>
        <v>2227.4</v>
      </c>
      <c r="K4" s="17">
        <f>IFERROR(__xludf.DUMMYFUNCTION("INDEX(GOOGLEFINANCE(""NSE:""&amp;D4,""PRICE"",TODAY()-84),2,2)"),2129.05)</f>
        <v>2129.05</v>
      </c>
      <c r="L4" s="16">
        <f t="shared" ref="L4:L203" si="1">F4/G4-1</f>
        <v>0.0236988274</v>
      </c>
      <c r="M4" s="16">
        <f t="shared" ref="M4:M203" si="2">F4/H4-1</f>
        <v>0.04080650896</v>
      </c>
      <c r="N4" s="16">
        <f t="shared" ref="N4:N203" si="3">F4/I4-1</f>
        <v>0.0491450739</v>
      </c>
      <c r="O4" s="16">
        <f t="shared" ref="O4:O203" si="4">F4/J4-1</f>
        <v>0.1170422915</v>
      </c>
      <c r="P4" s="16">
        <f t="shared" ref="P4:P203" si="5">F4/K4-1</f>
        <v>0.1686432916</v>
      </c>
      <c r="Q4" s="30">
        <f t="shared" ref="Q4:Q203" si="6">M4-$M$1</f>
        <v>0.02794095534</v>
      </c>
      <c r="R4" s="30">
        <f t="shared" ref="R4:R203" si="7">N4-$N$1</f>
        <v>0.02359762864</v>
      </c>
      <c r="S4" s="30">
        <f t="shared" ref="S4:S203" si="8">O4-$O$1</f>
        <v>0.04523651721</v>
      </c>
      <c r="T4" s="30">
        <f t="shared" ref="T4:T203" si="9">P4-$P$1</f>
        <v>0.03640885937</v>
      </c>
      <c r="U4" s="31" t="str">
        <f t="shared" ref="U4:U203" si="10">RANK(Q4,$Q$4:$Q$203)</f>
        <v>#N/A</v>
      </c>
      <c r="V4" s="31" t="str">
        <f t="shared" ref="V4:V203" si="11">rank(R4,$R$4:$R$203)</f>
        <v>#N/A</v>
      </c>
      <c r="W4" s="31">
        <f t="shared" ref="W4:W203" si="12">rank(S4,$S$4:$S$203)</f>
        <v>56</v>
      </c>
      <c r="X4" s="31" t="str">
        <f t="shared" ref="X4:X203" si="13">rank(T4,$T$4:$T$203)</f>
        <v>#N/A</v>
      </c>
    </row>
    <row r="5">
      <c r="A5" s="1">
        <v>2.0</v>
      </c>
      <c r="B5" s="22" t="s">
        <v>523</v>
      </c>
      <c r="C5" s="22" t="s">
        <v>524</v>
      </c>
      <c r="D5" s="22" t="s">
        <v>24</v>
      </c>
      <c r="E5" s="23">
        <f>IFERROR(__xludf.DUMMYFUNCTION("GOOGLEFINANCE(""NSE:""&amp;D5,""marketcap"")/10000000"),1430311.3731375)</f>
        <v>1430311.373</v>
      </c>
      <c r="F5" s="17">
        <f>IFERROR(__xludf.DUMMYFUNCTION("GOOGLEFINANCE(""NSE:""&amp;D5)"),3872.0)</f>
        <v>3872</v>
      </c>
      <c r="G5" s="17">
        <f>IFERROR(__xludf.DUMMYFUNCTION("GOOGLEFINANCE(""NSE:""&amp;D5,""closeyest"")"),3862.15)</f>
        <v>3862.15</v>
      </c>
      <c r="H5" s="17">
        <f>IFERROR(__xludf.DUMMYFUNCTION("INDEX(GOOGLEFINANCE(""NSE:""&amp;D5,""PRICE"",TODAY()-7),2,2)"),3827.85)</f>
        <v>3827.85</v>
      </c>
      <c r="I5" s="17">
        <f>IFERROR(__xludf.DUMMYFUNCTION("INDEX(GOOGLEFINANCE(""NSE:""&amp;D5,""PRICE"",TODAY()-14),2,2)"),3845.35)</f>
        <v>3845.35</v>
      </c>
      <c r="J5" s="17">
        <f>IFERROR(__xludf.DUMMYFUNCTION("INDEX(GOOGLEFINANCE(""NSE:""&amp;D5,""PRICE"",TODAY()-28),2,2)"),3720.15)</f>
        <v>3720.15</v>
      </c>
      <c r="K5" s="17">
        <f>IFERROR(__xludf.DUMMYFUNCTION("INDEX(GOOGLEFINANCE(""NSE:""&amp;D5,""PRICE"",TODAY()-84),2,2)"),3325.45)</f>
        <v>3325.45</v>
      </c>
      <c r="L5" s="16">
        <f t="shared" si="1"/>
        <v>0.002550392916</v>
      </c>
      <c r="M5" s="16">
        <f t="shared" si="2"/>
        <v>0.01153388978</v>
      </c>
      <c r="N5" s="16">
        <f t="shared" si="3"/>
        <v>0.006930448464</v>
      </c>
      <c r="O5" s="16">
        <f t="shared" si="4"/>
        <v>0.04081824658</v>
      </c>
      <c r="P5" s="16">
        <f t="shared" si="5"/>
        <v>0.1643536965</v>
      </c>
      <c r="Q5" s="30">
        <f t="shared" si="6"/>
        <v>-0.00133166384</v>
      </c>
      <c r="R5" s="30">
        <f t="shared" si="7"/>
        <v>-0.01861699679</v>
      </c>
      <c r="S5" s="30">
        <f t="shared" si="8"/>
        <v>-0.03098752767</v>
      </c>
      <c r="T5" s="30">
        <f t="shared" si="9"/>
        <v>0.03211926426</v>
      </c>
      <c r="U5" s="31" t="str">
        <f t="shared" si="10"/>
        <v>#N/A</v>
      </c>
      <c r="V5" s="31" t="str">
        <f t="shared" si="11"/>
        <v>#N/A</v>
      </c>
      <c r="W5" s="31">
        <f t="shared" si="12"/>
        <v>129</v>
      </c>
      <c r="X5" s="31" t="str">
        <f t="shared" si="13"/>
        <v>#N/A</v>
      </c>
    </row>
    <row r="6">
      <c r="A6" s="1">
        <v>3.0</v>
      </c>
      <c r="B6" s="22" t="s">
        <v>525</v>
      </c>
      <c r="C6" s="22" t="s">
        <v>526</v>
      </c>
      <c r="D6" s="22" t="s">
        <v>30</v>
      </c>
      <c r="E6" s="23">
        <f>IFERROR(__xludf.DUMMYFUNCTION("GOOGLEFINANCE(""NSE:""&amp;D6,""marketcap"")/10000000"),653713.9090734)</f>
        <v>653713.9091</v>
      </c>
      <c r="F6" s="17">
        <f>IFERROR(__xludf.DUMMYFUNCTION("GOOGLEFINANCE(""NSE:""&amp;D6)"),2782.0)</f>
        <v>2782</v>
      </c>
      <c r="G6" s="17">
        <f>IFERROR(__xludf.DUMMYFUNCTION("GOOGLEFINANCE(""NSE:""&amp;D6,""closeyest"")"),2784.5)</f>
        <v>2784.5</v>
      </c>
      <c r="H6" s="17">
        <f>IFERROR(__xludf.DUMMYFUNCTION("INDEX(GOOGLEFINANCE(""NSE:""&amp;D6,""PRICE"",TODAY()-7),2,2)"),2722.25)</f>
        <v>2722.25</v>
      </c>
      <c r="I6" s="17">
        <f>IFERROR(__xludf.DUMMYFUNCTION("INDEX(GOOGLEFINANCE(""NSE:""&amp;D6,""PRICE"",TODAY()-14),2,2)"),2786.35)</f>
        <v>2786.35</v>
      </c>
      <c r="J6" s="17">
        <f>IFERROR(__xludf.DUMMYFUNCTION("INDEX(GOOGLEFINANCE(""NSE:""&amp;D6,""PRICE"",TODAY()-28),2,2)"),2677.95)</f>
        <v>2677.95</v>
      </c>
      <c r="K6" s="17">
        <f>IFERROR(__xludf.DUMMYFUNCTION("INDEX(GOOGLEFINANCE(""NSE:""&amp;D6,""PRICE"",TODAY()-84),2,2)"),2487.3)</f>
        <v>2487.3</v>
      </c>
      <c r="L6" s="16">
        <f t="shared" si="1"/>
        <v>-0.000897827258</v>
      </c>
      <c r="M6" s="16">
        <f t="shared" si="2"/>
        <v>0.02194875562</v>
      </c>
      <c r="N6" s="16">
        <f t="shared" si="3"/>
        <v>-0.001561182192</v>
      </c>
      <c r="O6" s="16">
        <f t="shared" si="4"/>
        <v>0.03885434754</v>
      </c>
      <c r="P6" s="16">
        <f t="shared" si="5"/>
        <v>0.118481888</v>
      </c>
      <c r="Q6" s="30">
        <f t="shared" si="6"/>
        <v>0.009083202003</v>
      </c>
      <c r="R6" s="30">
        <f t="shared" si="7"/>
        <v>-0.02710862745</v>
      </c>
      <c r="S6" s="30">
        <f t="shared" si="8"/>
        <v>-0.03295142671</v>
      </c>
      <c r="T6" s="30">
        <f t="shared" si="9"/>
        <v>-0.01375254424</v>
      </c>
      <c r="U6" s="31" t="str">
        <f t="shared" si="10"/>
        <v>#N/A</v>
      </c>
      <c r="V6" s="31" t="str">
        <f t="shared" si="11"/>
        <v>#N/A</v>
      </c>
      <c r="W6" s="31">
        <f t="shared" si="12"/>
        <v>132</v>
      </c>
      <c r="X6" s="31" t="str">
        <f t="shared" si="13"/>
        <v>#N/A</v>
      </c>
    </row>
    <row r="7">
      <c r="A7" s="1">
        <v>4.0</v>
      </c>
      <c r="B7" s="22" t="s">
        <v>527</v>
      </c>
      <c r="C7" s="22" t="s">
        <v>528</v>
      </c>
      <c r="D7" s="22" t="s">
        <v>32</v>
      </c>
      <c r="E7" s="23">
        <f>IFERROR(__xludf.DUMMYFUNCTION("GOOGLEFINANCE(""NSE:""&amp;D7,""marketcap"")/10000000"),509516.0668263)</f>
        <v>509516.0668</v>
      </c>
      <c r="F7" s="17">
        <f>IFERROR(__xludf.DUMMYFUNCTION("GOOGLEFINANCE(""NSE:""&amp;D7)"),2825.15)</f>
        <v>2825.15</v>
      </c>
      <c r="G7" s="17">
        <f>IFERROR(__xludf.DUMMYFUNCTION("GOOGLEFINANCE(""NSE:""&amp;D7,""closeyest"")"),2734.7)</f>
        <v>2734.7</v>
      </c>
      <c r="H7" s="17">
        <f>IFERROR(__xludf.DUMMYFUNCTION("INDEX(GOOGLEFINANCE(""NSE:""&amp;D7,""PRICE"",TODAY()-7),2,2)"),2825.65)</f>
        <v>2825.65</v>
      </c>
      <c r="I7" s="17">
        <f>IFERROR(__xludf.DUMMYFUNCTION("INDEX(GOOGLEFINANCE(""NSE:""&amp;D7,""PRICE"",TODAY()-14),2,2)"),2849.8)</f>
        <v>2849.8</v>
      </c>
      <c r="J7" s="17">
        <f>IFERROR(__xludf.DUMMYFUNCTION("INDEX(GOOGLEFINANCE(""NSE:""&amp;D7,""PRICE"",TODAY()-28),2,2)"),2718.2)</f>
        <v>2718.2</v>
      </c>
      <c r="K7" s="17">
        <f>IFERROR(__xludf.DUMMYFUNCTION("INDEX(GOOGLEFINANCE(""NSE:""&amp;D7,""PRICE"",TODAY()-84),2,2)"),2475.7)</f>
        <v>2475.7</v>
      </c>
      <c r="L7" s="16">
        <f t="shared" si="1"/>
        <v>0.03307492595</v>
      </c>
      <c r="M7" s="16">
        <f t="shared" si="2"/>
        <v>-0.0001769504362</v>
      </c>
      <c r="N7" s="16">
        <f t="shared" si="3"/>
        <v>-0.008649729806</v>
      </c>
      <c r="O7" s="16">
        <f t="shared" si="4"/>
        <v>0.03934589066</v>
      </c>
      <c r="P7" s="16">
        <f t="shared" si="5"/>
        <v>0.1411519974</v>
      </c>
      <c r="Q7" s="30">
        <f t="shared" si="6"/>
        <v>-0.01304250406</v>
      </c>
      <c r="R7" s="30">
        <f t="shared" si="7"/>
        <v>-0.03419717506</v>
      </c>
      <c r="S7" s="30">
        <f t="shared" si="8"/>
        <v>-0.03245988359</v>
      </c>
      <c r="T7" s="30">
        <f t="shared" si="9"/>
        <v>0.00891756518</v>
      </c>
      <c r="U7" s="31" t="str">
        <f t="shared" si="10"/>
        <v>#N/A</v>
      </c>
      <c r="V7" s="31" t="str">
        <f t="shared" si="11"/>
        <v>#N/A</v>
      </c>
      <c r="W7" s="31">
        <f t="shared" si="12"/>
        <v>131</v>
      </c>
      <c r="X7" s="31" t="str">
        <f t="shared" si="13"/>
        <v>#N/A</v>
      </c>
    </row>
    <row r="8">
      <c r="A8" s="1">
        <v>5.0</v>
      </c>
      <c r="B8" s="22" t="s">
        <v>529</v>
      </c>
      <c r="C8" s="22" t="s">
        <v>528</v>
      </c>
      <c r="D8" s="22" t="s">
        <v>36</v>
      </c>
      <c r="E8" s="23">
        <f>IFERROR(__xludf.DUMMYFUNCTION("GOOGLEFINANCE(""NSE:""&amp;D8,""marketcap"")/10000000"),476076.6988323)</f>
        <v>476076.6988</v>
      </c>
      <c r="F8" s="17">
        <f>IFERROR(__xludf.DUMMYFUNCTION("GOOGLEFINANCE(""NSE:""&amp;D8)"),7890.05)</f>
        <v>7890.05</v>
      </c>
      <c r="G8" s="17">
        <f>IFERROR(__xludf.DUMMYFUNCTION("GOOGLEFINANCE(""NSE:""&amp;D8,""closeyest"")"),7793.65)</f>
        <v>7793.65</v>
      </c>
      <c r="H8" s="17">
        <f>IFERROR(__xludf.DUMMYFUNCTION("INDEX(GOOGLEFINANCE(""NSE:""&amp;D8,""PRICE"",TODAY()-7),2,2)"),7428.8)</f>
        <v>7428.8</v>
      </c>
      <c r="I8" s="17">
        <f>IFERROR(__xludf.DUMMYFUNCTION("INDEX(GOOGLEFINANCE(""NSE:""&amp;D8,""PRICE"",TODAY()-14),2,2)"),7445.55)</f>
        <v>7445.55</v>
      </c>
      <c r="J8" s="17">
        <f>IFERROR(__xludf.DUMMYFUNCTION("INDEX(GOOGLEFINANCE(""NSE:""&amp;D8,""PRICE"",TODAY()-28),2,2)"),6966.6)</f>
        <v>6966.6</v>
      </c>
      <c r="K8" s="17">
        <f>IFERROR(__xludf.DUMMYFUNCTION("INDEX(GOOGLEFINANCE(""NSE:""&amp;D8,""PRICE"",TODAY()-84),2,2)"),5997.75)</f>
        <v>5997.75</v>
      </c>
      <c r="L8" s="16">
        <f t="shared" si="1"/>
        <v>0.01236904403</v>
      </c>
      <c r="M8" s="16">
        <f t="shared" si="2"/>
        <v>0.06208943571</v>
      </c>
      <c r="N8" s="16">
        <f t="shared" si="3"/>
        <v>0.05970008932</v>
      </c>
      <c r="O8" s="16">
        <f t="shared" si="4"/>
        <v>0.1325539</v>
      </c>
      <c r="P8" s="16">
        <f t="shared" si="5"/>
        <v>0.3155016465</v>
      </c>
      <c r="Q8" s="30">
        <f t="shared" si="6"/>
        <v>0.04922388209</v>
      </c>
      <c r="R8" s="30">
        <f t="shared" si="7"/>
        <v>0.03415264406</v>
      </c>
      <c r="S8" s="30">
        <f t="shared" si="8"/>
        <v>0.06074812579</v>
      </c>
      <c r="T8" s="30">
        <f t="shared" si="9"/>
        <v>0.1832672142</v>
      </c>
      <c r="U8" s="31" t="str">
        <f t="shared" si="10"/>
        <v>#N/A</v>
      </c>
      <c r="V8" s="31" t="str">
        <f t="shared" si="11"/>
        <v>#N/A</v>
      </c>
      <c r="W8" s="31">
        <f t="shared" si="12"/>
        <v>48</v>
      </c>
      <c r="X8" s="31" t="str">
        <f t="shared" si="13"/>
        <v>#N/A</v>
      </c>
    </row>
    <row r="9">
      <c r="A9" s="1">
        <v>6.0</v>
      </c>
      <c r="B9" s="22" t="s">
        <v>530</v>
      </c>
      <c r="C9" s="22" t="s">
        <v>531</v>
      </c>
      <c r="D9" s="22" t="s">
        <v>44</v>
      </c>
      <c r="E9" s="23">
        <f>IFERROR(__xludf.DUMMYFUNCTION("GOOGLEFINANCE(""NSE:""&amp;D9,""marketcap"")/10000000"),398540.9631592)</f>
        <v>398540.9632</v>
      </c>
      <c r="F9" s="17">
        <f>IFERROR(__xludf.DUMMYFUNCTION("GOOGLEFINANCE(""NSE:""&amp;D9)"),726.95)</f>
        <v>726.95</v>
      </c>
      <c r="G9" s="17">
        <f>IFERROR(__xludf.DUMMYFUNCTION("GOOGLEFINANCE(""NSE:""&amp;D9,""closeyest"")"),726.75)</f>
        <v>726.75</v>
      </c>
      <c r="H9" s="17">
        <f>IFERROR(__xludf.DUMMYFUNCTION("INDEX(GOOGLEFINANCE(""NSE:""&amp;D9,""PRICE"",TODAY()-7),2,2)"),728.15)</f>
        <v>728.15</v>
      </c>
      <c r="I9" s="17">
        <f>IFERROR(__xludf.DUMMYFUNCTION("INDEX(GOOGLEFINANCE(""NSE:""&amp;D9,""PRICE"",TODAY()-14),2,2)"),693.3)</f>
        <v>693.3</v>
      </c>
      <c r="J9" s="17">
        <f>IFERROR(__xludf.DUMMYFUNCTION("INDEX(GOOGLEFINANCE(""NSE:""&amp;D9,""PRICE"",TODAY()-28),2,2)"),595.15)</f>
        <v>595.15</v>
      </c>
      <c r="K9" s="17">
        <f>IFERROR(__xludf.DUMMYFUNCTION("INDEX(GOOGLEFINANCE(""NSE:""&amp;D9,""PRICE"",TODAY()-84),2,2)"),525.0)</f>
        <v>525</v>
      </c>
      <c r="L9" s="16">
        <f t="shared" si="1"/>
        <v>0.0002751977984</v>
      </c>
      <c r="M9" s="16">
        <f t="shared" si="2"/>
        <v>-0.001648012085</v>
      </c>
      <c r="N9" s="16">
        <f t="shared" si="3"/>
        <v>0.04853598731</v>
      </c>
      <c r="O9" s="16">
        <f t="shared" si="4"/>
        <v>0.2214567756</v>
      </c>
      <c r="P9" s="16">
        <f t="shared" si="5"/>
        <v>0.3846666667</v>
      </c>
      <c r="Q9" s="30">
        <f t="shared" si="6"/>
        <v>-0.01451356571</v>
      </c>
      <c r="R9" s="30">
        <f t="shared" si="7"/>
        <v>0.02298854205</v>
      </c>
      <c r="S9" s="30">
        <f t="shared" si="8"/>
        <v>0.1496510014</v>
      </c>
      <c r="T9" s="30">
        <f t="shared" si="9"/>
        <v>0.2524322344</v>
      </c>
      <c r="U9" s="31" t="str">
        <f t="shared" si="10"/>
        <v>#N/A</v>
      </c>
      <c r="V9" s="31" t="str">
        <f t="shared" si="11"/>
        <v>#N/A</v>
      </c>
      <c r="W9" s="31">
        <f t="shared" si="12"/>
        <v>16</v>
      </c>
      <c r="X9" s="31" t="str">
        <f t="shared" si="13"/>
        <v>#N/A</v>
      </c>
    </row>
    <row r="10">
      <c r="A10" s="1">
        <v>7.0</v>
      </c>
      <c r="B10" s="22" t="s">
        <v>532</v>
      </c>
      <c r="C10" s="22" t="s">
        <v>528</v>
      </c>
      <c r="D10" s="22" t="s">
        <v>42</v>
      </c>
      <c r="E10" s="23">
        <f>IFERROR(__xludf.DUMMYFUNCTION("GOOGLEFINANCE(""NSE:""&amp;D10,""marketcap"")/10000000"),401938.0815719)</f>
        <v>401938.0816</v>
      </c>
      <c r="F10" s="17">
        <f>IFERROR(__xludf.DUMMYFUNCTION("GOOGLEFINANCE(""NSE:""&amp;D10)"),2024.05)</f>
        <v>2024.05</v>
      </c>
      <c r="G10" s="17">
        <f>IFERROR(__xludf.DUMMYFUNCTION("GOOGLEFINANCE(""NSE:""&amp;D10,""closeyest"")"),1985.55)</f>
        <v>1985.55</v>
      </c>
      <c r="H10" s="17">
        <f>IFERROR(__xludf.DUMMYFUNCTION("INDEX(GOOGLEFINANCE(""NSE:""&amp;D10,""PRICE"",TODAY()-7),2,2)"),2007.95)</f>
        <v>2007.95</v>
      </c>
      <c r="I10" s="17">
        <f>IFERROR(__xludf.DUMMYFUNCTION("INDEX(GOOGLEFINANCE(""NSE:""&amp;D10,""PRICE"",TODAY()-14),2,2)"),1840.05)</f>
        <v>1840.05</v>
      </c>
      <c r="J10" s="17">
        <f>IFERROR(__xludf.DUMMYFUNCTION("INDEX(GOOGLEFINANCE(""NSE:""&amp;D10,""PRICE"",TODAY()-28),2,2)"),1713.55)</f>
        <v>1713.55</v>
      </c>
      <c r="K10" s="17">
        <f>IFERROR(__xludf.DUMMYFUNCTION("INDEX(GOOGLEFINANCE(""NSE:""&amp;D10,""PRICE"",TODAY()-84),2,2)"),1715.15)</f>
        <v>1715.15</v>
      </c>
      <c r="L10" s="16">
        <f t="shared" si="1"/>
        <v>0.01939009342</v>
      </c>
      <c r="M10" s="16">
        <f t="shared" si="2"/>
        <v>0.008018127941</v>
      </c>
      <c r="N10" s="16">
        <f t="shared" si="3"/>
        <v>0.09999728268</v>
      </c>
      <c r="O10" s="16">
        <f t="shared" si="4"/>
        <v>0.1812027662</v>
      </c>
      <c r="P10" s="16">
        <f t="shared" si="5"/>
        <v>0.1801008658</v>
      </c>
      <c r="Q10" s="30">
        <f t="shared" si="6"/>
        <v>-0.00484742568</v>
      </c>
      <c r="R10" s="30">
        <f t="shared" si="7"/>
        <v>0.07444983743</v>
      </c>
      <c r="S10" s="30">
        <f t="shared" si="8"/>
        <v>0.1093969919</v>
      </c>
      <c r="T10" s="30">
        <f t="shared" si="9"/>
        <v>0.04786643358</v>
      </c>
      <c r="U10" s="31" t="str">
        <f t="shared" si="10"/>
        <v>#N/A</v>
      </c>
      <c r="V10" s="31" t="str">
        <f t="shared" si="11"/>
        <v>#N/A</v>
      </c>
      <c r="W10" s="31">
        <f t="shared" si="12"/>
        <v>24</v>
      </c>
      <c r="X10" s="31" t="str">
        <f t="shared" si="13"/>
        <v>#N/A</v>
      </c>
    </row>
    <row r="11">
      <c r="A11" s="1">
        <v>8.0</v>
      </c>
      <c r="B11" s="22" t="s">
        <v>533</v>
      </c>
      <c r="C11" s="22" t="s">
        <v>528</v>
      </c>
      <c r="D11" s="22" t="s">
        <v>38</v>
      </c>
      <c r="E11" s="23">
        <f>IFERROR(__xludf.DUMMYFUNCTION("GOOGLEFINANCE(""NSE:""&amp;D11,""marketcap"")/10000000"),401291.3530894)</f>
        <v>401291.3531</v>
      </c>
      <c r="F11" s="17">
        <f>IFERROR(__xludf.DUMMYFUNCTION("GOOGLEFINANCE(""NSE:""&amp;D11)"),450.0)</f>
        <v>450</v>
      </c>
      <c r="G11" s="17">
        <f>IFERROR(__xludf.DUMMYFUNCTION("GOOGLEFINANCE(""NSE:""&amp;D11,""closeyest"")"),438.85)</f>
        <v>438.85</v>
      </c>
      <c r="H11" s="17">
        <f>IFERROR(__xludf.DUMMYFUNCTION("INDEX(GOOGLEFINANCE(""NSE:""&amp;D11,""PRICE"",TODAY()-7),2,2)"),454.1)</f>
        <v>454.1</v>
      </c>
      <c r="I11" s="17">
        <f>IFERROR(__xludf.DUMMYFUNCTION("INDEX(GOOGLEFINANCE(""NSE:""&amp;D11,""PRICE"",TODAY()-14),2,2)"),432.85)</f>
        <v>432.85</v>
      </c>
      <c r="J11" s="17">
        <f>IFERROR(__xludf.DUMMYFUNCTION("INDEX(GOOGLEFINANCE(""NSE:""&amp;D11,""PRICE"",TODAY()-28),2,2)"),412.45)</f>
        <v>412.45</v>
      </c>
      <c r="K11" s="17">
        <f>IFERROR(__xludf.DUMMYFUNCTION("INDEX(GOOGLEFINANCE(""NSE:""&amp;D11,""PRICE"",TODAY()-84),2,2)"),424.4)</f>
        <v>424.4</v>
      </c>
      <c r="L11" s="16">
        <f t="shared" si="1"/>
        <v>0.02540731457</v>
      </c>
      <c r="M11" s="16">
        <f t="shared" si="2"/>
        <v>-0.009028848271</v>
      </c>
      <c r="N11" s="16">
        <f t="shared" si="3"/>
        <v>0.03962111586</v>
      </c>
      <c r="O11" s="16">
        <f t="shared" si="4"/>
        <v>0.09104133834</v>
      </c>
      <c r="P11" s="16">
        <f t="shared" si="5"/>
        <v>0.0603204524</v>
      </c>
      <c r="Q11" s="30">
        <f t="shared" si="6"/>
        <v>-0.02189440189</v>
      </c>
      <c r="R11" s="30">
        <f t="shared" si="7"/>
        <v>0.0140736706</v>
      </c>
      <c r="S11" s="30">
        <f t="shared" si="8"/>
        <v>0.0192355641</v>
      </c>
      <c r="T11" s="30">
        <f t="shared" si="9"/>
        <v>-0.07191397983</v>
      </c>
      <c r="U11" s="31" t="str">
        <f t="shared" si="10"/>
        <v>#N/A</v>
      </c>
      <c r="V11" s="31" t="str">
        <f t="shared" si="11"/>
        <v>#N/A</v>
      </c>
      <c r="W11" s="31">
        <f t="shared" si="12"/>
        <v>71</v>
      </c>
      <c r="X11" s="31" t="str">
        <f t="shared" si="13"/>
        <v>#N/A</v>
      </c>
    </row>
    <row r="12">
      <c r="A12" s="1">
        <v>9.0</v>
      </c>
      <c r="B12" s="22" t="s">
        <v>534</v>
      </c>
      <c r="C12" s="22" t="s">
        <v>524</v>
      </c>
      <c r="D12" s="22" t="s">
        <v>40</v>
      </c>
      <c r="E12" s="23">
        <f>IFERROR(__xludf.DUMMYFUNCTION("GOOGLEFINANCE(""NSE:""&amp;D12,""marketcap"")/10000000"),5092.4768245)</f>
        <v>5092.476825</v>
      </c>
      <c r="F12" s="17">
        <f>IFERROR(__xludf.DUMMYFUNCTION("GOOGLEFINANCE(""NSE:""&amp;D12)"),674.0)</f>
        <v>674</v>
      </c>
      <c r="G12" s="17">
        <f>IFERROR(__xludf.DUMMYFUNCTION("GOOGLEFINANCE(""NSE:""&amp;D12,""closeyest"")"),668.15)</f>
        <v>668.15</v>
      </c>
      <c r="H12" s="17">
        <f>IFERROR(__xludf.DUMMYFUNCTION("INDEX(GOOGLEFINANCE(""NSE:""&amp;D12,""PRICE"",TODAY()-7),2,2)"),665.25)</f>
        <v>665.25</v>
      </c>
      <c r="I12" s="17">
        <f>IFERROR(__xludf.DUMMYFUNCTION("INDEX(GOOGLEFINANCE(""NSE:""&amp;D12,""PRICE"",TODAY()-14),2,2)"),670.75)</f>
        <v>670.75</v>
      </c>
      <c r="J12" s="17">
        <f>IFERROR(__xludf.DUMMYFUNCTION("INDEX(GOOGLEFINANCE(""NSE:""&amp;D12,""PRICE"",TODAY()-28),2,2)"),634.95)</f>
        <v>634.95</v>
      </c>
      <c r="K12" s="17">
        <f>IFERROR(__xludf.DUMMYFUNCTION("INDEX(GOOGLEFINANCE(""NSE:""&amp;D12,""PRICE"",TODAY()-84),2,2)"),538.6)</f>
        <v>538.6</v>
      </c>
      <c r="L12" s="16">
        <f t="shared" si="1"/>
        <v>0.00875551897</v>
      </c>
      <c r="M12" s="16">
        <f t="shared" si="2"/>
        <v>0.01315295002</v>
      </c>
      <c r="N12" s="16">
        <f t="shared" si="3"/>
        <v>0.0048453224</v>
      </c>
      <c r="O12" s="16">
        <f t="shared" si="4"/>
        <v>0.06150090558</v>
      </c>
      <c r="P12" s="16">
        <f t="shared" si="5"/>
        <v>0.2513924991</v>
      </c>
      <c r="Q12" s="30">
        <f t="shared" si="6"/>
        <v>0.0002873963971</v>
      </c>
      <c r="R12" s="30">
        <f t="shared" si="7"/>
        <v>-0.02070212286</v>
      </c>
      <c r="S12" s="30">
        <f t="shared" si="8"/>
        <v>-0.01030486867</v>
      </c>
      <c r="T12" s="30">
        <f t="shared" si="9"/>
        <v>0.1191580668</v>
      </c>
      <c r="U12" s="31" t="str">
        <f t="shared" si="10"/>
        <v>#N/A</v>
      </c>
      <c r="V12" s="31" t="str">
        <f t="shared" si="11"/>
        <v>#N/A</v>
      </c>
      <c r="W12" s="31">
        <f t="shared" si="12"/>
        <v>104</v>
      </c>
      <c r="X12" s="31" t="str">
        <f t="shared" si="13"/>
        <v>#N/A</v>
      </c>
    </row>
    <row r="13">
      <c r="A13" s="1">
        <v>10.0</v>
      </c>
      <c r="B13" s="22" t="s">
        <v>535</v>
      </c>
      <c r="C13" s="22" t="s">
        <v>524</v>
      </c>
      <c r="D13" s="22" t="s">
        <v>46</v>
      </c>
      <c r="E13" s="23">
        <f>IFERROR(__xludf.DUMMYFUNCTION("GOOGLEFINANCE(""NSE:""&amp;D13,""marketcap"")/10000000"),360499.7683995)</f>
        <v>360499.7684</v>
      </c>
      <c r="F13" s="17">
        <f>IFERROR(__xludf.DUMMYFUNCTION("GOOGLEFINANCE(""NSE:""&amp;D13)"),1327.0)</f>
        <v>1327</v>
      </c>
      <c r="G13" s="17">
        <f>IFERROR(__xludf.DUMMYFUNCTION("GOOGLEFINANCE(""NSE:""&amp;D13,""closeyest"")"),1315.5)</f>
        <v>1315.5</v>
      </c>
      <c r="H13" s="17">
        <f>IFERROR(__xludf.DUMMYFUNCTION("INDEX(GOOGLEFINANCE(""NSE:""&amp;D13,""PRICE"",TODAY()-7),2,2)"),1263.3)</f>
        <v>1263.3</v>
      </c>
      <c r="I13" s="17">
        <f>IFERROR(__xludf.DUMMYFUNCTION("INDEX(GOOGLEFINANCE(""NSE:""&amp;D13,""PRICE"",TODAY()-14),2,2)"),1208.4)</f>
        <v>1208.4</v>
      </c>
      <c r="J13" s="17">
        <f>IFERROR(__xludf.DUMMYFUNCTION("INDEX(GOOGLEFINANCE(""NSE:""&amp;D13,""PRICE"",TODAY()-28),2,2)"),1162.95)</f>
        <v>1162.95</v>
      </c>
      <c r="K13" s="17">
        <f>IFERROR(__xludf.DUMMYFUNCTION("INDEX(GOOGLEFINANCE(""NSE:""&amp;D13,""PRICE"",TODAY()-84),2,2)"),984.65)</f>
        <v>984.65</v>
      </c>
      <c r="L13" s="16">
        <f t="shared" si="1"/>
        <v>0.008741923223</v>
      </c>
      <c r="M13" s="16">
        <f t="shared" si="2"/>
        <v>0.05042349402</v>
      </c>
      <c r="N13" s="16">
        <f t="shared" si="3"/>
        <v>0.09814630917</v>
      </c>
      <c r="O13" s="16">
        <f t="shared" si="4"/>
        <v>0.1410636743</v>
      </c>
      <c r="P13" s="16">
        <f t="shared" si="5"/>
        <v>0.3476869954</v>
      </c>
      <c r="Q13" s="30">
        <f t="shared" si="6"/>
        <v>0.0375579404</v>
      </c>
      <c r="R13" s="30">
        <f t="shared" si="7"/>
        <v>0.07259886391</v>
      </c>
      <c r="S13" s="30">
        <f t="shared" si="8"/>
        <v>0.06925790003</v>
      </c>
      <c r="T13" s="30">
        <f t="shared" si="9"/>
        <v>0.2154525631</v>
      </c>
      <c r="U13" s="31" t="str">
        <f t="shared" si="10"/>
        <v>#N/A</v>
      </c>
      <c r="V13" s="31" t="str">
        <f t="shared" si="11"/>
        <v>#N/A</v>
      </c>
      <c r="W13" s="31">
        <f t="shared" si="12"/>
        <v>43</v>
      </c>
      <c r="X13" s="31" t="str">
        <f t="shared" si="13"/>
        <v>#N/A</v>
      </c>
    </row>
    <row r="14">
      <c r="A14" s="1">
        <v>11.0</v>
      </c>
      <c r="B14" s="22" t="s">
        <v>536</v>
      </c>
      <c r="C14" s="22" t="s">
        <v>526</v>
      </c>
      <c r="D14" s="22" t="s">
        <v>48</v>
      </c>
      <c r="E14" s="23">
        <f>IFERROR(__xludf.DUMMYFUNCTION("GOOGLEFINANCE(""NSE:""&amp;D14,""marketcap"")/10000000"),318708.7923473)</f>
        <v>318708.7923</v>
      </c>
      <c r="F14" s="17">
        <f>IFERROR(__xludf.DUMMYFUNCTION("GOOGLEFINANCE(""NSE:""&amp;D14)"),3326.0)</f>
        <v>3326</v>
      </c>
      <c r="G14" s="17">
        <f>IFERROR(__xludf.DUMMYFUNCTION("GOOGLEFINANCE(""NSE:""&amp;D14,""closeyest"")"),3317.5)</f>
        <v>3317.5</v>
      </c>
      <c r="H14" s="17">
        <f>IFERROR(__xludf.DUMMYFUNCTION("INDEX(GOOGLEFINANCE(""NSE:""&amp;D14,""PRICE"",TODAY()-7),2,2)"),3303.05)</f>
        <v>3303.05</v>
      </c>
      <c r="I14" s="17">
        <f>IFERROR(__xludf.DUMMYFUNCTION("INDEX(GOOGLEFINANCE(""NSE:""&amp;D14,""PRICE"",TODAY()-14),2,2)"),3367.05)</f>
        <v>3367.05</v>
      </c>
      <c r="J14" s="17">
        <f>IFERROR(__xludf.DUMMYFUNCTION("INDEX(GOOGLEFINANCE(""NSE:""&amp;D14,""PRICE"",TODAY()-28),2,2)"),3036.8)</f>
        <v>3036.8</v>
      </c>
      <c r="K14" s="17">
        <f>IFERROR(__xludf.DUMMYFUNCTION("INDEX(GOOGLEFINANCE(""NSE:""&amp;D14,""PRICE"",TODAY()-84),2,2)"),3005.0)</f>
        <v>3005</v>
      </c>
      <c r="L14" s="16">
        <f t="shared" si="1"/>
        <v>0.002562170309</v>
      </c>
      <c r="M14" s="16">
        <f t="shared" si="2"/>
        <v>0.006948123704</v>
      </c>
      <c r="N14" s="16">
        <f t="shared" si="3"/>
        <v>-0.01219168115</v>
      </c>
      <c r="O14" s="16">
        <f t="shared" si="4"/>
        <v>0.09523182297</v>
      </c>
      <c r="P14" s="16">
        <f t="shared" si="5"/>
        <v>0.1068219634</v>
      </c>
      <c r="Q14" s="30">
        <f t="shared" si="6"/>
        <v>-0.005917429918</v>
      </c>
      <c r="R14" s="30">
        <f t="shared" si="7"/>
        <v>-0.0377391264</v>
      </c>
      <c r="S14" s="30">
        <f t="shared" si="8"/>
        <v>0.02342604872</v>
      </c>
      <c r="T14" s="30">
        <f t="shared" si="9"/>
        <v>-0.02541246884</v>
      </c>
      <c r="U14" s="31" t="str">
        <f t="shared" si="10"/>
        <v>#N/A</v>
      </c>
      <c r="V14" s="31" t="str">
        <f t="shared" si="11"/>
        <v>#N/A</v>
      </c>
      <c r="W14" s="31">
        <f t="shared" si="12"/>
        <v>67</v>
      </c>
      <c r="X14" s="31" t="str">
        <f t="shared" si="13"/>
        <v>#N/A</v>
      </c>
    </row>
    <row r="15">
      <c r="A15" s="1">
        <v>12.0</v>
      </c>
      <c r="B15" s="22" t="s">
        <v>537</v>
      </c>
      <c r="C15" s="22" t="s">
        <v>526</v>
      </c>
      <c r="D15" s="22" t="s">
        <v>51</v>
      </c>
      <c r="E15" s="23">
        <f>IFERROR(__xludf.DUMMYFUNCTION("GOOGLEFINANCE(""NSE:""&amp;D15,""marketcap"")/10000000"),298706.3612787)</f>
        <v>298706.3613</v>
      </c>
      <c r="F15" s="17">
        <f>IFERROR(__xludf.DUMMYFUNCTION("GOOGLEFINANCE(""NSE:""&amp;D15)"),242.35)</f>
        <v>242.35</v>
      </c>
      <c r="G15" s="17">
        <f>IFERROR(__xludf.DUMMYFUNCTION("GOOGLEFINANCE(""NSE:""&amp;D15,""closeyest"")"),243.5)</f>
        <v>243.5</v>
      </c>
      <c r="H15" s="17">
        <f>IFERROR(__xludf.DUMMYFUNCTION("INDEX(GOOGLEFINANCE(""NSE:""&amp;D15,""PRICE"",TODAY()-7),2,2)"),231.15)</f>
        <v>231.15</v>
      </c>
      <c r="I15" s="17">
        <f>IFERROR(__xludf.DUMMYFUNCTION("INDEX(GOOGLEFINANCE(""NSE:""&amp;D15,""PRICE"",TODAY()-14),2,2)"),214.15)</f>
        <v>214.15</v>
      </c>
      <c r="J15" s="17">
        <f>IFERROR(__xludf.DUMMYFUNCTION("INDEX(GOOGLEFINANCE(""NSE:""&amp;D15,""PRICE"",TODAY()-28),2,2)"),205.9)</f>
        <v>205.9</v>
      </c>
      <c r="K15" s="17">
        <f>IFERROR(__xludf.DUMMYFUNCTION("INDEX(GOOGLEFINANCE(""NSE:""&amp;D15,""PRICE"",TODAY()-84),2,2)"),202.4)</f>
        <v>202.4</v>
      </c>
      <c r="L15" s="16">
        <f t="shared" si="1"/>
        <v>-0.004722792608</v>
      </c>
      <c r="M15" s="16">
        <f t="shared" si="2"/>
        <v>0.04845338525</v>
      </c>
      <c r="N15" s="16">
        <f t="shared" si="3"/>
        <v>0.1316833995</v>
      </c>
      <c r="O15" s="16">
        <f t="shared" si="4"/>
        <v>0.1770276833</v>
      </c>
      <c r="P15" s="16">
        <f t="shared" si="5"/>
        <v>0.1973814229</v>
      </c>
      <c r="Q15" s="30">
        <f t="shared" si="6"/>
        <v>0.03558783163</v>
      </c>
      <c r="R15" s="30">
        <f t="shared" si="7"/>
        <v>0.1061359542</v>
      </c>
      <c r="S15" s="30">
        <f t="shared" si="8"/>
        <v>0.1052219091</v>
      </c>
      <c r="T15" s="30">
        <f t="shared" si="9"/>
        <v>0.06514699069</v>
      </c>
      <c r="U15" s="31" t="str">
        <f t="shared" si="10"/>
        <v>#N/A</v>
      </c>
      <c r="V15" s="31" t="str">
        <f t="shared" si="11"/>
        <v>#N/A</v>
      </c>
      <c r="W15" s="31">
        <f t="shared" si="12"/>
        <v>27</v>
      </c>
      <c r="X15" s="31" t="str">
        <f t="shared" si="13"/>
        <v>#N/A</v>
      </c>
    </row>
    <row r="16">
      <c r="A16" s="1">
        <v>13.0</v>
      </c>
      <c r="B16" s="22" t="s">
        <v>596</v>
      </c>
      <c r="C16" s="22" t="s">
        <v>590</v>
      </c>
      <c r="D16" s="22" t="s">
        <v>53</v>
      </c>
      <c r="E16" s="23">
        <f>IFERROR(__xludf.DUMMYFUNCTION("GOOGLEFINANCE(""NSE:""&amp;D16,""marketcap"")/10000000"),285370.5897664)</f>
        <v>285370.5898</v>
      </c>
      <c r="F16" s="17">
        <f>IFERROR(__xludf.DUMMYFUNCTION("GOOGLEFINANCE(""NSE:""&amp;D16)"),4408.55)</f>
        <v>4408.55</v>
      </c>
      <c r="G16" s="17">
        <f>IFERROR(__xludf.DUMMYFUNCTION("GOOGLEFINANCE(""NSE:""&amp;D16,""closeyest"")"),4378.65)</f>
        <v>4378.65</v>
      </c>
      <c r="H16" s="17">
        <f>IFERROR(__xludf.DUMMYFUNCTION("INDEX(GOOGLEFINANCE(""NSE:""&amp;D16,""PRICE"",TODAY()-7),2,2)"),4239.65)</f>
        <v>4239.65</v>
      </c>
      <c r="I16" s="17">
        <f>IFERROR(__xludf.DUMMYFUNCTION("INDEX(GOOGLEFINANCE(""NSE:""&amp;D16,""PRICE"",TODAY()-14),2,2)"),3961.85)</f>
        <v>3961.85</v>
      </c>
      <c r="J16" s="17">
        <f>IFERROR(__xludf.DUMMYFUNCTION("INDEX(GOOGLEFINANCE(""NSE:""&amp;D16,""PRICE"",TODAY()-28),2,2)"),3833.05)</f>
        <v>3833.05</v>
      </c>
      <c r="K16" s="17">
        <f>IFERROR(__xludf.DUMMYFUNCTION("INDEX(GOOGLEFINANCE(""NSE:""&amp;D16,""PRICE"",TODAY()-84),2,2)"),3314.3)</f>
        <v>3314.3</v>
      </c>
      <c r="L16" s="16">
        <f t="shared" si="1"/>
        <v>0.00682858872</v>
      </c>
      <c r="M16" s="16">
        <f t="shared" si="2"/>
        <v>0.03983819419</v>
      </c>
      <c r="N16" s="16">
        <f t="shared" si="3"/>
        <v>0.1127503565</v>
      </c>
      <c r="O16" s="16">
        <f t="shared" si="4"/>
        <v>0.1501415322</v>
      </c>
      <c r="P16" s="16">
        <f t="shared" si="5"/>
        <v>0.3301602148</v>
      </c>
      <c r="Q16" s="30">
        <f t="shared" si="6"/>
        <v>0.02697264057</v>
      </c>
      <c r="R16" s="30">
        <f t="shared" si="7"/>
        <v>0.08720291127</v>
      </c>
      <c r="S16" s="30">
        <f t="shared" si="8"/>
        <v>0.07833575795</v>
      </c>
      <c r="T16" s="30">
        <f t="shared" si="9"/>
        <v>0.1979257826</v>
      </c>
      <c r="U16" s="31" t="str">
        <f t="shared" si="10"/>
        <v>#N/A</v>
      </c>
      <c r="V16" s="31" t="str">
        <f t="shared" si="11"/>
        <v>#N/A</v>
      </c>
      <c r="W16" s="31">
        <f t="shared" si="12"/>
        <v>39</v>
      </c>
      <c r="X16" s="31" t="str">
        <f t="shared" si="13"/>
        <v>#N/A</v>
      </c>
    </row>
    <row r="17">
      <c r="A17" s="1">
        <v>14.0</v>
      </c>
      <c r="B17" s="22" t="s">
        <v>538</v>
      </c>
      <c r="C17" s="22" t="s">
        <v>528</v>
      </c>
      <c r="D17" s="22" t="s">
        <v>50</v>
      </c>
      <c r="E17" s="23">
        <f>IFERROR(__xludf.DUMMYFUNCTION("GOOGLEFINANCE(""NSE:""&amp;D17,""marketcap"")/10000000"),294144.3113936)</f>
        <v>294144.3114</v>
      </c>
      <c r="F17" s="17">
        <f>IFERROR(__xludf.DUMMYFUNCTION("GOOGLEFINANCE(""NSE:""&amp;D17)"),18430.0)</f>
        <v>18430</v>
      </c>
      <c r="G17" s="17">
        <f>IFERROR(__xludf.DUMMYFUNCTION("GOOGLEFINANCE(""NSE:""&amp;D17,""closeyest"")"),17614.75)</f>
        <v>17614.75</v>
      </c>
      <c r="H17" s="17">
        <f>IFERROR(__xludf.DUMMYFUNCTION("INDEX(GOOGLEFINANCE(""NSE:""&amp;D17,""PRICE"",TODAY()-7),2,2)"),16840.2)</f>
        <v>16840.2</v>
      </c>
      <c r="I17" s="17">
        <f>IFERROR(__xludf.DUMMYFUNCTION("INDEX(GOOGLEFINANCE(""NSE:""&amp;D17,""PRICE"",TODAY()-14),2,2)"),16938.2)</f>
        <v>16938.2</v>
      </c>
      <c r="J17" s="17">
        <f>IFERROR(__xludf.DUMMYFUNCTION("INDEX(GOOGLEFINANCE(""NSE:""&amp;D17,""PRICE"",TODAY()-28),2,2)"),16195.6)</f>
        <v>16195.6</v>
      </c>
      <c r="K17" s="17">
        <f>IFERROR(__xludf.DUMMYFUNCTION("INDEX(GOOGLEFINANCE(""NSE:""&amp;D17,""PRICE"",TODAY()-84),2,2)"),11750.45)</f>
        <v>11750.45</v>
      </c>
      <c r="L17" s="16">
        <f t="shared" si="1"/>
        <v>0.04628223506</v>
      </c>
      <c r="M17" s="16">
        <f t="shared" si="2"/>
        <v>0.09440505457</v>
      </c>
      <c r="N17" s="16">
        <f t="shared" si="3"/>
        <v>0.08807311285</v>
      </c>
      <c r="O17" s="16">
        <f t="shared" si="4"/>
        <v>0.1379633975</v>
      </c>
      <c r="P17" s="16">
        <f t="shared" si="5"/>
        <v>0.56845057</v>
      </c>
      <c r="Q17" s="30">
        <f t="shared" si="6"/>
        <v>0.08153950095</v>
      </c>
      <c r="R17" s="30">
        <f t="shared" si="7"/>
        <v>0.06252566759</v>
      </c>
      <c r="S17" s="30">
        <f t="shared" si="8"/>
        <v>0.06615762322</v>
      </c>
      <c r="T17" s="30">
        <f t="shared" si="9"/>
        <v>0.4362161377</v>
      </c>
      <c r="U17" s="31" t="str">
        <f t="shared" si="10"/>
        <v>#N/A</v>
      </c>
      <c r="V17" s="31" t="str">
        <f t="shared" si="11"/>
        <v>#N/A</v>
      </c>
      <c r="W17" s="31">
        <f t="shared" si="12"/>
        <v>44</v>
      </c>
      <c r="X17" s="31" t="str">
        <f t="shared" si="13"/>
        <v>#N/A</v>
      </c>
    </row>
    <row r="18">
      <c r="A18" s="1">
        <v>15.0</v>
      </c>
      <c r="B18" s="22" t="s">
        <v>539</v>
      </c>
      <c r="C18" s="22" t="s">
        <v>528</v>
      </c>
      <c r="D18" s="22" t="s">
        <v>55</v>
      </c>
      <c r="E18" s="23">
        <f>IFERROR(__xludf.DUMMYFUNCTION("GOOGLEFINANCE(""NSE:""&amp;D18,""marketcap"")/10000000"),249162.2785767)</f>
        <v>249162.2786</v>
      </c>
      <c r="F18" s="17">
        <f>IFERROR(__xludf.DUMMYFUNCTION("GOOGLEFINANCE(""NSE:""&amp;D18)"),813.0)</f>
        <v>813</v>
      </c>
      <c r="G18" s="17">
        <f>IFERROR(__xludf.DUMMYFUNCTION("GOOGLEFINANCE(""NSE:""&amp;D18,""closeyest"")"),788.35)</f>
        <v>788.35</v>
      </c>
      <c r="H18" s="17">
        <f>IFERROR(__xludf.DUMMYFUNCTION("INDEX(GOOGLEFINANCE(""NSE:""&amp;D18,""PRICE"",TODAY()-7),2,2)"),807.35)</f>
        <v>807.35</v>
      </c>
      <c r="I18" s="17">
        <f>IFERROR(__xludf.DUMMYFUNCTION("INDEX(GOOGLEFINANCE(""NSE:""&amp;D18,""PRICE"",TODAY()-14),2,2)"),788.35)</f>
        <v>788.35</v>
      </c>
      <c r="J18" s="17">
        <f>IFERROR(__xludf.DUMMYFUNCTION("INDEX(GOOGLEFINANCE(""NSE:""&amp;D18,""PRICE"",TODAY()-28),2,2)"),752.4)</f>
        <v>752.4</v>
      </c>
      <c r="K18" s="17">
        <f>IFERROR(__xludf.DUMMYFUNCTION("INDEX(GOOGLEFINANCE(""NSE:""&amp;D18,""PRICE"",TODAY()-84),2,2)"),750.65)</f>
        <v>750.65</v>
      </c>
      <c r="L18" s="16">
        <f t="shared" si="1"/>
        <v>0.03126783789</v>
      </c>
      <c r="M18" s="16">
        <f t="shared" si="2"/>
        <v>0.006998204001</v>
      </c>
      <c r="N18" s="16">
        <f t="shared" si="3"/>
        <v>0.03126783789</v>
      </c>
      <c r="O18" s="16">
        <f t="shared" si="4"/>
        <v>0.08054226475</v>
      </c>
      <c r="P18" s="16">
        <f t="shared" si="5"/>
        <v>0.08306134683</v>
      </c>
      <c r="Q18" s="30">
        <f t="shared" si="6"/>
        <v>-0.005867349621</v>
      </c>
      <c r="R18" s="30">
        <f t="shared" si="7"/>
        <v>0.005720392634</v>
      </c>
      <c r="S18" s="30">
        <f t="shared" si="8"/>
        <v>0.008736490504</v>
      </c>
      <c r="T18" s="30">
        <f t="shared" si="9"/>
        <v>-0.0491730854</v>
      </c>
      <c r="U18" s="31" t="str">
        <f t="shared" si="10"/>
        <v>#N/A</v>
      </c>
      <c r="V18" s="31" t="str">
        <f t="shared" si="11"/>
        <v>#N/A</v>
      </c>
      <c r="W18" s="31">
        <f t="shared" si="12"/>
        <v>82</v>
      </c>
      <c r="X18" s="31" t="str">
        <f t="shared" si="13"/>
        <v>#N/A</v>
      </c>
    </row>
    <row r="19">
      <c r="A19" s="1">
        <v>16.0</v>
      </c>
      <c r="B19" s="22" t="s">
        <v>540</v>
      </c>
      <c r="C19" s="22" t="s">
        <v>541</v>
      </c>
      <c r="D19" s="22" t="s">
        <v>57</v>
      </c>
      <c r="E19" s="23">
        <f>IFERROR(__xludf.DUMMYFUNCTION("GOOGLEFINANCE(""NSE:""&amp;D19,""marketcap"")/10000000"),249029.265)</f>
        <v>249029.265</v>
      </c>
      <c r="F19" s="17">
        <f>IFERROR(__xludf.DUMMYFUNCTION("GOOGLEFINANCE(""NSE:""&amp;D19)"),1774.55)</f>
        <v>1774.55</v>
      </c>
      <c r="G19" s="17">
        <f>IFERROR(__xludf.DUMMYFUNCTION("GOOGLEFINANCE(""NSE:""&amp;D19,""closeyest"")"),1710.9)</f>
        <v>1710.9</v>
      </c>
      <c r="H19" s="17">
        <f>IFERROR(__xludf.DUMMYFUNCTION("INDEX(GOOGLEFINANCE(""NSE:""&amp;D19,""PRICE"",TODAY()-7),2,2)"),1716.2)</f>
        <v>1716.2</v>
      </c>
      <c r="I19" s="17">
        <f>IFERROR(__xludf.DUMMYFUNCTION("INDEX(GOOGLEFINANCE(""NSE:""&amp;D19,""PRICE"",TODAY()-14),2,2)"),1671.7)</f>
        <v>1671.7</v>
      </c>
      <c r="J19" s="17">
        <f>IFERROR(__xludf.DUMMYFUNCTION("INDEX(GOOGLEFINANCE(""NSE:""&amp;D19,""PRICE"",TODAY()-28),2,2)"),1638.1)</f>
        <v>1638.1</v>
      </c>
      <c r="K19" s="17">
        <f>IFERROR(__xludf.DUMMYFUNCTION("INDEX(GOOGLEFINANCE(""NSE:""&amp;D19,""PRICE"",TODAY()-84),2,2)"),1485.65)</f>
        <v>1485.65</v>
      </c>
      <c r="L19" s="16">
        <f t="shared" si="1"/>
        <v>0.03720264188</v>
      </c>
      <c r="M19" s="16">
        <f t="shared" si="2"/>
        <v>0.03399953385</v>
      </c>
      <c r="N19" s="16">
        <f t="shared" si="3"/>
        <v>0.06152419693</v>
      </c>
      <c r="O19" s="16">
        <f t="shared" si="4"/>
        <v>0.08329772297</v>
      </c>
      <c r="P19" s="16">
        <f t="shared" si="5"/>
        <v>0.1944603372</v>
      </c>
      <c r="Q19" s="30">
        <f t="shared" si="6"/>
        <v>0.02113398023</v>
      </c>
      <c r="R19" s="30">
        <f t="shared" si="7"/>
        <v>0.03597675167</v>
      </c>
      <c r="S19" s="30">
        <f t="shared" si="8"/>
        <v>0.01149194872</v>
      </c>
      <c r="T19" s="30">
        <f t="shared" si="9"/>
        <v>0.06222590499</v>
      </c>
      <c r="U19" s="31" t="str">
        <f t="shared" si="10"/>
        <v>#N/A</v>
      </c>
      <c r="V19" s="31" t="str">
        <f t="shared" si="11"/>
        <v>#N/A</v>
      </c>
      <c r="W19" s="31">
        <f t="shared" si="12"/>
        <v>79</v>
      </c>
      <c r="X19" s="31" t="str">
        <f t="shared" si="13"/>
        <v>#N/A</v>
      </c>
    </row>
    <row r="20">
      <c r="A20" s="1">
        <v>17.0</v>
      </c>
      <c r="B20" s="22" t="s">
        <v>542</v>
      </c>
      <c r="C20" s="22" t="s">
        <v>543</v>
      </c>
      <c r="D20" s="22" t="s">
        <v>59</v>
      </c>
      <c r="E20" s="23">
        <f>IFERROR(__xludf.DUMMYFUNCTION("GOOGLEFINANCE(""NSE:""&amp;D20,""marketcap"")/10000000"),220045.44996)</f>
        <v>220045.45</v>
      </c>
      <c r="F20" s="17">
        <f>IFERROR(__xludf.DUMMYFUNCTION("GOOGLEFINANCE(""NSE:""&amp;D20)"),7628.0)</f>
        <v>7628</v>
      </c>
      <c r="G20" s="17">
        <f>IFERROR(__xludf.DUMMYFUNCTION("GOOGLEFINANCE(""NSE:""&amp;D20,""closeyest"")"),7625.6)</f>
        <v>7625.6</v>
      </c>
      <c r="H20" s="17">
        <f>IFERROR(__xludf.DUMMYFUNCTION("INDEX(GOOGLEFINANCE(""NSE:""&amp;D20,""PRICE"",TODAY()-7),2,2)"),7711.85)</f>
        <v>7711.85</v>
      </c>
      <c r="I20" s="17">
        <f>IFERROR(__xludf.DUMMYFUNCTION("INDEX(GOOGLEFINANCE(""NSE:""&amp;D20,""PRICE"",TODAY()-14),2,2)"),7944.45)</f>
        <v>7944.45</v>
      </c>
      <c r="J20" s="17">
        <f>IFERROR(__xludf.DUMMYFUNCTION("INDEX(GOOGLEFINANCE(""NSE:""&amp;D20,""PRICE"",TODAY()-28),2,2)"),7565.6)</f>
        <v>7565.6</v>
      </c>
      <c r="K20" s="17">
        <f>IFERROR(__xludf.DUMMYFUNCTION("INDEX(GOOGLEFINANCE(""NSE:""&amp;D20,""PRICE"",TODAY()-84),2,2)"),6719.9)</f>
        <v>6719.9</v>
      </c>
      <c r="L20" s="16">
        <f t="shared" si="1"/>
        <v>0.0003147293328</v>
      </c>
      <c r="M20" s="16">
        <f t="shared" si="2"/>
        <v>-0.01087287745</v>
      </c>
      <c r="N20" s="16">
        <f t="shared" si="3"/>
        <v>-0.03983283928</v>
      </c>
      <c r="O20" s="16">
        <f t="shared" si="4"/>
        <v>0.008247858729</v>
      </c>
      <c r="P20" s="16">
        <f t="shared" si="5"/>
        <v>0.1351359395</v>
      </c>
      <c r="Q20" s="30">
        <f t="shared" si="6"/>
        <v>-0.02373843108</v>
      </c>
      <c r="R20" s="30">
        <f t="shared" si="7"/>
        <v>-0.06538028453</v>
      </c>
      <c r="S20" s="30">
        <f t="shared" si="8"/>
        <v>-0.06355791552</v>
      </c>
      <c r="T20" s="30">
        <f t="shared" si="9"/>
        <v>0.002901507288</v>
      </c>
      <c r="U20" s="31" t="str">
        <f t="shared" si="10"/>
        <v>#N/A</v>
      </c>
      <c r="V20" s="31" t="str">
        <f t="shared" si="11"/>
        <v>#N/A</v>
      </c>
      <c r="W20" s="31">
        <f t="shared" si="12"/>
        <v>163</v>
      </c>
      <c r="X20" s="31" t="str">
        <f t="shared" si="13"/>
        <v>#N/A</v>
      </c>
    </row>
    <row r="21">
      <c r="A21" s="1">
        <v>18.0</v>
      </c>
      <c r="B21" s="22" t="s">
        <v>544</v>
      </c>
      <c r="C21" s="22" t="s">
        <v>545</v>
      </c>
      <c r="D21" s="22" t="s">
        <v>61</v>
      </c>
      <c r="E21" s="23">
        <f>IFERROR(__xludf.DUMMYFUNCTION("GOOGLEFINANCE(""NSE:""&amp;D21,""marketcap"")/10000000"),206723.7284232)</f>
        <v>206723.7284</v>
      </c>
      <c r="F21" s="17">
        <f>IFERROR(__xludf.DUMMYFUNCTION("GOOGLEFINANCE(""NSE:""&amp;D21)"),6843.0)</f>
        <v>6843</v>
      </c>
      <c r="G21" s="17">
        <f>IFERROR(__xludf.DUMMYFUNCTION("GOOGLEFINANCE(""NSE:""&amp;D21,""closeyest"")"),6831.0)</f>
        <v>6831</v>
      </c>
      <c r="H21" s="17">
        <f>IFERROR(__xludf.DUMMYFUNCTION("INDEX(GOOGLEFINANCE(""NSE:""&amp;D21,""PRICE"",TODAY()-7),2,2)"),7014.45)</f>
        <v>7014.45</v>
      </c>
      <c r="I21" s="17">
        <f>IFERROR(__xludf.DUMMYFUNCTION("INDEX(GOOGLEFINANCE(""NSE:""&amp;D21,""PRICE"",TODAY()-14),2,2)"),6873.7)</f>
        <v>6873.7</v>
      </c>
      <c r="J21" s="17">
        <f>IFERROR(__xludf.DUMMYFUNCTION("INDEX(GOOGLEFINANCE(""NSE:""&amp;D21,""PRICE"",TODAY()-28),2,2)"),6624.85)</f>
        <v>6624.85</v>
      </c>
      <c r="K21" s="17">
        <f>IFERROR(__xludf.DUMMYFUNCTION("INDEX(GOOGLEFINANCE(""NSE:""&amp;D21,""PRICE"",TODAY()-84),2,2)"),7573.85)</f>
        <v>7573.85</v>
      </c>
      <c r="L21" s="16">
        <f t="shared" si="1"/>
        <v>0.001756697409</v>
      </c>
      <c r="M21" s="16">
        <f t="shared" si="2"/>
        <v>-0.02444240104</v>
      </c>
      <c r="N21" s="16">
        <f t="shared" si="3"/>
        <v>-0.004466299082</v>
      </c>
      <c r="O21" s="16">
        <f t="shared" si="4"/>
        <v>0.03292904745</v>
      </c>
      <c r="P21" s="16">
        <f t="shared" si="5"/>
        <v>-0.09649649782</v>
      </c>
      <c r="Q21" s="30">
        <f t="shared" si="6"/>
        <v>-0.03730795467</v>
      </c>
      <c r="R21" s="30">
        <f t="shared" si="7"/>
        <v>-0.03001374434</v>
      </c>
      <c r="S21" s="30">
        <f t="shared" si="8"/>
        <v>-0.0388767268</v>
      </c>
      <c r="T21" s="30">
        <f t="shared" si="9"/>
        <v>-0.2287309301</v>
      </c>
      <c r="U21" s="31" t="str">
        <f t="shared" si="10"/>
        <v>#N/A</v>
      </c>
      <c r="V21" s="31" t="str">
        <f t="shared" si="11"/>
        <v>#N/A</v>
      </c>
      <c r="W21" s="31">
        <f t="shared" si="12"/>
        <v>134</v>
      </c>
      <c r="X21" s="31" t="str">
        <f t="shared" si="13"/>
        <v>#N/A</v>
      </c>
    </row>
    <row r="22">
      <c r="A22" s="1">
        <v>19.0</v>
      </c>
      <c r="B22" s="22" t="s">
        <v>546</v>
      </c>
      <c r="C22" s="22" t="s">
        <v>526</v>
      </c>
      <c r="D22" s="22" t="s">
        <v>63</v>
      </c>
      <c r="E22" s="23">
        <f>IFERROR(__xludf.DUMMYFUNCTION("GOOGLEFINANCE(""NSE:""&amp;D22,""marketcap"")/10000000"),191327.354768)</f>
        <v>191327.3548</v>
      </c>
      <c r="F22" s="17">
        <f>IFERROR(__xludf.DUMMYFUNCTION("GOOGLEFINANCE(""NSE:""&amp;D22)"),19844.0)</f>
        <v>19844</v>
      </c>
      <c r="G22" s="17">
        <f>IFERROR(__xludf.DUMMYFUNCTION("GOOGLEFINANCE(""NSE:""&amp;D22,""closeyest"")"),19925.2)</f>
        <v>19925.2</v>
      </c>
      <c r="H22" s="17">
        <f>IFERROR(__xludf.DUMMYFUNCTION("INDEX(GOOGLEFINANCE(""NSE:""&amp;D22,""PRICE"",TODAY()-7),2,2)"),20175.7)</f>
        <v>20175.7</v>
      </c>
      <c r="I22" s="17">
        <f>IFERROR(__xludf.DUMMYFUNCTION("INDEX(GOOGLEFINANCE(""NSE:""&amp;D22,""PRICE"",TODAY()-14),2,2)"),20452.25)</f>
        <v>20452.25</v>
      </c>
      <c r="J22" s="17">
        <f>IFERROR(__xludf.DUMMYFUNCTION("INDEX(GOOGLEFINANCE(""NSE:""&amp;D22,""PRICE"",TODAY()-28),2,2)"),19957.35)</f>
        <v>19957.35</v>
      </c>
      <c r="K22" s="17">
        <f>IFERROR(__xludf.DUMMYFUNCTION("INDEX(GOOGLEFINANCE(""NSE:""&amp;D22,""PRICE"",TODAY()-84),2,2)"),17602.0)</f>
        <v>17602</v>
      </c>
      <c r="L22" s="16">
        <f t="shared" si="1"/>
        <v>-0.004075241403</v>
      </c>
      <c r="M22" s="16">
        <f t="shared" si="2"/>
        <v>-0.0164405696</v>
      </c>
      <c r="N22" s="16">
        <f t="shared" si="3"/>
        <v>-0.02974000416</v>
      </c>
      <c r="O22" s="16">
        <f t="shared" si="4"/>
        <v>-0.005679611772</v>
      </c>
      <c r="P22" s="16">
        <f t="shared" si="5"/>
        <v>0.1273718896</v>
      </c>
      <c r="Q22" s="30">
        <f t="shared" si="6"/>
        <v>-0.02930612322</v>
      </c>
      <c r="R22" s="30">
        <f t="shared" si="7"/>
        <v>-0.05528744941</v>
      </c>
      <c r="S22" s="30">
        <f t="shared" si="8"/>
        <v>-0.07748538602</v>
      </c>
      <c r="T22" s="30">
        <f t="shared" si="9"/>
        <v>-0.004862542676</v>
      </c>
      <c r="U22" s="31" t="str">
        <f t="shared" si="10"/>
        <v>#N/A</v>
      </c>
      <c r="V22" s="31" t="str">
        <f t="shared" si="11"/>
        <v>#N/A</v>
      </c>
      <c r="W22" s="31">
        <f t="shared" si="12"/>
        <v>173</v>
      </c>
      <c r="X22" s="31" t="str">
        <f t="shared" si="13"/>
        <v>#N/A</v>
      </c>
    </row>
    <row r="23">
      <c r="A23" s="1">
        <v>20.0</v>
      </c>
      <c r="B23" s="22" t="s">
        <v>547</v>
      </c>
      <c r="C23" s="22" t="s">
        <v>526</v>
      </c>
      <c r="D23" s="22" t="s">
        <v>71</v>
      </c>
      <c r="E23" s="23">
        <f>IFERROR(__xludf.DUMMYFUNCTION("GOOGLEFINANCE(""NSE:""&amp;D23,""marketcap"")/10000000"),186763.36944)</f>
        <v>186763.3694</v>
      </c>
      <c r="F23" s="17">
        <f>IFERROR(__xludf.DUMMYFUNCTION("GOOGLEFINANCE(""NSE:""&amp;D23)"),2106.0)</f>
        <v>2106</v>
      </c>
      <c r="G23" s="17">
        <f>IFERROR(__xludf.DUMMYFUNCTION("GOOGLEFINANCE(""NSE:""&amp;D23,""closeyest"")"),2081.05)</f>
        <v>2081.05</v>
      </c>
      <c r="H23" s="17">
        <f>IFERROR(__xludf.DUMMYFUNCTION("INDEX(GOOGLEFINANCE(""NSE:""&amp;D23,""PRICE"",TODAY()-7),2,2)"),2095.6)</f>
        <v>2095.6</v>
      </c>
      <c r="I23" s="17">
        <f>IFERROR(__xludf.DUMMYFUNCTION("INDEX(GOOGLEFINANCE(""NSE:""&amp;D23,""PRICE"",TODAY()-14),2,2)"),2030.65)</f>
        <v>2030.65</v>
      </c>
      <c r="J23" s="17">
        <f>IFERROR(__xludf.DUMMYFUNCTION("INDEX(GOOGLEFINANCE(""NSE:""&amp;D23,""PRICE"",TODAY()-28),2,2)"),1822.55)</f>
        <v>1822.55</v>
      </c>
      <c r="K23" s="17">
        <f>IFERROR(__xludf.DUMMYFUNCTION("INDEX(GOOGLEFINANCE(""NSE:""&amp;D23,""PRICE"",TODAY()-84),2,2)"),1754.75)</f>
        <v>1754.75</v>
      </c>
      <c r="L23" s="16">
        <f t="shared" si="1"/>
        <v>0.0119891401</v>
      </c>
      <c r="M23" s="16">
        <f t="shared" si="2"/>
        <v>0.004962779156</v>
      </c>
      <c r="N23" s="16">
        <f t="shared" si="3"/>
        <v>0.03710634526</v>
      </c>
      <c r="O23" s="16">
        <f t="shared" si="4"/>
        <v>0.1555238539</v>
      </c>
      <c r="P23" s="16">
        <f t="shared" si="5"/>
        <v>0.2001709645</v>
      </c>
      <c r="Q23" s="30">
        <f t="shared" si="6"/>
        <v>-0.007902774465</v>
      </c>
      <c r="R23" s="30">
        <f t="shared" si="7"/>
        <v>0.0115589</v>
      </c>
      <c r="S23" s="30">
        <f t="shared" si="8"/>
        <v>0.08371807969</v>
      </c>
      <c r="T23" s="30">
        <f t="shared" si="9"/>
        <v>0.06793653229</v>
      </c>
      <c r="U23" s="31" t="str">
        <f t="shared" si="10"/>
        <v>#N/A</v>
      </c>
      <c r="V23" s="31" t="str">
        <f t="shared" si="11"/>
        <v>#N/A</v>
      </c>
      <c r="W23" s="31">
        <f t="shared" si="12"/>
        <v>36</v>
      </c>
      <c r="X23" s="31" t="str">
        <f t="shared" si="13"/>
        <v>#N/A</v>
      </c>
    </row>
    <row r="24">
      <c r="A24" s="1">
        <v>21.0</v>
      </c>
      <c r="B24" s="22" t="s">
        <v>548</v>
      </c>
      <c r="C24" s="22" t="s">
        <v>549</v>
      </c>
      <c r="D24" s="22" t="s">
        <v>65</v>
      </c>
      <c r="E24" s="23">
        <f>IFERROR(__xludf.DUMMYFUNCTION("GOOGLEFINANCE(""NSE:""&amp;D24,""marketcap"")/10000000"),184508.8615)</f>
        <v>184508.8615</v>
      </c>
      <c r="F24" s="17">
        <f>IFERROR(__xludf.DUMMYFUNCTION("GOOGLEFINANCE(""NSE:""&amp;D24)"),769.0)</f>
        <v>769</v>
      </c>
      <c r="G24" s="17">
        <f>IFERROR(__xludf.DUMMYFUNCTION("GOOGLEFINANCE(""NSE:""&amp;D24,""closeyest"")"),770.1)</f>
        <v>770.1</v>
      </c>
      <c r="H24" s="17">
        <f>IFERROR(__xludf.DUMMYFUNCTION("INDEX(GOOGLEFINANCE(""NSE:""&amp;D24,""PRICE"",TODAY()-7),2,2)"),769.9)</f>
        <v>769.9</v>
      </c>
      <c r="I24" s="17">
        <f>IFERROR(__xludf.DUMMYFUNCTION("INDEX(GOOGLEFINANCE(""NSE:""&amp;D24,""PRICE"",TODAY()-14),2,2)"),780.3)</f>
        <v>780.3</v>
      </c>
      <c r="J24" s="17">
        <f>IFERROR(__xludf.DUMMYFUNCTION("INDEX(GOOGLEFINANCE(""NSE:""&amp;D24,""PRICE"",TODAY()-28),2,2)"),771.8)</f>
        <v>771.8</v>
      </c>
      <c r="K24" s="17">
        <f>IFERROR(__xludf.DUMMYFUNCTION("INDEX(GOOGLEFINANCE(""NSE:""&amp;D24,""PRICE"",TODAY()-84),2,2)"),681.25)</f>
        <v>681.25</v>
      </c>
      <c r="L24" s="16">
        <f t="shared" si="1"/>
        <v>-0.001428385924</v>
      </c>
      <c r="M24" s="16">
        <f t="shared" si="2"/>
        <v>-0.001168982985</v>
      </c>
      <c r="N24" s="16">
        <f t="shared" si="3"/>
        <v>-0.01448160964</v>
      </c>
      <c r="O24" s="16">
        <f t="shared" si="4"/>
        <v>-0.003627882871</v>
      </c>
      <c r="P24" s="16">
        <f t="shared" si="5"/>
        <v>0.1288073394</v>
      </c>
      <c r="Q24" s="30">
        <f t="shared" si="6"/>
        <v>-0.01403453661</v>
      </c>
      <c r="R24" s="30">
        <f t="shared" si="7"/>
        <v>-0.04002905489</v>
      </c>
      <c r="S24" s="30">
        <f t="shared" si="8"/>
        <v>-0.07543365712</v>
      </c>
      <c r="T24" s="30">
        <f t="shared" si="9"/>
        <v>-0.003427092785</v>
      </c>
      <c r="U24" s="31" t="str">
        <f t="shared" si="10"/>
        <v>#N/A</v>
      </c>
      <c r="V24" s="31" t="str">
        <f t="shared" si="11"/>
        <v>#N/A</v>
      </c>
      <c r="W24" s="31">
        <f t="shared" si="12"/>
        <v>171</v>
      </c>
      <c r="X24" s="31" t="str">
        <f t="shared" si="13"/>
        <v>#N/A</v>
      </c>
    </row>
    <row r="25">
      <c r="A25" s="1">
        <v>22.0</v>
      </c>
      <c r="B25" s="22" t="s">
        <v>601</v>
      </c>
      <c r="C25" s="22" t="s">
        <v>560</v>
      </c>
      <c r="D25" s="22" t="s">
        <v>69</v>
      </c>
      <c r="E25" s="23">
        <f>IFERROR(__xludf.DUMMYFUNCTION("GOOGLEFINANCE(""NSE:""&amp;D25,""marketcap"")/10000000"),179435.9807493)</f>
        <v>179435.9807</v>
      </c>
      <c r="F25" s="17">
        <f>IFERROR(__xludf.DUMMYFUNCTION("GOOGLEFINANCE(""NSE:""&amp;D25)"),1136.7)</f>
        <v>1136.7</v>
      </c>
      <c r="G25" s="17">
        <f>IFERROR(__xludf.DUMMYFUNCTION("GOOGLEFINANCE(""NSE:""&amp;D25,""closeyest"")"),1141.55)</f>
        <v>1141.55</v>
      </c>
      <c r="H25" s="17">
        <f>IFERROR(__xludf.DUMMYFUNCTION("INDEX(GOOGLEFINANCE(""NSE:""&amp;D25,""PRICE"",TODAY()-7),2,2)"),1153.25)</f>
        <v>1153.25</v>
      </c>
      <c r="I25" s="17">
        <f>IFERROR(__xludf.DUMMYFUNCTION("INDEX(GOOGLEFINANCE(""NSE:""&amp;D25,""PRICE"",TODAY()-14),2,2)"),1185.2)</f>
        <v>1185.2</v>
      </c>
      <c r="J25" s="17">
        <f>IFERROR(__xludf.DUMMYFUNCTION("INDEX(GOOGLEFINANCE(""NSE:""&amp;D25,""PRICE"",TODAY()-28),2,2)"),1049.1)</f>
        <v>1049.1</v>
      </c>
      <c r="K25" s="17">
        <f>IFERROR(__xludf.DUMMYFUNCTION("INDEX(GOOGLEFINANCE(""NSE:""&amp;D25,""PRICE"",TODAY()-84),2,2)"),1015.3)</f>
        <v>1015.3</v>
      </c>
      <c r="L25" s="16">
        <f t="shared" si="1"/>
        <v>-0.004248609347</v>
      </c>
      <c r="M25" s="16">
        <f t="shared" si="2"/>
        <v>-0.01435074789</v>
      </c>
      <c r="N25" s="16">
        <f t="shared" si="3"/>
        <v>-0.04092136348</v>
      </c>
      <c r="O25" s="16">
        <f t="shared" si="4"/>
        <v>0.08350014298</v>
      </c>
      <c r="P25" s="16">
        <f t="shared" si="5"/>
        <v>0.1195705703</v>
      </c>
      <c r="Q25" s="30">
        <f t="shared" si="6"/>
        <v>-0.02721630151</v>
      </c>
      <c r="R25" s="30">
        <f t="shared" si="7"/>
        <v>-0.06646880874</v>
      </c>
      <c r="S25" s="30">
        <f t="shared" si="8"/>
        <v>0.01169436873</v>
      </c>
      <c r="T25" s="30">
        <f t="shared" si="9"/>
        <v>-0.01266386196</v>
      </c>
      <c r="U25" s="31" t="str">
        <f t="shared" si="10"/>
        <v>#N/A</v>
      </c>
      <c r="V25" s="31" t="str">
        <f t="shared" si="11"/>
        <v>#N/A</v>
      </c>
      <c r="W25" s="31">
        <f t="shared" si="12"/>
        <v>77</v>
      </c>
      <c r="X25" s="31" t="str">
        <f t="shared" si="13"/>
        <v>#N/A</v>
      </c>
    </row>
    <row r="26">
      <c r="A26" s="1">
        <v>23.0</v>
      </c>
      <c r="B26" s="22" t="s">
        <v>593</v>
      </c>
      <c r="C26" s="22" t="s">
        <v>560</v>
      </c>
      <c r="D26" s="22" t="s">
        <v>77</v>
      </c>
      <c r="E26" s="23">
        <f>IFERROR(__xludf.DUMMYFUNCTION("GOOGLEFINANCE(""NSE:""&amp;D26,""marketcap"")/10000000"),170558.9560656)</f>
        <v>170558.9561</v>
      </c>
      <c r="F26" s="17">
        <f>IFERROR(__xludf.DUMMYFUNCTION("GOOGLEFINANCE(""NSE:""&amp;D26)"),1539.2)</f>
        <v>1539.2</v>
      </c>
      <c r="G26" s="17">
        <f>IFERROR(__xludf.DUMMYFUNCTION("GOOGLEFINANCE(""NSE:""&amp;D26,""closeyest"")"),1560.8)</f>
        <v>1560.8</v>
      </c>
      <c r="H26" s="17">
        <f>IFERROR(__xludf.DUMMYFUNCTION("INDEX(GOOGLEFINANCE(""NSE:""&amp;D26,""PRICE"",TODAY()-7),2,2)"),1820.35)</f>
        <v>1820.35</v>
      </c>
      <c r="I26" s="17">
        <f>IFERROR(__xludf.DUMMYFUNCTION("INDEX(GOOGLEFINANCE(""NSE:""&amp;D26,""PRICE"",TODAY()-14),2,2)"),1871.4)</f>
        <v>1871.4</v>
      </c>
      <c r="J26" s="17">
        <f>IFERROR(__xludf.DUMMYFUNCTION("INDEX(GOOGLEFINANCE(""NSE:""&amp;D26,""PRICE"",TODAY()-28),2,2)"),1433.7)</f>
        <v>1433.7</v>
      </c>
      <c r="K26" s="17">
        <f>IFERROR(__xludf.DUMMYFUNCTION("INDEX(GOOGLEFINANCE(""NSE:""&amp;D26,""PRICE"",TODAY()-84),2,2)"),956.2)</f>
        <v>956.2</v>
      </c>
      <c r="L26" s="16">
        <f t="shared" si="1"/>
        <v>-0.01383905689</v>
      </c>
      <c r="M26" s="16">
        <f t="shared" si="2"/>
        <v>-0.1544483204</v>
      </c>
      <c r="N26" s="16">
        <f t="shared" si="3"/>
        <v>-0.1775141605</v>
      </c>
      <c r="O26" s="16">
        <f t="shared" si="4"/>
        <v>0.07358582688</v>
      </c>
      <c r="P26" s="16">
        <f t="shared" si="5"/>
        <v>0.6097050826</v>
      </c>
      <c r="Q26" s="30">
        <f t="shared" si="6"/>
        <v>-0.167313874</v>
      </c>
      <c r="R26" s="30">
        <f t="shared" si="7"/>
        <v>-0.2030616058</v>
      </c>
      <c r="S26" s="30">
        <f t="shared" si="8"/>
        <v>0.001780052633</v>
      </c>
      <c r="T26" s="30">
        <f t="shared" si="9"/>
        <v>0.4774706504</v>
      </c>
      <c r="U26" s="31" t="str">
        <f t="shared" si="10"/>
        <v>#N/A</v>
      </c>
      <c r="V26" s="31" t="str">
        <f t="shared" si="11"/>
        <v>#N/A</v>
      </c>
      <c r="W26" s="31">
        <f t="shared" si="12"/>
        <v>88</v>
      </c>
      <c r="X26" s="31" t="str">
        <f t="shared" si="13"/>
        <v>#N/A</v>
      </c>
    </row>
    <row r="27">
      <c r="A27" s="1">
        <v>24.0</v>
      </c>
      <c r="B27" s="22" t="s">
        <v>550</v>
      </c>
      <c r="C27" s="22" t="s">
        <v>522</v>
      </c>
      <c r="D27" s="22" t="s">
        <v>81</v>
      </c>
      <c r="E27" s="23">
        <f>IFERROR(__xludf.DUMMYFUNCTION("GOOGLEFINANCE(""NSE:""&amp;D27,""marketcap"")/10000000"),173547.505834)</f>
        <v>173547.5058</v>
      </c>
      <c r="F27" s="17">
        <f>IFERROR(__xludf.DUMMYFUNCTION("GOOGLEFINANCE(""NSE:""&amp;D27)"),137.75)</f>
        <v>137.75</v>
      </c>
      <c r="G27" s="17">
        <f>IFERROR(__xludf.DUMMYFUNCTION("GOOGLEFINANCE(""NSE:""&amp;D27,""closeyest"")"),133.65)</f>
        <v>133.65</v>
      </c>
      <c r="H27" s="17">
        <f>IFERROR(__xludf.DUMMYFUNCTION("INDEX(GOOGLEFINANCE(""NSE:""&amp;D27,""PRICE"",TODAY()-7),2,2)"),127.75)</f>
        <v>127.75</v>
      </c>
      <c r="I27" s="17">
        <f>IFERROR(__xludf.DUMMYFUNCTION("INDEX(GOOGLEFINANCE(""NSE:""&amp;D27,""PRICE"",TODAY()-14),2,2)"),123.05)</f>
        <v>123.05</v>
      </c>
      <c r="J27" s="17">
        <f>IFERROR(__xludf.DUMMYFUNCTION("INDEX(GOOGLEFINANCE(""NSE:""&amp;D27,""PRICE"",TODAY()-28),2,2)"),116.65)</f>
        <v>116.65</v>
      </c>
      <c r="K27" s="17">
        <f>IFERROR(__xludf.DUMMYFUNCTION("INDEX(GOOGLEFINANCE(""NSE:""&amp;D27,""PRICE"",TODAY()-84),2,2)"),118.45)</f>
        <v>118.45</v>
      </c>
      <c r="L27" s="16">
        <f t="shared" si="1"/>
        <v>0.03067714179</v>
      </c>
      <c r="M27" s="16">
        <f t="shared" si="2"/>
        <v>0.0782778865</v>
      </c>
      <c r="N27" s="16">
        <f t="shared" si="3"/>
        <v>0.1194636327</v>
      </c>
      <c r="O27" s="16">
        <f t="shared" si="4"/>
        <v>0.1808829833</v>
      </c>
      <c r="P27" s="16">
        <f t="shared" si="5"/>
        <v>0.1629379485</v>
      </c>
      <c r="Q27" s="30">
        <f t="shared" si="6"/>
        <v>0.06541233288</v>
      </c>
      <c r="R27" s="30">
        <f t="shared" si="7"/>
        <v>0.09391618741</v>
      </c>
      <c r="S27" s="30">
        <f t="shared" si="8"/>
        <v>0.109077209</v>
      </c>
      <c r="T27" s="30">
        <f t="shared" si="9"/>
        <v>0.03070351627</v>
      </c>
      <c r="U27" s="31" t="str">
        <f t="shared" si="10"/>
        <v>#N/A</v>
      </c>
      <c r="V27" s="31" t="str">
        <f t="shared" si="11"/>
        <v>#N/A</v>
      </c>
      <c r="W27" s="31">
        <f t="shared" si="12"/>
        <v>25</v>
      </c>
      <c r="X27" s="31" t="str">
        <f t="shared" si="13"/>
        <v>#N/A</v>
      </c>
    </row>
    <row r="28">
      <c r="A28" s="1">
        <v>25.0</v>
      </c>
      <c r="B28" s="22" t="s">
        <v>551</v>
      </c>
      <c r="C28" s="22" t="s">
        <v>552</v>
      </c>
      <c r="D28" s="22" t="s">
        <v>75</v>
      </c>
      <c r="E28" s="23">
        <f>IFERROR(__xludf.DUMMYFUNCTION("GOOGLEFINANCE(""NSE:""&amp;D28,""marketcap"")/10000000"),162328.4167213)</f>
        <v>162328.4167</v>
      </c>
      <c r="F28" s="17">
        <f>IFERROR(__xludf.DUMMYFUNCTION("GOOGLEFINANCE(""NSE:""&amp;D28)"),674.3)</f>
        <v>674.3</v>
      </c>
      <c r="G28" s="17">
        <f>IFERROR(__xludf.DUMMYFUNCTION("GOOGLEFINANCE(""NSE:""&amp;D28,""closeyest"")"),678.55)</f>
        <v>678.55</v>
      </c>
      <c r="H28" s="17">
        <f>IFERROR(__xludf.DUMMYFUNCTION("INDEX(GOOGLEFINANCE(""NSE:""&amp;D28,""PRICE"",TODAY()-7),2,2)"),682.3)</f>
        <v>682.3</v>
      </c>
      <c r="I28" s="17">
        <f>IFERROR(__xludf.DUMMYFUNCTION("INDEX(GOOGLEFINANCE(""NSE:""&amp;D28,""PRICE"",TODAY()-14),2,2)"),694.4)</f>
        <v>694.4</v>
      </c>
      <c r="J28" s="17">
        <f>IFERROR(__xludf.DUMMYFUNCTION("INDEX(GOOGLEFINANCE(""NSE:""&amp;D28,""PRICE"",TODAY()-28),2,2)"),677.5)</f>
        <v>677.5</v>
      </c>
      <c r="K28" s="17">
        <f>IFERROR(__xludf.DUMMYFUNCTION("INDEX(GOOGLEFINANCE(""NSE:""&amp;D28,""PRICE"",TODAY()-84),2,2)"),671.3)</f>
        <v>671.3</v>
      </c>
      <c r="L28" s="16">
        <f t="shared" si="1"/>
        <v>-0.006263355685</v>
      </c>
      <c r="M28" s="16">
        <f t="shared" si="2"/>
        <v>-0.01172504763</v>
      </c>
      <c r="N28" s="16">
        <f t="shared" si="3"/>
        <v>-0.02894585253</v>
      </c>
      <c r="O28" s="16">
        <f t="shared" si="4"/>
        <v>-0.004723247232</v>
      </c>
      <c r="P28" s="16">
        <f t="shared" si="5"/>
        <v>0.004468940861</v>
      </c>
      <c r="Q28" s="30">
        <f t="shared" si="6"/>
        <v>-0.02459060125</v>
      </c>
      <c r="R28" s="30">
        <f t="shared" si="7"/>
        <v>-0.05449329779</v>
      </c>
      <c r="S28" s="30">
        <f t="shared" si="8"/>
        <v>-0.07652902148</v>
      </c>
      <c r="T28" s="30">
        <f t="shared" si="9"/>
        <v>-0.1277654914</v>
      </c>
      <c r="U28" s="31" t="str">
        <f t="shared" si="10"/>
        <v>#N/A</v>
      </c>
      <c r="V28" s="31" t="str">
        <f t="shared" si="11"/>
        <v>#N/A</v>
      </c>
      <c r="W28" s="31">
        <f t="shared" si="12"/>
        <v>172</v>
      </c>
      <c r="X28" s="31" t="str">
        <f t="shared" si="13"/>
        <v>#N/A</v>
      </c>
    </row>
    <row r="29">
      <c r="A29" s="1">
        <v>26.0</v>
      </c>
      <c r="B29" s="22" t="s">
        <v>638</v>
      </c>
      <c r="C29" s="22" t="s">
        <v>552</v>
      </c>
      <c r="D29" s="22" t="s">
        <v>73</v>
      </c>
      <c r="E29" s="23">
        <f>IFERROR(__xludf.DUMMYFUNCTION("GOOGLEFINANCE(""NSE:""&amp;D29,""marketcap"")/10000000"),162156.5988943)</f>
        <v>162156.5989</v>
      </c>
      <c r="F29" s="17">
        <f>IFERROR(__xludf.DUMMYFUNCTION("GOOGLEFINANCE(""NSE:""&amp;D29)"),1475.6)</f>
        <v>1475.6</v>
      </c>
      <c r="G29" s="17">
        <f>IFERROR(__xludf.DUMMYFUNCTION("GOOGLEFINANCE(""NSE:""&amp;D29,""closeyest"")"),1437.75)</f>
        <v>1437.75</v>
      </c>
      <c r="H29" s="17">
        <f>IFERROR(__xludf.DUMMYFUNCTION("INDEX(GOOGLEFINANCE(""NSE:""&amp;D29,""PRICE"",TODAY()-7),2,2)"),1480.25)</f>
        <v>1480.25</v>
      </c>
      <c r="I29" s="17">
        <f>IFERROR(__xludf.DUMMYFUNCTION("INDEX(GOOGLEFINANCE(""NSE:""&amp;D29,""PRICE"",TODAY()-14),2,2)"),1532.45)</f>
        <v>1532.45</v>
      </c>
      <c r="J29" s="17">
        <f>IFERROR(__xludf.DUMMYFUNCTION("INDEX(GOOGLEFINANCE(""NSE:""&amp;D29,""PRICE"",TODAY()-28),2,2)"),1506.05)</f>
        <v>1506.05</v>
      </c>
      <c r="K29" s="17">
        <f>IFERROR(__xludf.DUMMYFUNCTION("INDEX(GOOGLEFINANCE(""NSE:""&amp;D29,""PRICE"",TODAY()-84),2,2)"),1422.05)</f>
        <v>1422.05</v>
      </c>
      <c r="L29" s="16">
        <f t="shared" si="1"/>
        <v>0.02632585637</v>
      </c>
      <c r="M29" s="16">
        <f t="shared" si="2"/>
        <v>-0.003141361257</v>
      </c>
      <c r="N29" s="16">
        <f t="shared" si="3"/>
        <v>-0.03709745832</v>
      </c>
      <c r="O29" s="16">
        <f t="shared" si="4"/>
        <v>-0.02021845224</v>
      </c>
      <c r="P29" s="16">
        <f t="shared" si="5"/>
        <v>0.03765690377</v>
      </c>
      <c r="Q29" s="30">
        <f t="shared" si="6"/>
        <v>-0.01600691488</v>
      </c>
      <c r="R29" s="30">
        <f t="shared" si="7"/>
        <v>-0.06264490357</v>
      </c>
      <c r="S29" s="30">
        <f t="shared" si="8"/>
        <v>-0.09202422649</v>
      </c>
      <c r="T29" s="30">
        <f t="shared" si="9"/>
        <v>-0.09457752847</v>
      </c>
      <c r="U29" s="31" t="str">
        <f t="shared" si="10"/>
        <v>#N/A</v>
      </c>
      <c r="V29" s="31" t="str">
        <f t="shared" si="11"/>
        <v>#N/A</v>
      </c>
      <c r="W29" s="31">
        <f t="shared" si="12"/>
        <v>181</v>
      </c>
      <c r="X29" s="31" t="str">
        <f t="shared" si="13"/>
        <v>#N/A</v>
      </c>
    </row>
    <row r="30">
      <c r="A30" s="1">
        <v>27.0</v>
      </c>
      <c r="B30" s="22" t="s">
        <v>553</v>
      </c>
      <c r="C30" s="22" t="s">
        <v>552</v>
      </c>
      <c r="D30" s="22" t="s">
        <v>67</v>
      </c>
      <c r="E30" s="23">
        <f>IFERROR(__xludf.DUMMYFUNCTION("GOOGLEFINANCE(""NSE:""&amp;D30,""marketcap"")/10000000"),158771.5852178)</f>
        <v>158771.5852</v>
      </c>
      <c r="F30" s="17">
        <f>IFERROR(__xludf.DUMMYFUNCTION("GOOGLEFINANCE(""NSE:""&amp;D30)"),1315.5)</f>
        <v>1315.5</v>
      </c>
      <c r="G30" s="17">
        <f>IFERROR(__xludf.DUMMYFUNCTION("GOOGLEFINANCE(""NSE:""&amp;D30,""closeyest"")"),1305.8)</f>
        <v>1305.8</v>
      </c>
      <c r="H30" s="17">
        <f>IFERROR(__xludf.DUMMYFUNCTION("INDEX(GOOGLEFINANCE(""NSE:""&amp;D30,""PRICE"",TODAY()-7),2,2)"),1385.9)</f>
        <v>1385.9</v>
      </c>
      <c r="I30" s="17">
        <f>IFERROR(__xludf.DUMMYFUNCTION("INDEX(GOOGLEFINANCE(""NSE:""&amp;D30,""PRICE"",TODAY()-14),2,2)"),1463.45)</f>
        <v>1463.45</v>
      </c>
      <c r="J30" s="17">
        <f>IFERROR(__xludf.DUMMYFUNCTION("INDEX(GOOGLEFINANCE(""NSE:""&amp;D30,""PRICE"",TODAY()-28),2,2)"),1384.15)</f>
        <v>1384.15</v>
      </c>
      <c r="K30" s="17">
        <f>IFERROR(__xludf.DUMMYFUNCTION("INDEX(GOOGLEFINANCE(""NSE:""&amp;D30,""PRICE"",TODAY()-84),2,2)"),1136.0)</f>
        <v>1136</v>
      </c>
      <c r="L30" s="16">
        <f t="shared" si="1"/>
        <v>0.007428396385</v>
      </c>
      <c r="M30" s="16">
        <f t="shared" si="2"/>
        <v>-0.05079731582</v>
      </c>
      <c r="N30" s="16">
        <f t="shared" si="3"/>
        <v>-0.1010967235</v>
      </c>
      <c r="O30" s="16">
        <f t="shared" si="4"/>
        <v>-0.04959722573</v>
      </c>
      <c r="P30" s="16">
        <f t="shared" si="5"/>
        <v>0.1580105634</v>
      </c>
      <c r="Q30" s="30">
        <f t="shared" si="6"/>
        <v>-0.06366286945</v>
      </c>
      <c r="R30" s="30">
        <f t="shared" si="7"/>
        <v>-0.1266441688</v>
      </c>
      <c r="S30" s="30">
        <f t="shared" si="8"/>
        <v>-0.121403</v>
      </c>
      <c r="T30" s="30">
        <f t="shared" si="9"/>
        <v>0.02577613115</v>
      </c>
      <c r="U30" s="31" t="str">
        <f t="shared" si="10"/>
        <v>#N/A</v>
      </c>
      <c r="V30" s="31" t="str">
        <f t="shared" si="11"/>
        <v>#N/A</v>
      </c>
      <c r="W30" s="31">
        <f t="shared" si="12"/>
        <v>188</v>
      </c>
      <c r="X30" s="31" t="str">
        <f t="shared" si="13"/>
        <v>#N/A</v>
      </c>
    </row>
    <row r="31">
      <c r="A31" s="1">
        <v>28.0</v>
      </c>
      <c r="B31" s="22" t="s">
        <v>554</v>
      </c>
      <c r="C31" s="22" t="s">
        <v>555</v>
      </c>
      <c r="D31" s="22" t="s">
        <v>83</v>
      </c>
      <c r="E31" s="23">
        <f>IFERROR(__xludf.DUMMYFUNCTION("GOOGLEFINANCE(""NSE:""&amp;D31,""marketcap"")/10000000"),153989.0723071)</f>
        <v>153989.0723</v>
      </c>
      <c r="F31" s="17">
        <f>IFERROR(__xludf.DUMMYFUNCTION("GOOGLEFINANCE(""NSE:""&amp;D31)"),754.0)</f>
        <v>754</v>
      </c>
      <c r="G31" s="17">
        <f>IFERROR(__xludf.DUMMYFUNCTION("GOOGLEFINANCE(""NSE:""&amp;D31,""closeyest"")"),745.3)</f>
        <v>745.3</v>
      </c>
      <c r="H31" s="17">
        <f>IFERROR(__xludf.DUMMYFUNCTION("INDEX(GOOGLEFINANCE(""NSE:""&amp;D31,""PRICE"",TODAY()-7),2,2)"),767.1)</f>
        <v>767.1</v>
      </c>
      <c r="I31" s="17">
        <f>IFERROR(__xludf.DUMMYFUNCTION("INDEX(GOOGLEFINANCE(""NSE:""&amp;D31,""PRICE"",TODAY()-14),2,2)"),745.1)</f>
        <v>745.1</v>
      </c>
      <c r="J31" s="17">
        <f>IFERROR(__xludf.DUMMYFUNCTION("INDEX(GOOGLEFINANCE(""NSE:""&amp;D31,""PRICE"",TODAY()-28),2,2)"),727.0)</f>
        <v>727</v>
      </c>
      <c r="K31" s="17">
        <f>IFERROR(__xludf.DUMMYFUNCTION("INDEX(GOOGLEFINANCE(""NSE:""&amp;D31,""PRICE"",TODAY()-84),2,2)"),710.4)</f>
        <v>710.4</v>
      </c>
      <c r="L31" s="16">
        <f t="shared" si="1"/>
        <v>0.01167315175</v>
      </c>
      <c r="M31" s="16">
        <f t="shared" si="2"/>
        <v>-0.01707730413</v>
      </c>
      <c r="N31" s="16">
        <f t="shared" si="3"/>
        <v>0.01194470541</v>
      </c>
      <c r="O31" s="16">
        <f t="shared" si="4"/>
        <v>0.0371389271</v>
      </c>
      <c r="P31" s="16">
        <f t="shared" si="5"/>
        <v>0.06137387387</v>
      </c>
      <c r="Q31" s="30">
        <f t="shared" si="6"/>
        <v>-0.02994285775</v>
      </c>
      <c r="R31" s="30">
        <f t="shared" si="7"/>
        <v>-0.01360273985</v>
      </c>
      <c r="S31" s="30">
        <f t="shared" si="8"/>
        <v>-0.03466684715</v>
      </c>
      <c r="T31" s="30">
        <f t="shared" si="9"/>
        <v>-0.07086055836</v>
      </c>
      <c r="U31" s="31" t="str">
        <f t="shared" si="10"/>
        <v>#N/A</v>
      </c>
      <c r="V31" s="31" t="str">
        <f t="shared" si="11"/>
        <v>#N/A</v>
      </c>
      <c r="W31" s="31">
        <f t="shared" si="12"/>
        <v>133</v>
      </c>
      <c r="X31" s="31" t="str">
        <f t="shared" si="13"/>
        <v>#N/A</v>
      </c>
    </row>
    <row r="32">
      <c r="A32" s="1">
        <v>29.0</v>
      </c>
      <c r="B32" s="22" t="s">
        <v>641</v>
      </c>
      <c r="C32" s="22" t="s">
        <v>522</v>
      </c>
      <c r="D32" s="22" t="s">
        <v>79</v>
      </c>
      <c r="E32" s="23">
        <f>IFERROR(__xludf.DUMMYFUNCTION("GOOGLEFINANCE(""NSE:""&amp;D32,""marketcap"")/10000000"),153973.4)</f>
        <v>153973.4</v>
      </c>
      <c r="F32" s="17">
        <f>IFERROR(__xludf.DUMMYFUNCTION("GOOGLEFINANCE(""NSE:""&amp;D32)"),1400.0)</f>
        <v>1400</v>
      </c>
      <c r="G32" s="17">
        <f>IFERROR(__xludf.DUMMYFUNCTION("GOOGLEFINANCE(""NSE:""&amp;D32,""closeyest"")"),1378.7)</f>
        <v>1378.7</v>
      </c>
      <c r="H32" s="17">
        <f>IFERROR(__xludf.DUMMYFUNCTION("INDEX(GOOGLEFINANCE(""NSE:""&amp;D32,""PRICE"",TODAY()-7),2,2)"),1408.4)</f>
        <v>1408.4</v>
      </c>
      <c r="I32" s="17">
        <f>IFERROR(__xludf.DUMMYFUNCTION("INDEX(GOOGLEFINANCE(""NSE:""&amp;D32,""PRICE"",TODAY()-14),2,2)"),1375.65)</f>
        <v>1375.65</v>
      </c>
      <c r="J32" s="17">
        <f>IFERROR(__xludf.DUMMYFUNCTION("INDEX(GOOGLEFINANCE(""NSE:""&amp;D32,""PRICE"",TODAY()-28),2,2)"),1320.7)</f>
        <v>1320.7</v>
      </c>
      <c r="K32" s="17">
        <f>IFERROR(__xludf.DUMMYFUNCTION("INDEX(GOOGLEFINANCE(""NSE:""&amp;D32,""PRICE"",TODAY()-84),2,2)"),920.5)</f>
        <v>920.5</v>
      </c>
      <c r="L32" s="16">
        <f t="shared" si="1"/>
        <v>0.01544933633</v>
      </c>
      <c r="M32" s="16">
        <f t="shared" si="2"/>
        <v>-0.005964214712</v>
      </c>
      <c r="N32" s="16">
        <f t="shared" si="3"/>
        <v>0.01770072329</v>
      </c>
      <c r="O32" s="16">
        <f t="shared" si="4"/>
        <v>0.06004391611</v>
      </c>
      <c r="P32" s="16">
        <f t="shared" si="5"/>
        <v>0.5209125475</v>
      </c>
      <c r="Q32" s="30">
        <f t="shared" si="6"/>
        <v>-0.01882976833</v>
      </c>
      <c r="R32" s="30">
        <f t="shared" si="7"/>
        <v>-0.007846721961</v>
      </c>
      <c r="S32" s="30">
        <f t="shared" si="8"/>
        <v>-0.01176185814</v>
      </c>
      <c r="T32" s="30">
        <f t="shared" si="9"/>
        <v>0.3886781153</v>
      </c>
      <c r="U32" s="31" t="str">
        <f t="shared" si="10"/>
        <v>#N/A</v>
      </c>
      <c r="V32" s="31" t="str">
        <f t="shared" si="11"/>
        <v>#N/A</v>
      </c>
      <c r="W32" s="31">
        <f t="shared" si="12"/>
        <v>105</v>
      </c>
      <c r="X32" s="31" t="str">
        <f t="shared" si="13"/>
        <v>#N/A</v>
      </c>
    </row>
    <row r="33">
      <c r="A33" s="1">
        <v>30.0</v>
      </c>
      <c r="B33" s="22" t="s">
        <v>556</v>
      </c>
      <c r="C33" s="22" t="s">
        <v>528</v>
      </c>
      <c r="D33" s="22" t="s">
        <v>85</v>
      </c>
      <c r="E33" s="23">
        <f>IFERROR(__xludf.DUMMYFUNCTION("GOOGLEFINANCE(""NSE:""&amp;D33,""marketcap"")/10000000"),146607.8008886)</f>
        <v>146607.8009</v>
      </c>
      <c r="F33" s="17">
        <f>IFERROR(__xludf.DUMMYFUNCTION("GOOGLEFINANCE(""NSE:""&amp;D33)"),725.15)</f>
        <v>725.15</v>
      </c>
      <c r="G33" s="17">
        <f>IFERROR(__xludf.DUMMYFUNCTION("GOOGLEFINANCE(""NSE:""&amp;D33,""closeyest"")"),733.05)</f>
        <v>733.05</v>
      </c>
      <c r="H33" s="17">
        <f>IFERROR(__xludf.DUMMYFUNCTION("INDEX(GOOGLEFINANCE(""NSE:""&amp;D33,""PRICE"",TODAY()-7),2,2)"),747.75)</f>
        <v>747.75</v>
      </c>
      <c r="I33" s="17">
        <f>IFERROR(__xludf.DUMMYFUNCTION("INDEX(GOOGLEFINANCE(""NSE:""&amp;D33,""PRICE"",TODAY()-14),2,2)"),734.9)</f>
        <v>734.9</v>
      </c>
      <c r="J33" s="17">
        <f>IFERROR(__xludf.DUMMYFUNCTION("INDEX(GOOGLEFINANCE(""NSE:""&amp;D33,""PRICE"",TODAY()-28),2,2)"),704.1)</f>
        <v>704.1</v>
      </c>
      <c r="K33" s="17">
        <f>IFERROR(__xludf.DUMMYFUNCTION("INDEX(GOOGLEFINANCE(""NSE:""&amp;D33,""PRICE"",TODAY()-84),2,2)"),687.5)</f>
        <v>687.5</v>
      </c>
      <c r="L33" s="16">
        <f t="shared" si="1"/>
        <v>-0.01077689107</v>
      </c>
      <c r="M33" s="16">
        <f t="shared" si="2"/>
        <v>-0.03022400535</v>
      </c>
      <c r="N33" s="16">
        <f t="shared" si="3"/>
        <v>-0.01326711117</v>
      </c>
      <c r="O33" s="16">
        <f t="shared" si="4"/>
        <v>0.02989632155</v>
      </c>
      <c r="P33" s="16">
        <f t="shared" si="5"/>
        <v>0.05476363636</v>
      </c>
      <c r="Q33" s="30">
        <f t="shared" si="6"/>
        <v>-0.04308955897</v>
      </c>
      <c r="R33" s="30">
        <f t="shared" si="7"/>
        <v>-0.03881455643</v>
      </c>
      <c r="S33" s="30">
        <f t="shared" si="8"/>
        <v>-0.0419094527</v>
      </c>
      <c r="T33" s="30">
        <f t="shared" si="9"/>
        <v>-0.07747079587</v>
      </c>
      <c r="U33" s="31" t="str">
        <f t="shared" si="10"/>
        <v>#N/A</v>
      </c>
      <c r="V33" s="31" t="str">
        <f t="shared" si="11"/>
        <v>#N/A</v>
      </c>
      <c r="W33" s="31">
        <f t="shared" si="12"/>
        <v>136</v>
      </c>
      <c r="X33" s="31" t="str">
        <f t="shared" si="13"/>
        <v>#N/A</v>
      </c>
    </row>
    <row r="34">
      <c r="A34" s="1">
        <v>31.0</v>
      </c>
      <c r="B34" s="22" t="s">
        <v>557</v>
      </c>
      <c r="C34" s="22" t="s">
        <v>524</v>
      </c>
      <c r="D34" s="22" t="s">
        <v>87</v>
      </c>
      <c r="E34" s="23">
        <f>IFERROR(__xludf.DUMMYFUNCTION("GOOGLEFINANCE(""NSE:""&amp;D34,""marketcap"")/10000000"),147670.63738)</f>
        <v>147670.6374</v>
      </c>
      <c r="F34" s="17">
        <f>IFERROR(__xludf.DUMMYFUNCTION("GOOGLEFINANCE(""NSE:""&amp;D34)"),1523.0)</f>
        <v>1523</v>
      </c>
      <c r="G34" s="17">
        <f>IFERROR(__xludf.DUMMYFUNCTION("GOOGLEFINANCE(""NSE:""&amp;D34,""closeyest"")"),1513.6)</f>
        <v>1513.6</v>
      </c>
      <c r="H34" s="17">
        <f>IFERROR(__xludf.DUMMYFUNCTION("INDEX(GOOGLEFINANCE(""NSE:""&amp;D34,""PRICE"",TODAY()-7),2,2)"),1451.55)</f>
        <v>1451.55</v>
      </c>
      <c r="I34" s="17">
        <f>IFERROR(__xludf.DUMMYFUNCTION("INDEX(GOOGLEFINANCE(""NSE:""&amp;D34,""PRICE"",TODAY()-14),2,2)"),1429.5)</f>
        <v>1429.5</v>
      </c>
      <c r="J34" s="17">
        <f>IFERROR(__xludf.DUMMYFUNCTION("INDEX(GOOGLEFINANCE(""NSE:""&amp;D34,""PRICE"",TODAY()-28),2,2)"),1445.4)</f>
        <v>1445.4</v>
      </c>
      <c r="K34" s="17">
        <f>IFERROR(__xludf.DUMMYFUNCTION("INDEX(GOOGLEFINANCE(""NSE:""&amp;D34,""PRICE"",TODAY()-84),2,2)"),1089.4)</f>
        <v>1089.4</v>
      </c>
      <c r="L34" s="16">
        <f t="shared" si="1"/>
        <v>0.006210359408</v>
      </c>
      <c r="M34" s="16">
        <f t="shared" si="2"/>
        <v>0.04922324412</v>
      </c>
      <c r="N34" s="16">
        <f t="shared" si="3"/>
        <v>0.06540748513</v>
      </c>
      <c r="O34" s="16">
        <f t="shared" si="4"/>
        <v>0.05368756054</v>
      </c>
      <c r="P34" s="16">
        <f t="shared" si="5"/>
        <v>0.3980172572</v>
      </c>
      <c r="Q34" s="30">
        <f t="shared" si="6"/>
        <v>0.0363576905</v>
      </c>
      <c r="R34" s="30">
        <f t="shared" si="7"/>
        <v>0.03986003988</v>
      </c>
      <c r="S34" s="30">
        <f t="shared" si="8"/>
        <v>-0.01811821371</v>
      </c>
      <c r="T34" s="30">
        <f t="shared" si="9"/>
        <v>0.265782825</v>
      </c>
      <c r="U34" s="31" t="str">
        <f t="shared" si="10"/>
        <v>#N/A</v>
      </c>
      <c r="V34" s="31" t="str">
        <f t="shared" si="11"/>
        <v>#N/A</v>
      </c>
      <c r="W34" s="31">
        <f t="shared" si="12"/>
        <v>111</v>
      </c>
      <c r="X34" s="31" t="str">
        <f t="shared" si="13"/>
        <v>#N/A</v>
      </c>
    </row>
    <row r="35">
      <c r="A35" s="1">
        <v>32.0</v>
      </c>
      <c r="B35" s="22" t="s">
        <v>558</v>
      </c>
      <c r="C35" s="22" t="s">
        <v>549</v>
      </c>
      <c r="D35" s="22" t="s">
        <v>91</v>
      </c>
      <c r="E35" s="23">
        <f>IFERROR(__xludf.DUMMYFUNCTION("GOOGLEFINANCE(""NSE:""&amp;D35,""marketcap"")/10000000"),138407.3905447)</f>
        <v>138407.3905</v>
      </c>
      <c r="F35" s="17">
        <f>IFERROR(__xludf.DUMMYFUNCTION("GOOGLEFINANCE(""NSE:""&amp;D35)"),5219.5)</f>
        <v>5219.5</v>
      </c>
      <c r="G35" s="17">
        <f>IFERROR(__xludf.DUMMYFUNCTION("GOOGLEFINANCE(""NSE:""&amp;D35,""closeyest"")"),5139.9)</f>
        <v>5139.9</v>
      </c>
      <c r="H35" s="17">
        <f>IFERROR(__xludf.DUMMYFUNCTION("INDEX(GOOGLEFINANCE(""NSE:""&amp;D35,""PRICE"",TODAY()-7),2,2)"),5122.8)</f>
        <v>5122.8</v>
      </c>
      <c r="I35" s="17">
        <f>IFERROR(__xludf.DUMMYFUNCTION("INDEX(GOOGLEFINANCE(""NSE:""&amp;D35,""PRICE"",TODAY()-14),2,2)"),5085.2)</f>
        <v>5085.2</v>
      </c>
      <c r="J35" s="17">
        <f>IFERROR(__xludf.DUMMYFUNCTION("INDEX(GOOGLEFINANCE(""NSE:""&amp;D35,""PRICE"",TODAY()-28),2,2)"),4910.7)</f>
        <v>4910.7</v>
      </c>
      <c r="K35" s="17">
        <f>IFERROR(__xludf.DUMMYFUNCTION("INDEX(GOOGLEFINANCE(""NSE:""&amp;D35,""PRICE"",TODAY()-84),2,2)"),4519.65)</f>
        <v>4519.65</v>
      </c>
      <c r="L35" s="16">
        <f t="shared" si="1"/>
        <v>0.01548668262</v>
      </c>
      <c r="M35" s="16">
        <f t="shared" si="2"/>
        <v>0.01887639572</v>
      </c>
      <c r="N35" s="16">
        <f t="shared" si="3"/>
        <v>0.02640997404</v>
      </c>
      <c r="O35" s="16">
        <f t="shared" si="4"/>
        <v>0.06288309202</v>
      </c>
      <c r="P35" s="16">
        <f t="shared" si="5"/>
        <v>0.1548460611</v>
      </c>
      <c r="Q35" s="30">
        <f t="shared" si="6"/>
        <v>0.006010842099</v>
      </c>
      <c r="R35" s="30">
        <f t="shared" si="7"/>
        <v>0.0008625287868</v>
      </c>
      <c r="S35" s="30">
        <f t="shared" si="8"/>
        <v>-0.008922682225</v>
      </c>
      <c r="T35" s="30">
        <f t="shared" si="9"/>
        <v>0.02261162885</v>
      </c>
      <c r="U35" s="31" t="str">
        <f t="shared" si="10"/>
        <v>#N/A</v>
      </c>
      <c r="V35" s="31" t="str">
        <f t="shared" si="11"/>
        <v>#N/A</v>
      </c>
      <c r="W35" s="31">
        <f t="shared" si="12"/>
        <v>102</v>
      </c>
      <c r="X35" s="31" t="str">
        <f t="shared" si="13"/>
        <v>#N/A</v>
      </c>
    </row>
    <row r="36">
      <c r="A36" s="1">
        <v>33.0</v>
      </c>
      <c r="B36" s="22" t="s">
        <v>642</v>
      </c>
      <c r="C36" s="22" t="s">
        <v>552</v>
      </c>
      <c r="D36" s="22" t="s">
        <v>89</v>
      </c>
      <c r="E36" s="23">
        <f>IFERROR(__xludf.DUMMYFUNCTION("GOOGLEFINANCE(""NSE:""&amp;D36,""marketcap"")/10000000"),136565.2568586)</f>
        <v>136565.2569</v>
      </c>
      <c r="F36" s="17">
        <f>IFERROR(__xludf.DUMMYFUNCTION("GOOGLEFINANCE(""NSE:""&amp;D36)"),323.2)</f>
        <v>323.2</v>
      </c>
      <c r="G36" s="17">
        <f>IFERROR(__xludf.DUMMYFUNCTION("GOOGLEFINANCE(""NSE:""&amp;D36,""closeyest"")"),317.8)</f>
        <v>317.8</v>
      </c>
      <c r="H36" s="17">
        <f>IFERROR(__xludf.DUMMYFUNCTION("INDEX(GOOGLEFINANCE(""NSE:""&amp;D36,""PRICE"",TODAY()-7),2,2)"),334.75)</f>
        <v>334.75</v>
      </c>
      <c r="I36" s="17">
        <f>IFERROR(__xludf.DUMMYFUNCTION("INDEX(GOOGLEFINANCE(""NSE:""&amp;D36,""PRICE"",TODAY()-14),2,2)"),335.4)</f>
        <v>335.4</v>
      </c>
      <c r="J36" s="17">
        <f>IFERROR(__xludf.DUMMYFUNCTION("INDEX(GOOGLEFINANCE(""NSE:""&amp;D36,""PRICE"",TODAY()-28),2,2)"),318.2)</f>
        <v>318.2</v>
      </c>
      <c r="K36" s="17">
        <f>IFERROR(__xludf.DUMMYFUNCTION("INDEX(GOOGLEFINANCE(""NSE:""&amp;D36,""PRICE"",TODAY()-84),2,2)"),339.5)</f>
        <v>339.5</v>
      </c>
      <c r="L36" s="16">
        <f t="shared" si="1"/>
        <v>0.01699181875</v>
      </c>
      <c r="M36" s="16">
        <f t="shared" si="2"/>
        <v>-0.03450336072</v>
      </c>
      <c r="N36" s="16">
        <f t="shared" si="3"/>
        <v>-0.03637447823</v>
      </c>
      <c r="O36" s="16">
        <f t="shared" si="4"/>
        <v>0.01571338781</v>
      </c>
      <c r="P36" s="16">
        <f t="shared" si="5"/>
        <v>-0.04801178203</v>
      </c>
      <c r="Q36" s="30">
        <f t="shared" si="6"/>
        <v>-0.04736891434</v>
      </c>
      <c r="R36" s="30">
        <f t="shared" si="7"/>
        <v>-0.06192192349</v>
      </c>
      <c r="S36" s="30">
        <f t="shared" si="8"/>
        <v>-0.05609238644</v>
      </c>
      <c r="T36" s="30">
        <f t="shared" si="9"/>
        <v>-0.1802462143</v>
      </c>
      <c r="U36" s="31" t="str">
        <f t="shared" si="10"/>
        <v>#N/A</v>
      </c>
      <c r="V36" s="31" t="str">
        <f t="shared" si="11"/>
        <v>#N/A</v>
      </c>
      <c r="W36" s="31">
        <f t="shared" si="12"/>
        <v>159</v>
      </c>
      <c r="X36" s="31" t="str">
        <f t="shared" si="13"/>
        <v>#N/A</v>
      </c>
    </row>
    <row r="37">
      <c r="A37" s="1">
        <v>34.0</v>
      </c>
      <c r="B37" s="22" t="s">
        <v>559</v>
      </c>
      <c r="C37" s="22" t="s">
        <v>560</v>
      </c>
      <c r="D37" s="22" t="s">
        <v>93</v>
      </c>
      <c r="E37" s="23">
        <f>IFERROR(__xludf.DUMMYFUNCTION("GOOGLEFINANCE(""NSE:""&amp;D37,""marketcap"")/10000000"),124302.5346912)</f>
        <v>124302.5347</v>
      </c>
      <c r="F37" s="17">
        <f>IFERROR(__xludf.DUMMYFUNCTION("GOOGLEFINANCE(""NSE:""&amp;D37)"),178.2)</f>
        <v>178.2</v>
      </c>
      <c r="G37" s="17">
        <f>IFERROR(__xludf.DUMMYFUNCTION("GOOGLEFINANCE(""NSE:""&amp;D37,""closeyest"")"),176.75)</f>
        <v>176.75</v>
      </c>
      <c r="H37" s="17">
        <f>IFERROR(__xludf.DUMMYFUNCTION("INDEX(GOOGLEFINANCE(""NSE:""&amp;D37,""PRICE"",TODAY()-7),2,2)"),178.8)</f>
        <v>178.8</v>
      </c>
      <c r="I37" s="17">
        <f>IFERROR(__xludf.DUMMYFUNCTION("INDEX(GOOGLEFINANCE(""NSE:""&amp;D37,""PRICE"",TODAY()-14),2,2)"),173.9)</f>
        <v>173.9</v>
      </c>
      <c r="J37" s="17">
        <f>IFERROR(__xludf.DUMMYFUNCTION("INDEX(GOOGLEFINANCE(""NSE:""&amp;D37,""PRICE"",TODAY()-28),2,2)"),174.35)</f>
        <v>174.35</v>
      </c>
      <c r="K37" s="17">
        <f>IFERROR(__xludf.DUMMYFUNCTION("INDEX(GOOGLEFINANCE(""NSE:""&amp;D37,""PRICE"",TODAY()-84),2,2)"),170.96)</f>
        <v>170.96</v>
      </c>
      <c r="L37" s="16">
        <f t="shared" si="1"/>
        <v>0.008203677511</v>
      </c>
      <c r="M37" s="16">
        <f t="shared" si="2"/>
        <v>-0.003355704698</v>
      </c>
      <c r="N37" s="16">
        <f t="shared" si="3"/>
        <v>0.02472685451</v>
      </c>
      <c r="O37" s="16">
        <f t="shared" si="4"/>
        <v>0.02208201893</v>
      </c>
      <c r="P37" s="16">
        <f t="shared" si="5"/>
        <v>0.04234908751</v>
      </c>
      <c r="Q37" s="30">
        <f t="shared" si="6"/>
        <v>-0.01622125832</v>
      </c>
      <c r="R37" s="30">
        <f t="shared" si="7"/>
        <v>-0.0008205907414</v>
      </c>
      <c r="S37" s="30">
        <f t="shared" si="8"/>
        <v>-0.04972375532</v>
      </c>
      <c r="T37" s="30">
        <f t="shared" si="9"/>
        <v>-0.08988534473</v>
      </c>
      <c r="U37" s="31" t="str">
        <f t="shared" si="10"/>
        <v>#N/A</v>
      </c>
      <c r="V37" s="31" t="str">
        <f t="shared" si="11"/>
        <v>#N/A</v>
      </c>
      <c r="W37" s="31">
        <f t="shared" si="12"/>
        <v>150</v>
      </c>
      <c r="X37" s="31" t="str">
        <f t="shared" si="13"/>
        <v>#N/A</v>
      </c>
    </row>
    <row r="38">
      <c r="A38" s="1">
        <v>35.0</v>
      </c>
      <c r="B38" s="22" t="s">
        <v>602</v>
      </c>
      <c r="C38" s="22" t="s">
        <v>603</v>
      </c>
      <c r="D38" s="22" t="s">
        <v>97</v>
      </c>
      <c r="E38" s="23">
        <f>IFERROR(__xludf.DUMMYFUNCTION("GOOGLEFINANCE(""NSE:""&amp;D38,""marketcap"")/10000000"),123532.09154)</f>
        <v>123532.0915</v>
      </c>
      <c r="F38" s="17">
        <f>IFERROR(__xludf.DUMMYFUNCTION("GOOGLEFINANCE(""NSE:""&amp;D38)"),2431.0)</f>
        <v>2431</v>
      </c>
      <c r="G38" s="17">
        <f>IFERROR(__xludf.DUMMYFUNCTION("GOOGLEFINANCE(""NSE:""&amp;D38,""closeyest"")"),2418.0)</f>
        <v>2418</v>
      </c>
      <c r="H38" s="17">
        <f>IFERROR(__xludf.DUMMYFUNCTION("INDEX(GOOGLEFINANCE(""NSE:""&amp;D38,""PRICE"",TODAY()-7),2,2)"),2368.45)</f>
        <v>2368.45</v>
      </c>
      <c r="I38" s="17">
        <f>IFERROR(__xludf.DUMMYFUNCTION("INDEX(GOOGLEFINANCE(""NSE:""&amp;D38,""PRICE"",TODAY()-14),2,2)"),2397.0)</f>
        <v>2397</v>
      </c>
      <c r="J38" s="17">
        <f>IFERROR(__xludf.DUMMYFUNCTION("INDEX(GOOGLEFINANCE(""NSE:""&amp;D38,""PRICE"",TODAY()-28),2,2)"),2225.2)</f>
        <v>2225.2</v>
      </c>
      <c r="K38" s="17">
        <f>IFERROR(__xludf.DUMMYFUNCTION("INDEX(GOOGLEFINANCE(""NSE:""&amp;D38,""PRICE"",TODAY()-84),2,2)"),2178.85)</f>
        <v>2178.85</v>
      </c>
      <c r="L38" s="16">
        <f t="shared" si="1"/>
        <v>0.005376344086</v>
      </c>
      <c r="M38" s="16">
        <f t="shared" si="2"/>
        <v>0.02640967722</v>
      </c>
      <c r="N38" s="16">
        <f t="shared" si="3"/>
        <v>0.01418439716</v>
      </c>
      <c r="O38" s="16">
        <f t="shared" si="4"/>
        <v>0.09248606867</v>
      </c>
      <c r="P38" s="16">
        <f t="shared" si="5"/>
        <v>0.1157261858</v>
      </c>
      <c r="Q38" s="30">
        <f t="shared" si="6"/>
        <v>0.01354412359</v>
      </c>
      <c r="R38" s="30">
        <f t="shared" si="7"/>
        <v>-0.01136304809</v>
      </c>
      <c r="S38" s="30">
        <f t="shared" si="8"/>
        <v>0.02068029442</v>
      </c>
      <c r="T38" s="30">
        <f t="shared" si="9"/>
        <v>-0.0165082464</v>
      </c>
      <c r="U38" s="31" t="str">
        <f t="shared" si="10"/>
        <v>#N/A</v>
      </c>
      <c r="V38" s="31" t="str">
        <f t="shared" si="11"/>
        <v>#N/A</v>
      </c>
      <c r="W38" s="31">
        <f t="shared" si="12"/>
        <v>70</v>
      </c>
      <c r="X38" s="31" t="str">
        <f t="shared" si="13"/>
        <v>#N/A</v>
      </c>
    </row>
    <row r="39">
      <c r="A39" s="1">
        <v>36.0</v>
      </c>
      <c r="B39" s="22" t="s">
        <v>561</v>
      </c>
      <c r="C39" s="22" t="s">
        <v>560</v>
      </c>
      <c r="D39" s="22" t="s">
        <v>98</v>
      </c>
      <c r="E39" s="23">
        <f>IFERROR(__xludf.DUMMYFUNCTION("GOOGLEFINANCE(""NSE:""&amp;D39,""marketcap"")/10000000"),122324.2114398)</f>
        <v>122324.2114</v>
      </c>
      <c r="F39" s="17">
        <f>IFERROR(__xludf.DUMMYFUNCTION("GOOGLEFINANCE(""NSE:""&amp;D39)"),126.15)</f>
        <v>126.15</v>
      </c>
      <c r="G39" s="17">
        <f>IFERROR(__xludf.DUMMYFUNCTION("GOOGLEFINANCE(""NSE:""&amp;D39,""closeyest"")"),124.4)</f>
        <v>124.4</v>
      </c>
      <c r="H39" s="17">
        <f>IFERROR(__xludf.DUMMYFUNCTION("INDEX(GOOGLEFINANCE(""NSE:""&amp;D39,""PRICE"",TODAY()-7),2,2)"),123.75)</f>
        <v>123.75</v>
      </c>
      <c r="I39" s="17">
        <f>IFERROR(__xludf.DUMMYFUNCTION("INDEX(GOOGLEFINANCE(""NSE:""&amp;D39,""PRICE"",TODAY()-14),2,2)"),115.0)</f>
        <v>115</v>
      </c>
      <c r="J39" s="17">
        <f>IFERROR(__xludf.DUMMYFUNCTION("INDEX(GOOGLEFINANCE(""NSE:""&amp;D39,""PRICE"",TODAY()-28),2,2)"),113.4)</f>
        <v>113.4</v>
      </c>
      <c r="K39" s="17">
        <f>IFERROR(__xludf.DUMMYFUNCTION("INDEX(GOOGLEFINANCE(""NSE:""&amp;D39,""PRICE"",TODAY()-84),2,2)"),117.5)</f>
        <v>117.5</v>
      </c>
      <c r="L39" s="16">
        <f t="shared" si="1"/>
        <v>0.01406752412</v>
      </c>
      <c r="M39" s="16">
        <f t="shared" si="2"/>
        <v>0.01939393939</v>
      </c>
      <c r="N39" s="16">
        <f t="shared" si="3"/>
        <v>0.09695652174</v>
      </c>
      <c r="O39" s="16">
        <f t="shared" si="4"/>
        <v>0.1124338624</v>
      </c>
      <c r="P39" s="16">
        <f t="shared" si="5"/>
        <v>0.07361702128</v>
      </c>
      <c r="Q39" s="30">
        <f t="shared" si="6"/>
        <v>0.006528385772</v>
      </c>
      <c r="R39" s="30">
        <f t="shared" si="7"/>
        <v>0.07140907648</v>
      </c>
      <c r="S39" s="30">
        <f t="shared" si="8"/>
        <v>0.04062808819</v>
      </c>
      <c r="T39" s="30">
        <f t="shared" si="9"/>
        <v>-0.05861741096</v>
      </c>
      <c r="U39" s="31" t="str">
        <f t="shared" si="10"/>
        <v>#N/A</v>
      </c>
      <c r="V39" s="31" t="str">
        <f t="shared" si="11"/>
        <v>#N/A</v>
      </c>
      <c r="W39" s="31">
        <f t="shared" si="12"/>
        <v>59</v>
      </c>
      <c r="X39" s="31" t="str">
        <f t="shared" si="13"/>
        <v>#N/A</v>
      </c>
    </row>
    <row r="40">
      <c r="A40" s="1">
        <v>37.0</v>
      </c>
      <c r="B40" s="22" t="s">
        <v>562</v>
      </c>
      <c r="C40" s="22" t="s">
        <v>528</v>
      </c>
      <c r="D40" s="22" t="s">
        <v>95</v>
      </c>
      <c r="E40" s="23">
        <f>IFERROR(__xludf.DUMMYFUNCTION("GOOGLEFINANCE(""NSE:""&amp;D40,""marketcap"")/10000000"),121593.87955)</f>
        <v>121593.8796</v>
      </c>
      <c r="F40" s="17">
        <f>IFERROR(__xludf.DUMMYFUNCTION("GOOGLEFINANCE(""NSE:""&amp;D40)"),1219.0)</f>
        <v>1219</v>
      </c>
      <c r="G40" s="17">
        <f>IFERROR(__xludf.DUMMYFUNCTION("GOOGLEFINANCE(""NSE:""&amp;D40,""closeyest"")"),1191.3)</f>
        <v>1191.3</v>
      </c>
      <c r="H40" s="17">
        <f>IFERROR(__xludf.DUMMYFUNCTION("INDEX(GOOGLEFINANCE(""NSE:""&amp;D40,""PRICE"",TODAY()-7),2,2)"),1198.8)</f>
        <v>1198.8</v>
      </c>
      <c r="I40" s="17">
        <f>IFERROR(__xludf.DUMMYFUNCTION("INDEX(GOOGLEFINANCE(""NSE:""&amp;D40,""PRICE"",TODAY()-14),2,2)"),1165.15)</f>
        <v>1165.15</v>
      </c>
      <c r="J40" s="17">
        <f>IFERROR(__xludf.DUMMYFUNCTION("INDEX(GOOGLEFINANCE(""NSE:""&amp;D40,""PRICE"",TODAY()-28),2,2)"),1184.05)</f>
        <v>1184.05</v>
      </c>
      <c r="K40" s="17">
        <f>IFERROR(__xludf.DUMMYFUNCTION("INDEX(GOOGLEFINANCE(""NSE:""&amp;D40,""PRICE"",TODAY()-84),2,2)"),1007.2)</f>
        <v>1007.2</v>
      </c>
      <c r="L40" s="16">
        <f t="shared" si="1"/>
        <v>0.02325190968</v>
      </c>
      <c r="M40" s="16">
        <f t="shared" si="2"/>
        <v>0.01685018352</v>
      </c>
      <c r="N40" s="16">
        <f t="shared" si="3"/>
        <v>0.04621722525</v>
      </c>
      <c r="O40" s="16">
        <f t="shared" si="4"/>
        <v>0.02951733457</v>
      </c>
      <c r="P40" s="16">
        <f t="shared" si="5"/>
        <v>0.2102859412</v>
      </c>
      <c r="Q40" s="30">
        <f t="shared" si="6"/>
        <v>0.003984629895</v>
      </c>
      <c r="R40" s="30">
        <f t="shared" si="7"/>
        <v>0.02066977999</v>
      </c>
      <c r="S40" s="30">
        <f t="shared" si="8"/>
        <v>-0.04228843968</v>
      </c>
      <c r="T40" s="30">
        <f t="shared" si="9"/>
        <v>0.07805150899</v>
      </c>
      <c r="U40" s="31" t="str">
        <f t="shared" si="10"/>
        <v>#N/A</v>
      </c>
      <c r="V40" s="31" t="str">
        <f t="shared" si="11"/>
        <v>#N/A</v>
      </c>
      <c r="W40" s="31">
        <f t="shared" si="12"/>
        <v>139</v>
      </c>
      <c r="X40" s="31" t="str">
        <f t="shared" si="13"/>
        <v>#N/A</v>
      </c>
    </row>
    <row r="41">
      <c r="A41" s="1">
        <v>38.0</v>
      </c>
      <c r="B41" s="22" t="s">
        <v>609</v>
      </c>
      <c r="C41" s="22" t="s">
        <v>526</v>
      </c>
      <c r="D41" s="22" t="s">
        <v>104</v>
      </c>
      <c r="E41" s="23">
        <f>IFERROR(__xludf.DUMMYFUNCTION("GOOGLEFINANCE(""NSE:""&amp;D41,""marketcap"")/10000000"),114583.4424)</f>
        <v>114583.4424</v>
      </c>
      <c r="F41" s="17">
        <f>IFERROR(__xludf.DUMMYFUNCTION("GOOGLEFINANCE(""NSE:""&amp;D41)"),649.0)</f>
        <v>649</v>
      </c>
      <c r="G41" s="17">
        <f>IFERROR(__xludf.DUMMYFUNCTION("GOOGLEFINANCE(""NSE:""&amp;D41,""closeyest"")"),648.4)</f>
        <v>648.4</v>
      </c>
      <c r="H41" s="17">
        <f>IFERROR(__xludf.DUMMYFUNCTION("INDEX(GOOGLEFINANCE(""NSE:""&amp;D41,""PRICE"",TODAY()-7),2,2)"),653.95)</f>
        <v>653.95</v>
      </c>
      <c r="I41" s="17">
        <f>IFERROR(__xludf.DUMMYFUNCTION("INDEX(GOOGLEFINANCE(""NSE:""&amp;D41,""PRICE"",TODAY()-14),2,2)"),640.2)</f>
        <v>640.2</v>
      </c>
      <c r="J41" s="17">
        <f>IFERROR(__xludf.DUMMYFUNCTION("INDEX(GOOGLEFINANCE(""NSE:""&amp;D41,""PRICE"",TODAY()-28),2,2)"),608.75)</f>
        <v>608.75</v>
      </c>
      <c r="K41" s="17">
        <f>IFERROR(__xludf.DUMMYFUNCTION("INDEX(GOOGLEFINANCE(""NSE:""&amp;D41,""PRICE"",TODAY()-84),2,2)"),590.45)</f>
        <v>590.45</v>
      </c>
      <c r="L41" s="16">
        <f t="shared" si="1"/>
        <v>0.0009253547193</v>
      </c>
      <c r="M41" s="16">
        <f t="shared" si="2"/>
        <v>-0.007569386039</v>
      </c>
      <c r="N41" s="16">
        <f t="shared" si="3"/>
        <v>0.01374570447</v>
      </c>
      <c r="O41" s="16">
        <f t="shared" si="4"/>
        <v>0.06611909651</v>
      </c>
      <c r="P41" s="16">
        <f t="shared" si="5"/>
        <v>0.09916165636</v>
      </c>
      <c r="Q41" s="30">
        <f t="shared" si="6"/>
        <v>-0.02043493966</v>
      </c>
      <c r="R41" s="30">
        <f t="shared" si="7"/>
        <v>-0.01180174079</v>
      </c>
      <c r="S41" s="30">
        <f t="shared" si="8"/>
        <v>-0.005686677739</v>
      </c>
      <c r="T41" s="30">
        <f t="shared" si="9"/>
        <v>-0.03307277587</v>
      </c>
      <c r="U41" s="31" t="str">
        <f t="shared" si="10"/>
        <v>#N/A</v>
      </c>
      <c r="V41" s="31" t="str">
        <f t="shared" si="11"/>
        <v>#N/A</v>
      </c>
      <c r="W41" s="31">
        <f t="shared" si="12"/>
        <v>97</v>
      </c>
      <c r="X41" s="31" t="str">
        <f t="shared" si="13"/>
        <v>#N/A</v>
      </c>
    </row>
    <row r="42">
      <c r="A42" s="1">
        <v>39.0</v>
      </c>
      <c r="B42" s="22" t="s">
        <v>563</v>
      </c>
      <c r="C42" s="22" t="s">
        <v>522</v>
      </c>
      <c r="D42" s="22" t="s">
        <v>116</v>
      </c>
      <c r="E42" s="23">
        <f>IFERROR(__xludf.DUMMYFUNCTION("GOOGLEFINANCE(""NSE:""&amp;D42,""marketcap"")/10000000"),111039.967147)</f>
        <v>111039.9671</v>
      </c>
      <c r="F42" s="17">
        <f>IFERROR(__xludf.DUMMYFUNCTION("GOOGLEFINANCE(""NSE:""&amp;D42)"),117.85)</f>
        <v>117.85</v>
      </c>
      <c r="G42" s="17">
        <f>IFERROR(__xludf.DUMMYFUNCTION("GOOGLEFINANCE(""NSE:""&amp;D42,""closeyest"")"),116.45)</f>
        <v>116.45</v>
      </c>
      <c r="H42" s="17">
        <f>IFERROR(__xludf.DUMMYFUNCTION("INDEX(GOOGLEFINANCE(""NSE:""&amp;D42,""PRICE"",TODAY()-7),2,2)"),118.25)</f>
        <v>118.25</v>
      </c>
      <c r="I42" s="17">
        <f>IFERROR(__xludf.DUMMYFUNCTION("INDEX(GOOGLEFINANCE(""NSE:""&amp;D42,""PRICE"",TODAY()-14),2,2)"),114.0)</f>
        <v>114</v>
      </c>
      <c r="J42" s="17">
        <f>IFERROR(__xludf.DUMMYFUNCTION("INDEX(GOOGLEFINANCE(""NSE:""&amp;D42,""PRICE"",TODAY()-28),2,2)"),105.95)</f>
        <v>105.95</v>
      </c>
      <c r="K42" s="17">
        <f>IFERROR(__xludf.DUMMYFUNCTION("INDEX(GOOGLEFINANCE(""NSE:""&amp;D42,""PRICE"",TODAY()-84),2,2)"),108.45)</f>
        <v>108.45</v>
      </c>
      <c r="L42" s="16">
        <f t="shared" si="1"/>
        <v>0.01202232718</v>
      </c>
      <c r="M42" s="16">
        <f t="shared" si="2"/>
        <v>-0.003382663848</v>
      </c>
      <c r="N42" s="16">
        <f t="shared" si="3"/>
        <v>0.03377192982</v>
      </c>
      <c r="O42" s="16">
        <f t="shared" si="4"/>
        <v>0.1123171307</v>
      </c>
      <c r="P42" s="16">
        <f t="shared" si="5"/>
        <v>0.08667588751</v>
      </c>
      <c r="Q42" s="30">
        <f t="shared" si="6"/>
        <v>-0.01624821747</v>
      </c>
      <c r="R42" s="30">
        <f t="shared" si="7"/>
        <v>0.008224484569</v>
      </c>
      <c r="S42" s="30">
        <f t="shared" si="8"/>
        <v>0.04051135647</v>
      </c>
      <c r="T42" s="30">
        <f t="shared" si="9"/>
        <v>-0.04555854473</v>
      </c>
      <c r="U42" s="31" t="str">
        <f t="shared" si="10"/>
        <v>#N/A</v>
      </c>
      <c r="V42" s="31" t="str">
        <f t="shared" si="11"/>
        <v>#N/A</v>
      </c>
      <c r="W42" s="31">
        <f t="shared" si="12"/>
        <v>60</v>
      </c>
      <c r="X42" s="31" t="str">
        <f t="shared" si="13"/>
        <v>#N/A</v>
      </c>
    </row>
    <row r="43">
      <c r="A43" s="1">
        <v>40.0</v>
      </c>
      <c r="B43" s="22" t="s">
        <v>628</v>
      </c>
      <c r="C43" s="22" t="s">
        <v>552</v>
      </c>
      <c r="D43" s="22" t="s">
        <v>102</v>
      </c>
      <c r="E43" s="23">
        <f>IFERROR(__xludf.DUMMYFUNCTION("GOOGLEFINANCE(""NSE:""&amp;D43,""marketcap"")/10000000"),1515.8035889)</f>
        <v>1515.803589</v>
      </c>
      <c r="F43" s="17">
        <f>IFERROR(__xludf.DUMMYFUNCTION("GOOGLEFINANCE(""NSE:""&amp;D43)"),299.0)</f>
        <v>299</v>
      </c>
      <c r="G43" s="17">
        <f>IFERROR(__xludf.DUMMYFUNCTION("GOOGLEFINANCE(""NSE:""&amp;D43,""closeyest"")"),294.9)</f>
        <v>294.9</v>
      </c>
      <c r="H43" s="17">
        <f>IFERROR(__xludf.DUMMYFUNCTION("INDEX(GOOGLEFINANCE(""NSE:""&amp;D43,""PRICE"",TODAY()-7),2,2)"),302.0)</f>
        <v>302</v>
      </c>
      <c r="I43" s="17">
        <f>IFERROR(__xludf.DUMMYFUNCTION("INDEX(GOOGLEFINANCE(""NSE:""&amp;D43,""PRICE"",TODAY()-14),2,2)"),308.55)</f>
        <v>308.55</v>
      </c>
      <c r="J43" s="17">
        <f>IFERROR(__xludf.DUMMYFUNCTION("INDEX(GOOGLEFINANCE(""NSE:""&amp;D43,""PRICE"",TODAY()-28),2,2)"),292.6)</f>
        <v>292.6</v>
      </c>
      <c r="K43" s="17">
        <f>IFERROR(__xludf.DUMMYFUNCTION("INDEX(GOOGLEFINANCE(""NSE:""&amp;D43,""PRICE"",TODAY()-84),2,2)"),262.05)</f>
        <v>262.05</v>
      </c>
      <c r="L43" s="16">
        <f t="shared" si="1"/>
        <v>0.01390301797</v>
      </c>
      <c r="M43" s="16">
        <f t="shared" si="2"/>
        <v>-0.009933774834</v>
      </c>
      <c r="N43" s="16">
        <f t="shared" si="3"/>
        <v>-0.03095122346</v>
      </c>
      <c r="O43" s="16">
        <f t="shared" si="4"/>
        <v>0.02187286398</v>
      </c>
      <c r="P43" s="16">
        <f t="shared" si="5"/>
        <v>0.1410036253</v>
      </c>
      <c r="Q43" s="30">
        <f t="shared" si="6"/>
        <v>-0.02279932846</v>
      </c>
      <c r="R43" s="30">
        <f t="shared" si="7"/>
        <v>-0.05649866872</v>
      </c>
      <c r="S43" s="30">
        <f t="shared" si="8"/>
        <v>-0.04993291027</v>
      </c>
      <c r="T43" s="30">
        <f t="shared" si="9"/>
        <v>0.008769193028</v>
      </c>
      <c r="U43" s="31" t="str">
        <f t="shared" si="10"/>
        <v>#N/A</v>
      </c>
      <c r="V43" s="31" t="str">
        <f t="shared" si="11"/>
        <v>#N/A</v>
      </c>
      <c r="W43" s="31">
        <f t="shared" si="12"/>
        <v>152</v>
      </c>
      <c r="X43" s="31" t="str">
        <f t="shared" si="13"/>
        <v>#N/A</v>
      </c>
    </row>
    <row r="44">
      <c r="A44" s="1">
        <v>41.0</v>
      </c>
      <c r="B44" s="22" t="s">
        <v>564</v>
      </c>
      <c r="C44" s="22" t="s">
        <v>545</v>
      </c>
      <c r="D44" s="22" t="s">
        <v>106</v>
      </c>
      <c r="E44" s="23">
        <f>IFERROR(__xludf.DUMMYFUNCTION("GOOGLEFINANCE(""NSE:""&amp;D44,""marketcap"")/10000000"),109814.7765)</f>
        <v>109814.7765</v>
      </c>
      <c r="F44" s="17">
        <f>IFERROR(__xludf.DUMMYFUNCTION("GOOGLEFINANCE(""NSE:""&amp;D44)"),3795.0)</f>
        <v>3795</v>
      </c>
      <c r="G44" s="17">
        <f>IFERROR(__xludf.DUMMYFUNCTION("GOOGLEFINANCE(""NSE:""&amp;D44,""closeyest"")"),3757.15)</f>
        <v>3757.15</v>
      </c>
      <c r="H44" s="17">
        <f>IFERROR(__xludf.DUMMYFUNCTION("INDEX(GOOGLEFINANCE(""NSE:""&amp;D44,""PRICE"",TODAY()-7),2,2)"),3822.2)</f>
        <v>3822.2</v>
      </c>
      <c r="I44" s="17">
        <f>IFERROR(__xludf.DUMMYFUNCTION("INDEX(GOOGLEFINANCE(""NSE:""&amp;D44,""PRICE"",TODAY()-14),2,2)"),3699.55)</f>
        <v>3699.55</v>
      </c>
      <c r="J44" s="17">
        <f>IFERROR(__xludf.DUMMYFUNCTION("INDEX(GOOGLEFINANCE(""NSE:""&amp;D44,""PRICE"",TODAY()-28),2,2)"),3699.45)</f>
        <v>3699.45</v>
      </c>
      <c r="K44" s="17">
        <f>IFERROR(__xludf.DUMMYFUNCTION("INDEX(GOOGLEFINANCE(""NSE:""&amp;D44,""PRICE"",TODAY()-84),2,2)"),4175.35)</f>
        <v>4175.35</v>
      </c>
      <c r="L44" s="16">
        <f t="shared" si="1"/>
        <v>0.01007412533</v>
      </c>
      <c r="M44" s="16">
        <f t="shared" si="2"/>
        <v>-0.007116320444</v>
      </c>
      <c r="N44" s="16">
        <f t="shared" si="3"/>
        <v>0.02580043519</v>
      </c>
      <c r="O44" s="16">
        <f t="shared" si="4"/>
        <v>0.02582816365</v>
      </c>
      <c r="P44" s="16">
        <f t="shared" si="5"/>
        <v>-0.09109415977</v>
      </c>
      <c r="Q44" s="30">
        <f t="shared" si="6"/>
        <v>-0.01998187407</v>
      </c>
      <c r="R44" s="30">
        <f t="shared" si="7"/>
        <v>0.0002529899326</v>
      </c>
      <c r="S44" s="30">
        <f t="shared" si="8"/>
        <v>-0.0459776106</v>
      </c>
      <c r="T44" s="30">
        <f t="shared" si="9"/>
        <v>-0.223328592</v>
      </c>
      <c r="U44" s="31" t="str">
        <f t="shared" si="10"/>
        <v>#N/A</v>
      </c>
      <c r="V44" s="31" t="str">
        <f t="shared" si="11"/>
        <v>#N/A</v>
      </c>
      <c r="W44" s="31">
        <f t="shared" si="12"/>
        <v>143</v>
      </c>
      <c r="X44" s="31" t="str">
        <f t="shared" si="13"/>
        <v>#N/A</v>
      </c>
    </row>
    <row r="45">
      <c r="A45" s="1">
        <v>42.0</v>
      </c>
      <c r="B45" s="22" t="s">
        <v>629</v>
      </c>
      <c r="C45" s="22" t="s">
        <v>526</v>
      </c>
      <c r="D45" s="22" t="s">
        <v>100</v>
      </c>
      <c r="E45" s="23">
        <f>IFERROR(__xludf.DUMMYFUNCTION("GOOGLEFINANCE(""NSE:""&amp;D45,""marketcap"")/10000000"),108185.0494)</f>
        <v>108185.0494</v>
      </c>
      <c r="F45" s="17">
        <f>IFERROR(__xludf.DUMMYFUNCTION("GOOGLEFINANCE(""NSE:""&amp;D45)"),1058.0)</f>
        <v>1058</v>
      </c>
      <c r="G45" s="17">
        <f>IFERROR(__xludf.DUMMYFUNCTION("GOOGLEFINANCE(""NSE:""&amp;D45,""closeyest"")"),1054.45)</f>
        <v>1054.45</v>
      </c>
      <c r="H45" s="17">
        <f>IFERROR(__xludf.DUMMYFUNCTION("INDEX(GOOGLEFINANCE(""NSE:""&amp;D45,""PRICE"",TODAY()-7),2,2)"),1090.6)</f>
        <v>1090.6</v>
      </c>
      <c r="I45" s="17">
        <f>IFERROR(__xludf.DUMMYFUNCTION("INDEX(GOOGLEFINANCE(""NSE:""&amp;D45,""PRICE"",TODAY()-14),2,2)"),1121.25)</f>
        <v>1121.25</v>
      </c>
      <c r="J45" s="17">
        <f>IFERROR(__xludf.DUMMYFUNCTION("INDEX(GOOGLEFINANCE(""NSE:""&amp;D45,""PRICE"",TODAY()-28),2,2)"),1054.05)</f>
        <v>1054.05</v>
      </c>
      <c r="K45" s="17">
        <f>IFERROR(__xludf.DUMMYFUNCTION("INDEX(GOOGLEFINANCE(""NSE:""&amp;D45,""PRICE"",TODAY()-84),2,2)"),891.25)</f>
        <v>891.25</v>
      </c>
      <c r="L45" s="16">
        <f t="shared" si="1"/>
        <v>0.003366684053</v>
      </c>
      <c r="M45" s="16">
        <f t="shared" si="2"/>
        <v>-0.02989180268</v>
      </c>
      <c r="N45" s="16">
        <f t="shared" si="3"/>
        <v>-0.05641025641</v>
      </c>
      <c r="O45" s="16">
        <f t="shared" si="4"/>
        <v>0.003747450311</v>
      </c>
      <c r="P45" s="16">
        <f t="shared" si="5"/>
        <v>0.1870967742</v>
      </c>
      <c r="Q45" s="30">
        <f t="shared" si="6"/>
        <v>-0.0427573563</v>
      </c>
      <c r="R45" s="30">
        <f t="shared" si="7"/>
        <v>-0.08195770167</v>
      </c>
      <c r="S45" s="30">
        <f t="shared" si="8"/>
        <v>-0.06805832394</v>
      </c>
      <c r="T45" s="30">
        <f t="shared" si="9"/>
        <v>0.05486234196</v>
      </c>
      <c r="U45" s="31" t="str">
        <f t="shared" si="10"/>
        <v>#N/A</v>
      </c>
      <c r="V45" s="31" t="str">
        <f t="shared" si="11"/>
        <v>#N/A</v>
      </c>
      <c r="W45" s="31">
        <f t="shared" si="12"/>
        <v>165</v>
      </c>
      <c r="X45" s="31" t="str">
        <f t="shared" si="13"/>
        <v>#N/A</v>
      </c>
    </row>
    <row r="46">
      <c r="A46" s="1">
        <v>43.0</v>
      </c>
      <c r="B46" s="22" t="s">
        <v>565</v>
      </c>
      <c r="C46" s="22" t="s">
        <v>543</v>
      </c>
      <c r="D46" s="22" t="s">
        <v>122</v>
      </c>
      <c r="E46" s="23">
        <f>IFERROR(__xludf.DUMMYFUNCTION("GOOGLEFINANCE(""NSE:""&amp;D46,""marketcap"")/10000000"),108100.6941888)</f>
        <v>108100.6942</v>
      </c>
      <c r="F46" s="17">
        <f>IFERROR(__xludf.DUMMYFUNCTION("GOOGLEFINANCE(""NSE:""&amp;D46)"),29900.0)</f>
        <v>29900</v>
      </c>
      <c r="G46" s="17">
        <f>IFERROR(__xludf.DUMMYFUNCTION("GOOGLEFINANCE(""NSE:""&amp;D46,""closeyest"")"),29792.5)</f>
        <v>29792.5</v>
      </c>
      <c r="H46" s="17">
        <f>IFERROR(__xludf.DUMMYFUNCTION("INDEX(GOOGLEFINANCE(""NSE:""&amp;D46,""PRICE"",TODAY()-7),2,2)"),30559.45)</f>
        <v>30559.45</v>
      </c>
      <c r="I46" s="17">
        <f>IFERROR(__xludf.DUMMYFUNCTION("INDEX(GOOGLEFINANCE(""NSE:""&amp;D46,""PRICE"",TODAY()-14),2,2)"),30663.35)</f>
        <v>30663.35</v>
      </c>
      <c r="J46" s="17">
        <f>IFERROR(__xludf.DUMMYFUNCTION("INDEX(GOOGLEFINANCE(""NSE:""&amp;D46,""PRICE"",TODAY()-28),2,2)"),26897.75)</f>
        <v>26897.75</v>
      </c>
      <c r="K46" s="17">
        <f>IFERROR(__xludf.DUMMYFUNCTION("INDEX(GOOGLEFINANCE(""NSE:""&amp;D46,""PRICE"",TODAY()-84),2,2)"),27014.9)</f>
        <v>27014.9</v>
      </c>
      <c r="L46" s="16">
        <f t="shared" si="1"/>
        <v>0.003608290677</v>
      </c>
      <c r="M46" s="16">
        <f t="shared" si="2"/>
        <v>-0.02157924963</v>
      </c>
      <c r="N46" s="16">
        <f t="shared" si="3"/>
        <v>-0.02489454022</v>
      </c>
      <c r="O46" s="16">
        <f t="shared" si="4"/>
        <v>0.1116171427</v>
      </c>
      <c r="P46" s="16">
        <f t="shared" si="5"/>
        <v>0.1067966196</v>
      </c>
      <c r="Q46" s="30">
        <f t="shared" si="6"/>
        <v>-0.03444480325</v>
      </c>
      <c r="R46" s="30">
        <f t="shared" si="7"/>
        <v>-0.05044198548</v>
      </c>
      <c r="S46" s="30">
        <f t="shared" si="8"/>
        <v>0.03981136845</v>
      </c>
      <c r="T46" s="30">
        <f t="shared" si="9"/>
        <v>-0.02543781259</v>
      </c>
      <c r="U46" s="31" t="str">
        <f t="shared" si="10"/>
        <v>#N/A</v>
      </c>
      <c r="V46" s="31" t="str">
        <f t="shared" si="11"/>
        <v>#N/A</v>
      </c>
      <c r="W46" s="31">
        <f t="shared" si="12"/>
        <v>61</v>
      </c>
      <c r="X46" s="31" t="str">
        <f t="shared" si="13"/>
        <v>#N/A</v>
      </c>
    </row>
    <row r="47">
      <c r="A47" s="1">
        <v>44.0</v>
      </c>
      <c r="B47" s="22" t="s">
        <v>566</v>
      </c>
      <c r="C47" s="22" t="s">
        <v>552</v>
      </c>
      <c r="D47" s="22" t="s">
        <v>118</v>
      </c>
      <c r="E47" s="23">
        <f>IFERROR(__xludf.DUMMYFUNCTION("GOOGLEFINANCE(""NSE:""&amp;D47,""marketcap"")/10000000"),108210.7423078)</f>
        <v>108210.7423</v>
      </c>
      <c r="F47" s="17">
        <f>IFERROR(__xludf.DUMMYFUNCTION("GOOGLEFINANCE(""NSE:""&amp;D47)"),483.8)</f>
        <v>483.8</v>
      </c>
      <c r="G47" s="17">
        <f>IFERROR(__xludf.DUMMYFUNCTION("GOOGLEFINANCE(""NSE:""&amp;D47,""closeyest"")"),463.0)</f>
        <v>463</v>
      </c>
      <c r="H47" s="17">
        <f>IFERROR(__xludf.DUMMYFUNCTION("INDEX(GOOGLEFINANCE(""NSE:""&amp;D47,""PRICE"",TODAY()-7),2,2)"),473.05)</f>
        <v>473.05</v>
      </c>
      <c r="I47" s="17">
        <f>IFERROR(__xludf.DUMMYFUNCTION("INDEX(GOOGLEFINANCE(""NSE:""&amp;D47,""PRICE"",TODAY()-14),2,2)"),478.35)</f>
        <v>478.35</v>
      </c>
      <c r="J47" s="17">
        <f>IFERROR(__xludf.DUMMYFUNCTION("INDEX(GOOGLEFINANCE(""NSE:""&amp;D47,""PRICE"",TODAY()-28),2,2)"),437.9)</f>
        <v>437.9</v>
      </c>
      <c r="K47" s="17">
        <f>IFERROR(__xludf.DUMMYFUNCTION("INDEX(GOOGLEFINANCE(""NSE:""&amp;D47,""PRICE"",TODAY()-84),2,2)"),376.05)</f>
        <v>376.05</v>
      </c>
      <c r="L47" s="16">
        <f t="shared" si="1"/>
        <v>0.04492440605</v>
      </c>
      <c r="M47" s="16">
        <f t="shared" si="2"/>
        <v>0.02272487052</v>
      </c>
      <c r="N47" s="16">
        <f t="shared" si="3"/>
        <v>0.01139333124</v>
      </c>
      <c r="O47" s="16">
        <f t="shared" si="4"/>
        <v>0.1048184517</v>
      </c>
      <c r="P47" s="16">
        <f t="shared" si="5"/>
        <v>0.2865310464</v>
      </c>
      <c r="Q47" s="30">
        <f t="shared" si="6"/>
        <v>0.009859316899</v>
      </c>
      <c r="R47" s="30">
        <f t="shared" si="7"/>
        <v>-0.01415411401</v>
      </c>
      <c r="S47" s="30">
        <f t="shared" si="8"/>
        <v>0.03301267745</v>
      </c>
      <c r="T47" s="30">
        <f t="shared" si="9"/>
        <v>0.1542966142</v>
      </c>
      <c r="U47" s="31" t="str">
        <f t="shared" si="10"/>
        <v>#N/A</v>
      </c>
      <c r="V47" s="31" t="str">
        <f t="shared" si="11"/>
        <v>#N/A</v>
      </c>
      <c r="W47" s="31">
        <f t="shared" si="12"/>
        <v>63</v>
      </c>
      <c r="X47" s="31" t="str">
        <f t="shared" si="13"/>
        <v>#N/A</v>
      </c>
    </row>
    <row r="48">
      <c r="A48" s="1">
        <v>45.0</v>
      </c>
      <c r="B48" s="22" t="s">
        <v>567</v>
      </c>
      <c r="C48" s="22" t="s">
        <v>543</v>
      </c>
      <c r="D48" s="22" t="s">
        <v>124</v>
      </c>
      <c r="E48" s="23">
        <f>IFERROR(__xludf.DUMMYFUNCTION("GOOGLEFINANCE(""NSE:""&amp;D48,""marketcap"")/10000000"),105601.13722)</f>
        <v>105601.1372</v>
      </c>
      <c r="F48" s="17">
        <f>IFERROR(__xludf.DUMMYFUNCTION("GOOGLEFINANCE(""NSE:""&amp;D48)"),1608.05)</f>
        <v>1608.05</v>
      </c>
      <c r="G48" s="17">
        <f>IFERROR(__xludf.DUMMYFUNCTION("GOOGLEFINANCE(""NSE:""&amp;D48,""closeyest"")"),1574.65)</f>
        <v>1574.65</v>
      </c>
      <c r="H48" s="17">
        <f>IFERROR(__xludf.DUMMYFUNCTION("INDEX(GOOGLEFINANCE(""NSE:""&amp;D48,""PRICE"",TODAY()-7),2,2)"),1568.8)</f>
        <v>1568.8</v>
      </c>
      <c r="I48" s="17">
        <f>IFERROR(__xludf.DUMMYFUNCTION("INDEX(GOOGLEFINANCE(""NSE:""&amp;D48,""PRICE"",TODAY()-14),2,2)"),1606.35)</f>
        <v>1606.35</v>
      </c>
      <c r="J48" s="17">
        <f>IFERROR(__xludf.DUMMYFUNCTION("INDEX(GOOGLEFINANCE(""NSE:""&amp;D48,""PRICE"",TODAY()-28),2,2)"),1458.3)</f>
        <v>1458.3</v>
      </c>
      <c r="K48" s="17">
        <f>IFERROR(__xludf.DUMMYFUNCTION("INDEX(GOOGLEFINANCE(""NSE:""&amp;D48,""PRICE"",TODAY()-84),2,2)"),1489.75)</f>
        <v>1489.75</v>
      </c>
      <c r="L48" s="16">
        <f t="shared" si="1"/>
        <v>0.02121106278</v>
      </c>
      <c r="M48" s="16">
        <f t="shared" si="2"/>
        <v>0.0250191229</v>
      </c>
      <c r="N48" s="16">
        <f t="shared" si="3"/>
        <v>0.001058299872</v>
      </c>
      <c r="O48" s="16">
        <f t="shared" si="4"/>
        <v>0.1026880614</v>
      </c>
      <c r="P48" s="16">
        <f t="shared" si="5"/>
        <v>0.07940929686</v>
      </c>
      <c r="Q48" s="30">
        <f t="shared" si="6"/>
        <v>0.01215356927</v>
      </c>
      <c r="R48" s="30">
        <f t="shared" si="7"/>
        <v>-0.02448914538</v>
      </c>
      <c r="S48" s="30">
        <f t="shared" si="8"/>
        <v>0.03088228719</v>
      </c>
      <c r="T48" s="30">
        <f t="shared" si="9"/>
        <v>-0.05282513537</v>
      </c>
      <c r="U48" s="31" t="str">
        <f t="shared" si="10"/>
        <v>#N/A</v>
      </c>
      <c r="V48" s="31" t="str">
        <f t="shared" si="11"/>
        <v>#N/A</v>
      </c>
      <c r="W48" s="31">
        <f t="shared" si="12"/>
        <v>64</v>
      </c>
      <c r="X48" s="31" t="str">
        <f t="shared" si="13"/>
        <v>#N/A</v>
      </c>
    </row>
    <row r="49">
      <c r="A49" s="1">
        <v>46.0</v>
      </c>
      <c r="B49" s="22" t="s">
        <v>594</v>
      </c>
      <c r="C49" s="22" t="s">
        <v>524</v>
      </c>
      <c r="D49" s="22" t="s">
        <v>130</v>
      </c>
      <c r="E49" s="23">
        <f>IFERROR(__xludf.DUMMYFUNCTION("GOOGLEFINANCE(""NSE:""&amp;D49,""marketcap"")/10000000"),106680.8442)</f>
        <v>106680.8442</v>
      </c>
      <c r="F49" s="17">
        <f>IFERROR(__xludf.DUMMYFUNCTION("GOOGLEFINANCE(""NSE:""&amp;D49)"),6090.0)</f>
        <v>6090</v>
      </c>
      <c r="G49" s="17">
        <f>IFERROR(__xludf.DUMMYFUNCTION("GOOGLEFINANCE(""NSE:""&amp;D49,""closeyest"")"),5848.3)</f>
        <v>5848.3</v>
      </c>
      <c r="H49" s="17">
        <f>IFERROR(__xludf.DUMMYFUNCTION("INDEX(GOOGLEFINANCE(""NSE:""&amp;D49,""PRICE"",TODAY()-7),2,2)"),5715.25)</f>
        <v>5715.25</v>
      </c>
      <c r="I49" s="17">
        <f>IFERROR(__xludf.DUMMYFUNCTION("INDEX(GOOGLEFINANCE(""NSE:""&amp;D49,""PRICE"",TODAY()-14),2,2)"),5488.95)</f>
        <v>5488.95</v>
      </c>
      <c r="J49" s="17">
        <f>IFERROR(__xludf.DUMMYFUNCTION("INDEX(GOOGLEFINANCE(""NSE:""&amp;D49,""PRICE"",TODAY()-28),2,2)"),5233.6)</f>
        <v>5233.6</v>
      </c>
      <c r="K49" s="17">
        <f>IFERROR(__xludf.DUMMYFUNCTION("INDEX(GOOGLEFINANCE(""NSE:""&amp;D49,""PRICE"",TODAY()-84),2,2)"),4042.85)</f>
        <v>4042.85</v>
      </c>
      <c r="L49" s="16">
        <f t="shared" si="1"/>
        <v>0.04132824923</v>
      </c>
      <c r="M49" s="16">
        <f t="shared" si="2"/>
        <v>0.06557018503</v>
      </c>
      <c r="N49" s="16">
        <f t="shared" si="3"/>
        <v>0.1095018173</v>
      </c>
      <c r="O49" s="16">
        <f t="shared" si="4"/>
        <v>0.163634974</v>
      </c>
      <c r="P49" s="16">
        <f t="shared" si="5"/>
        <v>0.5063630854</v>
      </c>
      <c r="Q49" s="30">
        <f t="shared" si="6"/>
        <v>0.05270463141</v>
      </c>
      <c r="R49" s="30">
        <f t="shared" si="7"/>
        <v>0.08395437203</v>
      </c>
      <c r="S49" s="30">
        <f t="shared" si="8"/>
        <v>0.09182919977</v>
      </c>
      <c r="T49" s="30">
        <f t="shared" si="9"/>
        <v>0.3741286532</v>
      </c>
      <c r="U49" s="31" t="str">
        <f t="shared" si="10"/>
        <v>#N/A</v>
      </c>
      <c r="V49" s="31" t="str">
        <f t="shared" si="11"/>
        <v>#N/A</v>
      </c>
      <c r="W49" s="31">
        <f t="shared" si="12"/>
        <v>31</v>
      </c>
      <c r="X49" s="31" t="str">
        <f t="shared" si="13"/>
        <v>#N/A</v>
      </c>
    </row>
    <row r="50">
      <c r="A50" s="1">
        <v>47.0</v>
      </c>
      <c r="B50" s="22" t="s">
        <v>636</v>
      </c>
      <c r="C50" s="22" t="s">
        <v>528</v>
      </c>
      <c r="D50" s="22" t="s">
        <v>112</v>
      </c>
      <c r="E50" s="23">
        <f>IFERROR(__xludf.DUMMYFUNCTION("GOOGLEFINANCE(""NSE:""&amp;D50,""marketcap"")/10000000"),98867.1153855)</f>
        <v>98867.11539</v>
      </c>
      <c r="F50" s="17">
        <f>IFERROR(__xludf.DUMMYFUNCTION("GOOGLEFINANCE(""NSE:""&amp;D50)"),1044.0)</f>
        <v>1044</v>
      </c>
      <c r="G50" s="17">
        <f>IFERROR(__xludf.DUMMYFUNCTION("GOOGLEFINANCE(""NSE:""&amp;D50,""closeyest"")"),1062.55)</f>
        <v>1062.55</v>
      </c>
      <c r="H50" s="17">
        <f>IFERROR(__xludf.DUMMYFUNCTION("INDEX(GOOGLEFINANCE(""NSE:""&amp;D50,""PRICE"",TODAY()-7),2,2)"),1078.05)</f>
        <v>1078.05</v>
      </c>
      <c r="I50" s="17">
        <f>IFERROR(__xludf.DUMMYFUNCTION("INDEX(GOOGLEFINANCE(""NSE:""&amp;D50,""PRICE"",TODAY()-14),2,2)"),1085.95)</f>
        <v>1085.95</v>
      </c>
      <c r="J50" s="17">
        <f>IFERROR(__xludf.DUMMYFUNCTION("INDEX(GOOGLEFINANCE(""NSE:""&amp;D50,""PRICE"",TODAY()-28),2,2)"),1091.0)</f>
        <v>1091</v>
      </c>
      <c r="K50" s="17">
        <f>IFERROR(__xludf.DUMMYFUNCTION("INDEX(GOOGLEFINANCE(""NSE:""&amp;D50,""PRICE"",TODAY()-84),2,2)"),983.7)</f>
        <v>983.7</v>
      </c>
      <c r="L50" s="16">
        <f t="shared" si="1"/>
        <v>-0.01745800198</v>
      </c>
      <c r="M50" s="16">
        <f t="shared" si="2"/>
        <v>-0.0315848059</v>
      </c>
      <c r="N50" s="16">
        <f t="shared" si="3"/>
        <v>-0.03862977117</v>
      </c>
      <c r="O50" s="16">
        <f t="shared" si="4"/>
        <v>-0.04307974335</v>
      </c>
      <c r="P50" s="16">
        <f t="shared" si="5"/>
        <v>0.06129917658</v>
      </c>
      <c r="Q50" s="30">
        <f t="shared" si="6"/>
        <v>-0.04445035952</v>
      </c>
      <c r="R50" s="30">
        <f t="shared" si="7"/>
        <v>-0.06417721642</v>
      </c>
      <c r="S50" s="30">
        <f t="shared" si="8"/>
        <v>-0.1148855176</v>
      </c>
      <c r="T50" s="30">
        <f t="shared" si="9"/>
        <v>-0.07093525566</v>
      </c>
      <c r="U50" s="31" t="str">
        <f t="shared" si="10"/>
        <v>#N/A</v>
      </c>
      <c r="V50" s="31" t="str">
        <f t="shared" si="11"/>
        <v>#N/A</v>
      </c>
      <c r="W50" s="31">
        <f t="shared" si="12"/>
        <v>187</v>
      </c>
      <c r="X50" s="31" t="str">
        <f t="shared" si="13"/>
        <v>#N/A</v>
      </c>
    </row>
    <row r="51">
      <c r="A51" s="1">
        <v>48.0</v>
      </c>
      <c r="B51" s="22" t="s">
        <v>568</v>
      </c>
      <c r="C51" s="22" t="s">
        <v>552</v>
      </c>
      <c r="D51" s="22" t="s">
        <v>132</v>
      </c>
      <c r="E51" s="23">
        <f>IFERROR(__xludf.DUMMYFUNCTION("GOOGLEFINANCE(""NSE:""&amp;D51,""marketcap"")/10000000"),103102.4413207)</f>
        <v>103102.4413</v>
      </c>
      <c r="F51" s="17">
        <f>IFERROR(__xludf.DUMMYFUNCTION("GOOGLEFINANCE(""NSE:""&amp;D51)"),167.5)</f>
        <v>167.5</v>
      </c>
      <c r="G51" s="17">
        <f>IFERROR(__xludf.DUMMYFUNCTION("GOOGLEFINANCE(""NSE:""&amp;D51,""closeyest"")"),162.1)</f>
        <v>162.1</v>
      </c>
      <c r="H51" s="17">
        <f>IFERROR(__xludf.DUMMYFUNCTION("INDEX(GOOGLEFINANCE(""NSE:""&amp;D51,""PRICE"",TODAY()-7),2,2)"),156.7)</f>
        <v>156.7</v>
      </c>
      <c r="I51" s="17">
        <f>IFERROR(__xludf.DUMMYFUNCTION("INDEX(GOOGLEFINANCE(""NSE:""&amp;D51,""PRICE"",TODAY()-14),2,2)"),154.6)</f>
        <v>154.6</v>
      </c>
      <c r="J51" s="17">
        <f>IFERROR(__xludf.DUMMYFUNCTION("INDEX(GOOGLEFINANCE(""NSE:""&amp;D51,""PRICE"",TODAY()-28),2,2)"),138.55)</f>
        <v>138.55</v>
      </c>
      <c r="K51" s="17">
        <f>IFERROR(__xludf.DUMMYFUNCTION("INDEX(GOOGLEFINANCE(""NSE:""&amp;D51,""PRICE"",TODAY()-84),2,2)"),147.65)</f>
        <v>147.65</v>
      </c>
      <c r="L51" s="16">
        <f t="shared" si="1"/>
        <v>0.0333127699</v>
      </c>
      <c r="M51" s="16">
        <f t="shared" si="2"/>
        <v>0.06892150606</v>
      </c>
      <c r="N51" s="16">
        <f t="shared" si="3"/>
        <v>0.08344113842</v>
      </c>
      <c r="O51" s="16">
        <f t="shared" si="4"/>
        <v>0.2089498376</v>
      </c>
      <c r="P51" s="16">
        <f t="shared" si="5"/>
        <v>0.134439553</v>
      </c>
      <c r="Q51" s="30">
        <f t="shared" si="6"/>
        <v>0.05605595244</v>
      </c>
      <c r="R51" s="30">
        <f t="shared" si="7"/>
        <v>0.05789369317</v>
      </c>
      <c r="S51" s="30">
        <f t="shared" si="8"/>
        <v>0.1371440634</v>
      </c>
      <c r="T51" s="30">
        <f t="shared" si="9"/>
        <v>0.002205120763</v>
      </c>
      <c r="U51" s="31" t="str">
        <f t="shared" si="10"/>
        <v>#N/A</v>
      </c>
      <c r="V51" s="31" t="str">
        <f t="shared" si="11"/>
        <v>#N/A</v>
      </c>
      <c r="W51" s="31">
        <f t="shared" si="12"/>
        <v>18</v>
      </c>
      <c r="X51" s="31" t="str">
        <f t="shared" si="13"/>
        <v>#N/A</v>
      </c>
    </row>
    <row r="52">
      <c r="A52" s="1">
        <v>49.0</v>
      </c>
      <c r="B52" s="22" t="s">
        <v>612</v>
      </c>
      <c r="C52" s="22" t="s">
        <v>528</v>
      </c>
      <c r="D52" s="22" t="s">
        <v>128</v>
      </c>
      <c r="E52" s="23">
        <f>IFERROR(__xludf.DUMMYFUNCTION("GOOGLEFINANCE(""NSE:""&amp;D52,""marketcap"")/10000000"),98148.9419784)</f>
        <v>98148.94198</v>
      </c>
      <c r="F52" s="17">
        <f>IFERROR(__xludf.DUMMYFUNCTION("GOOGLEFINANCE(""NSE:""&amp;D52)"),684.7)</f>
        <v>684.7</v>
      </c>
      <c r="G52" s="17">
        <f>IFERROR(__xludf.DUMMYFUNCTION("GOOGLEFINANCE(""NSE:""&amp;D52,""closeyest"")"),687.85)</f>
        <v>687.85</v>
      </c>
      <c r="H52" s="17">
        <f>IFERROR(__xludf.DUMMYFUNCTION("INDEX(GOOGLEFINANCE(""NSE:""&amp;D52,""PRICE"",TODAY()-7),2,2)"),703.55)</f>
        <v>703.55</v>
      </c>
      <c r="I52" s="17">
        <f>IFERROR(__xludf.DUMMYFUNCTION("INDEX(GOOGLEFINANCE(""NSE:""&amp;D52,""PRICE"",TODAY()-14),2,2)"),693.4)</f>
        <v>693.4</v>
      </c>
      <c r="J52" s="17">
        <f>IFERROR(__xludf.DUMMYFUNCTION("INDEX(GOOGLEFINANCE(""NSE:""&amp;D52,""PRICE"",TODAY()-28),2,2)"),656.15)</f>
        <v>656.15</v>
      </c>
      <c r="K52" s="17">
        <f>IFERROR(__xludf.DUMMYFUNCTION("INDEX(GOOGLEFINANCE(""NSE:""&amp;D52,""PRICE"",TODAY()-84),2,2)"),619.4)</f>
        <v>619.4</v>
      </c>
      <c r="L52" s="16">
        <f t="shared" si="1"/>
        <v>-0.004579486807</v>
      </c>
      <c r="M52" s="16">
        <f t="shared" si="2"/>
        <v>-0.02679269419</v>
      </c>
      <c r="N52" s="16">
        <f t="shared" si="3"/>
        <v>-0.01254687049</v>
      </c>
      <c r="O52" s="16">
        <f t="shared" si="4"/>
        <v>0.04351139221</v>
      </c>
      <c r="P52" s="16">
        <f t="shared" si="5"/>
        <v>0.1054246045</v>
      </c>
      <c r="Q52" s="30">
        <f t="shared" si="6"/>
        <v>-0.03965824782</v>
      </c>
      <c r="R52" s="30">
        <f t="shared" si="7"/>
        <v>-0.03809431575</v>
      </c>
      <c r="S52" s="30">
        <f t="shared" si="8"/>
        <v>-0.02829438204</v>
      </c>
      <c r="T52" s="30">
        <f t="shared" si="9"/>
        <v>-0.02680982778</v>
      </c>
      <c r="U52" s="31" t="str">
        <f t="shared" si="10"/>
        <v>#N/A</v>
      </c>
      <c r="V52" s="31" t="str">
        <f t="shared" si="11"/>
        <v>#N/A</v>
      </c>
      <c r="W52" s="31">
        <f t="shared" si="12"/>
        <v>123</v>
      </c>
      <c r="X52" s="31" t="str">
        <f t="shared" si="13"/>
        <v>#N/A</v>
      </c>
    </row>
    <row r="53">
      <c r="A53" s="1">
        <v>50.0</v>
      </c>
      <c r="B53" s="22" t="s">
        <v>569</v>
      </c>
      <c r="C53" s="22" t="s">
        <v>526</v>
      </c>
      <c r="D53" s="22" t="s">
        <v>126</v>
      </c>
      <c r="E53" s="23">
        <f>IFERROR(__xludf.DUMMYFUNCTION("GOOGLEFINANCE(""NSE:""&amp;D53,""marketcap"")/10000000"),97526.3286628)</f>
        <v>97526.32866</v>
      </c>
      <c r="F53" s="17">
        <f>IFERROR(__xludf.DUMMYFUNCTION("GOOGLEFINANCE(""NSE:""&amp;D53)"),4048.95)</f>
        <v>4048.95</v>
      </c>
      <c r="G53" s="17">
        <f>IFERROR(__xludf.DUMMYFUNCTION("GOOGLEFINANCE(""NSE:""&amp;D53,""closeyest"")"),4058.5)</f>
        <v>4058.5</v>
      </c>
      <c r="H53" s="17">
        <f>IFERROR(__xludf.DUMMYFUNCTION("INDEX(GOOGLEFINANCE(""NSE:""&amp;D53,""PRICE"",TODAY()-7),2,2)"),4051.85)</f>
        <v>4051.85</v>
      </c>
      <c r="I53" s="17">
        <f>IFERROR(__xludf.DUMMYFUNCTION("INDEX(GOOGLEFINANCE(""NSE:""&amp;D53,""PRICE"",TODAY()-14),2,2)"),4093.85)</f>
        <v>4093.85</v>
      </c>
      <c r="J53" s="17">
        <f>IFERROR(__xludf.DUMMYFUNCTION("INDEX(GOOGLEFINANCE(""NSE:""&amp;D53,""PRICE"",TODAY()-28),2,2)"),3941.55)</f>
        <v>3941.55</v>
      </c>
      <c r="K53" s="17">
        <f>IFERROR(__xludf.DUMMYFUNCTION("INDEX(GOOGLEFINANCE(""NSE:""&amp;D53,""PRICE"",TODAY()-84),2,2)"),3545.3)</f>
        <v>3545.3</v>
      </c>
      <c r="L53" s="16">
        <f t="shared" si="1"/>
        <v>-0.002353086116</v>
      </c>
      <c r="M53" s="16">
        <f t="shared" si="2"/>
        <v>-0.0007157224478</v>
      </c>
      <c r="N53" s="16">
        <f t="shared" si="3"/>
        <v>-0.01096767102</v>
      </c>
      <c r="O53" s="16">
        <f t="shared" si="4"/>
        <v>0.02724816379</v>
      </c>
      <c r="P53" s="16">
        <f t="shared" si="5"/>
        <v>0.1420613206</v>
      </c>
      <c r="Q53" s="30">
        <f t="shared" si="6"/>
        <v>-0.01358127607</v>
      </c>
      <c r="R53" s="30">
        <f t="shared" si="7"/>
        <v>-0.03651511627</v>
      </c>
      <c r="S53" s="30">
        <f t="shared" si="8"/>
        <v>-0.04455761045</v>
      </c>
      <c r="T53" s="30">
        <f t="shared" si="9"/>
        <v>0.009826888387</v>
      </c>
      <c r="U53" s="31" t="str">
        <f t="shared" si="10"/>
        <v>#N/A</v>
      </c>
      <c r="V53" s="31" t="str">
        <f t="shared" si="11"/>
        <v>#N/A</v>
      </c>
      <c r="W53" s="31">
        <f t="shared" si="12"/>
        <v>141</v>
      </c>
      <c r="X53" s="31" t="str">
        <f t="shared" si="13"/>
        <v>#N/A</v>
      </c>
    </row>
    <row r="54">
      <c r="A54" s="1">
        <v>51.0</v>
      </c>
      <c r="B54" s="22" t="s">
        <v>570</v>
      </c>
      <c r="C54" s="22" t="s">
        <v>522</v>
      </c>
      <c r="D54" s="22" t="s">
        <v>114</v>
      </c>
      <c r="E54" s="23">
        <f>IFERROR(__xludf.DUMMYFUNCTION("GOOGLEFINANCE(""NSE:""&amp;D54,""marketcap"")/10000000"),92722.0684929)</f>
        <v>92722.06849</v>
      </c>
      <c r="F54" s="17">
        <f>IFERROR(__xludf.DUMMYFUNCTION("GOOGLEFINANCE(""NSE:""&amp;D54)"),419.55)</f>
        <v>419.55</v>
      </c>
      <c r="G54" s="17">
        <f>IFERROR(__xludf.DUMMYFUNCTION("GOOGLEFINANCE(""NSE:""&amp;D54,""closeyest"")"),420.15)</f>
        <v>420.15</v>
      </c>
      <c r="H54" s="17">
        <f>IFERROR(__xludf.DUMMYFUNCTION("INDEX(GOOGLEFINANCE(""NSE:""&amp;D54,""PRICE"",TODAY()-7),2,2)"),436.25)</f>
        <v>436.25</v>
      </c>
      <c r="I54" s="17">
        <f>IFERROR(__xludf.DUMMYFUNCTION("INDEX(GOOGLEFINANCE(""NSE:""&amp;D54,""PRICE"",TODAY()-14),2,2)"),498.1)</f>
        <v>498.1</v>
      </c>
      <c r="J54" s="17">
        <f>IFERROR(__xludf.DUMMYFUNCTION("INDEX(GOOGLEFINANCE(""NSE:""&amp;D54,""PRICE"",TODAY()-28),2,2)"),471.3)</f>
        <v>471.3</v>
      </c>
      <c r="K54" s="17">
        <f>IFERROR(__xludf.DUMMYFUNCTION("INDEX(GOOGLEFINANCE(""NSE:""&amp;D54,""PRICE"",TODAY()-84),2,2)"),462.75)</f>
        <v>462.75</v>
      </c>
      <c r="L54" s="16">
        <f t="shared" si="1"/>
        <v>-0.001428061407</v>
      </c>
      <c r="M54" s="16">
        <f t="shared" si="2"/>
        <v>-0.03828080229</v>
      </c>
      <c r="N54" s="16">
        <f t="shared" si="3"/>
        <v>-0.1576992572</v>
      </c>
      <c r="O54" s="16">
        <f t="shared" si="4"/>
        <v>-0.1098026735</v>
      </c>
      <c r="P54" s="16">
        <f t="shared" si="5"/>
        <v>-0.09335494327</v>
      </c>
      <c r="Q54" s="30">
        <f t="shared" si="6"/>
        <v>-0.05114635591</v>
      </c>
      <c r="R54" s="30">
        <f t="shared" si="7"/>
        <v>-0.1832467024</v>
      </c>
      <c r="S54" s="30">
        <f t="shared" si="8"/>
        <v>-0.1816084477</v>
      </c>
      <c r="T54" s="30">
        <f t="shared" si="9"/>
        <v>-0.2255893755</v>
      </c>
      <c r="U54" s="31" t="str">
        <f t="shared" si="10"/>
        <v>#N/A</v>
      </c>
      <c r="V54" s="31" t="str">
        <f t="shared" si="11"/>
        <v>#N/A</v>
      </c>
      <c r="W54" s="31">
        <f t="shared" si="12"/>
        <v>197</v>
      </c>
      <c r="X54" s="31" t="str">
        <f t="shared" si="13"/>
        <v>#N/A</v>
      </c>
    </row>
    <row r="55">
      <c r="A55" s="1">
        <v>52.0</v>
      </c>
      <c r="B55" s="22" t="s">
        <v>588</v>
      </c>
      <c r="C55" s="22" t="s">
        <v>541</v>
      </c>
      <c r="D55" s="22" t="s">
        <v>141</v>
      </c>
      <c r="E55" s="23">
        <f>IFERROR(__xludf.DUMMYFUNCTION("GOOGLEFINANCE(""NSE:""&amp;D55,""marketcap"")/10000000"),99480.0957361)</f>
        <v>99480.09574</v>
      </c>
      <c r="F55" s="17">
        <f>IFERROR(__xludf.DUMMYFUNCTION("GOOGLEFINANCE(""NSE:""&amp;D55)"),402.9)</f>
        <v>402.9</v>
      </c>
      <c r="G55" s="17">
        <f>IFERROR(__xludf.DUMMYFUNCTION("GOOGLEFINANCE(""NSE:""&amp;D55,""closeyest"")"),369.05)</f>
        <v>369.05</v>
      </c>
      <c r="H55" s="17">
        <f>IFERROR(__xludf.DUMMYFUNCTION("INDEX(GOOGLEFINANCE(""NSE:""&amp;D55,""PRICE"",TODAY()-7),2,2)"),334.75)</f>
        <v>334.75</v>
      </c>
      <c r="I55" s="17">
        <f>IFERROR(__xludf.DUMMYFUNCTION("INDEX(GOOGLEFINANCE(""NSE:""&amp;D55,""PRICE"",TODAY()-14),2,2)"),339.65)</f>
        <v>339.65</v>
      </c>
      <c r="J55" s="17">
        <f>IFERROR(__xludf.DUMMYFUNCTION("INDEX(GOOGLEFINANCE(""NSE:""&amp;D55,""PRICE"",TODAY()-28),2,2)"),311.8)</f>
        <v>311.8</v>
      </c>
      <c r="K55" s="17">
        <f>IFERROR(__xludf.DUMMYFUNCTION("INDEX(GOOGLEFINANCE(""NSE:""&amp;D55,""PRICE"",TODAY()-84),2,2)"),283.85)</f>
        <v>283.85</v>
      </c>
      <c r="L55" s="16">
        <f t="shared" si="1"/>
        <v>0.09172198889</v>
      </c>
      <c r="M55" s="16">
        <f t="shared" si="2"/>
        <v>0.2035847647</v>
      </c>
      <c r="N55" s="16">
        <f t="shared" si="3"/>
        <v>0.18622111</v>
      </c>
      <c r="O55" s="16">
        <f t="shared" si="4"/>
        <v>0.2921744708</v>
      </c>
      <c r="P55" s="16">
        <f t="shared" si="5"/>
        <v>0.4194116611</v>
      </c>
      <c r="Q55" s="30">
        <f t="shared" si="6"/>
        <v>0.1907192111</v>
      </c>
      <c r="R55" s="30">
        <f t="shared" si="7"/>
        <v>0.1606736647</v>
      </c>
      <c r="S55" s="30">
        <f t="shared" si="8"/>
        <v>0.2203686966</v>
      </c>
      <c r="T55" s="30">
        <f t="shared" si="9"/>
        <v>0.2871772289</v>
      </c>
      <c r="U55" s="31" t="str">
        <f t="shared" si="10"/>
        <v>#N/A</v>
      </c>
      <c r="V55" s="31" t="str">
        <f t="shared" si="11"/>
        <v>#N/A</v>
      </c>
      <c r="W55" s="31">
        <f t="shared" si="12"/>
        <v>7</v>
      </c>
      <c r="X55" s="31" t="str">
        <f t="shared" si="13"/>
        <v>#N/A</v>
      </c>
    </row>
    <row r="56">
      <c r="A56" s="1">
        <v>53.0</v>
      </c>
      <c r="B56" s="22" t="s">
        <v>571</v>
      </c>
      <c r="C56" s="22" t="s">
        <v>545</v>
      </c>
      <c r="D56" s="22" t="s">
        <v>120</v>
      </c>
      <c r="E56" s="23">
        <f>IFERROR(__xludf.DUMMYFUNCTION("GOOGLEFINANCE(""NSE:""&amp;D56,""marketcap"")/10000000"),90538.3257945)</f>
        <v>90538.32579</v>
      </c>
      <c r="F56" s="17">
        <f>IFERROR(__xludf.DUMMYFUNCTION("GOOGLEFINANCE(""NSE:""&amp;D56)"),758.1)</f>
        <v>758.1</v>
      </c>
      <c r="G56" s="17">
        <f>IFERROR(__xludf.DUMMYFUNCTION("GOOGLEFINANCE(""NSE:""&amp;D56,""closeyest"")"),752.5)</f>
        <v>752.5</v>
      </c>
      <c r="H56" s="17">
        <f>IFERROR(__xludf.DUMMYFUNCTION("INDEX(GOOGLEFINANCE(""NSE:""&amp;D56,""PRICE"",TODAY()-7),2,2)"),754.15)</f>
        <v>754.15</v>
      </c>
      <c r="I56" s="17">
        <f>IFERROR(__xludf.DUMMYFUNCTION("INDEX(GOOGLEFINANCE(""NSE:""&amp;D56,""PRICE"",TODAY()-14),2,2)"),745.55)</f>
        <v>745.55</v>
      </c>
      <c r="J56" s="17">
        <f>IFERROR(__xludf.DUMMYFUNCTION("INDEX(GOOGLEFINANCE(""NSE:""&amp;D56,""PRICE"",TODAY()-28),2,2)"),775.15)</f>
        <v>775.15</v>
      </c>
      <c r="K56" s="17">
        <f>IFERROR(__xludf.DUMMYFUNCTION("INDEX(GOOGLEFINANCE(""NSE:""&amp;D56,""PRICE"",TODAY()-84),2,2)"),782.6)</f>
        <v>782.6</v>
      </c>
      <c r="L56" s="16">
        <f t="shared" si="1"/>
        <v>0.007441860465</v>
      </c>
      <c r="M56" s="16">
        <f t="shared" si="2"/>
        <v>0.005237684811</v>
      </c>
      <c r="N56" s="16">
        <f t="shared" si="3"/>
        <v>0.01683321038</v>
      </c>
      <c r="O56" s="16">
        <f t="shared" si="4"/>
        <v>-0.02199574276</v>
      </c>
      <c r="P56" s="16">
        <f t="shared" si="5"/>
        <v>-0.0313059034</v>
      </c>
      <c r="Q56" s="30">
        <f t="shared" si="6"/>
        <v>-0.007627868811</v>
      </c>
      <c r="R56" s="30">
        <f t="shared" si="7"/>
        <v>-0.008714234874</v>
      </c>
      <c r="S56" s="30">
        <f t="shared" si="8"/>
        <v>-0.09380151701</v>
      </c>
      <c r="T56" s="30">
        <f t="shared" si="9"/>
        <v>-0.1635403356</v>
      </c>
      <c r="U56" s="31" t="str">
        <f t="shared" si="10"/>
        <v>#N/A</v>
      </c>
      <c r="V56" s="31" t="str">
        <f t="shared" si="11"/>
        <v>#N/A</v>
      </c>
      <c r="W56" s="31">
        <f t="shared" si="12"/>
        <v>183</v>
      </c>
      <c r="X56" s="31" t="str">
        <f t="shared" si="13"/>
        <v>#N/A</v>
      </c>
    </row>
    <row r="57">
      <c r="A57" s="1">
        <v>54.0</v>
      </c>
      <c r="B57" s="22" t="s">
        <v>591</v>
      </c>
      <c r="C57" s="22" t="s">
        <v>526</v>
      </c>
      <c r="D57" s="22" t="s">
        <v>140</v>
      </c>
      <c r="E57" s="23">
        <f>IFERROR(__xludf.DUMMYFUNCTION("GOOGLEFINANCE(""NSE:""&amp;D57,""marketcap"")/10000000"),89867.5281432)</f>
        <v>89867.52814</v>
      </c>
      <c r="F57" s="17">
        <f>IFERROR(__xludf.DUMMYFUNCTION("GOOGLEFINANCE(""NSE:""&amp;D57)"),1435.65)</f>
        <v>1435.65</v>
      </c>
      <c r="G57" s="17">
        <f>IFERROR(__xludf.DUMMYFUNCTION("GOOGLEFINANCE(""NSE:""&amp;D57,""closeyest"")"),1420.45)</f>
        <v>1420.45</v>
      </c>
      <c r="H57" s="17">
        <f>IFERROR(__xludf.DUMMYFUNCTION("INDEX(GOOGLEFINANCE(""NSE:""&amp;D57,""PRICE"",TODAY()-7),2,2)"),1471.9)</f>
        <v>1471.9</v>
      </c>
      <c r="I57" s="17">
        <f>IFERROR(__xludf.DUMMYFUNCTION("INDEX(GOOGLEFINANCE(""NSE:""&amp;D57,""PRICE"",TODAY()-14),2,2)"),1450.1)</f>
        <v>1450.1</v>
      </c>
      <c r="J57" s="17">
        <f>IFERROR(__xludf.DUMMYFUNCTION("INDEX(GOOGLEFINANCE(""NSE:""&amp;D57,""PRICE"",TODAY()-28),2,2)"),1235.0)</f>
        <v>1235</v>
      </c>
      <c r="K57" s="17">
        <f>IFERROR(__xludf.DUMMYFUNCTION("INDEX(GOOGLEFINANCE(""NSE:""&amp;D57,""PRICE"",TODAY()-84),2,2)"),985.55)</f>
        <v>985.55</v>
      </c>
      <c r="L57" s="16">
        <f t="shared" si="1"/>
        <v>0.01070083424</v>
      </c>
      <c r="M57" s="16">
        <f t="shared" si="2"/>
        <v>-0.0246280318</v>
      </c>
      <c r="N57" s="16">
        <f t="shared" si="3"/>
        <v>-0.009964830012</v>
      </c>
      <c r="O57" s="16">
        <f t="shared" si="4"/>
        <v>0.1624696356</v>
      </c>
      <c r="P57" s="16">
        <f t="shared" si="5"/>
        <v>0.456699305</v>
      </c>
      <c r="Q57" s="30">
        <f t="shared" si="6"/>
        <v>-0.03749358542</v>
      </c>
      <c r="R57" s="30">
        <f t="shared" si="7"/>
        <v>-0.03551227527</v>
      </c>
      <c r="S57" s="30">
        <f t="shared" si="8"/>
        <v>0.09066386138</v>
      </c>
      <c r="T57" s="30">
        <f t="shared" si="9"/>
        <v>0.3244648727</v>
      </c>
      <c r="U57" s="31" t="str">
        <f t="shared" si="10"/>
        <v>#N/A</v>
      </c>
      <c r="V57" s="31" t="str">
        <f t="shared" si="11"/>
        <v>#N/A</v>
      </c>
      <c r="W57" s="31">
        <f t="shared" si="12"/>
        <v>32</v>
      </c>
      <c r="X57" s="31" t="str">
        <f t="shared" si="13"/>
        <v>#N/A</v>
      </c>
    </row>
    <row r="58">
      <c r="A58" s="1">
        <v>55.0</v>
      </c>
      <c r="B58" s="22" t="s">
        <v>572</v>
      </c>
      <c r="C58" s="22" t="s">
        <v>528</v>
      </c>
      <c r="D58" s="22" t="s">
        <v>149</v>
      </c>
      <c r="E58" s="23">
        <f>IFERROR(__xludf.DUMMYFUNCTION("GOOGLEFINANCE(""NSE:""&amp;D58,""marketcap"")/10000000"),90533.90502)</f>
        <v>90533.90502</v>
      </c>
      <c r="F58" s="17">
        <f>IFERROR(__xludf.DUMMYFUNCTION("GOOGLEFINANCE(""NSE:""&amp;D58)"),1172.0)</f>
        <v>1172</v>
      </c>
      <c r="G58" s="17">
        <f>IFERROR(__xludf.DUMMYFUNCTION("GOOGLEFINANCE(""NSE:""&amp;D58,""closeyest"")"),1141.4)</f>
        <v>1141.4</v>
      </c>
      <c r="H58" s="17">
        <f>IFERROR(__xludf.DUMMYFUNCTION("INDEX(GOOGLEFINANCE(""NSE:""&amp;D58,""PRICE"",TODAY()-7),2,2)"),1130.0)</f>
        <v>1130</v>
      </c>
      <c r="I58" s="17">
        <f>IFERROR(__xludf.DUMMYFUNCTION("INDEX(GOOGLEFINANCE(""NSE:""&amp;D58,""PRICE"",TODAY()-14),2,2)"),996.3)</f>
        <v>996.3</v>
      </c>
      <c r="J58" s="17">
        <f>IFERROR(__xludf.DUMMYFUNCTION("INDEX(GOOGLEFINANCE(""NSE:""&amp;D58,""PRICE"",TODAY()-28),2,2)"),990.2)</f>
        <v>990.2</v>
      </c>
      <c r="K58" s="17">
        <f>IFERROR(__xludf.DUMMYFUNCTION("INDEX(GOOGLEFINANCE(""NSE:""&amp;D58,""PRICE"",TODAY()-84),2,2)"),1009.65)</f>
        <v>1009.65</v>
      </c>
      <c r="L58" s="16">
        <f t="shared" si="1"/>
        <v>0.02680918171</v>
      </c>
      <c r="M58" s="16">
        <f t="shared" si="2"/>
        <v>0.03716814159</v>
      </c>
      <c r="N58" s="16">
        <f t="shared" si="3"/>
        <v>0.1763525043</v>
      </c>
      <c r="O58" s="16">
        <f t="shared" si="4"/>
        <v>0.1835992729</v>
      </c>
      <c r="P58" s="16">
        <f t="shared" si="5"/>
        <v>0.1607982964</v>
      </c>
      <c r="Q58" s="30">
        <f t="shared" si="6"/>
        <v>0.02430258797</v>
      </c>
      <c r="R58" s="30">
        <f t="shared" si="7"/>
        <v>0.150805059</v>
      </c>
      <c r="S58" s="30">
        <f t="shared" si="8"/>
        <v>0.1117934986</v>
      </c>
      <c r="T58" s="30">
        <f t="shared" si="9"/>
        <v>0.0285638642</v>
      </c>
      <c r="U58" s="31" t="str">
        <f t="shared" si="10"/>
        <v>#N/A</v>
      </c>
      <c r="V58" s="31" t="str">
        <f t="shared" si="11"/>
        <v>#N/A</v>
      </c>
      <c r="W58" s="31">
        <f t="shared" si="12"/>
        <v>22</v>
      </c>
      <c r="X58" s="31" t="str">
        <f t="shared" si="13"/>
        <v>#N/A</v>
      </c>
    </row>
    <row r="59">
      <c r="A59" s="1">
        <v>56.0</v>
      </c>
      <c r="B59" s="22" t="s">
        <v>589</v>
      </c>
      <c r="C59" s="22" t="s">
        <v>590</v>
      </c>
      <c r="D59" s="22" t="s">
        <v>145</v>
      </c>
      <c r="E59" s="23">
        <f>IFERROR(__xludf.DUMMYFUNCTION("GOOGLEFINANCE(""NSE:""&amp;D59,""marketcap"")/10000000"),87755.67034)</f>
        <v>87755.67034</v>
      </c>
      <c r="F59" s="17">
        <f>IFERROR(__xludf.DUMMYFUNCTION("GOOGLEFINANCE(""NSE:""&amp;D59)"),6826.0)</f>
        <v>6826</v>
      </c>
      <c r="G59" s="17">
        <f>IFERROR(__xludf.DUMMYFUNCTION("GOOGLEFINANCE(""NSE:""&amp;D59,""closeyest"")"),6797.65)</f>
        <v>6797.65</v>
      </c>
      <c r="H59" s="17">
        <f>IFERROR(__xludf.DUMMYFUNCTION("INDEX(GOOGLEFINANCE(""NSE:""&amp;D59,""PRICE"",TODAY()-7),2,2)"),6614.7)</f>
        <v>6614.7</v>
      </c>
      <c r="I59" s="17">
        <f>IFERROR(__xludf.DUMMYFUNCTION("INDEX(GOOGLEFINANCE(""NSE:""&amp;D59,""PRICE"",TODAY()-14),2,2)"),6604.35)</f>
        <v>6604.35</v>
      </c>
      <c r="J59" s="17">
        <f>IFERROR(__xludf.DUMMYFUNCTION("INDEX(GOOGLEFINANCE(""NSE:""&amp;D59,""PRICE"",TODAY()-28),2,2)"),5895.65)</f>
        <v>5895.65</v>
      </c>
      <c r="K59" s="17">
        <f>IFERROR(__xludf.DUMMYFUNCTION("INDEX(GOOGLEFINANCE(""NSE:""&amp;D59,""PRICE"",TODAY()-84),2,2)"),5365.1)</f>
        <v>5365.1</v>
      </c>
      <c r="L59" s="16">
        <f t="shared" si="1"/>
        <v>0.004170558943</v>
      </c>
      <c r="M59" s="16">
        <f t="shared" si="2"/>
        <v>0.03194400351</v>
      </c>
      <c r="N59" s="16">
        <f t="shared" si="3"/>
        <v>0.03356121344</v>
      </c>
      <c r="O59" s="16">
        <f t="shared" si="4"/>
        <v>0.1578027868</v>
      </c>
      <c r="P59" s="16">
        <f t="shared" si="5"/>
        <v>0.2722968817</v>
      </c>
      <c r="Q59" s="30">
        <f t="shared" si="6"/>
        <v>0.01907844989</v>
      </c>
      <c r="R59" s="30">
        <f t="shared" si="7"/>
        <v>0.008013768187</v>
      </c>
      <c r="S59" s="30">
        <f t="shared" si="8"/>
        <v>0.08599701255</v>
      </c>
      <c r="T59" s="30">
        <f t="shared" si="9"/>
        <v>0.1400624495</v>
      </c>
      <c r="U59" s="31" t="str">
        <f t="shared" si="10"/>
        <v>#N/A</v>
      </c>
      <c r="V59" s="31" t="str">
        <f t="shared" si="11"/>
        <v>#N/A</v>
      </c>
      <c r="W59" s="31">
        <f t="shared" si="12"/>
        <v>34</v>
      </c>
      <c r="X59" s="31" t="str">
        <f t="shared" si="13"/>
        <v>#N/A</v>
      </c>
    </row>
    <row r="60">
      <c r="A60" s="1">
        <v>57.0</v>
      </c>
      <c r="B60" s="22" t="s">
        <v>586</v>
      </c>
      <c r="C60" s="22" t="s">
        <v>555</v>
      </c>
      <c r="D60" s="22" t="s">
        <v>155</v>
      </c>
      <c r="E60" s="23">
        <f>IFERROR(__xludf.DUMMYFUNCTION("GOOGLEFINANCE(""NSE:""&amp;D60,""marketcap"")/10000000"),85313.8492781)</f>
        <v>85313.84928</v>
      </c>
      <c r="F60" s="17">
        <f>IFERROR(__xludf.DUMMYFUNCTION("GOOGLEFINANCE(""NSE:""&amp;D60)"),2215.1)</f>
        <v>2215.1</v>
      </c>
      <c r="G60" s="17">
        <f>IFERROR(__xludf.DUMMYFUNCTION("GOOGLEFINANCE(""NSE:""&amp;D60,""closeyest"")"),2188.3)</f>
        <v>2188.3</v>
      </c>
      <c r="H60" s="17">
        <f>IFERROR(__xludf.DUMMYFUNCTION("INDEX(GOOGLEFINANCE(""NSE:""&amp;D60,""PRICE"",TODAY()-7),2,2)"),2196.05)</f>
        <v>2196.05</v>
      </c>
      <c r="I60" s="17">
        <f>IFERROR(__xludf.DUMMYFUNCTION("INDEX(GOOGLEFINANCE(""NSE:""&amp;D60,""PRICE"",TODAY()-14),2,2)"),1897.7)</f>
        <v>1897.7</v>
      </c>
      <c r="J60" s="17">
        <f>IFERROR(__xludf.DUMMYFUNCTION("INDEX(GOOGLEFINANCE(""NSE:""&amp;D60,""PRICE"",TODAY()-28),2,2)"),1776.85)</f>
        <v>1776.85</v>
      </c>
      <c r="K60" s="17">
        <f>IFERROR(__xludf.DUMMYFUNCTION("INDEX(GOOGLEFINANCE(""NSE:""&amp;D60,""PRICE"",TODAY()-84),2,2)"),1719.95)</f>
        <v>1719.95</v>
      </c>
      <c r="L60" s="16">
        <f t="shared" si="1"/>
        <v>0.01224694969</v>
      </c>
      <c r="M60" s="16">
        <f t="shared" si="2"/>
        <v>0.008674665877</v>
      </c>
      <c r="N60" s="16">
        <f t="shared" si="3"/>
        <v>0.1672550983</v>
      </c>
      <c r="O60" s="16">
        <f t="shared" si="4"/>
        <v>0.2466443425</v>
      </c>
      <c r="P60" s="16">
        <f t="shared" si="5"/>
        <v>0.2878862758</v>
      </c>
      <c r="Q60" s="30">
        <f t="shared" si="6"/>
        <v>-0.004190887744</v>
      </c>
      <c r="R60" s="30">
        <f t="shared" si="7"/>
        <v>0.141707653</v>
      </c>
      <c r="S60" s="30">
        <f t="shared" si="8"/>
        <v>0.1748385683</v>
      </c>
      <c r="T60" s="30">
        <f t="shared" si="9"/>
        <v>0.1556518435</v>
      </c>
      <c r="U60" s="31" t="str">
        <f t="shared" si="10"/>
        <v>#N/A</v>
      </c>
      <c r="V60" s="31" t="str">
        <f t="shared" si="11"/>
        <v>#N/A</v>
      </c>
      <c r="W60" s="31">
        <f t="shared" si="12"/>
        <v>14</v>
      </c>
      <c r="X60" s="31" t="str">
        <f t="shared" si="13"/>
        <v>#N/A</v>
      </c>
    </row>
    <row r="61">
      <c r="A61" s="1">
        <v>58.0</v>
      </c>
      <c r="B61" s="22" t="s">
        <v>613</v>
      </c>
      <c r="C61" s="22" t="s">
        <v>543</v>
      </c>
      <c r="D61" s="22" t="s">
        <v>134</v>
      </c>
      <c r="E61" s="23">
        <f>IFERROR(__xludf.DUMMYFUNCTION("GOOGLEFINANCE(""NSE:""&amp;D61,""marketcap"")/10000000"),83307.262703)</f>
        <v>83307.2627</v>
      </c>
      <c r="F61" s="17">
        <f>IFERROR(__xludf.DUMMYFUNCTION("GOOGLEFINANCE(""NSE:""&amp;D61)"),418.55)</f>
        <v>418.55</v>
      </c>
      <c r="G61" s="17">
        <f>IFERROR(__xludf.DUMMYFUNCTION("GOOGLEFINANCE(""NSE:""&amp;D61,""closeyest"")"),419.5)</f>
        <v>419.5</v>
      </c>
      <c r="H61" s="17">
        <f>IFERROR(__xludf.DUMMYFUNCTION("INDEX(GOOGLEFINANCE(""NSE:""&amp;D61,""PRICE"",TODAY()-7),2,2)"),419.8)</f>
        <v>419.8</v>
      </c>
      <c r="I61" s="17">
        <f>IFERROR(__xludf.DUMMYFUNCTION("INDEX(GOOGLEFINANCE(""NSE:""&amp;D61,""PRICE"",TODAY()-14),2,2)"),436.25)</f>
        <v>436.25</v>
      </c>
      <c r="J61" s="17">
        <f>IFERROR(__xludf.DUMMYFUNCTION("INDEX(GOOGLEFINANCE(""NSE:""&amp;D61,""PRICE"",TODAY()-28),2,2)"),410.05)</f>
        <v>410.05</v>
      </c>
      <c r="K61" s="17">
        <f>IFERROR(__xludf.DUMMYFUNCTION("INDEX(GOOGLEFINANCE(""NSE:""&amp;D61,""PRICE"",TODAY()-84),2,2)"),339.25)</f>
        <v>339.25</v>
      </c>
      <c r="L61" s="16">
        <f t="shared" si="1"/>
        <v>-0.002264600715</v>
      </c>
      <c r="M61" s="16">
        <f t="shared" si="2"/>
        <v>-0.002977608385</v>
      </c>
      <c r="N61" s="16">
        <f t="shared" si="3"/>
        <v>-0.0405730659</v>
      </c>
      <c r="O61" s="16">
        <f t="shared" si="4"/>
        <v>0.02072917937</v>
      </c>
      <c r="P61" s="16">
        <f t="shared" si="5"/>
        <v>0.2337509211</v>
      </c>
      <c r="Q61" s="30">
        <f t="shared" si="6"/>
        <v>-0.01584316201</v>
      </c>
      <c r="R61" s="30">
        <f t="shared" si="7"/>
        <v>-0.06612051116</v>
      </c>
      <c r="S61" s="30">
        <f t="shared" si="8"/>
        <v>-0.05107659488</v>
      </c>
      <c r="T61" s="30">
        <f t="shared" si="9"/>
        <v>0.1015164889</v>
      </c>
      <c r="U61" s="31" t="str">
        <f t="shared" si="10"/>
        <v>#N/A</v>
      </c>
      <c r="V61" s="31" t="str">
        <f t="shared" si="11"/>
        <v>#N/A</v>
      </c>
      <c r="W61" s="31">
        <f t="shared" si="12"/>
        <v>154</v>
      </c>
      <c r="X61" s="31" t="str">
        <f t="shared" si="13"/>
        <v>#N/A</v>
      </c>
    </row>
    <row r="62">
      <c r="A62" s="1">
        <v>59.0</v>
      </c>
      <c r="B62" s="22" t="s">
        <v>624</v>
      </c>
      <c r="C62" s="22" t="s">
        <v>526</v>
      </c>
      <c r="D62" s="22" t="s">
        <v>143</v>
      </c>
      <c r="E62" s="23">
        <f>IFERROR(__xludf.DUMMYFUNCTION("GOOGLEFINANCE(""NSE:""&amp;D62,""marketcap"")/10000000"),79840.44078)</f>
        <v>79840.44078</v>
      </c>
      <c r="F62" s="17">
        <f>IFERROR(__xludf.DUMMYFUNCTION("GOOGLEFINANCE(""NSE:""&amp;D62)"),822.0)</f>
        <v>822</v>
      </c>
      <c r="G62" s="17">
        <f>IFERROR(__xludf.DUMMYFUNCTION("GOOGLEFINANCE(""NSE:""&amp;D62,""closeyest"")"),812.0)</f>
        <v>812</v>
      </c>
      <c r="H62" s="17">
        <f>IFERROR(__xludf.DUMMYFUNCTION("INDEX(GOOGLEFINANCE(""NSE:""&amp;D62,""PRICE"",TODAY()-7),2,2)"),818.75)</f>
        <v>818.75</v>
      </c>
      <c r="I62" s="17">
        <f>IFERROR(__xludf.DUMMYFUNCTION("INDEX(GOOGLEFINANCE(""NSE:""&amp;D62,""PRICE"",TODAY()-14),2,2)"),839.3)</f>
        <v>839.3</v>
      </c>
      <c r="J62" s="17">
        <f>IFERROR(__xludf.DUMMYFUNCTION("INDEX(GOOGLEFINANCE(""NSE:""&amp;D62,""PRICE"",TODAY()-28),2,2)"),785.85)</f>
        <v>785.85</v>
      </c>
      <c r="K62" s="17">
        <f>IFERROR(__xludf.DUMMYFUNCTION("INDEX(GOOGLEFINANCE(""NSE:""&amp;D62,""PRICE"",TODAY()-84),2,2)"),806.9)</f>
        <v>806.9</v>
      </c>
      <c r="L62" s="16">
        <f t="shared" si="1"/>
        <v>0.01231527094</v>
      </c>
      <c r="M62" s="16">
        <f t="shared" si="2"/>
        <v>0.003969465649</v>
      </c>
      <c r="N62" s="16">
        <f t="shared" si="3"/>
        <v>-0.02061241511</v>
      </c>
      <c r="O62" s="16">
        <f t="shared" si="4"/>
        <v>0.04600114526</v>
      </c>
      <c r="P62" s="16">
        <f t="shared" si="5"/>
        <v>0.01871359524</v>
      </c>
      <c r="Q62" s="30">
        <f t="shared" si="6"/>
        <v>-0.008896087973</v>
      </c>
      <c r="R62" s="30">
        <f t="shared" si="7"/>
        <v>-0.04615986036</v>
      </c>
      <c r="S62" s="30">
        <f t="shared" si="8"/>
        <v>-0.02580462899</v>
      </c>
      <c r="T62" s="30">
        <f t="shared" si="9"/>
        <v>-0.113520837</v>
      </c>
      <c r="U62" s="31" t="str">
        <f t="shared" si="10"/>
        <v>#N/A</v>
      </c>
      <c r="V62" s="31" t="str">
        <f t="shared" si="11"/>
        <v>#N/A</v>
      </c>
      <c r="W62" s="31">
        <f t="shared" si="12"/>
        <v>121</v>
      </c>
      <c r="X62" s="31" t="str">
        <f t="shared" si="13"/>
        <v>#N/A</v>
      </c>
    </row>
    <row r="63">
      <c r="A63" s="1">
        <v>60.0</v>
      </c>
      <c r="B63" s="22" t="s">
        <v>573</v>
      </c>
      <c r="C63" s="22" t="s">
        <v>526</v>
      </c>
      <c r="D63" s="22" t="s">
        <v>138</v>
      </c>
      <c r="E63" s="23">
        <f>IFERROR(__xludf.DUMMYFUNCTION("GOOGLEFINANCE(""NSE:""&amp;D63,""marketcap"")/10000000"),78327.6196645)</f>
        <v>78327.61966</v>
      </c>
      <c r="F63" s="17">
        <f>IFERROR(__xludf.DUMMYFUNCTION("GOOGLEFINANCE(""NSE:""&amp;D63)"),850.0)</f>
        <v>850</v>
      </c>
      <c r="G63" s="17">
        <f>IFERROR(__xludf.DUMMYFUNCTION("GOOGLEFINANCE(""NSE:""&amp;D63,""closeyest"")"),854.15)</f>
        <v>854.15</v>
      </c>
      <c r="H63" s="17">
        <f>IFERROR(__xludf.DUMMYFUNCTION("INDEX(GOOGLEFINANCE(""NSE:""&amp;D63,""PRICE"",TODAY()-7),2,2)"),874.15)</f>
        <v>874.15</v>
      </c>
      <c r="I63" s="17">
        <f>IFERROR(__xludf.DUMMYFUNCTION("INDEX(GOOGLEFINANCE(""NSE:""&amp;D63,""PRICE"",TODAY()-14),2,2)"),882.1)</f>
        <v>882.1</v>
      </c>
      <c r="J63" s="17">
        <f>IFERROR(__xludf.DUMMYFUNCTION("INDEX(GOOGLEFINANCE(""NSE:""&amp;D63,""PRICE"",TODAY()-28),2,2)"),847.95)</f>
        <v>847.95</v>
      </c>
      <c r="K63" s="17">
        <f>IFERROR(__xludf.DUMMYFUNCTION("INDEX(GOOGLEFINANCE(""NSE:""&amp;D63,""PRICE"",TODAY()-84),2,2)"),763.6)</f>
        <v>763.6</v>
      </c>
      <c r="L63" s="16">
        <f t="shared" si="1"/>
        <v>-0.004858631388</v>
      </c>
      <c r="M63" s="16">
        <f t="shared" si="2"/>
        <v>-0.0276268375</v>
      </c>
      <c r="N63" s="16">
        <f t="shared" si="3"/>
        <v>-0.03639043192</v>
      </c>
      <c r="O63" s="16">
        <f t="shared" si="4"/>
        <v>0.002417595377</v>
      </c>
      <c r="P63" s="16">
        <f t="shared" si="5"/>
        <v>0.1131482452</v>
      </c>
      <c r="Q63" s="30">
        <f t="shared" si="6"/>
        <v>-0.04049239112</v>
      </c>
      <c r="R63" s="30">
        <f t="shared" si="7"/>
        <v>-0.06193787718</v>
      </c>
      <c r="S63" s="30">
        <f t="shared" si="8"/>
        <v>-0.06938817887</v>
      </c>
      <c r="T63" s="30">
        <f t="shared" si="9"/>
        <v>-0.01908618708</v>
      </c>
      <c r="U63" s="31" t="str">
        <f t="shared" si="10"/>
        <v>#N/A</v>
      </c>
      <c r="V63" s="31" t="str">
        <f t="shared" si="11"/>
        <v>#N/A</v>
      </c>
      <c r="W63" s="31">
        <f t="shared" si="12"/>
        <v>166</v>
      </c>
      <c r="X63" s="31" t="str">
        <f t="shared" si="13"/>
        <v>#N/A</v>
      </c>
    </row>
    <row r="64">
      <c r="A64" s="1">
        <v>61.0</v>
      </c>
      <c r="B64" s="22" t="s">
        <v>574</v>
      </c>
      <c r="C64" s="22" t="s">
        <v>549</v>
      </c>
      <c r="D64" s="22" t="s">
        <v>151</v>
      </c>
      <c r="E64" s="23">
        <f>IFERROR(__xludf.DUMMYFUNCTION("GOOGLEFINANCE(""NSE:""&amp;D64,""marketcap"")/10000000"),78092.1762537)</f>
        <v>78092.17625</v>
      </c>
      <c r="F64" s="17">
        <f>IFERROR(__xludf.DUMMYFUNCTION("GOOGLEFINANCE(""NSE:""&amp;D64)"),969.0)</f>
        <v>969</v>
      </c>
      <c r="G64" s="17">
        <f>IFERROR(__xludf.DUMMYFUNCTION("GOOGLEFINANCE(""NSE:""&amp;D64,""closeyest"")"),963.5)</f>
        <v>963.5</v>
      </c>
      <c r="H64" s="17">
        <f>IFERROR(__xludf.DUMMYFUNCTION("INDEX(GOOGLEFINANCE(""NSE:""&amp;D64,""PRICE"",TODAY()-7),2,2)"),954.05)</f>
        <v>954.05</v>
      </c>
      <c r="I64" s="17">
        <f>IFERROR(__xludf.DUMMYFUNCTION("INDEX(GOOGLEFINANCE(""NSE:""&amp;D64,""PRICE"",TODAY()-14),2,2)"),950.45)</f>
        <v>950.45</v>
      </c>
      <c r="J64" s="17">
        <f>IFERROR(__xludf.DUMMYFUNCTION("INDEX(GOOGLEFINANCE(""NSE:""&amp;D64,""PRICE"",TODAY()-28),2,2)"),923.9)</f>
        <v>923.9</v>
      </c>
      <c r="K64" s="17">
        <f>IFERROR(__xludf.DUMMYFUNCTION("INDEX(GOOGLEFINANCE(""NSE:""&amp;D64,""PRICE"",TODAY()-84),2,2)"),979.2)</f>
        <v>979.2</v>
      </c>
      <c r="L64" s="16">
        <f t="shared" si="1"/>
        <v>0.005708354956</v>
      </c>
      <c r="M64" s="16">
        <f t="shared" si="2"/>
        <v>0.01567003826</v>
      </c>
      <c r="N64" s="16">
        <f t="shared" si="3"/>
        <v>0.01951707086</v>
      </c>
      <c r="O64" s="16">
        <f t="shared" si="4"/>
        <v>0.0488148068</v>
      </c>
      <c r="P64" s="16">
        <f t="shared" si="5"/>
        <v>-0.01041666667</v>
      </c>
      <c r="Q64" s="30">
        <f t="shared" si="6"/>
        <v>0.002804484636</v>
      </c>
      <c r="R64" s="30">
        <f t="shared" si="7"/>
        <v>-0.006030374394</v>
      </c>
      <c r="S64" s="30">
        <f t="shared" si="8"/>
        <v>-0.02299096745</v>
      </c>
      <c r="T64" s="30">
        <f t="shared" si="9"/>
        <v>-0.1426510989</v>
      </c>
      <c r="U64" s="31" t="str">
        <f t="shared" si="10"/>
        <v>#N/A</v>
      </c>
      <c r="V64" s="31" t="str">
        <f t="shared" si="11"/>
        <v>#N/A</v>
      </c>
      <c r="W64" s="31">
        <f t="shared" si="12"/>
        <v>117</v>
      </c>
      <c r="X64" s="31" t="str">
        <f t="shared" si="13"/>
        <v>#N/A</v>
      </c>
    </row>
    <row r="65">
      <c r="A65" s="1">
        <v>62.0</v>
      </c>
      <c r="B65" s="22" t="s">
        <v>575</v>
      </c>
      <c r="C65" s="22" t="s">
        <v>545</v>
      </c>
      <c r="D65" s="22" t="s">
        <v>157</v>
      </c>
      <c r="E65" s="23">
        <f>IFERROR(__xludf.DUMMYFUNCTION("GOOGLEFINANCE(""NSE:""&amp;D65,""marketcap"")/10000000"),78125.36592)</f>
        <v>78125.36592</v>
      </c>
      <c r="F65" s="17">
        <f>IFERROR(__xludf.DUMMYFUNCTION("GOOGLEFINANCE(""NSE:""&amp;D65)"),2858.7)</f>
        <v>2858.7</v>
      </c>
      <c r="G65" s="17">
        <f>IFERROR(__xludf.DUMMYFUNCTION("GOOGLEFINANCE(""NSE:""&amp;D65,""closeyest"")"),2842.85)</f>
        <v>2842.85</v>
      </c>
      <c r="H65" s="17">
        <f>IFERROR(__xludf.DUMMYFUNCTION("INDEX(GOOGLEFINANCE(""NSE:""&amp;D65,""PRICE"",TODAY()-7),2,2)"),2898.55)</f>
        <v>2898.55</v>
      </c>
      <c r="I65" s="17">
        <f>IFERROR(__xludf.DUMMYFUNCTION("INDEX(GOOGLEFINANCE(""NSE:""&amp;D65,""PRICE"",TODAY()-14),2,2)"),2805.0)</f>
        <v>2805</v>
      </c>
      <c r="J65" s="17">
        <f>IFERROR(__xludf.DUMMYFUNCTION("INDEX(GOOGLEFINANCE(""NSE:""&amp;D65,""PRICE"",TODAY()-28),2,2)"),2576.1)</f>
        <v>2576.1</v>
      </c>
      <c r="K65" s="17">
        <f>IFERROR(__xludf.DUMMYFUNCTION("INDEX(GOOGLEFINANCE(""NSE:""&amp;D65,""PRICE"",TODAY()-84),2,2)"),2661.0)</f>
        <v>2661</v>
      </c>
      <c r="L65" s="16">
        <f t="shared" si="1"/>
        <v>0.005575390893</v>
      </c>
      <c r="M65" s="16">
        <f t="shared" si="2"/>
        <v>-0.01374825344</v>
      </c>
      <c r="N65" s="16">
        <f t="shared" si="3"/>
        <v>0.01914438503</v>
      </c>
      <c r="O65" s="16">
        <f t="shared" si="4"/>
        <v>0.1097007104</v>
      </c>
      <c r="P65" s="16">
        <f t="shared" si="5"/>
        <v>0.07429537768</v>
      </c>
      <c r="Q65" s="30">
        <f t="shared" si="6"/>
        <v>-0.02661380706</v>
      </c>
      <c r="R65" s="30">
        <f t="shared" si="7"/>
        <v>-0.006403060229</v>
      </c>
      <c r="S65" s="30">
        <f t="shared" si="8"/>
        <v>0.03789493613</v>
      </c>
      <c r="T65" s="30">
        <f t="shared" si="9"/>
        <v>-0.05793905456</v>
      </c>
      <c r="U65" s="31" t="str">
        <f t="shared" si="10"/>
        <v>#N/A</v>
      </c>
      <c r="V65" s="31" t="str">
        <f t="shared" si="11"/>
        <v>#N/A</v>
      </c>
      <c r="W65" s="31">
        <f t="shared" si="12"/>
        <v>62</v>
      </c>
      <c r="X65" s="31" t="str">
        <f t="shared" si="13"/>
        <v>#N/A</v>
      </c>
    </row>
    <row r="66">
      <c r="A66" s="1">
        <v>63.0</v>
      </c>
      <c r="B66" s="22" t="s">
        <v>634</v>
      </c>
      <c r="C66" s="22" t="s">
        <v>635</v>
      </c>
      <c r="D66" s="22" t="s">
        <v>136</v>
      </c>
      <c r="E66" s="23">
        <f>IFERROR(__xludf.DUMMYFUNCTION("GOOGLEFINANCE(""NSE:""&amp;D66,""marketcap"")/10000000"),77100.0233)</f>
        <v>77100.0233</v>
      </c>
      <c r="F66" s="17">
        <f>IFERROR(__xludf.DUMMYFUNCTION("GOOGLEFINANCE(""NSE:""&amp;D66)"),2165.0)</f>
        <v>2165</v>
      </c>
      <c r="G66" s="17">
        <f>IFERROR(__xludf.DUMMYFUNCTION("GOOGLEFINANCE(""NSE:""&amp;D66,""closeyest"")"),2161.95)</f>
        <v>2161.95</v>
      </c>
      <c r="H66" s="17">
        <f>IFERROR(__xludf.DUMMYFUNCTION("INDEX(GOOGLEFINANCE(""NSE:""&amp;D66,""PRICE"",TODAY()-7),2,2)"),2180.55)</f>
        <v>2180.55</v>
      </c>
      <c r="I66" s="17">
        <f>IFERROR(__xludf.DUMMYFUNCTION("INDEX(GOOGLEFINANCE(""NSE:""&amp;D66,""PRICE"",TODAY()-14),2,2)"),2208.55)</f>
        <v>2208.55</v>
      </c>
      <c r="J66" s="17">
        <f>IFERROR(__xludf.DUMMYFUNCTION("INDEX(GOOGLEFINANCE(""NSE:""&amp;D66,""PRICE"",TODAY()-28),2,2)"),2222.2)</f>
        <v>2222.2</v>
      </c>
      <c r="K66" s="17">
        <f>IFERROR(__xludf.DUMMYFUNCTION("INDEX(GOOGLEFINANCE(""NSE:""&amp;D66,""PRICE"",TODAY()-84),2,2)"),2019.8)</f>
        <v>2019.8</v>
      </c>
      <c r="L66" s="16">
        <f t="shared" si="1"/>
        <v>0.001410763431</v>
      </c>
      <c r="M66" s="16">
        <f t="shared" si="2"/>
        <v>-0.00713122836</v>
      </c>
      <c r="N66" s="16">
        <f t="shared" si="3"/>
        <v>-0.01971882004</v>
      </c>
      <c r="O66" s="16">
        <f t="shared" si="4"/>
        <v>-0.0257402574</v>
      </c>
      <c r="P66" s="16">
        <f t="shared" si="5"/>
        <v>0.07188830577</v>
      </c>
      <c r="Q66" s="30">
        <f t="shared" si="6"/>
        <v>-0.01999678198</v>
      </c>
      <c r="R66" s="30">
        <f t="shared" si="7"/>
        <v>-0.0452662653</v>
      </c>
      <c r="S66" s="30">
        <f t="shared" si="8"/>
        <v>-0.09754603165</v>
      </c>
      <c r="T66" s="30">
        <f t="shared" si="9"/>
        <v>-0.06034612646</v>
      </c>
      <c r="U66" s="31" t="str">
        <f t="shared" si="10"/>
        <v>#N/A</v>
      </c>
      <c r="V66" s="31" t="str">
        <f t="shared" si="11"/>
        <v>#N/A</v>
      </c>
      <c r="W66" s="31">
        <f t="shared" si="12"/>
        <v>184</v>
      </c>
      <c r="X66" s="31" t="str">
        <f t="shared" si="13"/>
        <v>#N/A</v>
      </c>
    </row>
    <row r="67">
      <c r="A67" s="1">
        <v>64.0</v>
      </c>
      <c r="B67" s="22" t="s">
        <v>643</v>
      </c>
      <c r="C67" s="22" t="s">
        <v>524</v>
      </c>
      <c r="D67" s="22" t="s">
        <v>175</v>
      </c>
      <c r="E67" s="23">
        <f>IFERROR(__xludf.DUMMYFUNCTION("GOOGLEFINANCE(""NSE:""&amp;D67,""marketcap"")/10000000"),75023.4963578)</f>
        <v>75023.49636</v>
      </c>
      <c r="F67" s="17">
        <f>IFERROR(__xludf.DUMMYFUNCTION("GOOGLEFINANCE(""NSE:""&amp;D67)"),4570.0)</f>
        <v>4570</v>
      </c>
      <c r="G67" s="17">
        <f>IFERROR(__xludf.DUMMYFUNCTION("GOOGLEFINANCE(""NSE:""&amp;D67,""closeyest"")"),4523.0)</f>
        <v>4523</v>
      </c>
      <c r="H67" s="17">
        <f>IFERROR(__xludf.DUMMYFUNCTION("INDEX(GOOGLEFINANCE(""NSE:""&amp;D67,""PRICE"",TODAY()-7),2,2)"),4184.2)</f>
        <v>4184.2</v>
      </c>
      <c r="I67" s="17">
        <f>IFERROR(__xludf.DUMMYFUNCTION("INDEX(GOOGLEFINANCE(""NSE:""&amp;D67,""PRICE"",TODAY()-14),2,2)"),3935.05)</f>
        <v>3935.05</v>
      </c>
      <c r="J67" s="17">
        <f>IFERROR(__xludf.DUMMYFUNCTION("INDEX(GOOGLEFINANCE(""NSE:""&amp;D67,""PRICE"",TODAY()-28),2,2)"),3643.05)</f>
        <v>3643.05</v>
      </c>
      <c r="K67" s="17">
        <f>IFERROR(__xludf.DUMMYFUNCTION("INDEX(GOOGLEFINANCE(""NSE:""&amp;D67,""PRICE"",TODAY()-84),2,2)"),2583.1)</f>
        <v>2583.1</v>
      </c>
      <c r="L67" s="16">
        <f t="shared" si="1"/>
        <v>0.01039133319</v>
      </c>
      <c r="M67" s="16">
        <f t="shared" si="2"/>
        <v>0.09220400554</v>
      </c>
      <c r="N67" s="16">
        <f t="shared" si="3"/>
        <v>0.1613575431</v>
      </c>
      <c r="O67" s="16">
        <f t="shared" si="4"/>
        <v>0.2544433922</v>
      </c>
      <c r="P67" s="16">
        <f t="shared" si="5"/>
        <v>0.7691920561</v>
      </c>
      <c r="Q67" s="30">
        <f t="shared" si="6"/>
        <v>0.07933845192</v>
      </c>
      <c r="R67" s="30">
        <f t="shared" si="7"/>
        <v>0.1358100979</v>
      </c>
      <c r="S67" s="30">
        <f t="shared" si="8"/>
        <v>0.182637618</v>
      </c>
      <c r="T67" s="30">
        <f t="shared" si="9"/>
        <v>0.6369576238</v>
      </c>
      <c r="U67" s="31" t="str">
        <f t="shared" si="10"/>
        <v>#N/A</v>
      </c>
      <c r="V67" s="31" t="str">
        <f t="shared" si="11"/>
        <v>#N/A</v>
      </c>
      <c r="W67" s="31">
        <f t="shared" si="12"/>
        <v>12</v>
      </c>
      <c r="X67" s="31" t="str">
        <f t="shared" si="13"/>
        <v>#N/A</v>
      </c>
    </row>
    <row r="68">
      <c r="A68" s="1">
        <v>65.0</v>
      </c>
      <c r="B68" s="22" t="s">
        <v>600</v>
      </c>
      <c r="C68" s="22" t="s">
        <v>528</v>
      </c>
      <c r="D68" s="22" t="s">
        <v>153</v>
      </c>
      <c r="E68" s="23">
        <f>IFERROR(__xludf.DUMMYFUNCTION("GOOGLEFINANCE(""NSE:""&amp;D68,""marketcap"")/10000000"),71748.19195)</f>
        <v>71748.19195</v>
      </c>
      <c r="F68" s="17">
        <f>IFERROR(__xludf.DUMMYFUNCTION("GOOGLEFINANCE(""NSE:""&amp;D68)"),1571.0)</f>
        <v>1571</v>
      </c>
      <c r="G68" s="17">
        <f>IFERROR(__xludf.DUMMYFUNCTION("GOOGLEFINANCE(""NSE:""&amp;D68,""closeyest"")"),1627.7)</f>
        <v>1627.7</v>
      </c>
      <c r="H68" s="17">
        <f>IFERROR(__xludf.DUMMYFUNCTION("INDEX(GOOGLEFINANCE(""NSE:""&amp;D68,""PRICE"",TODAY()-7),2,2)"),1603.95)</f>
        <v>1603.95</v>
      </c>
      <c r="I68" s="17">
        <f>IFERROR(__xludf.DUMMYFUNCTION("INDEX(GOOGLEFINANCE(""NSE:""&amp;D68,""PRICE"",TODAY()-14),2,2)"),1636.85)</f>
        <v>1636.85</v>
      </c>
      <c r="J68" s="17">
        <f>IFERROR(__xludf.DUMMYFUNCTION("INDEX(GOOGLEFINANCE(""NSE:""&amp;D68,""PRICE"",TODAY()-28),2,2)"),1557.7)</f>
        <v>1557.7</v>
      </c>
      <c r="K68" s="17">
        <f>IFERROR(__xludf.DUMMYFUNCTION("INDEX(GOOGLEFINANCE(""NSE:""&amp;D68,""PRICE"",TODAY()-84),2,2)"),1553.45)</f>
        <v>1553.45</v>
      </c>
      <c r="L68" s="16">
        <f t="shared" si="1"/>
        <v>-0.03483442895</v>
      </c>
      <c r="M68" s="16">
        <f t="shared" si="2"/>
        <v>-0.02054303438</v>
      </c>
      <c r="N68" s="16">
        <f t="shared" si="3"/>
        <v>-0.0402297095</v>
      </c>
      <c r="O68" s="16">
        <f t="shared" si="4"/>
        <v>0.008538229441</v>
      </c>
      <c r="P68" s="16">
        <f t="shared" si="5"/>
        <v>0.01129743474</v>
      </c>
      <c r="Q68" s="30">
        <f t="shared" si="6"/>
        <v>-0.03340858801</v>
      </c>
      <c r="R68" s="30">
        <f t="shared" si="7"/>
        <v>-0.06577715476</v>
      </c>
      <c r="S68" s="30">
        <f t="shared" si="8"/>
        <v>-0.06326754481</v>
      </c>
      <c r="T68" s="30">
        <f t="shared" si="9"/>
        <v>-0.1209369975</v>
      </c>
      <c r="U68" s="31" t="str">
        <f t="shared" si="10"/>
        <v>#N/A</v>
      </c>
      <c r="V68" s="31" t="str">
        <f t="shared" si="11"/>
        <v>#N/A</v>
      </c>
      <c r="W68" s="31">
        <f t="shared" si="12"/>
        <v>162</v>
      </c>
      <c r="X68" s="31" t="str">
        <f t="shared" si="13"/>
        <v>#N/A</v>
      </c>
    </row>
    <row r="69">
      <c r="A69" s="1">
        <v>66.0</v>
      </c>
      <c r="B69" s="22" t="s">
        <v>585</v>
      </c>
      <c r="C69" s="22" t="s">
        <v>531</v>
      </c>
      <c r="D69" s="22" t="s">
        <v>177</v>
      </c>
      <c r="E69" s="23">
        <f>IFERROR(__xludf.DUMMYFUNCTION("GOOGLEFINANCE(""NSE:""&amp;D69,""marketcap"")/10000000"),75272.0320022)</f>
        <v>75272.032</v>
      </c>
      <c r="F69" s="17">
        <f>IFERROR(__xludf.DUMMYFUNCTION("GOOGLEFINANCE(""NSE:""&amp;D69)"),278.9)</f>
        <v>278.9</v>
      </c>
      <c r="G69" s="17">
        <f>IFERROR(__xludf.DUMMYFUNCTION("GOOGLEFINANCE(""NSE:""&amp;D69,""closeyest"")"),273.35)</f>
        <v>273.35</v>
      </c>
      <c r="H69" s="17">
        <f>IFERROR(__xludf.DUMMYFUNCTION("INDEX(GOOGLEFINANCE(""NSE:""&amp;D69,""PRICE"",TODAY()-7),2,2)"),268.75)</f>
        <v>268.75</v>
      </c>
      <c r="I69" s="17">
        <f>IFERROR(__xludf.DUMMYFUNCTION("INDEX(GOOGLEFINANCE(""NSE:""&amp;D69,""PRICE"",TODAY()-14),2,2)"),238.85)</f>
        <v>238.85</v>
      </c>
      <c r="J69" s="17">
        <f>IFERROR(__xludf.DUMMYFUNCTION("INDEX(GOOGLEFINANCE(""NSE:""&amp;D69,""PRICE"",TODAY()-28),2,2)"),216.3)</f>
        <v>216.3</v>
      </c>
      <c r="K69" s="17">
        <f>IFERROR(__xludf.DUMMYFUNCTION("INDEX(GOOGLEFINANCE(""NSE:""&amp;D69,""PRICE"",TODAY()-84),2,2)"),234.55)</f>
        <v>234.55</v>
      </c>
      <c r="L69" s="16">
        <f t="shared" si="1"/>
        <v>0.02030364002</v>
      </c>
      <c r="M69" s="16">
        <f t="shared" si="2"/>
        <v>0.03776744186</v>
      </c>
      <c r="N69" s="16">
        <f t="shared" si="3"/>
        <v>0.1676784593</v>
      </c>
      <c r="O69" s="16">
        <f t="shared" si="4"/>
        <v>0.2894128525</v>
      </c>
      <c r="P69" s="16">
        <f t="shared" si="5"/>
        <v>0.1890854828</v>
      </c>
      <c r="Q69" s="30">
        <f t="shared" si="6"/>
        <v>0.02490188824</v>
      </c>
      <c r="R69" s="30">
        <f t="shared" si="7"/>
        <v>0.142131014</v>
      </c>
      <c r="S69" s="30">
        <f t="shared" si="8"/>
        <v>0.2176070783</v>
      </c>
      <c r="T69" s="30">
        <f t="shared" si="9"/>
        <v>0.05685105061</v>
      </c>
      <c r="U69" s="31" t="str">
        <f t="shared" si="10"/>
        <v>#N/A</v>
      </c>
      <c r="V69" s="31" t="str">
        <f t="shared" si="11"/>
        <v>#N/A</v>
      </c>
      <c r="W69" s="31">
        <f t="shared" si="12"/>
        <v>9</v>
      </c>
      <c r="X69" s="31" t="str">
        <f t="shared" si="13"/>
        <v>#N/A</v>
      </c>
    </row>
    <row r="70">
      <c r="A70" s="1">
        <v>67.0</v>
      </c>
      <c r="B70" s="22" t="s">
        <v>604</v>
      </c>
      <c r="C70" s="22" t="s">
        <v>526</v>
      </c>
      <c r="D70" s="22" t="s">
        <v>163</v>
      </c>
      <c r="E70" s="23">
        <f>IFERROR(__xludf.DUMMYFUNCTION("GOOGLEFINANCE(""NSE:""&amp;D70,""marketcap"")/10000000"),73150.3349663)</f>
        <v>73150.33497</v>
      </c>
      <c r="F70" s="17">
        <f>IFERROR(__xludf.DUMMYFUNCTION("GOOGLEFINANCE(""NSE:""&amp;D70)"),568.75)</f>
        <v>568.75</v>
      </c>
      <c r="G70" s="17">
        <f>IFERROR(__xludf.DUMMYFUNCTION("GOOGLEFINANCE(""NSE:""&amp;D70,""closeyest"")"),565.2)</f>
        <v>565.2</v>
      </c>
      <c r="H70" s="17">
        <f>IFERROR(__xludf.DUMMYFUNCTION("INDEX(GOOGLEFINANCE(""NSE:""&amp;D70,""PRICE"",TODAY()-7),2,2)"),560.1)</f>
        <v>560.1</v>
      </c>
      <c r="I70" s="17">
        <f>IFERROR(__xludf.DUMMYFUNCTION("INDEX(GOOGLEFINANCE(""NSE:""&amp;D70,""PRICE"",TODAY()-14),2,2)"),575.6)</f>
        <v>575.6</v>
      </c>
      <c r="J70" s="17">
        <f>IFERROR(__xludf.DUMMYFUNCTION("INDEX(GOOGLEFINANCE(""NSE:""&amp;D70,""PRICE"",TODAY()-28),2,2)"),524.95)</f>
        <v>524.95</v>
      </c>
      <c r="K70" s="17">
        <f>IFERROR(__xludf.DUMMYFUNCTION("INDEX(GOOGLEFINANCE(""NSE:""&amp;D70,""PRICE"",TODAY()-84),2,2)"),519.85)</f>
        <v>519.85</v>
      </c>
      <c r="L70" s="16">
        <f t="shared" si="1"/>
        <v>0.006280962491</v>
      </c>
      <c r="M70" s="16">
        <f t="shared" si="2"/>
        <v>0.01544367077</v>
      </c>
      <c r="N70" s="16">
        <f t="shared" si="3"/>
        <v>-0.01190062543</v>
      </c>
      <c r="O70" s="16">
        <f t="shared" si="4"/>
        <v>0.08343651776</v>
      </c>
      <c r="P70" s="16">
        <f t="shared" si="5"/>
        <v>0.09406559584</v>
      </c>
      <c r="Q70" s="30">
        <f t="shared" si="6"/>
        <v>0.002578117151</v>
      </c>
      <c r="R70" s="30">
        <f t="shared" si="7"/>
        <v>-0.03744807069</v>
      </c>
      <c r="S70" s="30">
        <f t="shared" si="8"/>
        <v>0.01163074352</v>
      </c>
      <c r="T70" s="30">
        <f t="shared" si="9"/>
        <v>-0.03816883639</v>
      </c>
      <c r="U70" s="31" t="str">
        <f t="shared" si="10"/>
        <v>#N/A</v>
      </c>
      <c r="V70" s="31" t="str">
        <f t="shared" si="11"/>
        <v>#N/A</v>
      </c>
      <c r="W70" s="31">
        <f t="shared" si="12"/>
        <v>78</v>
      </c>
      <c r="X70" s="31" t="str">
        <f t="shared" si="13"/>
        <v>#N/A</v>
      </c>
    </row>
    <row r="71">
      <c r="A71" s="1">
        <v>68.0</v>
      </c>
      <c r="B71" s="22" t="s">
        <v>617</v>
      </c>
      <c r="C71" s="22" t="s">
        <v>618</v>
      </c>
      <c r="D71" s="22" t="s">
        <v>161</v>
      </c>
      <c r="E71" s="23">
        <f>IFERROR(__xludf.DUMMYFUNCTION("GOOGLEFINANCE(""NSE:""&amp;D71,""marketcap"")/10000000"),73649.3067)</f>
        <v>73649.3067</v>
      </c>
      <c r="F71" s="17">
        <f>IFERROR(__xludf.DUMMYFUNCTION("GOOGLEFINANCE(""NSE:""&amp;D71)"),5129.0)</f>
        <v>5129</v>
      </c>
      <c r="G71" s="17">
        <f>IFERROR(__xludf.DUMMYFUNCTION("GOOGLEFINANCE(""NSE:""&amp;D71,""closeyest"")"),4904.9)</f>
        <v>4904.9</v>
      </c>
      <c r="H71" s="17">
        <f>IFERROR(__xludf.DUMMYFUNCTION("INDEX(GOOGLEFINANCE(""NSE:""&amp;D71,""PRICE"",TODAY()-7),2,2)"),4908.25)</f>
        <v>4908.25</v>
      </c>
      <c r="I71" s="17">
        <f>IFERROR(__xludf.DUMMYFUNCTION("INDEX(GOOGLEFINANCE(""NSE:""&amp;D71,""PRICE"",TODAY()-14),2,2)"),4745.85)</f>
        <v>4745.85</v>
      </c>
      <c r="J71" s="17">
        <f>IFERROR(__xludf.DUMMYFUNCTION("INDEX(GOOGLEFINANCE(""NSE:""&amp;D71,""PRICE"",TODAY()-28),2,2)"),4765.1)</f>
        <v>4765.1</v>
      </c>
      <c r="K71" s="17">
        <f>IFERROR(__xludf.DUMMYFUNCTION("INDEX(GOOGLEFINANCE(""NSE:""&amp;D71,""PRICE"",TODAY()-84),2,2)"),3733.2)</f>
        <v>3733.2</v>
      </c>
      <c r="L71" s="16">
        <f t="shared" si="1"/>
        <v>0.04568900487</v>
      </c>
      <c r="M71" s="16">
        <f t="shared" si="2"/>
        <v>0.04497529669</v>
      </c>
      <c r="N71" s="16">
        <f t="shared" si="3"/>
        <v>0.08073369365</v>
      </c>
      <c r="O71" s="16">
        <f t="shared" si="4"/>
        <v>0.07636775723</v>
      </c>
      <c r="P71" s="16">
        <f t="shared" si="5"/>
        <v>0.3738883532</v>
      </c>
      <c r="Q71" s="30">
        <f t="shared" si="6"/>
        <v>0.03210974307</v>
      </c>
      <c r="R71" s="30">
        <f t="shared" si="7"/>
        <v>0.05518624839</v>
      </c>
      <c r="S71" s="30">
        <f t="shared" si="8"/>
        <v>0.004561982987</v>
      </c>
      <c r="T71" s="30">
        <f t="shared" si="9"/>
        <v>0.2416539209</v>
      </c>
      <c r="U71" s="31" t="str">
        <f t="shared" si="10"/>
        <v>#N/A</v>
      </c>
      <c r="V71" s="31" t="str">
        <f t="shared" si="11"/>
        <v>#N/A</v>
      </c>
      <c r="W71" s="31">
        <f t="shared" si="12"/>
        <v>86</v>
      </c>
      <c r="X71" s="31" t="str">
        <f t="shared" si="13"/>
        <v>#N/A</v>
      </c>
    </row>
    <row r="72">
      <c r="A72" s="1">
        <v>69.0</v>
      </c>
      <c r="B72" s="22" t="s">
        <v>606</v>
      </c>
      <c r="C72" s="22" t="s">
        <v>528</v>
      </c>
      <c r="D72" s="22" t="s">
        <v>165</v>
      </c>
      <c r="E72" s="23">
        <f>IFERROR(__xludf.DUMMYFUNCTION("GOOGLEFINANCE(""NSE:""&amp;D72,""marketcap"")/10000000"),69056.951375)</f>
        <v>69056.95138</v>
      </c>
      <c r="F72" s="17">
        <f>IFERROR(__xludf.DUMMYFUNCTION("GOOGLEFINANCE(""NSE:""&amp;D72)"),3228.0)</f>
        <v>3228</v>
      </c>
      <c r="G72" s="17">
        <f>IFERROR(__xludf.DUMMYFUNCTION("GOOGLEFINANCE(""NSE:""&amp;D72,""closeyest"")"),3213.1)</f>
        <v>3213.1</v>
      </c>
      <c r="H72" s="17">
        <f>IFERROR(__xludf.DUMMYFUNCTION("INDEX(GOOGLEFINANCE(""NSE:""&amp;D72,""PRICE"",TODAY()-7),2,2)"),3268.8)</f>
        <v>3268.8</v>
      </c>
      <c r="I72" s="17">
        <f>IFERROR(__xludf.DUMMYFUNCTION("INDEX(GOOGLEFINANCE(""NSE:""&amp;D72,""PRICE"",TODAY()-14),2,2)"),3302.05)</f>
        <v>3302.05</v>
      </c>
      <c r="J72" s="17">
        <f>IFERROR(__xludf.DUMMYFUNCTION("INDEX(GOOGLEFINANCE(""NSE:""&amp;D72,""PRICE"",TODAY()-28),2,2)"),3030.3)</f>
        <v>3030.3</v>
      </c>
      <c r="K72" s="17">
        <f>IFERROR(__xludf.DUMMYFUNCTION("INDEX(GOOGLEFINANCE(""NSE:""&amp;D72,""PRICE"",TODAY()-84),2,2)"),2875.6)</f>
        <v>2875.6</v>
      </c>
      <c r="L72" s="16">
        <f t="shared" si="1"/>
        <v>0.004637266192</v>
      </c>
      <c r="M72" s="16">
        <f t="shared" si="2"/>
        <v>-0.01248164464</v>
      </c>
      <c r="N72" s="16">
        <f t="shared" si="3"/>
        <v>-0.02242546297</v>
      </c>
      <c r="O72" s="16">
        <f t="shared" si="4"/>
        <v>0.06524106524</v>
      </c>
      <c r="P72" s="16">
        <f t="shared" si="5"/>
        <v>0.1225483377</v>
      </c>
      <c r="Q72" s="30">
        <f t="shared" si="6"/>
        <v>-0.02534719826</v>
      </c>
      <c r="R72" s="30">
        <f t="shared" si="7"/>
        <v>-0.04797290823</v>
      </c>
      <c r="S72" s="30">
        <f t="shared" si="8"/>
        <v>-0.006564709007</v>
      </c>
      <c r="T72" s="30">
        <f t="shared" si="9"/>
        <v>-0.009686094496</v>
      </c>
      <c r="U72" s="31" t="str">
        <f t="shared" si="10"/>
        <v>#N/A</v>
      </c>
      <c r="V72" s="31" t="str">
        <f t="shared" si="11"/>
        <v>#N/A</v>
      </c>
      <c r="W72" s="31">
        <f t="shared" si="12"/>
        <v>98</v>
      </c>
      <c r="X72" s="31" t="str">
        <f t="shared" si="13"/>
        <v>#N/A</v>
      </c>
    </row>
    <row r="73">
      <c r="A73" s="1">
        <v>70.0</v>
      </c>
      <c r="B73" s="22" t="s">
        <v>614</v>
      </c>
      <c r="C73" s="22" t="s">
        <v>522</v>
      </c>
      <c r="D73" s="22" t="s">
        <v>167</v>
      </c>
      <c r="E73" s="23">
        <f>IFERROR(__xludf.DUMMYFUNCTION("GOOGLEFINANCE(""NSE:""&amp;D73,""marketcap"")/10000000"),67825.6575025)</f>
        <v>67825.6575</v>
      </c>
      <c r="F73" s="17">
        <f>IFERROR(__xludf.DUMMYFUNCTION("GOOGLEFINANCE(""NSE:""&amp;D73)"),153.15)</f>
        <v>153.15</v>
      </c>
      <c r="G73" s="17">
        <f>IFERROR(__xludf.DUMMYFUNCTION("GOOGLEFINANCE(""NSE:""&amp;D73,""closeyest"")"),150.0)</f>
        <v>150</v>
      </c>
      <c r="H73" s="17">
        <f>IFERROR(__xludf.DUMMYFUNCTION("INDEX(GOOGLEFINANCE(""NSE:""&amp;D73,""PRICE"",TODAY()-7),2,2)"),154.1)</f>
        <v>154.1</v>
      </c>
      <c r="I73" s="17">
        <f>IFERROR(__xludf.DUMMYFUNCTION("INDEX(GOOGLEFINANCE(""NSE:""&amp;D73,""PRICE"",TODAY()-14),2,2)"),145.9)</f>
        <v>145.9</v>
      </c>
      <c r="J73" s="17">
        <f>IFERROR(__xludf.DUMMYFUNCTION("INDEX(GOOGLEFINANCE(""NSE:""&amp;D73,""PRICE"",TODAY()-28),2,2)"),143.5)</f>
        <v>143.5</v>
      </c>
      <c r="K73" s="17">
        <f>IFERROR(__xludf.DUMMYFUNCTION("INDEX(GOOGLEFINANCE(""NSE:""&amp;D73,""PRICE"",TODAY()-84),2,2)"),151.3)</f>
        <v>151.3</v>
      </c>
      <c r="L73" s="16">
        <f t="shared" si="1"/>
        <v>0.021</v>
      </c>
      <c r="M73" s="16">
        <f t="shared" si="2"/>
        <v>-0.006164828034</v>
      </c>
      <c r="N73" s="16">
        <f t="shared" si="3"/>
        <v>0.04969156957</v>
      </c>
      <c r="O73" s="16">
        <f t="shared" si="4"/>
        <v>0.06724738676</v>
      </c>
      <c r="P73" s="16">
        <f t="shared" si="5"/>
        <v>0.01222736286</v>
      </c>
      <c r="Q73" s="30">
        <f t="shared" si="6"/>
        <v>-0.01903038166</v>
      </c>
      <c r="R73" s="30">
        <f t="shared" si="7"/>
        <v>0.02414412431</v>
      </c>
      <c r="S73" s="30">
        <f t="shared" si="8"/>
        <v>-0.004558387489</v>
      </c>
      <c r="T73" s="30">
        <f t="shared" si="9"/>
        <v>-0.1200070694</v>
      </c>
      <c r="U73" s="31" t="str">
        <f t="shared" si="10"/>
        <v>#N/A</v>
      </c>
      <c r="V73" s="31" t="str">
        <f t="shared" si="11"/>
        <v>#N/A</v>
      </c>
      <c r="W73" s="31">
        <f t="shared" si="12"/>
        <v>94</v>
      </c>
      <c r="X73" s="31" t="str">
        <f t="shared" si="13"/>
        <v>#N/A</v>
      </c>
    </row>
    <row r="74">
      <c r="A74" s="1">
        <v>71.0</v>
      </c>
      <c r="B74" s="22" t="s">
        <v>644</v>
      </c>
      <c r="C74" s="22" t="s">
        <v>603</v>
      </c>
      <c r="D74" s="22" t="s">
        <v>178</v>
      </c>
      <c r="E74" s="23">
        <f>IFERROR(__xludf.DUMMYFUNCTION("GOOGLEFINANCE(""NSE:""&amp;D74,""marketcap"")/10000000"),65148.5829648)</f>
        <v>65148.58296</v>
      </c>
      <c r="F74" s="17">
        <f>IFERROR(__xludf.DUMMYFUNCTION("GOOGLEFINANCE(""NSE:""&amp;D74)"),11004.0)</f>
        <v>11004</v>
      </c>
      <c r="G74" s="17">
        <f>IFERROR(__xludf.DUMMYFUNCTION("GOOGLEFINANCE(""NSE:""&amp;D74,""closeyest"")"),10730.7)</f>
        <v>10730.7</v>
      </c>
      <c r="H74" s="17">
        <f>IFERROR(__xludf.DUMMYFUNCTION("INDEX(GOOGLEFINANCE(""NSE:""&amp;D74,""PRICE"",TODAY()-7),2,2)"),11099.05)</f>
        <v>11099.05</v>
      </c>
      <c r="I74" s="17">
        <f>IFERROR(__xludf.DUMMYFUNCTION("INDEX(GOOGLEFINANCE(""NSE:""&amp;D74,""PRICE"",TODAY()-14),2,2)"),10685.5)</f>
        <v>10685.5</v>
      </c>
      <c r="J74" s="17">
        <f>IFERROR(__xludf.DUMMYFUNCTION("INDEX(GOOGLEFINANCE(""NSE:""&amp;D74,""PRICE"",TODAY()-28),2,2)"),9423.55)</f>
        <v>9423.55</v>
      </c>
      <c r="K74" s="17">
        <f>IFERROR(__xludf.DUMMYFUNCTION("INDEX(GOOGLEFINANCE(""NSE:""&amp;D74,""PRICE"",TODAY()-84),2,2)"),7496.0)</f>
        <v>7496</v>
      </c>
      <c r="L74" s="16">
        <f t="shared" si="1"/>
        <v>0.02546898152</v>
      </c>
      <c r="M74" s="16">
        <f t="shared" si="2"/>
        <v>-0.008563796001</v>
      </c>
      <c r="N74" s="16">
        <f t="shared" si="3"/>
        <v>0.02980674746</v>
      </c>
      <c r="O74" s="16">
        <f t="shared" si="4"/>
        <v>0.1677128046</v>
      </c>
      <c r="P74" s="16">
        <f t="shared" si="5"/>
        <v>0.4679829242</v>
      </c>
      <c r="Q74" s="30">
        <f t="shared" si="6"/>
        <v>-0.02142934962</v>
      </c>
      <c r="R74" s="30">
        <f t="shared" si="7"/>
        <v>0.004259302206</v>
      </c>
      <c r="S74" s="30">
        <f t="shared" si="8"/>
        <v>0.09590703037</v>
      </c>
      <c r="T74" s="30">
        <f t="shared" si="9"/>
        <v>0.335748492</v>
      </c>
      <c r="U74" s="31" t="str">
        <f t="shared" si="10"/>
        <v>#N/A</v>
      </c>
      <c r="V74" s="31" t="str">
        <f t="shared" si="11"/>
        <v>#N/A</v>
      </c>
      <c r="W74" s="31">
        <f t="shared" si="12"/>
        <v>30</v>
      </c>
      <c r="X74" s="31" t="str">
        <f t="shared" si="13"/>
        <v>#N/A</v>
      </c>
    </row>
    <row r="75">
      <c r="A75" s="1">
        <v>72.0</v>
      </c>
      <c r="B75" s="22" t="s">
        <v>633</v>
      </c>
      <c r="C75" s="22" t="s">
        <v>549</v>
      </c>
      <c r="D75" s="22" t="s">
        <v>169</v>
      </c>
      <c r="E75" s="23">
        <f>IFERROR(__xludf.DUMMYFUNCTION("GOOGLEFINANCE(""NSE:""&amp;D75,""marketcap"")/10000000"),64085.31642)</f>
        <v>64085.31642</v>
      </c>
      <c r="F75" s="17">
        <f>IFERROR(__xludf.DUMMYFUNCTION("GOOGLEFINANCE(""NSE:""&amp;D75)"),3902.0)</f>
        <v>3902</v>
      </c>
      <c r="G75" s="17">
        <f>IFERROR(__xludf.DUMMYFUNCTION("GOOGLEFINANCE(""NSE:""&amp;D75,""closeyest"")"),3877.15)</f>
        <v>3877.15</v>
      </c>
      <c r="H75" s="17">
        <f>IFERROR(__xludf.DUMMYFUNCTION("INDEX(GOOGLEFINANCE(""NSE:""&amp;D75,""PRICE"",TODAY()-7),2,2)"),3962.9)</f>
        <v>3962.9</v>
      </c>
      <c r="I75" s="17">
        <f>IFERROR(__xludf.DUMMYFUNCTION("INDEX(GOOGLEFINANCE(""NSE:""&amp;D75,""PRICE"",TODAY()-14),2,2)"),3810.0)</f>
        <v>3810</v>
      </c>
      <c r="J75" s="17">
        <f>IFERROR(__xludf.DUMMYFUNCTION("INDEX(GOOGLEFINANCE(""NSE:""&amp;D75,""PRICE"",TODAY()-28),2,2)"),3930.25)</f>
        <v>3930.25</v>
      </c>
      <c r="K75" s="17">
        <f>IFERROR(__xludf.DUMMYFUNCTION("INDEX(GOOGLEFINANCE(""NSE:""&amp;D75,""PRICE"",TODAY()-84),2,2)"),3462.6)</f>
        <v>3462.6</v>
      </c>
      <c r="L75" s="16">
        <f t="shared" si="1"/>
        <v>0.006409347072</v>
      </c>
      <c r="M75" s="16">
        <f t="shared" si="2"/>
        <v>-0.01536753388</v>
      </c>
      <c r="N75" s="16">
        <f t="shared" si="3"/>
        <v>0.02414698163</v>
      </c>
      <c r="O75" s="16">
        <f t="shared" si="4"/>
        <v>-0.007187837924</v>
      </c>
      <c r="P75" s="16">
        <f t="shared" si="5"/>
        <v>0.1268988621</v>
      </c>
      <c r="Q75" s="30">
        <f t="shared" si="6"/>
        <v>-0.0282330875</v>
      </c>
      <c r="R75" s="30">
        <f t="shared" si="7"/>
        <v>-0.001400463628</v>
      </c>
      <c r="S75" s="30">
        <f t="shared" si="8"/>
        <v>-0.07899361217</v>
      </c>
      <c r="T75" s="30">
        <f t="shared" si="9"/>
        <v>-0.005335570108</v>
      </c>
      <c r="U75" s="31" t="str">
        <f t="shared" si="10"/>
        <v>#N/A</v>
      </c>
      <c r="V75" s="31" t="str">
        <f t="shared" si="11"/>
        <v>#N/A</v>
      </c>
      <c r="W75" s="31">
        <f t="shared" si="12"/>
        <v>174</v>
      </c>
      <c r="X75" s="31" t="str">
        <f t="shared" si="13"/>
        <v>#N/A</v>
      </c>
    </row>
    <row r="76">
      <c r="A76" s="1">
        <v>73.0</v>
      </c>
      <c r="B76" s="22" t="s">
        <v>625</v>
      </c>
      <c r="C76" s="22" t="s">
        <v>528</v>
      </c>
      <c r="D76" s="22" t="s">
        <v>171</v>
      </c>
      <c r="E76" s="23">
        <f>IFERROR(__xludf.DUMMYFUNCTION("GOOGLEFINANCE(""NSE:""&amp;D76,""marketcap"")/10000000"),65911.1071523)</f>
        <v>65911.10715</v>
      </c>
      <c r="F76" s="17">
        <f>IFERROR(__xludf.DUMMYFUNCTION("GOOGLEFINANCE(""NSE:""&amp;D76)"),2781.0)</f>
        <v>2781</v>
      </c>
      <c r="G76" s="17">
        <f>IFERROR(__xludf.DUMMYFUNCTION("GOOGLEFINANCE(""NSE:""&amp;D76,""closeyest"")"),2638.1)</f>
        <v>2638.1</v>
      </c>
      <c r="H76" s="17">
        <f>IFERROR(__xludf.DUMMYFUNCTION("INDEX(GOOGLEFINANCE(""NSE:""&amp;D76,""PRICE"",TODAY()-7),2,2)"),2634.7)</f>
        <v>2634.7</v>
      </c>
      <c r="I76" s="17">
        <f>IFERROR(__xludf.DUMMYFUNCTION("INDEX(GOOGLEFINANCE(""NSE:""&amp;D76,""PRICE"",TODAY()-14),2,2)"),2570.6)</f>
        <v>2570.6</v>
      </c>
      <c r="J76" s="17">
        <f>IFERROR(__xludf.DUMMYFUNCTION("INDEX(GOOGLEFINANCE(""NSE:""&amp;D76,""PRICE"",TODAY()-28),2,2)"),2571.1)</f>
        <v>2571.1</v>
      </c>
      <c r="K76" s="17">
        <f>IFERROR(__xludf.DUMMYFUNCTION("INDEX(GOOGLEFINANCE(""NSE:""&amp;D76,""PRICE"",TODAY()-84),2,2)"),2404.75)</f>
        <v>2404.75</v>
      </c>
      <c r="L76" s="16">
        <f t="shared" si="1"/>
        <v>0.05416777226</v>
      </c>
      <c r="M76" s="16">
        <f t="shared" si="2"/>
        <v>0.05552814362</v>
      </c>
      <c r="N76" s="16">
        <f t="shared" si="3"/>
        <v>0.08184859566</v>
      </c>
      <c r="O76" s="16">
        <f t="shared" si="4"/>
        <v>0.08163820933</v>
      </c>
      <c r="P76" s="16">
        <f t="shared" si="5"/>
        <v>0.1564611706</v>
      </c>
      <c r="Q76" s="30">
        <f t="shared" si="6"/>
        <v>0.04266259</v>
      </c>
      <c r="R76" s="30">
        <f t="shared" si="7"/>
        <v>0.0563011504</v>
      </c>
      <c r="S76" s="30">
        <f t="shared" si="8"/>
        <v>0.009832435078</v>
      </c>
      <c r="T76" s="30">
        <f t="shared" si="9"/>
        <v>0.02422673837</v>
      </c>
      <c r="U76" s="31" t="str">
        <f t="shared" si="10"/>
        <v>#N/A</v>
      </c>
      <c r="V76" s="31" t="str">
        <f t="shared" si="11"/>
        <v>#N/A</v>
      </c>
      <c r="W76" s="31">
        <f t="shared" si="12"/>
        <v>81</v>
      </c>
      <c r="X76" s="31" t="str">
        <f t="shared" si="13"/>
        <v>#N/A</v>
      </c>
    </row>
    <row r="77">
      <c r="A77" s="1">
        <v>74.0</v>
      </c>
      <c r="B77" s="22" t="s">
        <v>622</v>
      </c>
      <c r="C77" s="22" t="s">
        <v>528</v>
      </c>
      <c r="D77" s="22" t="s">
        <v>173</v>
      </c>
      <c r="E77" s="23">
        <f>IFERROR(__xludf.DUMMYFUNCTION("GOOGLEFINANCE(""NSE:""&amp;D77,""marketcap"")/10000000"),61106.6161064)</f>
        <v>61106.61611</v>
      </c>
      <c r="F77" s="17">
        <f>IFERROR(__xludf.DUMMYFUNCTION("GOOGLEFINANCE(""NSE:""&amp;D77)"),1522.2)</f>
        <v>1522.2</v>
      </c>
      <c r="G77" s="17">
        <f>IFERROR(__xludf.DUMMYFUNCTION("GOOGLEFINANCE(""NSE:""&amp;D77,""closeyest"")"),1543.5)</f>
        <v>1543.5</v>
      </c>
      <c r="H77" s="17">
        <f>IFERROR(__xludf.DUMMYFUNCTION("INDEX(GOOGLEFINANCE(""NSE:""&amp;D77,""PRICE"",TODAY()-7),2,2)"),1513.5)</f>
        <v>1513.5</v>
      </c>
      <c r="I77" s="17">
        <f>IFERROR(__xludf.DUMMYFUNCTION("INDEX(GOOGLEFINANCE(""NSE:""&amp;D77,""PRICE"",TODAY()-14),2,2)"),1544.55)</f>
        <v>1544.55</v>
      </c>
      <c r="J77" s="17">
        <f>IFERROR(__xludf.DUMMYFUNCTION("INDEX(GOOGLEFINANCE(""NSE:""&amp;D77,""PRICE"",TODAY()-28),2,2)"),1491.7)</f>
        <v>1491.7</v>
      </c>
      <c r="K77" s="17">
        <f>IFERROR(__xludf.DUMMYFUNCTION("INDEX(GOOGLEFINANCE(""NSE:""&amp;D77,""PRICE"",TODAY()-84),2,2)"),1477.4)</f>
        <v>1477.4</v>
      </c>
      <c r="L77" s="16">
        <f t="shared" si="1"/>
        <v>-0.01379980564</v>
      </c>
      <c r="M77" s="16">
        <f t="shared" si="2"/>
        <v>0.00574826561</v>
      </c>
      <c r="N77" s="16">
        <f t="shared" si="3"/>
        <v>-0.01447023405</v>
      </c>
      <c r="O77" s="16">
        <f t="shared" si="4"/>
        <v>0.02044647047</v>
      </c>
      <c r="P77" s="16">
        <f t="shared" si="5"/>
        <v>0.03032354136</v>
      </c>
      <c r="Q77" s="30">
        <f t="shared" si="6"/>
        <v>-0.007117288012</v>
      </c>
      <c r="R77" s="30">
        <f t="shared" si="7"/>
        <v>-0.0400176793</v>
      </c>
      <c r="S77" s="30">
        <f t="shared" si="8"/>
        <v>-0.05135930378</v>
      </c>
      <c r="T77" s="30">
        <f t="shared" si="9"/>
        <v>-0.1019108909</v>
      </c>
      <c r="U77" s="31" t="str">
        <f t="shared" si="10"/>
        <v>#N/A</v>
      </c>
      <c r="V77" s="31" t="str">
        <f t="shared" si="11"/>
        <v>#N/A</v>
      </c>
      <c r="W77" s="31">
        <f t="shared" si="12"/>
        <v>155</v>
      </c>
      <c r="X77" s="31" t="str">
        <f t="shared" si="13"/>
        <v>#N/A</v>
      </c>
    </row>
    <row r="78">
      <c r="A78" s="1">
        <v>75.0</v>
      </c>
      <c r="B78" s="22" t="s">
        <v>645</v>
      </c>
      <c r="C78" s="22" t="s">
        <v>524</v>
      </c>
      <c r="D78" s="22" t="s">
        <v>185</v>
      </c>
      <c r="E78" s="23">
        <f>IFERROR(__xludf.DUMMYFUNCTION("GOOGLEFINANCE(""NSE:""&amp;D78,""marketcap"")/10000000"),62743.892)</f>
        <v>62743.892</v>
      </c>
      <c r="F78" s="17">
        <f>IFERROR(__xludf.DUMMYFUNCTION("GOOGLEFINANCE(""NSE:""&amp;D78)"),3350.0)</f>
        <v>3350</v>
      </c>
      <c r="G78" s="17">
        <f>IFERROR(__xludf.DUMMYFUNCTION("GOOGLEFINANCE(""NSE:""&amp;D78,""closeyest"")"),3251.05)</f>
        <v>3251.05</v>
      </c>
      <c r="H78" s="17">
        <f>IFERROR(__xludf.DUMMYFUNCTION("INDEX(GOOGLEFINANCE(""NSE:""&amp;D78,""PRICE"",TODAY()-7),2,2)"),3194.1)</f>
        <v>3194.1</v>
      </c>
      <c r="I78" s="17" t="str">
        <f>IFERROR(__xludf.DUMMYFUNCTION("INDEX(GOOGLEFINANCE(""NSE:""&amp;D78,""PRICE"",TODAY()-14),2,2)"),"#N/A")</f>
        <v>#N/A</v>
      </c>
      <c r="J78" s="17">
        <f>IFERROR(__xludf.DUMMYFUNCTION("INDEX(GOOGLEFINANCE(""NSE:""&amp;D78,""PRICE"",TODAY()-28),2,2)"),2894.8)</f>
        <v>2894.8</v>
      </c>
      <c r="K78" s="17">
        <f>IFERROR(__xludf.DUMMYFUNCTION("INDEX(GOOGLEFINANCE(""NSE:""&amp;D78,""PRICE"",TODAY()-84),2,2)"),2154.95)</f>
        <v>2154.95</v>
      </c>
      <c r="L78" s="16">
        <f t="shared" si="1"/>
        <v>0.03043632057</v>
      </c>
      <c r="M78" s="16">
        <f t="shared" si="2"/>
        <v>0.04880874112</v>
      </c>
      <c r="N78" s="16" t="str">
        <f t="shared" si="3"/>
        <v>#N/A</v>
      </c>
      <c r="O78" s="16">
        <f t="shared" si="4"/>
        <v>0.1572474782</v>
      </c>
      <c r="P78" s="16">
        <f t="shared" si="5"/>
        <v>0.5545604306</v>
      </c>
      <c r="Q78" s="30">
        <f t="shared" si="6"/>
        <v>0.03594318749</v>
      </c>
      <c r="R78" s="32" t="str">
        <f t="shared" si="7"/>
        <v>#N/A</v>
      </c>
      <c r="S78" s="30">
        <f t="shared" si="8"/>
        <v>0.08544170399</v>
      </c>
      <c r="T78" s="30">
        <f t="shared" si="9"/>
        <v>0.4223259984</v>
      </c>
      <c r="U78" s="31" t="str">
        <f t="shared" si="10"/>
        <v>#N/A</v>
      </c>
      <c r="V78" s="31" t="str">
        <f t="shared" si="11"/>
        <v>#N/A</v>
      </c>
      <c r="W78" s="31">
        <f t="shared" si="12"/>
        <v>35</v>
      </c>
      <c r="X78" s="31" t="str">
        <f t="shared" si="13"/>
        <v>#N/A</v>
      </c>
    </row>
    <row r="79">
      <c r="A79" s="1">
        <v>76.0</v>
      </c>
      <c r="B79" s="22" t="s">
        <v>646</v>
      </c>
      <c r="C79" s="22" t="s">
        <v>555</v>
      </c>
      <c r="D79" s="22" t="s">
        <v>221</v>
      </c>
      <c r="E79" s="23">
        <f>IFERROR(__xludf.DUMMYFUNCTION("GOOGLEFINANCE(""NSE:""&amp;D79,""marketcap"")/10000000"),59097.5132992)</f>
        <v>59097.5133</v>
      </c>
      <c r="F79" s="17">
        <f>IFERROR(__xludf.DUMMYFUNCTION("GOOGLEFINANCE(""NSE:""&amp;D79)"),3708.0)</f>
        <v>3708</v>
      </c>
      <c r="G79" s="17">
        <f>IFERROR(__xludf.DUMMYFUNCTION("GOOGLEFINANCE(""NSE:""&amp;D79,""closeyest"")"),3671.3)</f>
        <v>3671.3</v>
      </c>
      <c r="H79" s="17">
        <f>IFERROR(__xludf.DUMMYFUNCTION("INDEX(GOOGLEFINANCE(""NSE:""&amp;D79,""PRICE"",TODAY()-7),2,2)"),3863.4)</f>
        <v>3863.4</v>
      </c>
      <c r="I79" s="17">
        <f>IFERROR(__xludf.DUMMYFUNCTION("INDEX(GOOGLEFINANCE(""NSE:""&amp;D79,""PRICE"",TODAY()-14),2,2)"),3435.75)</f>
        <v>3435.75</v>
      </c>
      <c r="J79" s="17">
        <f>IFERROR(__xludf.DUMMYFUNCTION("INDEX(GOOGLEFINANCE(""NSE:""&amp;D79,""PRICE"",TODAY()-28),2,2)"),2648.7)</f>
        <v>2648.7</v>
      </c>
      <c r="K79" s="17">
        <f>IFERROR(__xludf.DUMMYFUNCTION("INDEX(GOOGLEFINANCE(""NSE:""&amp;D79,""PRICE"",TODAY()-84),2,2)"),2060.55)</f>
        <v>2060.55</v>
      </c>
      <c r="L79" s="16">
        <f t="shared" si="1"/>
        <v>0.00999645902</v>
      </c>
      <c r="M79" s="16">
        <f t="shared" si="2"/>
        <v>-0.04022363721</v>
      </c>
      <c r="N79" s="16">
        <f t="shared" si="3"/>
        <v>0.07924034054</v>
      </c>
      <c r="O79" s="16">
        <f t="shared" si="4"/>
        <v>0.3999320421</v>
      </c>
      <c r="P79" s="16">
        <f t="shared" si="5"/>
        <v>0.7995195458</v>
      </c>
      <c r="Q79" s="30">
        <f t="shared" si="6"/>
        <v>-0.05308919083</v>
      </c>
      <c r="R79" s="30">
        <f t="shared" si="7"/>
        <v>0.05369289528</v>
      </c>
      <c r="S79" s="30">
        <f t="shared" si="8"/>
        <v>0.3281262679</v>
      </c>
      <c r="T79" s="30">
        <f t="shared" si="9"/>
        <v>0.6672851135</v>
      </c>
      <c r="U79" s="31" t="str">
        <f t="shared" si="10"/>
        <v>#N/A</v>
      </c>
      <c r="V79" s="31" t="str">
        <f t="shared" si="11"/>
        <v>#N/A</v>
      </c>
      <c r="W79" s="31">
        <f t="shared" si="12"/>
        <v>5</v>
      </c>
      <c r="X79" s="31" t="str">
        <f t="shared" si="13"/>
        <v>#N/A</v>
      </c>
    </row>
    <row r="80">
      <c r="A80" s="1">
        <v>77.0</v>
      </c>
      <c r="B80" s="22" t="s">
        <v>623</v>
      </c>
      <c r="C80" s="22" t="s">
        <v>549</v>
      </c>
      <c r="D80" s="22" t="s">
        <v>180</v>
      </c>
      <c r="E80" s="23">
        <f>IFERROR(__xludf.DUMMYFUNCTION("GOOGLEFINANCE(""NSE:""&amp;D80,""marketcap"")/10000000"),58104.5313823)</f>
        <v>58104.53138</v>
      </c>
      <c r="F80" s="17">
        <f>IFERROR(__xludf.DUMMYFUNCTION("GOOGLEFINANCE(""NSE:""&amp;D80)"),567.0)</f>
        <v>567</v>
      </c>
      <c r="G80" s="17">
        <f>IFERROR(__xludf.DUMMYFUNCTION("GOOGLEFINANCE(""NSE:""&amp;D80,""closeyest"")"),561.15)</f>
        <v>561.15</v>
      </c>
      <c r="H80" s="17">
        <f>IFERROR(__xludf.DUMMYFUNCTION("INDEX(GOOGLEFINANCE(""NSE:""&amp;D80,""PRICE"",TODAY()-7),2,2)"),557.2)</f>
        <v>557.2</v>
      </c>
      <c r="I80" s="17">
        <f>IFERROR(__xludf.DUMMYFUNCTION("INDEX(GOOGLEFINANCE(""NSE:""&amp;D80,""PRICE"",TODAY()-14),2,2)"),555.55)</f>
        <v>555.55</v>
      </c>
      <c r="J80" s="17">
        <f>IFERROR(__xludf.DUMMYFUNCTION("INDEX(GOOGLEFINANCE(""NSE:""&amp;D80,""PRICE"",TODAY()-28),2,2)"),550.55)</f>
        <v>550.55</v>
      </c>
      <c r="K80" s="17">
        <f>IFERROR(__xludf.DUMMYFUNCTION("INDEX(GOOGLEFINANCE(""NSE:""&amp;D80,""PRICE"",TODAY()-84),2,2)"),639.35)</f>
        <v>639.35</v>
      </c>
      <c r="L80" s="16">
        <f t="shared" si="1"/>
        <v>0.01042502005</v>
      </c>
      <c r="M80" s="16">
        <f t="shared" si="2"/>
        <v>0.0175879397</v>
      </c>
      <c r="N80" s="16">
        <f t="shared" si="3"/>
        <v>0.0206102061</v>
      </c>
      <c r="O80" s="16">
        <f t="shared" si="4"/>
        <v>0.0298792117</v>
      </c>
      <c r="P80" s="16">
        <f t="shared" si="5"/>
        <v>-0.113161805</v>
      </c>
      <c r="Q80" s="30">
        <f t="shared" si="6"/>
        <v>0.004722386077</v>
      </c>
      <c r="R80" s="30">
        <f t="shared" si="7"/>
        <v>-0.004937239153</v>
      </c>
      <c r="S80" s="30">
        <f t="shared" si="8"/>
        <v>-0.04192656255</v>
      </c>
      <c r="T80" s="30">
        <f t="shared" si="9"/>
        <v>-0.2453962372</v>
      </c>
      <c r="U80" s="31" t="str">
        <f t="shared" si="10"/>
        <v>#N/A</v>
      </c>
      <c r="V80" s="31" t="str">
        <f t="shared" si="11"/>
        <v>#N/A</v>
      </c>
      <c r="W80" s="31">
        <f t="shared" si="12"/>
        <v>137</v>
      </c>
      <c r="X80" s="31" t="str">
        <f t="shared" si="13"/>
        <v>#N/A</v>
      </c>
    </row>
    <row r="81">
      <c r="A81" s="1">
        <v>78.0</v>
      </c>
      <c r="B81" s="22" t="s">
        <v>576</v>
      </c>
      <c r="C81" s="22" t="s">
        <v>545</v>
      </c>
      <c r="D81" s="22" t="s">
        <v>183</v>
      </c>
      <c r="E81" s="23">
        <f>IFERROR(__xludf.DUMMYFUNCTION("GOOGLEFINANCE(""NSE:""&amp;D81,""marketcap"")/10000000"),56996.28357)</f>
        <v>56996.28357</v>
      </c>
      <c r="F81" s="17">
        <f>IFERROR(__xludf.DUMMYFUNCTION("GOOGLEFINANCE(""NSE:""&amp;D81)"),2852.0)</f>
        <v>2852</v>
      </c>
      <c r="G81" s="17">
        <f>IFERROR(__xludf.DUMMYFUNCTION("GOOGLEFINANCE(""NSE:""&amp;D81,""closeyest"")"),2847.2)</f>
        <v>2847.2</v>
      </c>
      <c r="H81" s="17">
        <f>IFERROR(__xludf.DUMMYFUNCTION("INDEX(GOOGLEFINANCE(""NSE:""&amp;D81,""PRICE"",TODAY()-7),2,2)"),2932.1)</f>
        <v>2932.1</v>
      </c>
      <c r="I81" s="17">
        <f>IFERROR(__xludf.DUMMYFUNCTION("INDEX(GOOGLEFINANCE(""NSE:""&amp;D81,""PRICE"",TODAY()-14),2,2)"),2789.8)</f>
        <v>2789.8</v>
      </c>
      <c r="J81" s="17">
        <f>IFERROR(__xludf.DUMMYFUNCTION("INDEX(GOOGLEFINANCE(""NSE:""&amp;D81,""PRICE"",TODAY()-28),2,2)"),2674.05)</f>
        <v>2674.05</v>
      </c>
      <c r="K81" s="17">
        <f>IFERROR(__xludf.DUMMYFUNCTION("INDEX(GOOGLEFINANCE(""NSE:""&amp;D81,""PRICE"",TODAY()-84),2,2)"),2919.85)</f>
        <v>2919.85</v>
      </c>
      <c r="L81" s="16">
        <f t="shared" si="1"/>
        <v>0.001685866817</v>
      </c>
      <c r="M81" s="16">
        <f t="shared" si="2"/>
        <v>-0.02731830429</v>
      </c>
      <c r="N81" s="16">
        <f t="shared" si="3"/>
        <v>0.02229550505</v>
      </c>
      <c r="O81" s="16">
        <f t="shared" si="4"/>
        <v>0.066546998</v>
      </c>
      <c r="P81" s="16">
        <f t="shared" si="5"/>
        <v>-0.02323749508</v>
      </c>
      <c r="Q81" s="30">
        <f t="shared" si="6"/>
        <v>-0.04018385791</v>
      </c>
      <c r="R81" s="30">
        <f t="shared" si="7"/>
        <v>-0.003251940201</v>
      </c>
      <c r="S81" s="30">
        <f t="shared" si="8"/>
        <v>-0.005258776249</v>
      </c>
      <c r="T81" s="30">
        <f t="shared" si="9"/>
        <v>-0.1554719273</v>
      </c>
      <c r="U81" s="31" t="str">
        <f t="shared" si="10"/>
        <v>#N/A</v>
      </c>
      <c r="V81" s="31" t="str">
        <f t="shared" si="11"/>
        <v>#N/A</v>
      </c>
      <c r="W81" s="31">
        <f t="shared" si="12"/>
        <v>96</v>
      </c>
      <c r="X81" s="31" t="str">
        <f t="shared" si="13"/>
        <v>#N/A</v>
      </c>
    </row>
    <row r="82">
      <c r="A82" s="1">
        <v>79.0</v>
      </c>
      <c r="B82" s="22" t="s">
        <v>598</v>
      </c>
      <c r="C82" s="22" t="s">
        <v>526</v>
      </c>
      <c r="D82" s="22" t="s">
        <v>191</v>
      </c>
      <c r="E82" s="23">
        <f>IFERROR(__xludf.DUMMYFUNCTION("GOOGLEFINANCE(""NSE:""&amp;D82,""marketcap"")/10000000"),60248.0387241)</f>
        <v>60248.03872</v>
      </c>
      <c r="F82" s="17">
        <f>IFERROR(__xludf.DUMMYFUNCTION("GOOGLEFINANCE(""NSE:""&amp;D82)"),828.0)</f>
        <v>828</v>
      </c>
      <c r="G82" s="17">
        <f>IFERROR(__xludf.DUMMYFUNCTION("GOOGLEFINANCE(""NSE:""&amp;D82,""closeyest"")"),773.5)</f>
        <v>773.5</v>
      </c>
      <c r="H82" s="17">
        <f>IFERROR(__xludf.DUMMYFUNCTION("INDEX(GOOGLEFINANCE(""NSE:""&amp;D82,""PRICE"",TODAY()-7),2,2)"),741.75)</f>
        <v>741.75</v>
      </c>
      <c r="I82" s="17">
        <f>IFERROR(__xludf.DUMMYFUNCTION("INDEX(GOOGLEFINANCE(""NSE:""&amp;D82,""PRICE"",TODAY()-14),2,2)"),754.6)</f>
        <v>754.6</v>
      </c>
      <c r="J82" s="17">
        <f>IFERROR(__xludf.DUMMYFUNCTION("INDEX(GOOGLEFINANCE(""NSE:""&amp;D82,""PRICE"",TODAY()-28),2,2)"),700.45)</f>
        <v>700.45</v>
      </c>
      <c r="K82" s="17">
        <f>IFERROR(__xludf.DUMMYFUNCTION("INDEX(GOOGLEFINANCE(""NSE:""&amp;D82,""PRICE"",TODAY()-84),2,2)"),662.45)</f>
        <v>662.45</v>
      </c>
      <c r="L82" s="16">
        <f t="shared" si="1"/>
        <v>0.07045895281</v>
      </c>
      <c r="M82" s="16">
        <f t="shared" si="2"/>
        <v>0.1162790698</v>
      </c>
      <c r="N82" s="16">
        <f t="shared" si="3"/>
        <v>0.09727007686</v>
      </c>
      <c r="O82" s="16">
        <f t="shared" si="4"/>
        <v>0.1820972232</v>
      </c>
      <c r="P82" s="16">
        <f t="shared" si="5"/>
        <v>0.2499056533</v>
      </c>
      <c r="Q82" s="30">
        <f t="shared" si="6"/>
        <v>0.1034135161</v>
      </c>
      <c r="R82" s="30">
        <f t="shared" si="7"/>
        <v>0.07172263161</v>
      </c>
      <c r="S82" s="30">
        <f t="shared" si="8"/>
        <v>0.110291449</v>
      </c>
      <c r="T82" s="30">
        <f t="shared" si="9"/>
        <v>0.117671221</v>
      </c>
      <c r="U82" s="31" t="str">
        <f t="shared" si="10"/>
        <v>#N/A</v>
      </c>
      <c r="V82" s="31" t="str">
        <f t="shared" si="11"/>
        <v>#N/A</v>
      </c>
      <c r="W82" s="31">
        <f t="shared" si="12"/>
        <v>23</v>
      </c>
      <c r="X82" s="31" t="str">
        <f t="shared" si="13"/>
        <v>#N/A</v>
      </c>
    </row>
    <row r="83">
      <c r="A83" s="1">
        <v>80.0</v>
      </c>
      <c r="B83" s="22" t="s">
        <v>647</v>
      </c>
      <c r="C83" s="22" t="s">
        <v>560</v>
      </c>
      <c r="D83" s="22" t="s">
        <v>229</v>
      </c>
      <c r="E83" s="23">
        <f>IFERROR(__xludf.DUMMYFUNCTION("GOOGLEFINANCE(""NSE:""&amp;D83,""marketcap"")/10000000"),57193.5893556)</f>
        <v>57193.58936</v>
      </c>
      <c r="F83" s="17">
        <f>IFERROR(__xludf.DUMMYFUNCTION("GOOGLEFINANCE(""NSE:""&amp;D83)"),349.0)</f>
        <v>349</v>
      </c>
      <c r="G83" s="17">
        <f>IFERROR(__xludf.DUMMYFUNCTION("GOOGLEFINANCE(""NSE:""&amp;D83,""closeyest"")"),339.7)</f>
        <v>339.7</v>
      </c>
      <c r="H83" s="17">
        <f>IFERROR(__xludf.DUMMYFUNCTION("INDEX(GOOGLEFINANCE(""NSE:""&amp;D83,""PRICE"",TODAY()-7),2,2)"),323.45)</f>
        <v>323.45</v>
      </c>
      <c r="I83" s="17">
        <f>IFERROR(__xludf.DUMMYFUNCTION("INDEX(GOOGLEFINANCE(""NSE:""&amp;D83,""PRICE"",TODAY()-14),2,2)"),293.15)</f>
        <v>293.15</v>
      </c>
      <c r="J83" s="17">
        <f>IFERROR(__xludf.DUMMYFUNCTION("INDEX(GOOGLEFINANCE(""NSE:""&amp;D83,""PRICE"",TODAY()-28),2,2)"),249.2)</f>
        <v>249.2</v>
      </c>
      <c r="K83" s="17">
        <f>IFERROR(__xludf.DUMMYFUNCTION("INDEX(GOOGLEFINANCE(""NSE:""&amp;D83,""PRICE"",TODAY()-84),2,2)"),168.3)</f>
        <v>168.3</v>
      </c>
      <c r="L83" s="16">
        <f t="shared" si="1"/>
        <v>0.02737709744</v>
      </c>
      <c r="M83" s="16">
        <f t="shared" si="2"/>
        <v>0.07899211625</v>
      </c>
      <c r="N83" s="16">
        <f t="shared" si="3"/>
        <v>0.1905168003</v>
      </c>
      <c r="O83" s="16">
        <f t="shared" si="4"/>
        <v>0.4004815409</v>
      </c>
      <c r="P83" s="16">
        <f t="shared" si="5"/>
        <v>1.073677956</v>
      </c>
      <c r="Q83" s="30">
        <f t="shared" si="6"/>
        <v>0.06612656263</v>
      </c>
      <c r="R83" s="30">
        <f t="shared" si="7"/>
        <v>0.164969355</v>
      </c>
      <c r="S83" s="30">
        <f t="shared" si="8"/>
        <v>0.3286757667</v>
      </c>
      <c r="T83" s="30">
        <f t="shared" si="9"/>
        <v>0.9414435238</v>
      </c>
      <c r="U83" s="31" t="str">
        <f t="shared" si="10"/>
        <v>#N/A</v>
      </c>
      <c r="V83" s="31" t="str">
        <f t="shared" si="11"/>
        <v>#N/A</v>
      </c>
      <c r="W83" s="31">
        <f t="shared" si="12"/>
        <v>4</v>
      </c>
      <c r="X83" s="31" t="str">
        <f t="shared" si="13"/>
        <v>#N/A</v>
      </c>
    </row>
    <row r="84">
      <c r="A84" s="1">
        <v>81.0</v>
      </c>
      <c r="B84" s="22" t="s">
        <v>577</v>
      </c>
      <c r="C84" s="22" t="s">
        <v>578</v>
      </c>
      <c r="D84" s="22" t="s">
        <v>181</v>
      </c>
      <c r="E84" s="23">
        <f>IFERROR(__xludf.DUMMYFUNCTION("GOOGLEFINANCE(""NSE:""&amp;D84,""marketcap"")/10000000"),55553.8504648)</f>
        <v>55553.85046</v>
      </c>
      <c r="F84" s="17">
        <f>IFERROR(__xludf.DUMMYFUNCTION("GOOGLEFINANCE(""NSE:""&amp;D84)"),727.1)</f>
        <v>727.1</v>
      </c>
      <c r="G84" s="17">
        <f>IFERROR(__xludf.DUMMYFUNCTION("GOOGLEFINANCE(""NSE:""&amp;D84,""closeyest"")"),724.9)</f>
        <v>724.9</v>
      </c>
      <c r="H84" s="17">
        <f>IFERROR(__xludf.DUMMYFUNCTION("INDEX(GOOGLEFINANCE(""NSE:""&amp;D84,""PRICE"",TODAY()-7),2,2)"),742.35)</f>
        <v>742.35</v>
      </c>
      <c r="I84" s="17">
        <f>IFERROR(__xludf.DUMMYFUNCTION("INDEX(GOOGLEFINANCE(""NSE:""&amp;D84,""PRICE"",TODAY()-14),2,2)"),756.0)</f>
        <v>756</v>
      </c>
      <c r="J84" s="17">
        <f>IFERROR(__xludf.DUMMYFUNCTION("INDEX(GOOGLEFINANCE(""NSE:""&amp;D84,""PRICE"",TODAY()-28),2,2)"),729.25)</f>
        <v>729.25</v>
      </c>
      <c r="K84" s="17">
        <f>IFERROR(__xludf.DUMMYFUNCTION("INDEX(GOOGLEFINANCE(""NSE:""&amp;D84,""PRICE"",TODAY()-84),2,2)"),799.35)</f>
        <v>799.35</v>
      </c>
      <c r="L84" s="16">
        <f t="shared" si="1"/>
        <v>0.003034901366</v>
      </c>
      <c r="M84" s="16">
        <f t="shared" si="2"/>
        <v>-0.02054287061</v>
      </c>
      <c r="N84" s="16">
        <f t="shared" si="3"/>
        <v>-0.03822751323</v>
      </c>
      <c r="O84" s="16">
        <f t="shared" si="4"/>
        <v>-0.002948234487</v>
      </c>
      <c r="P84" s="16">
        <f t="shared" si="5"/>
        <v>-0.09038593858</v>
      </c>
      <c r="Q84" s="30">
        <f t="shared" si="6"/>
        <v>-0.03340842424</v>
      </c>
      <c r="R84" s="30">
        <f t="shared" si="7"/>
        <v>-0.06377495848</v>
      </c>
      <c r="S84" s="30">
        <f t="shared" si="8"/>
        <v>-0.07475400874</v>
      </c>
      <c r="T84" s="30">
        <f t="shared" si="9"/>
        <v>-0.2226203708</v>
      </c>
      <c r="U84" s="31" t="str">
        <f t="shared" si="10"/>
        <v>#N/A</v>
      </c>
      <c r="V84" s="31" t="str">
        <f t="shared" si="11"/>
        <v>#N/A</v>
      </c>
      <c r="W84" s="31">
        <f t="shared" si="12"/>
        <v>170</v>
      </c>
      <c r="X84" s="31" t="str">
        <f t="shared" si="13"/>
        <v>#N/A</v>
      </c>
    </row>
    <row r="85">
      <c r="A85" s="1">
        <v>82.0</v>
      </c>
      <c r="B85" s="22" t="s">
        <v>648</v>
      </c>
      <c r="C85" s="22" t="s">
        <v>541</v>
      </c>
      <c r="D85" s="22" t="s">
        <v>231</v>
      </c>
      <c r="E85" s="23">
        <f>IFERROR(__xludf.DUMMYFUNCTION("GOOGLEFINANCE(""NSE:""&amp;D85,""marketcap"")/10000000"),60988.0081963)</f>
        <v>60988.0082</v>
      </c>
      <c r="F85" s="17">
        <f>IFERROR(__xludf.DUMMYFUNCTION("GOOGLEFINANCE(""NSE:""&amp;D85)"),2182.05)</f>
        <v>2182.05</v>
      </c>
      <c r="G85" s="17">
        <f>IFERROR(__xludf.DUMMYFUNCTION("GOOGLEFINANCE(""NSE:""&amp;D85,""closeyest"")"),1951.1)</f>
        <v>1951.1</v>
      </c>
      <c r="H85" s="17">
        <f>IFERROR(__xludf.DUMMYFUNCTION("INDEX(GOOGLEFINANCE(""NSE:""&amp;D85,""PRICE"",TODAY()-7),2,2)"),1629.55)</f>
        <v>1629.55</v>
      </c>
      <c r="I85" s="17">
        <f>IFERROR(__xludf.DUMMYFUNCTION("INDEX(GOOGLEFINANCE(""NSE:""&amp;D85,""PRICE"",TODAY()-14),2,2)"),1605.9)</f>
        <v>1605.9</v>
      </c>
      <c r="J85" s="17">
        <f>IFERROR(__xludf.DUMMYFUNCTION("INDEX(GOOGLEFINANCE(""NSE:""&amp;D85,""PRICE"",TODAY()-28),2,2)"),1473.7)</f>
        <v>1473.7</v>
      </c>
      <c r="K85" s="17">
        <f>IFERROR(__xludf.DUMMYFUNCTION("INDEX(GOOGLEFINANCE(""NSE:""&amp;D85,""PRICE"",TODAY()-84),2,2)"),1388.4)</f>
        <v>1388.4</v>
      </c>
      <c r="L85" s="16">
        <f t="shared" si="1"/>
        <v>0.1183691251</v>
      </c>
      <c r="M85" s="16">
        <f t="shared" si="2"/>
        <v>0.3390506582</v>
      </c>
      <c r="N85" s="16">
        <f t="shared" si="3"/>
        <v>0.3587707827</v>
      </c>
      <c r="O85" s="16">
        <f t="shared" si="4"/>
        <v>0.4806609215</v>
      </c>
      <c r="P85" s="16">
        <f t="shared" si="5"/>
        <v>0.5716292135</v>
      </c>
      <c r="Q85" s="30">
        <f t="shared" si="6"/>
        <v>0.3261851045</v>
      </c>
      <c r="R85" s="30">
        <f t="shared" si="7"/>
        <v>0.3332233375</v>
      </c>
      <c r="S85" s="30">
        <f t="shared" si="8"/>
        <v>0.4088551472</v>
      </c>
      <c r="T85" s="30">
        <f t="shared" si="9"/>
        <v>0.4393947812</v>
      </c>
      <c r="U85" s="31" t="str">
        <f t="shared" si="10"/>
        <v>#N/A</v>
      </c>
      <c r="V85" s="31" t="str">
        <f t="shared" si="11"/>
        <v>#N/A</v>
      </c>
      <c r="W85" s="31">
        <f t="shared" si="12"/>
        <v>3</v>
      </c>
      <c r="X85" s="31" t="str">
        <f t="shared" si="13"/>
        <v>#N/A</v>
      </c>
    </row>
    <row r="86">
      <c r="A86" s="1">
        <v>83.0</v>
      </c>
      <c r="B86" s="22" t="s">
        <v>608</v>
      </c>
      <c r="C86" s="22" t="s">
        <v>590</v>
      </c>
      <c r="D86" s="22" t="s">
        <v>189</v>
      </c>
      <c r="E86" s="23">
        <f>IFERROR(__xludf.DUMMYFUNCTION("GOOGLEFINANCE(""NSE:""&amp;D86,""marketcap"")/10000000"),54981.09914)</f>
        <v>54981.09914</v>
      </c>
      <c r="F86" s="17">
        <f>IFERROR(__xludf.DUMMYFUNCTION("GOOGLEFINANCE(""NSE:""&amp;D86)"),4170.1)</f>
        <v>4170.1</v>
      </c>
      <c r="G86" s="17">
        <f>IFERROR(__xludf.DUMMYFUNCTION("GOOGLEFINANCE(""NSE:""&amp;D86,""closeyest"")"),4109.2)</f>
        <v>4109.2</v>
      </c>
      <c r="H86" s="17">
        <f>IFERROR(__xludf.DUMMYFUNCTION("INDEX(GOOGLEFINANCE(""NSE:""&amp;D86,""PRICE"",TODAY()-7),2,2)"),4102.8)</f>
        <v>4102.8</v>
      </c>
      <c r="I86" s="17">
        <f>IFERROR(__xludf.DUMMYFUNCTION("INDEX(GOOGLEFINANCE(""NSE:""&amp;D86,""PRICE"",TODAY()-14),2,2)"),4135.2)</f>
        <v>4135.2</v>
      </c>
      <c r="J86" s="17">
        <f>IFERROR(__xludf.DUMMYFUNCTION("INDEX(GOOGLEFINANCE(""NSE:""&amp;D86,""PRICE"",TODAY()-28),2,2)"),3812.35)</f>
        <v>3812.35</v>
      </c>
      <c r="K86" s="17">
        <f>IFERROR(__xludf.DUMMYFUNCTION("INDEX(GOOGLEFINANCE(""NSE:""&amp;D86,""PRICE"",TODAY()-84),2,2)"),3145.75)</f>
        <v>3145.75</v>
      </c>
      <c r="L86" s="16">
        <f t="shared" si="1"/>
        <v>0.014820403</v>
      </c>
      <c r="M86" s="16">
        <f t="shared" si="2"/>
        <v>0.0164034318</v>
      </c>
      <c r="N86" s="16">
        <f t="shared" si="3"/>
        <v>0.008439736893</v>
      </c>
      <c r="O86" s="16">
        <f t="shared" si="4"/>
        <v>0.09383975763</v>
      </c>
      <c r="P86" s="16">
        <f t="shared" si="5"/>
        <v>0.325629818</v>
      </c>
      <c r="Q86" s="30">
        <f t="shared" si="6"/>
        <v>0.003537878181</v>
      </c>
      <c r="R86" s="30">
        <f t="shared" si="7"/>
        <v>-0.01710770836</v>
      </c>
      <c r="S86" s="30">
        <f t="shared" si="8"/>
        <v>0.02203398338</v>
      </c>
      <c r="T86" s="30">
        <f t="shared" si="9"/>
        <v>0.1933953858</v>
      </c>
      <c r="U86" s="31" t="str">
        <f t="shared" si="10"/>
        <v>#N/A</v>
      </c>
      <c r="V86" s="31" t="str">
        <f t="shared" si="11"/>
        <v>#N/A</v>
      </c>
      <c r="W86" s="31">
        <f t="shared" si="12"/>
        <v>69</v>
      </c>
      <c r="X86" s="31" t="str">
        <f t="shared" si="13"/>
        <v>#N/A</v>
      </c>
    </row>
    <row r="87">
      <c r="A87" s="1">
        <v>84.0</v>
      </c>
      <c r="B87" s="22" t="s">
        <v>592</v>
      </c>
      <c r="C87" s="22" t="s">
        <v>528</v>
      </c>
      <c r="D87" s="22" t="s">
        <v>199</v>
      </c>
      <c r="E87" s="23">
        <f>IFERROR(__xludf.DUMMYFUNCTION("GOOGLEFINANCE(""NSE:""&amp;D87,""marketcap"")/10000000"),54817.576037)</f>
        <v>54817.57604</v>
      </c>
      <c r="F87" s="17">
        <f>IFERROR(__xludf.DUMMYFUNCTION("GOOGLEFINANCE(""NSE:""&amp;D87)"),4950.0)</f>
        <v>4950</v>
      </c>
      <c r="G87" s="17">
        <f>IFERROR(__xludf.DUMMYFUNCTION("GOOGLEFINANCE(""NSE:""&amp;D87,""closeyest"")"),4719.2)</f>
        <v>4719.2</v>
      </c>
      <c r="H87" s="17">
        <f>IFERROR(__xludf.DUMMYFUNCTION("INDEX(GOOGLEFINANCE(""NSE:""&amp;D87,""PRICE"",TODAY()-7),2,2)"),4398.85)</f>
        <v>4398.85</v>
      </c>
      <c r="I87" s="17">
        <f>IFERROR(__xludf.DUMMYFUNCTION("INDEX(GOOGLEFINANCE(""NSE:""&amp;D87,""PRICE"",TODAY()-14),2,2)"),4281.4)</f>
        <v>4281.4</v>
      </c>
      <c r="J87" s="17">
        <f>IFERROR(__xludf.DUMMYFUNCTION("INDEX(GOOGLEFINANCE(""NSE:""&amp;D87,""PRICE"",TODAY()-28),2,2)"),4194.95)</f>
        <v>4194.95</v>
      </c>
      <c r="K87" s="17">
        <f>IFERROR(__xludf.DUMMYFUNCTION("INDEX(GOOGLEFINANCE(""NSE:""&amp;D87,""PRICE"",TODAY()-84),2,2)"),3677.0)</f>
        <v>3677</v>
      </c>
      <c r="L87" s="16">
        <f t="shared" si="1"/>
        <v>0.04890659434</v>
      </c>
      <c r="M87" s="16">
        <f t="shared" si="2"/>
        <v>0.125294111</v>
      </c>
      <c r="N87" s="16">
        <f t="shared" si="3"/>
        <v>0.1561638716</v>
      </c>
      <c r="O87" s="16">
        <f t="shared" si="4"/>
        <v>0.1799902263</v>
      </c>
      <c r="P87" s="16">
        <f t="shared" si="5"/>
        <v>0.3462061463</v>
      </c>
      <c r="Q87" s="30">
        <f t="shared" si="6"/>
        <v>0.1124285573</v>
      </c>
      <c r="R87" s="30">
        <f t="shared" si="7"/>
        <v>0.1306164264</v>
      </c>
      <c r="S87" s="30">
        <f t="shared" si="8"/>
        <v>0.1081844521</v>
      </c>
      <c r="T87" s="30">
        <f t="shared" si="9"/>
        <v>0.2139717141</v>
      </c>
      <c r="U87" s="31" t="str">
        <f t="shared" si="10"/>
        <v>#N/A</v>
      </c>
      <c r="V87" s="31" t="str">
        <f t="shared" si="11"/>
        <v>#N/A</v>
      </c>
      <c r="W87" s="31">
        <f t="shared" si="12"/>
        <v>26</v>
      </c>
      <c r="X87" s="31" t="str">
        <f t="shared" si="13"/>
        <v>#N/A</v>
      </c>
    </row>
    <row r="88">
      <c r="A88" s="1">
        <v>85.0</v>
      </c>
      <c r="B88" s="22" t="s">
        <v>630</v>
      </c>
      <c r="C88" s="22" t="s">
        <v>549</v>
      </c>
      <c r="D88" s="22" t="s">
        <v>187</v>
      </c>
      <c r="E88" s="23">
        <f>IFERROR(__xludf.DUMMYFUNCTION("GOOGLEFINANCE(""NSE:""&amp;D88,""marketcap"")/10000000"),52592.0557703)</f>
        <v>52592.05577</v>
      </c>
      <c r="F88" s="17">
        <f>IFERROR(__xludf.DUMMYFUNCTION("GOOGLEFINANCE(""NSE:""&amp;D88)"),3100.65)</f>
        <v>3100.65</v>
      </c>
      <c r="G88" s="17">
        <f>IFERROR(__xludf.DUMMYFUNCTION("GOOGLEFINANCE(""NSE:""&amp;D88,""closeyest"")"),3085.5)</f>
        <v>3085.5</v>
      </c>
      <c r="H88" s="17">
        <f>IFERROR(__xludf.DUMMYFUNCTION("INDEX(GOOGLEFINANCE(""NSE:""&amp;D88,""PRICE"",TODAY()-7),2,2)"),3097.2)</f>
        <v>3097.2</v>
      </c>
      <c r="I88" s="17">
        <f>IFERROR(__xludf.DUMMYFUNCTION("INDEX(GOOGLEFINANCE(""NSE:""&amp;D88,""PRICE"",TODAY()-14),2,2)"),3126.05)</f>
        <v>3126.05</v>
      </c>
      <c r="J88" s="17">
        <f>IFERROR(__xludf.DUMMYFUNCTION("INDEX(GOOGLEFINANCE(""NSE:""&amp;D88,""PRICE"",TODAY()-28),2,2)"),3046.9)</f>
        <v>3046.9</v>
      </c>
      <c r="K88" s="17">
        <f>IFERROR(__xludf.DUMMYFUNCTION("INDEX(GOOGLEFINANCE(""NSE:""&amp;D88,""PRICE"",TODAY()-84),2,2)"),2950.35)</f>
        <v>2950.35</v>
      </c>
      <c r="L88" s="16">
        <f t="shared" si="1"/>
        <v>0.004910063199</v>
      </c>
      <c r="M88" s="16">
        <f t="shared" si="2"/>
        <v>0.001113909337</v>
      </c>
      <c r="N88" s="16">
        <f t="shared" si="3"/>
        <v>-0.008125269909</v>
      </c>
      <c r="O88" s="16">
        <f t="shared" si="4"/>
        <v>0.0176408809</v>
      </c>
      <c r="P88" s="16">
        <f t="shared" si="5"/>
        <v>0.05094310844</v>
      </c>
      <c r="Q88" s="30">
        <f t="shared" si="6"/>
        <v>-0.01175164428</v>
      </c>
      <c r="R88" s="30">
        <f t="shared" si="7"/>
        <v>-0.03367271516</v>
      </c>
      <c r="S88" s="30">
        <f t="shared" si="8"/>
        <v>-0.05416489335</v>
      </c>
      <c r="T88" s="30">
        <f t="shared" si="9"/>
        <v>-0.08129132379</v>
      </c>
      <c r="U88" s="31" t="str">
        <f t="shared" si="10"/>
        <v>#N/A</v>
      </c>
      <c r="V88" s="31" t="str">
        <f t="shared" si="11"/>
        <v>#N/A</v>
      </c>
      <c r="W88" s="31">
        <f t="shared" si="12"/>
        <v>158</v>
      </c>
      <c r="X88" s="31" t="str">
        <f t="shared" si="13"/>
        <v>#N/A</v>
      </c>
    </row>
    <row r="89">
      <c r="A89" s="1">
        <v>86.0</v>
      </c>
      <c r="B89" s="22" t="s">
        <v>649</v>
      </c>
      <c r="C89" s="22" t="s">
        <v>545</v>
      </c>
      <c r="D89" s="22" t="s">
        <v>217</v>
      </c>
      <c r="E89" s="23">
        <f>IFERROR(__xludf.DUMMYFUNCTION("GOOGLEFINANCE(""NSE:""&amp;D89,""marketcap"")/10000000"),51150.7371305)</f>
        <v>51150.73713</v>
      </c>
      <c r="F89" s="17">
        <f>IFERROR(__xludf.DUMMYFUNCTION("GOOGLEFINANCE(""NSE:""&amp;D89)"),2645.95)</f>
        <v>2645.95</v>
      </c>
      <c r="G89" s="17">
        <f>IFERROR(__xludf.DUMMYFUNCTION("GOOGLEFINANCE(""NSE:""&amp;D89,""closeyest"")"),2692.2)</f>
        <v>2692.2</v>
      </c>
      <c r="H89" s="17">
        <f>IFERROR(__xludf.DUMMYFUNCTION("INDEX(GOOGLEFINANCE(""NSE:""&amp;D89,""PRICE"",TODAY()-7),2,2)"),2490.1)</f>
        <v>2490.1</v>
      </c>
      <c r="I89" s="17">
        <f>IFERROR(__xludf.DUMMYFUNCTION("INDEX(GOOGLEFINANCE(""NSE:""&amp;D89,""PRICE"",TODAY()-14),2,2)"),2448.6)</f>
        <v>2448.6</v>
      </c>
      <c r="J89" s="17">
        <f>IFERROR(__xludf.DUMMYFUNCTION("INDEX(GOOGLEFINANCE(""NSE:""&amp;D89,""PRICE"",TODAY()-28),2,2)"),2290.85)</f>
        <v>2290.85</v>
      </c>
      <c r="K89" s="17">
        <f>IFERROR(__xludf.DUMMYFUNCTION("INDEX(GOOGLEFINANCE(""NSE:""&amp;D89,""PRICE"",TODAY()-84),2,2)"),2298.85)</f>
        <v>2298.85</v>
      </c>
      <c r="L89" s="16">
        <f t="shared" si="1"/>
        <v>-0.0171792586</v>
      </c>
      <c r="M89" s="16">
        <f t="shared" si="2"/>
        <v>0.06258784788</v>
      </c>
      <c r="N89" s="16">
        <f t="shared" si="3"/>
        <v>0.08059707588</v>
      </c>
      <c r="O89" s="16">
        <f t="shared" si="4"/>
        <v>0.1550079665</v>
      </c>
      <c r="P89" s="16">
        <f t="shared" si="5"/>
        <v>0.1509885377</v>
      </c>
      <c r="Q89" s="30">
        <f t="shared" si="6"/>
        <v>0.04972229426</v>
      </c>
      <c r="R89" s="30">
        <f t="shared" si="7"/>
        <v>0.05504963062</v>
      </c>
      <c r="S89" s="30">
        <f t="shared" si="8"/>
        <v>0.08320219223</v>
      </c>
      <c r="T89" s="30">
        <f t="shared" si="9"/>
        <v>0.01875410551</v>
      </c>
      <c r="U89" s="31" t="str">
        <f t="shared" si="10"/>
        <v>#N/A</v>
      </c>
      <c r="V89" s="31" t="str">
        <f t="shared" si="11"/>
        <v>#N/A</v>
      </c>
      <c r="W89" s="31">
        <f t="shared" si="12"/>
        <v>37</v>
      </c>
      <c r="X89" s="31" t="str">
        <f t="shared" si="13"/>
        <v>#N/A</v>
      </c>
    </row>
    <row r="90">
      <c r="A90" s="1">
        <v>87.0</v>
      </c>
      <c r="B90" s="22" t="s">
        <v>650</v>
      </c>
      <c r="C90" s="22" t="s">
        <v>635</v>
      </c>
      <c r="D90" s="22" t="s">
        <v>214</v>
      </c>
      <c r="E90" s="23">
        <f>IFERROR(__xludf.DUMMYFUNCTION("GOOGLEFINANCE(""NSE:""&amp;D90,""marketcap"")/10000000"),50498.0412214)</f>
        <v>50498.04122</v>
      </c>
      <c r="F90" s="17">
        <f>IFERROR(__xludf.DUMMYFUNCTION("GOOGLEFINANCE(""NSE:""&amp;D90)"),207.4)</f>
        <v>207.4</v>
      </c>
      <c r="G90" s="17">
        <f>IFERROR(__xludf.DUMMYFUNCTION("GOOGLEFINANCE(""NSE:""&amp;D90,""closeyest"")"),205.95)</f>
        <v>205.95</v>
      </c>
      <c r="H90" s="17">
        <f>IFERROR(__xludf.DUMMYFUNCTION("INDEX(GOOGLEFINANCE(""NSE:""&amp;D90,""PRICE"",TODAY()-7),2,2)"),205.3)</f>
        <v>205.3</v>
      </c>
      <c r="I90" s="17">
        <f>IFERROR(__xludf.DUMMYFUNCTION("INDEX(GOOGLEFINANCE(""NSE:""&amp;D90,""PRICE"",TODAY()-14),2,2)"),196.5)</f>
        <v>196.5</v>
      </c>
      <c r="J90" s="17">
        <f>IFERROR(__xludf.DUMMYFUNCTION("INDEX(GOOGLEFINANCE(""NSE:""&amp;D90,""PRICE"",TODAY()-28),2,2)"),185.3)</f>
        <v>185.3</v>
      </c>
      <c r="K90" s="17">
        <f>IFERROR(__xludf.DUMMYFUNCTION("INDEX(GOOGLEFINANCE(""NSE:""&amp;D90,""PRICE"",TODAY()-84),2,2)"),180.65)</f>
        <v>180.65</v>
      </c>
      <c r="L90" s="16">
        <f t="shared" si="1"/>
        <v>0.007040543821</v>
      </c>
      <c r="M90" s="16">
        <f t="shared" si="2"/>
        <v>0.01022893327</v>
      </c>
      <c r="N90" s="16">
        <f t="shared" si="3"/>
        <v>0.05547073791</v>
      </c>
      <c r="O90" s="16">
        <f t="shared" si="4"/>
        <v>0.119266055</v>
      </c>
      <c r="P90" s="16">
        <f t="shared" si="5"/>
        <v>0.1480763908</v>
      </c>
      <c r="Q90" s="30">
        <f t="shared" si="6"/>
        <v>-0.002636620353</v>
      </c>
      <c r="R90" s="30">
        <f t="shared" si="7"/>
        <v>0.02992329266</v>
      </c>
      <c r="S90" s="30">
        <f t="shared" si="8"/>
        <v>0.0474602808</v>
      </c>
      <c r="T90" s="30">
        <f t="shared" si="9"/>
        <v>0.01584195858</v>
      </c>
      <c r="U90" s="31" t="str">
        <f t="shared" si="10"/>
        <v>#N/A</v>
      </c>
      <c r="V90" s="31" t="str">
        <f t="shared" si="11"/>
        <v>#N/A</v>
      </c>
      <c r="W90" s="31">
        <f t="shared" si="12"/>
        <v>54</v>
      </c>
      <c r="X90" s="31" t="str">
        <f t="shared" si="13"/>
        <v>#N/A</v>
      </c>
    </row>
    <row r="91">
      <c r="A91" s="1">
        <v>88.0</v>
      </c>
      <c r="B91" s="22" t="s">
        <v>651</v>
      </c>
      <c r="C91" s="22" t="s">
        <v>578</v>
      </c>
      <c r="D91" s="22" t="s">
        <v>193</v>
      </c>
      <c r="E91" s="23">
        <f>IFERROR(__xludf.DUMMYFUNCTION("GOOGLEFINANCE(""NSE:""&amp;D91,""marketcap"")/10000000"),49568.30466)</f>
        <v>49568.30466</v>
      </c>
      <c r="F91" s="17">
        <f>IFERROR(__xludf.DUMMYFUNCTION("GOOGLEFINANCE(""NSE:""&amp;D91)"),3269.0)</f>
        <v>3269</v>
      </c>
      <c r="G91" s="17">
        <f>IFERROR(__xludf.DUMMYFUNCTION("GOOGLEFINANCE(""NSE:""&amp;D91,""closeyest"")"),3271.65)</f>
        <v>3271.65</v>
      </c>
      <c r="H91" s="17">
        <f>IFERROR(__xludf.DUMMYFUNCTION("INDEX(GOOGLEFINANCE(""NSE:""&amp;D91,""PRICE"",TODAY()-7),2,2)"),3464.25)</f>
        <v>3464.25</v>
      </c>
      <c r="I91" s="17">
        <f>IFERROR(__xludf.DUMMYFUNCTION("INDEX(GOOGLEFINANCE(""NSE:""&amp;D91,""PRICE"",TODAY()-14),2,2)"),3447.75)</f>
        <v>3447.75</v>
      </c>
      <c r="J91" s="17">
        <f>IFERROR(__xludf.DUMMYFUNCTION("INDEX(GOOGLEFINANCE(""NSE:""&amp;D91,""PRICE"",TODAY()-28),2,2)"),3193.3)</f>
        <v>3193.3</v>
      </c>
      <c r="K91" s="17" t="str">
        <f>IFERROR(__xludf.DUMMYFUNCTION("INDEX(GOOGLEFINANCE(""NSE:""&amp;D91,""PRICE"",TODAY()-84),2,2)"),"#N/A")</f>
        <v>#N/A</v>
      </c>
      <c r="L91" s="16">
        <f t="shared" si="1"/>
        <v>-0.0008099888435</v>
      </c>
      <c r="M91" s="16">
        <f t="shared" si="2"/>
        <v>-0.05636140579</v>
      </c>
      <c r="N91" s="16">
        <f t="shared" si="3"/>
        <v>-0.05184540642</v>
      </c>
      <c r="O91" s="16">
        <f t="shared" si="4"/>
        <v>0.0237058842</v>
      </c>
      <c r="P91" s="16" t="str">
        <f t="shared" si="5"/>
        <v>#N/A</v>
      </c>
      <c r="Q91" s="30">
        <f t="shared" si="6"/>
        <v>-0.06922695941</v>
      </c>
      <c r="R91" s="30">
        <f t="shared" si="7"/>
        <v>-0.07739285168</v>
      </c>
      <c r="S91" s="30">
        <f t="shared" si="8"/>
        <v>-0.04809989005</v>
      </c>
      <c r="T91" s="32" t="str">
        <f t="shared" si="9"/>
        <v>#N/A</v>
      </c>
      <c r="U91" s="31" t="str">
        <f t="shared" si="10"/>
        <v>#N/A</v>
      </c>
      <c r="V91" s="31" t="str">
        <f t="shared" si="11"/>
        <v>#N/A</v>
      </c>
      <c r="W91" s="31">
        <f t="shared" si="12"/>
        <v>148</v>
      </c>
      <c r="X91" s="31" t="str">
        <f t="shared" si="13"/>
        <v>#N/A</v>
      </c>
    </row>
    <row r="92">
      <c r="A92" s="1">
        <v>89.0</v>
      </c>
      <c r="B92" s="22" t="s">
        <v>652</v>
      </c>
      <c r="C92" s="22" t="s">
        <v>524</v>
      </c>
      <c r="D92" s="22" t="s">
        <v>239</v>
      </c>
      <c r="E92" s="23">
        <f>IFERROR(__xludf.DUMMYFUNCTION("GOOGLEFINANCE(""NSE:""&amp;D92,""marketcap"")/10000000"),50168.9496318)</f>
        <v>50168.94963</v>
      </c>
      <c r="F92" s="17">
        <f>IFERROR(__xludf.DUMMYFUNCTION("GOOGLEFINANCE(""NSE:""&amp;D92)"),4780.05)</f>
        <v>4780.05</v>
      </c>
      <c r="G92" s="17">
        <f>IFERROR(__xludf.DUMMYFUNCTION("GOOGLEFINANCE(""NSE:""&amp;D92,""closeyest"")"),4682.3)</f>
        <v>4682.3</v>
      </c>
      <c r="H92" s="17">
        <f>IFERROR(__xludf.DUMMYFUNCTION("INDEX(GOOGLEFINANCE(""NSE:""&amp;D92,""PRICE"",TODAY()-7),2,2)"),4558.7)</f>
        <v>4558.7</v>
      </c>
      <c r="I92" s="17">
        <f>IFERROR(__xludf.DUMMYFUNCTION("INDEX(GOOGLEFINANCE(""NSE:""&amp;D92,""PRICE"",TODAY()-14),2,2)"),4373.25)</f>
        <v>4373.25</v>
      </c>
      <c r="J92" s="17">
        <f>IFERROR(__xludf.DUMMYFUNCTION("INDEX(GOOGLEFINANCE(""NSE:""&amp;D92,""PRICE"",TODAY()-28),2,2)"),3974.2)</f>
        <v>3974.2</v>
      </c>
      <c r="K92" s="17">
        <f>IFERROR(__xludf.DUMMYFUNCTION("INDEX(GOOGLEFINANCE(""NSE:""&amp;D92,""PRICE"",TODAY()-84),2,2)"),2877.2)</f>
        <v>2877.2</v>
      </c>
      <c r="L92" s="16">
        <f t="shared" si="1"/>
        <v>0.02087649232</v>
      </c>
      <c r="M92" s="16">
        <f t="shared" si="2"/>
        <v>0.04855550925</v>
      </c>
      <c r="N92" s="16">
        <f t="shared" si="3"/>
        <v>0.09302006517</v>
      </c>
      <c r="O92" s="16">
        <f t="shared" si="4"/>
        <v>0.2027703689</v>
      </c>
      <c r="P92" s="16">
        <f t="shared" si="5"/>
        <v>0.6613547894</v>
      </c>
      <c r="Q92" s="30">
        <f t="shared" si="6"/>
        <v>0.03568995562</v>
      </c>
      <c r="R92" s="30">
        <f t="shared" si="7"/>
        <v>0.06747261991</v>
      </c>
      <c r="S92" s="30">
        <f t="shared" si="8"/>
        <v>0.1309645946</v>
      </c>
      <c r="T92" s="30">
        <f t="shared" si="9"/>
        <v>0.5291203571</v>
      </c>
      <c r="U92" s="31" t="str">
        <f t="shared" si="10"/>
        <v>#N/A</v>
      </c>
      <c r="V92" s="31" t="str">
        <f t="shared" si="11"/>
        <v>#N/A</v>
      </c>
      <c r="W92" s="31">
        <f t="shared" si="12"/>
        <v>19</v>
      </c>
      <c r="X92" s="31" t="str">
        <f t="shared" si="13"/>
        <v>#N/A</v>
      </c>
    </row>
    <row r="93">
      <c r="A93" s="1">
        <v>90.0</v>
      </c>
      <c r="B93" s="22" t="s">
        <v>653</v>
      </c>
      <c r="C93" s="22" t="s">
        <v>528</v>
      </c>
      <c r="D93" s="22" t="s">
        <v>210</v>
      </c>
      <c r="E93" s="23">
        <f>IFERROR(__xludf.DUMMYFUNCTION("GOOGLEFINANCE(""NSE:""&amp;D93,""marketcap"")/10000000"),48069.21668)</f>
        <v>48069.21668</v>
      </c>
      <c r="F93" s="17">
        <f>IFERROR(__xludf.DUMMYFUNCTION("GOOGLEFINANCE(""NSE:""&amp;D93)"),585.3)</f>
        <v>585.3</v>
      </c>
      <c r="G93" s="17">
        <f>IFERROR(__xludf.DUMMYFUNCTION("GOOGLEFINANCE(""NSE:""&amp;D93,""closeyest"")"),571.05)</f>
        <v>571.05</v>
      </c>
      <c r="H93" s="17">
        <f>IFERROR(__xludf.DUMMYFUNCTION("INDEX(GOOGLEFINANCE(""NSE:""&amp;D93,""PRICE"",TODAY()-7),2,2)"),606.85)</f>
        <v>606.85</v>
      </c>
      <c r="I93" s="17">
        <f>IFERROR(__xludf.DUMMYFUNCTION("INDEX(GOOGLEFINANCE(""NSE:""&amp;D93,""PRICE"",TODAY()-14),2,2)"),584.4)</f>
        <v>584.4</v>
      </c>
      <c r="J93" s="17">
        <f>IFERROR(__xludf.DUMMYFUNCTION("INDEX(GOOGLEFINANCE(""NSE:""&amp;D93,""PRICE"",TODAY()-28),2,2)"),524.8)</f>
        <v>524.8</v>
      </c>
      <c r="K93" s="17">
        <f>IFERROR(__xludf.DUMMYFUNCTION("INDEX(GOOGLEFINANCE(""NSE:""&amp;D93,""PRICE"",TODAY()-84),2,2)"),510.1)</f>
        <v>510.1</v>
      </c>
      <c r="L93" s="16">
        <f t="shared" si="1"/>
        <v>0.02495403205</v>
      </c>
      <c r="M93" s="16">
        <f t="shared" si="2"/>
        <v>-0.0355112466</v>
      </c>
      <c r="N93" s="16">
        <f t="shared" si="3"/>
        <v>0.001540041068</v>
      </c>
      <c r="O93" s="16">
        <f t="shared" si="4"/>
        <v>0.1152820122</v>
      </c>
      <c r="P93" s="16">
        <f t="shared" si="5"/>
        <v>0.1474220741</v>
      </c>
      <c r="Q93" s="30">
        <f t="shared" si="6"/>
        <v>-0.04837680022</v>
      </c>
      <c r="R93" s="30">
        <f t="shared" si="7"/>
        <v>-0.02400740419</v>
      </c>
      <c r="S93" s="30">
        <f t="shared" si="8"/>
        <v>0.04347623795</v>
      </c>
      <c r="T93" s="30">
        <f t="shared" si="9"/>
        <v>0.01518764187</v>
      </c>
      <c r="U93" s="31" t="str">
        <f t="shared" si="10"/>
        <v>#N/A</v>
      </c>
      <c r="V93" s="31" t="str">
        <f t="shared" si="11"/>
        <v>#N/A</v>
      </c>
      <c r="W93" s="31">
        <f t="shared" si="12"/>
        <v>57</v>
      </c>
      <c r="X93" s="31" t="str">
        <f t="shared" si="13"/>
        <v>#N/A</v>
      </c>
    </row>
    <row r="94">
      <c r="A94" s="1">
        <v>91.0</v>
      </c>
      <c r="B94" s="22" t="s">
        <v>619</v>
      </c>
      <c r="C94" s="22" t="s">
        <v>526</v>
      </c>
      <c r="D94" s="22" t="s">
        <v>205</v>
      </c>
      <c r="E94" s="23">
        <f>IFERROR(__xludf.DUMMYFUNCTION("GOOGLEFINANCE(""NSE:""&amp;D94,""marketcap"")/10000000"),46357.1508675)</f>
        <v>46357.15087</v>
      </c>
      <c r="F94" s="17">
        <f>IFERROR(__xludf.DUMMYFUNCTION("GOOGLEFINANCE(""NSE:""&amp;D94)"),1703.4)</f>
        <v>1703.4</v>
      </c>
      <c r="G94" s="17">
        <f>IFERROR(__xludf.DUMMYFUNCTION("GOOGLEFINANCE(""NSE:""&amp;D94,""closeyest"")"),1720.4)</f>
        <v>1720.4</v>
      </c>
      <c r="H94" s="17">
        <f>IFERROR(__xludf.DUMMYFUNCTION("INDEX(GOOGLEFINANCE(""NSE:""&amp;D94,""PRICE"",TODAY()-7),2,2)"),1732.55)</f>
        <v>1732.55</v>
      </c>
      <c r="I94" s="17">
        <f>IFERROR(__xludf.DUMMYFUNCTION("INDEX(GOOGLEFINANCE(""NSE:""&amp;D94,""PRICE"",TODAY()-14),2,2)"),1723.3)</f>
        <v>1723.3</v>
      </c>
      <c r="J94" s="17">
        <f>IFERROR(__xludf.DUMMYFUNCTION("INDEX(GOOGLEFINANCE(""NSE:""&amp;D94,""PRICE"",TODAY()-28),2,2)"),1655.6)</f>
        <v>1655.6</v>
      </c>
      <c r="K94" s="17">
        <f>IFERROR(__xludf.DUMMYFUNCTION("INDEX(GOOGLEFINANCE(""NSE:""&amp;D94,""PRICE"",TODAY()-84),2,2)"),1689.55)</f>
        <v>1689.55</v>
      </c>
      <c r="L94" s="16">
        <f t="shared" si="1"/>
        <v>-0.009881422925</v>
      </c>
      <c r="M94" s="16">
        <f t="shared" si="2"/>
        <v>-0.01682491126</v>
      </c>
      <c r="N94" s="16">
        <f t="shared" si="3"/>
        <v>-0.01154761214</v>
      </c>
      <c r="O94" s="16">
        <f t="shared" si="4"/>
        <v>0.02887170814</v>
      </c>
      <c r="P94" s="16">
        <f t="shared" si="5"/>
        <v>0.008197449025</v>
      </c>
      <c r="Q94" s="30">
        <f t="shared" si="6"/>
        <v>-0.02969046488</v>
      </c>
      <c r="R94" s="30">
        <f t="shared" si="7"/>
        <v>-0.03709505739</v>
      </c>
      <c r="S94" s="30">
        <f t="shared" si="8"/>
        <v>-0.04293406611</v>
      </c>
      <c r="T94" s="30">
        <f t="shared" si="9"/>
        <v>-0.1240369832</v>
      </c>
      <c r="U94" s="31" t="str">
        <f t="shared" si="10"/>
        <v>#N/A</v>
      </c>
      <c r="V94" s="31" t="str">
        <f t="shared" si="11"/>
        <v>#N/A</v>
      </c>
      <c r="W94" s="31">
        <f t="shared" si="12"/>
        <v>140</v>
      </c>
      <c r="X94" s="31" t="str">
        <f t="shared" si="13"/>
        <v>#N/A</v>
      </c>
    </row>
    <row r="95">
      <c r="A95" s="1">
        <v>92.0</v>
      </c>
      <c r="B95" s="22" t="s">
        <v>631</v>
      </c>
      <c r="C95" s="22" t="s">
        <v>549</v>
      </c>
      <c r="D95" s="22" t="s">
        <v>203</v>
      </c>
      <c r="E95" s="23">
        <f>IFERROR(__xludf.DUMMYFUNCTION("GOOGLEFINANCE(""NSE:""&amp;D95,""marketcap"")/10000000"),47377.6600124)</f>
        <v>47377.66001</v>
      </c>
      <c r="F95" s="17">
        <f>IFERROR(__xludf.DUMMYFUNCTION("GOOGLEFINANCE(""NSE:""&amp;D95)"),3957.0)</f>
        <v>3957</v>
      </c>
      <c r="G95" s="17">
        <f>IFERROR(__xludf.DUMMYFUNCTION("GOOGLEFINANCE(""NSE:""&amp;D95,""closeyest"")"),3894.6)</f>
        <v>3894.6</v>
      </c>
      <c r="H95" s="17">
        <f>IFERROR(__xludf.DUMMYFUNCTION("INDEX(GOOGLEFINANCE(""NSE:""&amp;D95,""PRICE"",TODAY()-7),2,2)"),3824.95)</f>
        <v>3824.95</v>
      </c>
      <c r="I95" s="17">
        <f>IFERROR(__xludf.DUMMYFUNCTION("INDEX(GOOGLEFINANCE(""NSE:""&amp;D95,""PRICE"",TODAY()-14),2,2)"),3823.85)</f>
        <v>3823.85</v>
      </c>
      <c r="J95" s="17">
        <f>IFERROR(__xludf.DUMMYFUNCTION("INDEX(GOOGLEFINANCE(""NSE:""&amp;D95,""PRICE"",TODAY()-28),2,2)"),3887.65)</f>
        <v>3887.65</v>
      </c>
      <c r="K95" s="17">
        <f>IFERROR(__xludf.DUMMYFUNCTION("INDEX(GOOGLEFINANCE(""NSE:""&amp;D95,""PRICE"",TODAY()-84),2,2)"),3194.5)</f>
        <v>3194.5</v>
      </c>
      <c r="L95" s="16">
        <f t="shared" si="1"/>
        <v>0.01602218456</v>
      </c>
      <c r="M95" s="16">
        <f t="shared" si="2"/>
        <v>0.0345233271</v>
      </c>
      <c r="N95" s="16">
        <f t="shared" si="3"/>
        <v>0.03482092655</v>
      </c>
      <c r="O95" s="16">
        <f t="shared" si="4"/>
        <v>0.01783853999</v>
      </c>
      <c r="P95" s="16">
        <f t="shared" si="5"/>
        <v>0.238691501</v>
      </c>
      <c r="Q95" s="30">
        <f t="shared" si="6"/>
        <v>0.02165777348</v>
      </c>
      <c r="R95" s="30">
        <f t="shared" si="7"/>
        <v>0.009273481298</v>
      </c>
      <c r="S95" s="30">
        <f t="shared" si="8"/>
        <v>-0.05396723426</v>
      </c>
      <c r="T95" s="30">
        <f t="shared" si="9"/>
        <v>0.1064570688</v>
      </c>
      <c r="U95" s="31" t="str">
        <f t="shared" si="10"/>
        <v>#N/A</v>
      </c>
      <c r="V95" s="31" t="str">
        <f t="shared" si="11"/>
        <v>#N/A</v>
      </c>
      <c r="W95" s="31">
        <f t="shared" si="12"/>
        <v>157</v>
      </c>
      <c r="X95" s="31" t="str">
        <f t="shared" si="13"/>
        <v>#N/A</v>
      </c>
    </row>
    <row r="96">
      <c r="A96" s="1">
        <v>93.0</v>
      </c>
      <c r="B96" s="22" t="s">
        <v>654</v>
      </c>
      <c r="C96" s="22" t="s">
        <v>552</v>
      </c>
      <c r="D96" s="22" t="s">
        <v>195</v>
      </c>
      <c r="E96" s="23">
        <f>IFERROR(__xludf.DUMMYFUNCTION("GOOGLEFINANCE(""NSE:""&amp;D96,""marketcap"")/10000000"),45601.1368)</f>
        <v>45601.1368</v>
      </c>
      <c r="F96" s="17">
        <f>IFERROR(__xludf.DUMMYFUNCTION("GOOGLEFINANCE(""NSE:""&amp;D96)"),110.2)</f>
        <v>110.2</v>
      </c>
      <c r="G96" s="17">
        <f>IFERROR(__xludf.DUMMYFUNCTION("GOOGLEFINANCE(""NSE:""&amp;D96,""closeyest"")"),111.3)</f>
        <v>111.3</v>
      </c>
      <c r="H96" s="17">
        <f>IFERROR(__xludf.DUMMYFUNCTION("INDEX(GOOGLEFINANCE(""NSE:""&amp;D96,""PRICE"",TODAY()-7),2,2)"),115.15)</f>
        <v>115.15</v>
      </c>
      <c r="I96" s="17">
        <f>IFERROR(__xludf.DUMMYFUNCTION("INDEX(GOOGLEFINANCE(""NSE:""&amp;D96,""PRICE"",TODAY()-14),2,2)"),120.25)</f>
        <v>120.25</v>
      </c>
      <c r="J96" s="17">
        <f>IFERROR(__xludf.DUMMYFUNCTION("INDEX(GOOGLEFINANCE(""NSE:""&amp;D96,""PRICE"",TODAY()-28),2,2)"),118.25)</f>
        <v>118.25</v>
      </c>
      <c r="K96" s="17">
        <f>IFERROR(__xludf.DUMMYFUNCTION("INDEX(GOOGLEFINANCE(""NSE:""&amp;D96,""PRICE"",TODAY()-84),2,2)"),124.35)</f>
        <v>124.35</v>
      </c>
      <c r="L96" s="16">
        <f t="shared" si="1"/>
        <v>-0.009883198562</v>
      </c>
      <c r="M96" s="16">
        <f t="shared" si="2"/>
        <v>-0.04298740773</v>
      </c>
      <c r="N96" s="16">
        <f t="shared" si="3"/>
        <v>-0.08357588358</v>
      </c>
      <c r="O96" s="16">
        <f t="shared" si="4"/>
        <v>-0.06807610994</v>
      </c>
      <c r="P96" s="16">
        <f t="shared" si="5"/>
        <v>-0.1137917169</v>
      </c>
      <c r="Q96" s="30">
        <f t="shared" si="6"/>
        <v>-0.05585296135</v>
      </c>
      <c r="R96" s="30">
        <f t="shared" si="7"/>
        <v>-0.1091233288</v>
      </c>
      <c r="S96" s="30">
        <f t="shared" si="8"/>
        <v>-0.1398818842</v>
      </c>
      <c r="T96" s="30">
        <f t="shared" si="9"/>
        <v>-0.2460261492</v>
      </c>
      <c r="U96" s="31" t="str">
        <f t="shared" si="10"/>
        <v>#N/A</v>
      </c>
      <c r="V96" s="31" t="str">
        <f t="shared" si="11"/>
        <v>#N/A</v>
      </c>
      <c r="W96" s="31">
        <f t="shared" si="12"/>
        <v>193</v>
      </c>
      <c r="X96" s="31" t="str">
        <f t="shared" si="13"/>
        <v>#N/A</v>
      </c>
    </row>
    <row r="97">
      <c r="A97" s="1">
        <v>94.0</v>
      </c>
      <c r="B97" s="22" t="s">
        <v>620</v>
      </c>
      <c r="C97" s="22" t="s">
        <v>526</v>
      </c>
      <c r="D97" s="22" t="s">
        <v>212</v>
      </c>
      <c r="E97" s="23">
        <f>IFERROR(__xludf.DUMMYFUNCTION("GOOGLEFINANCE(""NSE:""&amp;D97,""marketcap"")/10000000"),46502.26861)</f>
        <v>46502.26861</v>
      </c>
      <c r="F97" s="17">
        <f>IFERROR(__xludf.DUMMYFUNCTION("GOOGLEFINANCE(""NSE:""&amp;D97)"),14325.7)</f>
        <v>14325.7</v>
      </c>
      <c r="G97" s="17">
        <f>IFERROR(__xludf.DUMMYFUNCTION("GOOGLEFINANCE(""NSE:""&amp;D97,""closeyest"")"),14072.55)</f>
        <v>14072.55</v>
      </c>
      <c r="H97" s="17">
        <f>IFERROR(__xludf.DUMMYFUNCTION("INDEX(GOOGLEFINANCE(""NSE:""&amp;D97,""PRICE"",TODAY()-7),2,2)"),13923.2)</f>
        <v>13923.2</v>
      </c>
      <c r="I97" s="17">
        <f>IFERROR(__xludf.DUMMYFUNCTION("INDEX(GOOGLEFINANCE(""NSE:""&amp;D97,""PRICE"",TODAY()-14),2,2)"),14202.9)</f>
        <v>14202.9</v>
      </c>
      <c r="J97" s="17">
        <f>IFERROR(__xludf.DUMMYFUNCTION("INDEX(GOOGLEFINANCE(""NSE:""&amp;D97,""PRICE"",TODAY()-28),2,2)"),13737.2)</f>
        <v>13737.2</v>
      </c>
      <c r="K97" s="17">
        <f>IFERROR(__xludf.DUMMYFUNCTION("INDEX(GOOGLEFINANCE(""NSE:""&amp;D97,""PRICE"",TODAY()-84),2,2)"),13537.7)</f>
        <v>13537.7</v>
      </c>
      <c r="L97" s="16">
        <f t="shared" si="1"/>
        <v>0.0179889217</v>
      </c>
      <c r="M97" s="16">
        <f t="shared" si="2"/>
        <v>0.02890858423</v>
      </c>
      <c r="N97" s="16">
        <f t="shared" si="3"/>
        <v>0.008646121567</v>
      </c>
      <c r="O97" s="16">
        <f t="shared" si="4"/>
        <v>0.04283988003</v>
      </c>
      <c r="P97" s="16">
        <f t="shared" si="5"/>
        <v>0.05820781964</v>
      </c>
      <c r="Q97" s="30">
        <f t="shared" si="6"/>
        <v>0.01604303061</v>
      </c>
      <c r="R97" s="30">
        <f t="shared" si="7"/>
        <v>-0.01690132369</v>
      </c>
      <c r="S97" s="30">
        <f t="shared" si="8"/>
        <v>-0.02896589421</v>
      </c>
      <c r="T97" s="30">
        <f t="shared" si="9"/>
        <v>-0.07402661259</v>
      </c>
      <c r="U97" s="31" t="str">
        <f t="shared" si="10"/>
        <v>#N/A</v>
      </c>
      <c r="V97" s="31" t="str">
        <f t="shared" si="11"/>
        <v>#N/A</v>
      </c>
      <c r="W97" s="31">
        <f t="shared" si="12"/>
        <v>125</v>
      </c>
      <c r="X97" s="31" t="str">
        <f t="shared" si="13"/>
        <v>#N/A</v>
      </c>
    </row>
    <row r="98">
      <c r="A98" s="1">
        <v>95.0</v>
      </c>
      <c r="B98" s="22" t="s">
        <v>610</v>
      </c>
      <c r="C98" s="22" t="s">
        <v>528</v>
      </c>
      <c r="D98" s="22" t="s">
        <v>207</v>
      </c>
      <c r="E98" s="23">
        <f>IFERROR(__xludf.DUMMYFUNCTION("GOOGLEFINANCE(""NSE:""&amp;D98,""marketcap"")/10000000"),46492.6252758)</f>
        <v>46492.62528</v>
      </c>
      <c r="F98" s="17">
        <f>IFERROR(__xludf.DUMMYFUNCTION("GOOGLEFINANCE(""NSE:""&amp;D98)"),288.4)</f>
        <v>288.4</v>
      </c>
      <c r="G98" s="17">
        <f>IFERROR(__xludf.DUMMYFUNCTION("GOOGLEFINANCE(""NSE:""&amp;D98,""closeyest"")"),284.0)</f>
        <v>284</v>
      </c>
      <c r="H98" s="17">
        <f>IFERROR(__xludf.DUMMYFUNCTION("INDEX(GOOGLEFINANCE(""NSE:""&amp;D98,""PRICE"",TODAY()-7),2,2)"),287.25)</f>
        <v>287.25</v>
      </c>
      <c r="I98" s="17">
        <f>IFERROR(__xludf.DUMMYFUNCTION("INDEX(GOOGLEFINANCE(""NSE:""&amp;D98,""PRICE"",TODAY()-14),2,2)"),283.95)</f>
        <v>283.95</v>
      </c>
      <c r="J98" s="17">
        <f>IFERROR(__xludf.DUMMYFUNCTION("INDEX(GOOGLEFINANCE(""NSE:""&amp;D98,""PRICE"",TODAY()-28),2,2)"),276.1)</f>
        <v>276.1</v>
      </c>
      <c r="K98" s="17">
        <f>IFERROR(__xludf.DUMMYFUNCTION("INDEX(GOOGLEFINANCE(""NSE:""&amp;D98,""PRICE"",TODAY()-84),2,2)"),321.65)</f>
        <v>321.65</v>
      </c>
      <c r="L98" s="16">
        <f t="shared" si="1"/>
        <v>0.01549295775</v>
      </c>
      <c r="M98" s="16">
        <f t="shared" si="2"/>
        <v>0.004003481288</v>
      </c>
      <c r="N98" s="16">
        <f t="shared" si="3"/>
        <v>0.0156717732</v>
      </c>
      <c r="O98" s="16">
        <f t="shared" si="4"/>
        <v>0.04454907642</v>
      </c>
      <c r="P98" s="16">
        <f t="shared" si="5"/>
        <v>-0.1033732318</v>
      </c>
      <c r="Q98" s="30">
        <f t="shared" si="6"/>
        <v>-0.008862072334</v>
      </c>
      <c r="R98" s="30">
        <f t="shared" si="7"/>
        <v>-0.009875672056</v>
      </c>
      <c r="S98" s="30">
        <f t="shared" si="8"/>
        <v>-0.02725669783</v>
      </c>
      <c r="T98" s="30">
        <f t="shared" si="9"/>
        <v>-0.235607664</v>
      </c>
      <c r="U98" s="31" t="str">
        <f t="shared" si="10"/>
        <v>#N/A</v>
      </c>
      <c r="V98" s="31" t="str">
        <f t="shared" si="11"/>
        <v>#N/A</v>
      </c>
      <c r="W98" s="31">
        <f t="shared" si="12"/>
        <v>122</v>
      </c>
      <c r="X98" s="31" t="str">
        <f t="shared" si="13"/>
        <v>#N/A</v>
      </c>
    </row>
    <row r="99">
      <c r="A99" s="1">
        <v>96.0</v>
      </c>
      <c r="B99" s="22" t="s">
        <v>597</v>
      </c>
      <c r="C99" s="22" t="s">
        <v>549</v>
      </c>
      <c r="D99" s="22" t="s">
        <v>247</v>
      </c>
      <c r="E99" s="23">
        <f>IFERROR(__xludf.DUMMYFUNCTION("GOOGLEFINANCE(""NSE:""&amp;D99,""marketcap"")/10000000"),45810.7883299)</f>
        <v>45810.78833</v>
      </c>
      <c r="F99" s="17">
        <f>IFERROR(__xludf.DUMMYFUNCTION("GOOGLEFINANCE(""NSE:""&amp;D99)"),21610.0)</f>
        <v>21610</v>
      </c>
      <c r="G99" s="17">
        <f>IFERROR(__xludf.DUMMYFUNCTION("GOOGLEFINANCE(""NSE:""&amp;D99,""closeyest"")"),21464.95)</f>
        <v>21464.95</v>
      </c>
      <c r="H99" s="17">
        <f>IFERROR(__xludf.DUMMYFUNCTION("INDEX(GOOGLEFINANCE(""NSE:""&amp;D99,""PRICE"",TODAY()-7),2,2)"),20480.6)</f>
        <v>20480.6</v>
      </c>
      <c r="I99" s="17">
        <f>IFERROR(__xludf.DUMMYFUNCTION("INDEX(GOOGLEFINANCE(""NSE:""&amp;D99,""PRICE"",TODAY()-14),2,2)"),21378.55)</f>
        <v>21378.55</v>
      </c>
      <c r="J99" s="17">
        <f>IFERROR(__xludf.DUMMYFUNCTION("INDEX(GOOGLEFINANCE(""NSE:""&amp;D99,""PRICE"",TODAY()-28),2,2)"),19028.8)</f>
        <v>19028.8</v>
      </c>
      <c r="K99" s="17">
        <f>IFERROR(__xludf.DUMMYFUNCTION("INDEX(GOOGLEFINANCE(""NSE:""&amp;D99,""PRICE"",TODAY()-84),2,2)"),16764.65)</f>
        <v>16764.65</v>
      </c>
      <c r="L99" s="16">
        <f t="shared" si="1"/>
        <v>0.00675752797</v>
      </c>
      <c r="M99" s="16">
        <f t="shared" si="2"/>
        <v>0.0551448688</v>
      </c>
      <c r="N99" s="16">
        <f t="shared" si="3"/>
        <v>0.01082627213</v>
      </c>
      <c r="O99" s="16">
        <f t="shared" si="4"/>
        <v>0.1356470193</v>
      </c>
      <c r="P99" s="16">
        <f t="shared" si="5"/>
        <v>0.2890218406</v>
      </c>
      <c r="Q99" s="30">
        <f t="shared" si="6"/>
        <v>0.04227931518</v>
      </c>
      <c r="R99" s="30">
        <f t="shared" si="7"/>
        <v>-0.01472117313</v>
      </c>
      <c r="S99" s="30">
        <f t="shared" si="8"/>
        <v>0.06384124501</v>
      </c>
      <c r="T99" s="30">
        <f t="shared" si="9"/>
        <v>0.1567874084</v>
      </c>
      <c r="U99" s="31" t="str">
        <f t="shared" si="10"/>
        <v>#N/A</v>
      </c>
      <c r="V99" s="31" t="str">
        <f t="shared" si="11"/>
        <v>#N/A</v>
      </c>
      <c r="W99" s="31">
        <f t="shared" si="12"/>
        <v>45</v>
      </c>
      <c r="X99" s="31" t="str">
        <f t="shared" si="13"/>
        <v>#N/A</v>
      </c>
    </row>
    <row r="100">
      <c r="A100" s="1">
        <v>97.0</v>
      </c>
      <c r="B100" s="22" t="s">
        <v>655</v>
      </c>
      <c r="C100" s="22" t="s">
        <v>635</v>
      </c>
      <c r="D100" s="22" t="s">
        <v>201</v>
      </c>
      <c r="E100" s="23">
        <f>IFERROR(__xludf.DUMMYFUNCTION("GOOGLEFINANCE(""NSE:""&amp;D100,""marketcap"")/10000000"),45453.2784021)</f>
        <v>45453.2784</v>
      </c>
      <c r="F100" s="17">
        <f>IFERROR(__xludf.DUMMYFUNCTION("GOOGLEFINANCE(""NSE:""&amp;D100)"),1360.0)</f>
        <v>1360</v>
      </c>
      <c r="G100" s="17">
        <f>IFERROR(__xludf.DUMMYFUNCTION("GOOGLEFINANCE(""NSE:""&amp;D100,""closeyest"")"),1356.85)</f>
        <v>1356.85</v>
      </c>
      <c r="H100" s="17">
        <f>IFERROR(__xludf.DUMMYFUNCTION("INDEX(GOOGLEFINANCE(""NSE:""&amp;D100,""PRICE"",TODAY()-7),2,2)"),1430.6)</f>
        <v>1430.6</v>
      </c>
      <c r="I100" s="17">
        <f>IFERROR(__xludf.DUMMYFUNCTION("INDEX(GOOGLEFINANCE(""NSE:""&amp;D100,""PRICE"",TODAY()-14),2,2)"),1405.25)</f>
        <v>1405.25</v>
      </c>
      <c r="J100" s="17">
        <f>IFERROR(__xludf.DUMMYFUNCTION("INDEX(GOOGLEFINANCE(""NSE:""&amp;D100,""PRICE"",TODAY()-28),2,2)"),1381.4)</f>
        <v>1381.4</v>
      </c>
      <c r="K100" s="17">
        <f>IFERROR(__xludf.DUMMYFUNCTION("INDEX(GOOGLEFINANCE(""NSE:""&amp;D100,""PRICE"",TODAY()-84),2,2)"),1067.55)</f>
        <v>1067.55</v>
      </c>
      <c r="L100" s="16">
        <f t="shared" si="1"/>
        <v>0.002321553598</v>
      </c>
      <c r="M100" s="16">
        <f t="shared" si="2"/>
        <v>-0.04934992311</v>
      </c>
      <c r="N100" s="16">
        <f t="shared" si="3"/>
        <v>-0.03220067604</v>
      </c>
      <c r="O100" s="16">
        <f t="shared" si="4"/>
        <v>-0.01549153033</v>
      </c>
      <c r="P100" s="16">
        <f t="shared" si="5"/>
        <v>0.2739450143</v>
      </c>
      <c r="Q100" s="30">
        <f t="shared" si="6"/>
        <v>-0.06221547673</v>
      </c>
      <c r="R100" s="30">
        <f t="shared" si="7"/>
        <v>-0.05774812129</v>
      </c>
      <c r="S100" s="30">
        <f t="shared" si="8"/>
        <v>-0.08729730458</v>
      </c>
      <c r="T100" s="30">
        <f t="shared" si="9"/>
        <v>0.1417105821</v>
      </c>
      <c r="U100" s="31" t="str">
        <f t="shared" si="10"/>
        <v>#N/A</v>
      </c>
      <c r="V100" s="31" t="str">
        <f t="shared" si="11"/>
        <v>#N/A</v>
      </c>
      <c r="W100" s="31">
        <f t="shared" si="12"/>
        <v>179</v>
      </c>
      <c r="X100" s="31" t="str">
        <f t="shared" si="13"/>
        <v>#N/A</v>
      </c>
    </row>
    <row r="101">
      <c r="A101" s="1">
        <v>98.0</v>
      </c>
      <c r="B101" s="22" t="s">
        <v>599</v>
      </c>
      <c r="C101" s="22" t="s">
        <v>545</v>
      </c>
      <c r="D101" s="22" t="s">
        <v>245</v>
      </c>
      <c r="E101" s="23">
        <f>IFERROR(__xludf.DUMMYFUNCTION("GOOGLEFINANCE(""NSE:""&amp;D101,""marketcap"")/10000000"),45403.229952)</f>
        <v>45403.22995</v>
      </c>
      <c r="F101" s="17">
        <f>IFERROR(__xludf.DUMMYFUNCTION("GOOGLEFINANCE(""NSE:""&amp;D101)"),15374.0)</f>
        <v>15374</v>
      </c>
      <c r="G101" s="17">
        <f>IFERROR(__xludf.DUMMYFUNCTION("GOOGLEFINANCE(""NSE:""&amp;D101,""closeyest"")"),15301.5)</f>
        <v>15301.5</v>
      </c>
      <c r="H101" s="17">
        <f>IFERROR(__xludf.DUMMYFUNCTION("INDEX(GOOGLEFINANCE(""NSE:""&amp;D101,""PRICE"",TODAY()-7),2,2)"),15076.0)</f>
        <v>15076</v>
      </c>
      <c r="I101" s="17">
        <f>IFERROR(__xludf.DUMMYFUNCTION("INDEX(GOOGLEFINANCE(""NSE:""&amp;D101,""PRICE"",TODAY()-14),2,2)"),14566.1)</f>
        <v>14566.1</v>
      </c>
      <c r="J101" s="17">
        <f>IFERROR(__xludf.DUMMYFUNCTION("INDEX(GOOGLEFINANCE(""NSE:""&amp;D101,""PRICE"",TODAY()-28),2,2)"),13642.75)</f>
        <v>13642.75</v>
      </c>
      <c r="K101" s="17">
        <f>IFERROR(__xludf.DUMMYFUNCTION("INDEX(GOOGLEFINANCE(""NSE:""&amp;D101,""PRICE"",TODAY()-84),2,2)"),15357.75)</f>
        <v>15357.75</v>
      </c>
      <c r="L101" s="16">
        <f t="shared" si="1"/>
        <v>0.004738097572</v>
      </c>
      <c r="M101" s="16">
        <f t="shared" si="2"/>
        <v>0.01976651632</v>
      </c>
      <c r="N101" s="16">
        <f t="shared" si="3"/>
        <v>0.05546440022</v>
      </c>
      <c r="O101" s="16">
        <f t="shared" si="4"/>
        <v>0.1268989023</v>
      </c>
      <c r="P101" s="16">
        <f t="shared" si="5"/>
        <v>0.001058097703</v>
      </c>
      <c r="Q101" s="30">
        <f t="shared" si="6"/>
        <v>0.006900962696</v>
      </c>
      <c r="R101" s="30">
        <f t="shared" si="7"/>
        <v>0.02991695496</v>
      </c>
      <c r="S101" s="30">
        <f t="shared" si="8"/>
        <v>0.0550931281</v>
      </c>
      <c r="T101" s="30">
        <f t="shared" si="9"/>
        <v>-0.1311763345</v>
      </c>
      <c r="U101" s="31" t="str">
        <f t="shared" si="10"/>
        <v>#N/A</v>
      </c>
      <c r="V101" s="31" t="str">
        <f t="shared" si="11"/>
        <v>#N/A</v>
      </c>
      <c r="W101" s="31">
        <f t="shared" si="12"/>
        <v>51</v>
      </c>
      <c r="X101" s="31" t="str">
        <f t="shared" si="13"/>
        <v>#N/A</v>
      </c>
    </row>
    <row r="102">
      <c r="A102" s="1">
        <v>99.0</v>
      </c>
      <c r="B102" s="22" t="s">
        <v>621</v>
      </c>
      <c r="C102" s="22" t="s">
        <v>543</v>
      </c>
      <c r="D102" s="22" t="s">
        <v>215</v>
      </c>
      <c r="E102" s="23">
        <f>IFERROR(__xludf.DUMMYFUNCTION("GOOGLEFINANCE(""NSE:""&amp;D102,""marketcap"")/10000000"),44148.77072)</f>
        <v>44148.77072</v>
      </c>
      <c r="F102" s="17">
        <f>IFERROR(__xludf.DUMMYFUNCTION("GOOGLEFINANCE(""NSE:""&amp;D102)"),2351.0)</f>
        <v>2351</v>
      </c>
      <c r="G102" s="17">
        <f>IFERROR(__xludf.DUMMYFUNCTION("GOOGLEFINANCE(""NSE:""&amp;D102,""closeyest"")"),2365.55)</f>
        <v>2365.55</v>
      </c>
      <c r="H102" s="17">
        <f>IFERROR(__xludf.DUMMYFUNCTION("INDEX(GOOGLEFINANCE(""NSE:""&amp;D102,""PRICE"",TODAY()-7),2,2)"),2394.85)</f>
        <v>2394.85</v>
      </c>
      <c r="I102" s="17">
        <f>IFERROR(__xludf.DUMMYFUNCTION("INDEX(GOOGLEFINANCE(""NSE:""&amp;D102,""PRICE"",TODAY()-14),2,2)"),2471.4)</f>
        <v>2471.4</v>
      </c>
      <c r="J102" s="17">
        <f>IFERROR(__xludf.DUMMYFUNCTION("INDEX(GOOGLEFINANCE(""NSE:""&amp;D102,""PRICE"",TODAY()-28),2,2)"),2348.1)</f>
        <v>2348.1</v>
      </c>
      <c r="K102" s="17">
        <f>IFERROR(__xludf.DUMMYFUNCTION("INDEX(GOOGLEFINANCE(""NSE:""&amp;D102,""PRICE"",TODAY()-84),2,2)"),1987.25)</f>
        <v>1987.25</v>
      </c>
      <c r="L102" s="16">
        <f t="shared" si="1"/>
        <v>-0.006150789457</v>
      </c>
      <c r="M102" s="16">
        <f t="shared" si="2"/>
        <v>-0.01831012381</v>
      </c>
      <c r="N102" s="16">
        <f t="shared" si="3"/>
        <v>-0.04871732621</v>
      </c>
      <c r="O102" s="16">
        <f t="shared" si="4"/>
        <v>0.001235041097</v>
      </c>
      <c r="P102" s="16">
        <f t="shared" si="5"/>
        <v>0.1830418921</v>
      </c>
      <c r="Q102" s="30">
        <f t="shared" si="6"/>
        <v>-0.03117567743</v>
      </c>
      <c r="R102" s="30">
        <f t="shared" si="7"/>
        <v>-0.07426477147</v>
      </c>
      <c r="S102" s="30">
        <f t="shared" si="8"/>
        <v>-0.07057073315</v>
      </c>
      <c r="T102" s="30">
        <f t="shared" si="9"/>
        <v>0.05080745983</v>
      </c>
      <c r="U102" s="31" t="str">
        <f t="shared" si="10"/>
        <v>#N/A</v>
      </c>
      <c r="V102" s="31" t="str">
        <f t="shared" si="11"/>
        <v>#N/A</v>
      </c>
      <c r="W102" s="31">
        <f t="shared" si="12"/>
        <v>167</v>
      </c>
      <c r="X102" s="31" t="str">
        <f t="shared" si="13"/>
        <v>#N/A</v>
      </c>
    </row>
    <row r="103">
      <c r="A103" s="1">
        <v>100.0</v>
      </c>
      <c r="B103" s="22" t="s">
        <v>656</v>
      </c>
      <c r="C103" s="22" t="s">
        <v>560</v>
      </c>
      <c r="D103" s="22" t="s">
        <v>237</v>
      </c>
      <c r="E103" s="23">
        <f>IFERROR(__xludf.DUMMYFUNCTION("GOOGLEFINANCE(""NSE:""&amp;D103,""marketcap"")/10000000"),45901.0427847)</f>
        <v>45901.04278</v>
      </c>
      <c r="F103" s="17">
        <f>IFERROR(__xludf.DUMMYFUNCTION("GOOGLEFINANCE(""NSE:""&amp;D103)"),144.05)</f>
        <v>144.05</v>
      </c>
      <c r="G103" s="17">
        <f>IFERROR(__xludf.DUMMYFUNCTION("GOOGLEFINANCE(""NSE:""&amp;D103,""closeyest"")"),137.85)</f>
        <v>137.85</v>
      </c>
      <c r="H103" s="17">
        <f>IFERROR(__xludf.DUMMYFUNCTION("INDEX(GOOGLEFINANCE(""NSE:""&amp;D103,""PRICE"",TODAY()-7),2,2)"),137.9)</f>
        <v>137.9</v>
      </c>
      <c r="I103" s="17">
        <f>IFERROR(__xludf.DUMMYFUNCTION("INDEX(GOOGLEFINANCE(""NSE:""&amp;D103,""PRICE"",TODAY()-14),2,2)"),131.05)</f>
        <v>131.05</v>
      </c>
      <c r="J103" s="17">
        <f>IFERROR(__xludf.DUMMYFUNCTION("INDEX(GOOGLEFINANCE(""NSE:""&amp;D103,""PRICE"",TODAY()-28),2,2)"),127.25)</f>
        <v>127.25</v>
      </c>
      <c r="K103" s="17">
        <f>IFERROR(__xludf.DUMMYFUNCTION("INDEX(GOOGLEFINANCE(""NSE:""&amp;D103,""PRICE"",TODAY()-84),2,2)"),120.95)</f>
        <v>120.95</v>
      </c>
      <c r="L103" s="16">
        <f t="shared" si="1"/>
        <v>0.04497642365</v>
      </c>
      <c r="M103" s="16">
        <f t="shared" si="2"/>
        <v>0.04459753445</v>
      </c>
      <c r="N103" s="16">
        <f t="shared" si="3"/>
        <v>0.09919877909</v>
      </c>
      <c r="O103" s="16">
        <f t="shared" si="4"/>
        <v>0.1320235756</v>
      </c>
      <c r="P103" s="16">
        <f t="shared" si="5"/>
        <v>0.1909880116</v>
      </c>
      <c r="Q103" s="30">
        <f t="shared" si="6"/>
        <v>0.03173198082</v>
      </c>
      <c r="R103" s="30">
        <f t="shared" si="7"/>
        <v>0.07365133384</v>
      </c>
      <c r="S103" s="30">
        <f t="shared" si="8"/>
        <v>0.06021780139</v>
      </c>
      <c r="T103" s="30">
        <f t="shared" si="9"/>
        <v>0.05875357934</v>
      </c>
      <c r="U103" s="31" t="str">
        <f t="shared" si="10"/>
        <v>#N/A</v>
      </c>
      <c r="V103" s="31" t="str">
        <f t="shared" si="11"/>
        <v>#N/A</v>
      </c>
      <c r="W103" s="31">
        <f t="shared" si="12"/>
        <v>50</v>
      </c>
      <c r="X103" s="31" t="str">
        <f t="shared" si="13"/>
        <v>#N/A</v>
      </c>
    </row>
    <row r="104">
      <c r="A104" s="1">
        <v>101.0</v>
      </c>
      <c r="B104" s="22" t="s">
        <v>607</v>
      </c>
      <c r="C104" s="22" t="s">
        <v>549</v>
      </c>
      <c r="D104" s="22" t="s">
        <v>223</v>
      </c>
      <c r="E104" s="23">
        <f>IFERROR(__xludf.DUMMYFUNCTION("GOOGLEFINANCE(""NSE:""&amp;D104,""marketcap"")/10000000"),43781.3290069)</f>
        <v>43781.32901</v>
      </c>
      <c r="F104" s="17">
        <f>IFERROR(__xludf.DUMMYFUNCTION("GOOGLEFINANCE(""NSE:""&amp;D104)"),367.05)</f>
        <v>367.05</v>
      </c>
      <c r="G104" s="17">
        <f>IFERROR(__xludf.DUMMYFUNCTION("GOOGLEFINANCE(""NSE:""&amp;D104,""closeyest"")"),367.55)</f>
        <v>367.55</v>
      </c>
      <c r="H104" s="17">
        <f>IFERROR(__xludf.DUMMYFUNCTION("INDEX(GOOGLEFINANCE(""NSE:""&amp;D104,""PRICE"",TODAY()-7),2,2)"),377.4)</f>
        <v>377.4</v>
      </c>
      <c r="I104" s="17">
        <f>IFERROR(__xludf.DUMMYFUNCTION("INDEX(GOOGLEFINANCE(""NSE:""&amp;D104,""PRICE"",TODAY()-14),2,2)"),353.6)</f>
        <v>353.6</v>
      </c>
      <c r="J104" s="17">
        <f>IFERROR(__xludf.DUMMYFUNCTION("INDEX(GOOGLEFINANCE(""NSE:""&amp;D104,""PRICE"",TODAY()-28),2,2)"),346.7)</f>
        <v>346.7</v>
      </c>
      <c r="K104" s="17">
        <f>IFERROR(__xludf.DUMMYFUNCTION("INDEX(GOOGLEFINANCE(""NSE:""&amp;D104,""PRICE"",TODAY()-84),2,2)"),408.05)</f>
        <v>408.05</v>
      </c>
      <c r="L104" s="16">
        <f t="shared" si="1"/>
        <v>-0.001360359135</v>
      </c>
      <c r="M104" s="16">
        <f t="shared" si="2"/>
        <v>-0.02742448331</v>
      </c>
      <c r="N104" s="16">
        <f t="shared" si="3"/>
        <v>0.03803733032</v>
      </c>
      <c r="O104" s="16">
        <f t="shared" si="4"/>
        <v>0.0586962792</v>
      </c>
      <c r="P104" s="16">
        <f t="shared" si="5"/>
        <v>-0.1004778826</v>
      </c>
      <c r="Q104" s="30">
        <f t="shared" si="6"/>
        <v>-0.04029003693</v>
      </c>
      <c r="R104" s="30">
        <f t="shared" si="7"/>
        <v>0.01248988506</v>
      </c>
      <c r="S104" s="30">
        <f t="shared" si="8"/>
        <v>-0.01310949504</v>
      </c>
      <c r="T104" s="30">
        <f t="shared" si="9"/>
        <v>-0.2327123148</v>
      </c>
      <c r="U104" s="31" t="str">
        <f t="shared" si="10"/>
        <v>#N/A</v>
      </c>
      <c r="V104" s="31" t="str">
        <f t="shared" si="11"/>
        <v>#N/A</v>
      </c>
      <c r="W104" s="31">
        <f t="shared" si="12"/>
        <v>107</v>
      </c>
      <c r="X104" s="31" t="str">
        <f t="shared" si="13"/>
        <v>#N/A</v>
      </c>
    </row>
    <row r="105">
      <c r="A105" s="1">
        <v>102.0</v>
      </c>
      <c r="B105" s="22" t="s">
        <v>657</v>
      </c>
      <c r="C105" s="22" t="s">
        <v>522</v>
      </c>
      <c r="D105" s="22" t="s">
        <v>197</v>
      </c>
      <c r="E105" s="23">
        <f>IFERROR(__xludf.DUMMYFUNCTION("GOOGLEFINANCE(""NSE:""&amp;D105,""marketcap"")/10000000"),43165.3066375)</f>
        <v>43165.30664</v>
      </c>
      <c r="F105" s="17">
        <f>IFERROR(__xludf.DUMMYFUNCTION("GOOGLEFINANCE(""NSE:""&amp;D105)"),627.55)</f>
        <v>627.55</v>
      </c>
      <c r="G105" s="17">
        <f>IFERROR(__xludf.DUMMYFUNCTION("GOOGLEFINANCE(""NSE:""&amp;D105,""closeyest"")"),624.5)</f>
        <v>624.5</v>
      </c>
      <c r="H105" s="17">
        <f>IFERROR(__xludf.DUMMYFUNCTION("INDEX(GOOGLEFINANCE(""NSE:""&amp;D105,""PRICE"",TODAY()-7),2,2)"),663.25)</f>
        <v>663.25</v>
      </c>
      <c r="I105" s="17">
        <f>IFERROR(__xludf.DUMMYFUNCTION("INDEX(GOOGLEFINANCE(""NSE:""&amp;D105,""PRICE"",TODAY()-14),2,2)"),676.15)</f>
        <v>676.15</v>
      </c>
      <c r="J105" s="17">
        <f>IFERROR(__xludf.DUMMYFUNCTION("INDEX(GOOGLEFINANCE(""NSE:""&amp;D105,""PRICE"",TODAY()-28),2,2)"),710.8)</f>
        <v>710.8</v>
      </c>
      <c r="K105" s="17">
        <f>IFERROR(__xludf.DUMMYFUNCTION("INDEX(GOOGLEFINANCE(""NSE:""&amp;D105,""PRICE"",TODAY()-84),2,2)"),665.1)</f>
        <v>665.1</v>
      </c>
      <c r="L105" s="16">
        <f t="shared" si="1"/>
        <v>0.004883907126</v>
      </c>
      <c r="M105" s="16">
        <f t="shared" si="2"/>
        <v>-0.05382585752</v>
      </c>
      <c r="N105" s="16">
        <f t="shared" si="3"/>
        <v>-0.07187754197</v>
      </c>
      <c r="O105" s="16">
        <f t="shared" si="4"/>
        <v>-0.1171215532</v>
      </c>
      <c r="P105" s="16">
        <f t="shared" si="5"/>
        <v>-0.05645767554</v>
      </c>
      <c r="Q105" s="30">
        <f t="shared" si="6"/>
        <v>-0.06669141114</v>
      </c>
      <c r="R105" s="30">
        <f t="shared" si="7"/>
        <v>-0.09742498722</v>
      </c>
      <c r="S105" s="30">
        <f t="shared" si="8"/>
        <v>-0.1889273274</v>
      </c>
      <c r="T105" s="30">
        <f t="shared" si="9"/>
        <v>-0.1886921078</v>
      </c>
      <c r="U105" s="31" t="str">
        <f t="shared" si="10"/>
        <v>#N/A</v>
      </c>
      <c r="V105" s="31" t="str">
        <f t="shared" si="11"/>
        <v>#N/A</v>
      </c>
      <c r="W105" s="31">
        <f t="shared" si="12"/>
        <v>198</v>
      </c>
      <c r="X105" s="31" t="str">
        <f t="shared" si="13"/>
        <v>#N/A</v>
      </c>
    </row>
    <row r="106">
      <c r="A106" s="1">
        <v>103.0</v>
      </c>
      <c r="B106" s="22" t="s">
        <v>595</v>
      </c>
      <c r="C106" s="22" t="s">
        <v>526</v>
      </c>
      <c r="D106" s="22" t="s">
        <v>263</v>
      </c>
      <c r="E106" s="23">
        <f>IFERROR(__xludf.DUMMYFUNCTION("GOOGLEFINANCE(""NSE:""&amp;D106,""marketcap"")/10000000"),43826.1747619)</f>
        <v>43826.17476</v>
      </c>
      <c r="F106" s="17">
        <f>IFERROR(__xludf.DUMMYFUNCTION("GOOGLEFINANCE(""NSE:""&amp;D106)"),1654.4)</f>
        <v>1654.4</v>
      </c>
      <c r="G106" s="17">
        <f>IFERROR(__xludf.DUMMYFUNCTION("GOOGLEFINANCE(""NSE:""&amp;D106,""closeyest"")"),1638.95)</f>
        <v>1638.95</v>
      </c>
      <c r="H106" s="17">
        <f>IFERROR(__xludf.DUMMYFUNCTION("INDEX(GOOGLEFINANCE(""NSE:""&amp;D106,""PRICE"",TODAY()-7),2,2)"),1594.65)</f>
        <v>1594.65</v>
      </c>
      <c r="I106" s="17">
        <f>IFERROR(__xludf.DUMMYFUNCTION("INDEX(GOOGLEFINANCE(""NSE:""&amp;D106,""PRICE"",TODAY()-14),2,2)"),1599.1)</f>
        <v>1599.1</v>
      </c>
      <c r="J106" s="17">
        <f>IFERROR(__xludf.DUMMYFUNCTION("INDEX(GOOGLEFINANCE(""NSE:""&amp;D106,""PRICE"",TODAY()-28),2,2)"),1448.6)</f>
        <v>1448.6</v>
      </c>
      <c r="K106" s="17">
        <f>IFERROR(__xludf.DUMMYFUNCTION("INDEX(GOOGLEFINANCE(""NSE:""&amp;D106,""PRICE"",TODAY()-84),2,2)"),1446.6)</f>
        <v>1446.6</v>
      </c>
      <c r="L106" s="16">
        <f t="shared" si="1"/>
        <v>0.009426767137</v>
      </c>
      <c r="M106" s="16">
        <f t="shared" si="2"/>
        <v>0.03746903709</v>
      </c>
      <c r="N106" s="16">
        <f t="shared" si="3"/>
        <v>0.03458195235</v>
      </c>
      <c r="O106" s="16">
        <f t="shared" si="4"/>
        <v>0.1420682038</v>
      </c>
      <c r="P106" s="16">
        <f t="shared" si="5"/>
        <v>0.1436471727</v>
      </c>
      <c r="Q106" s="30">
        <f t="shared" si="6"/>
        <v>0.02460348347</v>
      </c>
      <c r="R106" s="30">
        <f t="shared" si="7"/>
        <v>0.009034507093</v>
      </c>
      <c r="S106" s="30">
        <f t="shared" si="8"/>
        <v>0.07026242953</v>
      </c>
      <c r="T106" s="30">
        <f t="shared" si="9"/>
        <v>0.01141274045</v>
      </c>
      <c r="U106" s="31" t="str">
        <f t="shared" si="10"/>
        <v>#N/A</v>
      </c>
      <c r="V106" s="31" t="str">
        <f t="shared" si="11"/>
        <v>#N/A</v>
      </c>
      <c r="W106" s="31">
        <f t="shared" si="12"/>
        <v>41</v>
      </c>
      <c r="X106" s="31" t="str">
        <f t="shared" si="13"/>
        <v>#N/A</v>
      </c>
    </row>
    <row r="107">
      <c r="A107" s="1">
        <v>104.0</v>
      </c>
      <c r="B107" s="22" t="s">
        <v>616</v>
      </c>
      <c r="C107" s="22" t="s">
        <v>549</v>
      </c>
      <c r="D107" s="22" t="s">
        <v>225</v>
      </c>
      <c r="E107" s="23">
        <f>IFERROR(__xludf.DUMMYFUNCTION("GOOGLEFINANCE(""NSE:""&amp;D107,""marketcap"")/10000000"),42987.4106733)</f>
        <v>42987.41067</v>
      </c>
      <c r="F107" s="17">
        <f>IFERROR(__xludf.DUMMYFUNCTION("GOOGLEFINANCE(""NSE:""&amp;D107)"),732.0)</f>
        <v>732</v>
      </c>
      <c r="G107" s="17">
        <f>IFERROR(__xludf.DUMMYFUNCTION("GOOGLEFINANCE(""NSE:""&amp;D107,""closeyest"")"),731.1)</f>
        <v>731.1</v>
      </c>
      <c r="H107" s="17">
        <f>IFERROR(__xludf.DUMMYFUNCTION("INDEX(GOOGLEFINANCE(""NSE:""&amp;D107,""PRICE"",TODAY()-7),2,2)"),746.2)</f>
        <v>746.2</v>
      </c>
      <c r="I107" s="17">
        <f>IFERROR(__xludf.DUMMYFUNCTION("INDEX(GOOGLEFINANCE(""NSE:""&amp;D107,""PRICE"",TODAY()-14),2,2)"),736.15)</f>
        <v>736.15</v>
      </c>
      <c r="J107" s="17">
        <f>IFERROR(__xludf.DUMMYFUNCTION("INDEX(GOOGLEFINANCE(""NSE:""&amp;D107,""PRICE"",TODAY()-28),2,2)"),710.0)</f>
        <v>710</v>
      </c>
      <c r="K107" s="17">
        <f>IFERROR(__xludf.DUMMYFUNCTION("INDEX(GOOGLEFINANCE(""NSE:""&amp;D107,""PRICE"",TODAY()-84),2,2)"),994.2)</f>
        <v>994.2</v>
      </c>
      <c r="L107" s="16">
        <f t="shared" si="1"/>
        <v>0.001231021748</v>
      </c>
      <c r="M107" s="16">
        <f t="shared" si="2"/>
        <v>-0.01902975074</v>
      </c>
      <c r="N107" s="16">
        <f t="shared" si="3"/>
        <v>-0.005637438022</v>
      </c>
      <c r="O107" s="16">
        <f t="shared" si="4"/>
        <v>0.03098591549</v>
      </c>
      <c r="P107" s="16">
        <f t="shared" si="5"/>
        <v>-0.2637296319</v>
      </c>
      <c r="Q107" s="30">
        <f t="shared" si="6"/>
        <v>-0.03189530436</v>
      </c>
      <c r="R107" s="30">
        <f t="shared" si="7"/>
        <v>-0.03118488328</v>
      </c>
      <c r="S107" s="30">
        <f t="shared" si="8"/>
        <v>-0.04081985876</v>
      </c>
      <c r="T107" s="30">
        <f t="shared" si="9"/>
        <v>-0.3959640641</v>
      </c>
      <c r="U107" s="31" t="str">
        <f t="shared" si="10"/>
        <v>#N/A</v>
      </c>
      <c r="V107" s="31" t="str">
        <f t="shared" si="11"/>
        <v>#N/A</v>
      </c>
      <c r="W107" s="31">
        <f t="shared" si="12"/>
        <v>135</v>
      </c>
      <c r="X107" s="31" t="str">
        <f t="shared" si="13"/>
        <v>#N/A</v>
      </c>
    </row>
    <row r="108">
      <c r="A108" s="1">
        <v>105.0</v>
      </c>
      <c r="B108" s="22" t="s">
        <v>632</v>
      </c>
      <c r="C108" s="22" t="s">
        <v>549</v>
      </c>
      <c r="D108" s="22" t="s">
        <v>219</v>
      </c>
      <c r="E108" s="23">
        <f>IFERROR(__xludf.DUMMYFUNCTION("GOOGLEFINANCE(""NSE:""&amp;D108,""marketcap"")/10000000"),42709.9128088)</f>
        <v>42709.91281</v>
      </c>
      <c r="F108" s="17">
        <f>IFERROR(__xludf.DUMMYFUNCTION("GOOGLEFINANCE(""NSE:""&amp;D108)"),938.9)</f>
        <v>938.9</v>
      </c>
      <c r="G108" s="17">
        <f>IFERROR(__xludf.DUMMYFUNCTION("GOOGLEFINANCE(""NSE:""&amp;D108,""closeyest"")"),940.0)</f>
        <v>940</v>
      </c>
      <c r="H108" s="17">
        <f>IFERROR(__xludf.DUMMYFUNCTION("INDEX(GOOGLEFINANCE(""NSE:""&amp;D108,""PRICE"",TODAY()-7),2,2)"),950.95)</f>
        <v>950.95</v>
      </c>
      <c r="I108" s="17">
        <f>IFERROR(__xludf.DUMMYFUNCTION("INDEX(GOOGLEFINANCE(""NSE:""&amp;D108,""PRICE"",TODAY()-14),2,2)"),984.1)</f>
        <v>984.1</v>
      </c>
      <c r="J108" s="17">
        <f>IFERROR(__xludf.DUMMYFUNCTION("INDEX(GOOGLEFINANCE(""NSE:""&amp;D108,""PRICE"",TODAY()-28),2,2)"),940.1)</f>
        <v>940.1</v>
      </c>
      <c r="K108" s="17">
        <f>IFERROR(__xludf.DUMMYFUNCTION("INDEX(GOOGLEFINANCE(""NSE:""&amp;D108,""PRICE"",TODAY()-84),2,2)"),1160.5)</f>
        <v>1160.5</v>
      </c>
      <c r="L108" s="16">
        <f t="shared" si="1"/>
        <v>-0.001170212766</v>
      </c>
      <c r="M108" s="16">
        <f t="shared" si="2"/>
        <v>-0.01267153899</v>
      </c>
      <c r="N108" s="16">
        <f t="shared" si="3"/>
        <v>-0.04593029164</v>
      </c>
      <c r="O108" s="16">
        <f t="shared" si="4"/>
        <v>-0.001276459951</v>
      </c>
      <c r="P108" s="16">
        <f t="shared" si="5"/>
        <v>-0.1909521758</v>
      </c>
      <c r="Q108" s="30">
        <f t="shared" si="6"/>
        <v>-0.02553709261</v>
      </c>
      <c r="R108" s="30">
        <f t="shared" si="7"/>
        <v>-0.07147773689</v>
      </c>
      <c r="S108" s="30">
        <f t="shared" si="8"/>
        <v>-0.0730822342</v>
      </c>
      <c r="T108" s="30">
        <f t="shared" si="9"/>
        <v>-0.323186608</v>
      </c>
      <c r="U108" s="31" t="str">
        <f t="shared" si="10"/>
        <v>#N/A</v>
      </c>
      <c r="V108" s="31" t="str">
        <f t="shared" si="11"/>
        <v>#N/A</v>
      </c>
      <c r="W108" s="31">
        <f t="shared" si="12"/>
        <v>168</v>
      </c>
      <c r="X108" s="31" t="str">
        <f t="shared" si="13"/>
        <v>#N/A</v>
      </c>
    </row>
    <row r="109">
      <c r="A109" s="1">
        <v>106.0</v>
      </c>
      <c r="B109" s="22" t="s">
        <v>658</v>
      </c>
      <c r="C109" s="22" t="s">
        <v>555</v>
      </c>
      <c r="D109" s="22" t="s">
        <v>235</v>
      </c>
      <c r="E109" s="23">
        <f>IFERROR(__xludf.DUMMYFUNCTION("GOOGLEFINANCE(""NSE:""&amp;D109,""marketcap"")/10000000"),43360.3212483)</f>
        <v>43360.32125</v>
      </c>
      <c r="F109" s="17">
        <f>IFERROR(__xludf.DUMMYFUNCTION("GOOGLEFINANCE(""NSE:""&amp;D109)"),711.9)</f>
        <v>711.9</v>
      </c>
      <c r="G109" s="17">
        <f>IFERROR(__xludf.DUMMYFUNCTION("GOOGLEFINANCE(""NSE:""&amp;D109,""closeyest"")"),696.8)</f>
        <v>696.8</v>
      </c>
      <c r="H109" s="17">
        <f>IFERROR(__xludf.DUMMYFUNCTION("INDEX(GOOGLEFINANCE(""NSE:""&amp;D109,""PRICE"",TODAY()-7),2,2)"),723.65)</f>
        <v>723.65</v>
      </c>
      <c r="I109" s="17">
        <f>IFERROR(__xludf.DUMMYFUNCTION("INDEX(GOOGLEFINANCE(""NSE:""&amp;D109,""PRICE"",TODAY()-14),2,2)"),740.55)</f>
        <v>740.55</v>
      </c>
      <c r="J109" s="17">
        <f>IFERROR(__xludf.DUMMYFUNCTION("INDEX(GOOGLEFINANCE(""NSE:""&amp;D109,""PRICE"",TODAY()-28),2,2)"),653.35)</f>
        <v>653.35</v>
      </c>
      <c r="K109" s="17">
        <f>IFERROR(__xludf.DUMMYFUNCTION("INDEX(GOOGLEFINANCE(""NSE:""&amp;D109,""PRICE"",TODAY()-84),2,2)"),679.6)</f>
        <v>679.6</v>
      </c>
      <c r="L109" s="16">
        <f t="shared" si="1"/>
        <v>0.02167049369</v>
      </c>
      <c r="M109" s="16">
        <f t="shared" si="2"/>
        <v>-0.01623713121</v>
      </c>
      <c r="N109" s="16">
        <f t="shared" si="3"/>
        <v>-0.03868746202</v>
      </c>
      <c r="O109" s="16">
        <f t="shared" si="4"/>
        <v>0.08961506084</v>
      </c>
      <c r="P109" s="16">
        <f t="shared" si="5"/>
        <v>0.04752795762</v>
      </c>
      <c r="Q109" s="30">
        <f t="shared" si="6"/>
        <v>-0.02910268483</v>
      </c>
      <c r="R109" s="30">
        <f t="shared" si="7"/>
        <v>-0.06423490728</v>
      </c>
      <c r="S109" s="30">
        <f t="shared" si="8"/>
        <v>0.01780928659</v>
      </c>
      <c r="T109" s="30">
        <f t="shared" si="9"/>
        <v>-0.08470647461</v>
      </c>
      <c r="U109" s="31" t="str">
        <f t="shared" si="10"/>
        <v>#N/A</v>
      </c>
      <c r="V109" s="31" t="str">
        <f t="shared" si="11"/>
        <v>#N/A</v>
      </c>
      <c r="W109" s="31">
        <f t="shared" si="12"/>
        <v>73</v>
      </c>
      <c r="X109" s="31" t="str">
        <f t="shared" si="13"/>
        <v>#N/A</v>
      </c>
    </row>
    <row r="110">
      <c r="A110" s="1">
        <v>107.0</v>
      </c>
      <c r="B110" s="22" t="s">
        <v>637</v>
      </c>
      <c r="C110" s="22" t="s">
        <v>552</v>
      </c>
      <c r="D110" s="22" t="s">
        <v>208</v>
      </c>
      <c r="E110" s="23">
        <f>IFERROR(__xludf.DUMMYFUNCTION("GOOGLEFINANCE(""NSE:""&amp;D110,""marketcap"")/10000000"),41878.3579513)</f>
        <v>41878.35795</v>
      </c>
      <c r="F110" s="17">
        <f>IFERROR(__xludf.DUMMYFUNCTION("GOOGLEFINANCE(""NSE:""&amp;D110)"),142.85)</f>
        <v>142.85</v>
      </c>
      <c r="G110" s="17">
        <f>IFERROR(__xludf.DUMMYFUNCTION("GOOGLEFINANCE(""NSE:""&amp;D110,""closeyest"")"),144.6)</f>
        <v>144.6</v>
      </c>
      <c r="H110" s="17">
        <f>IFERROR(__xludf.DUMMYFUNCTION("INDEX(GOOGLEFINANCE(""NSE:""&amp;D110,""PRICE"",TODAY()-7),2,2)"),147.4)</f>
        <v>147.4</v>
      </c>
      <c r="I110" s="17">
        <f>IFERROR(__xludf.DUMMYFUNCTION("INDEX(GOOGLEFINANCE(""NSE:""&amp;D110,""PRICE"",TODAY()-14),2,2)"),151.55)</f>
        <v>151.55</v>
      </c>
      <c r="J110" s="17">
        <f>IFERROR(__xludf.DUMMYFUNCTION("INDEX(GOOGLEFINANCE(""NSE:""&amp;D110,""PRICE"",TODAY()-28),2,2)"),152.2)</f>
        <v>152.2</v>
      </c>
      <c r="K110" s="17">
        <f>IFERROR(__xludf.DUMMYFUNCTION("INDEX(GOOGLEFINANCE(""NSE:""&amp;D110,""PRICE"",TODAY()-84),2,2)"),182.95)</f>
        <v>182.95</v>
      </c>
      <c r="L110" s="16">
        <f t="shared" si="1"/>
        <v>-0.01210235131</v>
      </c>
      <c r="M110" s="16">
        <f t="shared" si="2"/>
        <v>-0.03086838535</v>
      </c>
      <c r="N110" s="16">
        <f t="shared" si="3"/>
        <v>-0.05740679644</v>
      </c>
      <c r="O110" s="16">
        <f t="shared" si="4"/>
        <v>-0.06143232589</v>
      </c>
      <c r="P110" s="16">
        <f t="shared" si="5"/>
        <v>-0.2191855698</v>
      </c>
      <c r="Q110" s="30">
        <f t="shared" si="6"/>
        <v>-0.04373393897</v>
      </c>
      <c r="R110" s="30">
        <f t="shared" si="7"/>
        <v>-0.08295424169</v>
      </c>
      <c r="S110" s="30">
        <f t="shared" si="8"/>
        <v>-0.1332381001</v>
      </c>
      <c r="T110" s="30">
        <f t="shared" si="9"/>
        <v>-0.3514200021</v>
      </c>
      <c r="U110" s="31" t="str">
        <f t="shared" si="10"/>
        <v>#N/A</v>
      </c>
      <c r="V110" s="31" t="str">
        <f t="shared" si="11"/>
        <v>#N/A</v>
      </c>
      <c r="W110" s="31">
        <f t="shared" si="12"/>
        <v>191</v>
      </c>
      <c r="X110" s="31" t="str">
        <f t="shared" si="13"/>
        <v>#N/A</v>
      </c>
    </row>
    <row r="111">
      <c r="A111" s="1">
        <v>108.0</v>
      </c>
      <c r="B111" s="22" t="s">
        <v>611</v>
      </c>
      <c r="C111" s="22" t="s">
        <v>528</v>
      </c>
      <c r="D111" s="22" t="s">
        <v>253</v>
      </c>
      <c r="E111" s="23">
        <f>IFERROR(__xludf.DUMMYFUNCTION("GOOGLEFINANCE(""NSE:""&amp;D111,""marketcap"")/10000000"),42392.3885)</f>
        <v>42392.3885</v>
      </c>
      <c r="F111" s="17">
        <f>IFERROR(__xludf.DUMMYFUNCTION("GOOGLEFINANCE(""NSE:""&amp;D111)"),38.45)</f>
        <v>38.45</v>
      </c>
      <c r="G111" s="17">
        <f>IFERROR(__xludf.DUMMYFUNCTION("GOOGLEFINANCE(""NSE:""&amp;D111,""closeyest"")"),38.15)</f>
        <v>38.15</v>
      </c>
      <c r="H111" s="17">
        <f>IFERROR(__xludf.DUMMYFUNCTION("INDEX(GOOGLEFINANCE(""NSE:""&amp;D111,""PRICE"",TODAY()-7),2,2)"),39.75)</f>
        <v>39.75</v>
      </c>
      <c r="I111" s="17">
        <f>IFERROR(__xludf.DUMMYFUNCTION("INDEX(GOOGLEFINANCE(""NSE:""&amp;D111,""PRICE"",TODAY()-14),2,2)"),37.6)</f>
        <v>37.6</v>
      </c>
      <c r="J111" s="17">
        <f>IFERROR(__xludf.DUMMYFUNCTION("INDEX(GOOGLEFINANCE(""NSE:""&amp;D111,""PRICE"",TODAY()-28),2,2)"),36.15)</f>
        <v>36.15</v>
      </c>
      <c r="K111" s="17">
        <f>IFERROR(__xludf.DUMMYFUNCTION("INDEX(GOOGLEFINANCE(""NSE:""&amp;D111,""PRICE"",TODAY()-84),2,2)"),42.1)</f>
        <v>42.1</v>
      </c>
      <c r="L111" s="16">
        <f t="shared" si="1"/>
        <v>0.007863695937</v>
      </c>
      <c r="M111" s="16">
        <f t="shared" si="2"/>
        <v>-0.03270440252</v>
      </c>
      <c r="N111" s="16">
        <f t="shared" si="3"/>
        <v>0.02260638298</v>
      </c>
      <c r="O111" s="16">
        <f t="shared" si="4"/>
        <v>0.06362378976</v>
      </c>
      <c r="P111" s="16">
        <f t="shared" si="5"/>
        <v>-0.08669833729</v>
      </c>
      <c r="Q111" s="30">
        <f t="shared" si="6"/>
        <v>-0.04556995614</v>
      </c>
      <c r="R111" s="30">
        <f t="shared" si="7"/>
        <v>-0.002941062277</v>
      </c>
      <c r="S111" s="30">
        <f t="shared" si="8"/>
        <v>-0.008181984484</v>
      </c>
      <c r="T111" s="30">
        <f t="shared" si="9"/>
        <v>-0.2189327695</v>
      </c>
      <c r="U111" s="31" t="str">
        <f t="shared" si="10"/>
        <v>#N/A</v>
      </c>
      <c r="V111" s="31" t="str">
        <f t="shared" si="11"/>
        <v>#N/A</v>
      </c>
      <c r="W111" s="31">
        <f t="shared" si="12"/>
        <v>100</v>
      </c>
      <c r="X111" s="31" t="str">
        <f t="shared" si="13"/>
        <v>#N/A</v>
      </c>
    </row>
    <row r="112">
      <c r="A112" s="1">
        <v>109.0</v>
      </c>
      <c r="B112" s="22" t="s">
        <v>258</v>
      </c>
      <c r="C112" s="22" t="s">
        <v>528</v>
      </c>
      <c r="D112" s="22" t="s">
        <v>259</v>
      </c>
      <c r="E112" s="23">
        <f>IFERROR(__xludf.DUMMYFUNCTION("GOOGLEFINANCE(""NSE:""&amp;D112,""marketcap"")/10000000"),41214.0932099)</f>
        <v>41214.09321</v>
      </c>
      <c r="F112" s="17">
        <f>IFERROR(__xludf.DUMMYFUNCTION("GOOGLEFINANCE(""NSE:""&amp;D112)"),79.6)</f>
        <v>79.6</v>
      </c>
      <c r="G112" s="17">
        <f>IFERROR(__xludf.DUMMYFUNCTION("GOOGLEFINANCE(""NSE:""&amp;D112,""closeyest"")"),79.7)</f>
        <v>79.7</v>
      </c>
      <c r="H112" s="17">
        <f>IFERROR(__xludf.DUMMYFUNCTION("INDEX(GOOGLEFINANCE(""NSE:""&amp;D112,""PRICE"",TODAY()-7),2,2)"),82.3)</f>
        <v>82.3</v>
      </c>
      <c r="I112" s="17">
        <f>IFERROR(__xludf.DUMMYFUNCTION("INDEX(GOOGLEFINANCE(""NSE:""&amp;D112,""PRICE"",TODAY()-14),2,2)"),78.25)</f>
        <v>78.25</v>
      </c>
      <c r="J112" s="17">
        <f>IFERROR(__xludf.DUMMYFUNCTION("INDEX(GOOGLEFINANCE(""NSE:""&amp;D112,""PRICE"",TODAY()-28),2,2)"),74.55)</f>
        <v>74.55</v>
      </c>
      <c r="K112" s="17">
        <f>IFERROR(__xludf.DUMMYFUNCTION("INDEX(GOOGLEFINANCE(""NSE:""&amp;D112,""PRICE"",TODAY()-84),2,2)"),85.2)</f>
        <v>85.2</v>
      </c>
      <c r="L112" s="16">
        <f t="shared" si="1"/>
        <v>-0.001254705144</v>
      </c>
      <c r="M112" s="16">
        <f t="shared" si="2"/>
        <v>-0.03280680437</v>
      </c>
      <c r="N112" s="16">
        <f t="shared" si="3"/>
        <v>0.01725239617</v>
      </c>
      <c r="O112" s="16">
        <f t="shared" si="4"/>
        <v>0.06773977197</v>
      </c>
      <c r="P112" s="16">
        <f t="shared" si="5"/>
        <v>-0.06572769953</v>
      </c>
      <c r="Q112" s="30">
        <f t="shared" si="6"/>
        <v>-0.045672358</v>
      </c>
      <c r="R112" s="30">
        <f t="shared" si="7"/>
        <v>-0.008295049089</v>
      </c>
      <c r="S112" s="30">
        <f t="shared" si="8"/>
        <v>-0.004066002283</v>
      </c>
      <c r="T112" s="30">
        <f t="shared" si="9"/>
        <v>-0.1979621318</v>
      </c>
      <c r="U112" s="31" t="str">
        <f t="shared" si="10"/>
        <v>#N/A</v>
      </c>
      <c r="V112" s="31" t="str">
        <f t="shared" si="11"/>
        <v>#N/A</v>
      </c>
      <c r="W112" s="31">
        <f t="shared" si="12"/>
        <v>93</v>
      </c>
      <c r="X112" s="31" t="str">
        <f t="shared" si="13"/>
        <v>#N/A</v>
      </c>
    </row>
    <row r="113">
      <c r="A113" s="1">
        <v>110.0</v>
      </c>
      <c r="B113" s="22" t="s">
        <v>659</v>
      </c>
      <c r="C113" s="22" t="s">
        <v>526</v>
      </c>
      <c r="D113" s="22" t="s">
        <v>305</v>
      </c>
      <c r="E113" s="23">
        <f>IFERROR(__xludf.DUMMYFUNCTION("GOOGLEFINANCE(""NSE:""&amp;D113,""marketcap"")/10000000"),41272.9022466)</f>
        <v>41272.90225</v>
      </c>
      <c r="F113" s="17">
        <f>IFERROR(__xludf.DUMMYFUNCTION("GOOGLEFINANCE(""NSE:""&amp;D113)"),1247.35)</f>
        <v>1247.35</v>
      </c>
      <c r="G113" s="17">
        <f>IFERROR(__xludf.DUMMYFUNCTION("GOOGLEFINANCE(""NSE:""&amp;D113,""closeyest"")"),1238.6)</f>
        <v>1238.6</v>
      </c>
      <c r="H113" s="17">
        <f>IFERROR(__xludf.DUMMYFUNCTION("INDEX(GOOGLEFINANCE(""NSE:""&amp;D113,""PRICE"",TODAY()-7),2,2)"),1254.15)</f>
        <v>1254.15</v>
      </c>
      <c r="I113" s="17">
        <f>IFERROR(__xludf.DUMMYFUNCTION("INDEX(GOOGLEFINANCE(""NSE:""&amp;D113,""PRICE"",TODAY()-14),2,2)"),1213.05)</f>
        <v>1213.05</v>
      </c>
      <c r="J113" s="17">
        <f>IFERROR(__xludf.DUMMYFUNCTION("INDEX(GOOGLEFINANCE(""NSE:""&amp;D113,""PRICE"",TODAY()-28),2,2)"),985.35)</f>
        <v>985.35</v>
      </c>
      <c r="K113" s="17">
        <f>IFERROR(__xludf.DUMMYFUNCTION("INDEX(GOOGLEFINANCE(""NSE:""&amp;D113,""PRICE"",TODAY()-84),2,2)"),1013.9)</f>
        <v>1013.9</v>
      </c>
      <c r="L113" s="16">
        <f t="shared" si="1"/>
        <v>0.00706442758</v>
      </c>
      <c r="M113" s="16">
        <f t="shared" si="2"/>
        <v>-0.005421998963</v>
      </c>
      <c r="N113" s="16">
        <f t="shared" si="3"/>
        <v>0.02827583364</v>
      </c>
      <c r="O113" s="16">
        <f t="shared" si="4"/>
        <v>0.2658953671</v>
      </c>
      <c r="P113" s="16">
        <f t="shared" si="5"/>
        <v>0.2302495315</v>
      </c>
      <c r="Q113" s="30">
        <f t="shared" si="6"/>
        <v>-0.01828755259</v>
      </c>
      <c r="R113" s="30">
        <f t="shared" si="7"/>
        <v>0.002728388387</v>
      </c>
      <c r="S113" s="30">
        <f t="shared" si="8"/>
        <v>0.1940895929</v>
      </c>
      <c r="T113" s="30">
        <f t="shared" si="9"/>
        <v>0.09801509928</v>
      </c>
      <c r="U113" s="31" t="str">
        <f t="shared" si="10"/>
        <v>#N/A</v>
      </c>
      <c r="V113" s="31" t="str">
        <f t="shared" si="11"/>
        <v>#N/A</v>
      </c>
      <c r="W113" s="31">
        <f t="shared" si="12"/>
        <v>11</v>
      </c>
      <c r="X113" s="31" t="str">
        <f t="shared" si="13"/>
        <v>#N/A</v>
      </c>
    </row>
    <row r="114">
      <c r="A114" s="1">
        <v>111.0</v>
      </c>
      <c r="B114" s="22" t="s">
        <v>660</v>
      </c>
      <c r="C114" s="22" t="s">
        <v>543</v>
      </c>
      <c r="D114" s="22" t="s">
        <v>241</v>
      </c>
      <c r="E114" s="23">
        <f>IFERROR(__xludf.DUMMYFUNCTION("GOOGLEFINANCE(""NSE:""&amp;D114,""marketcap"")/10000000"),39779.2862386)</f>
        <v>39779.28624</v>
      </c>
      <c r="F114" s="17">
        <f>IFERROR(__xludf.DUMMYFUNCTION("GOOGLEFINANCE(""NSE:""&amp;D114)"),2125.9)</f>
        <v>2125.9</v>
      </c>
      <c r="G114" s="17">
        <f>IFERROR(__xludf.DUMMYFUNCTION("GOOGLEFINANCE(""NSE:""&amp;D114,""closeyest"")"),2127.3)</f>
        <v>2127.3</v>
      </c>
      <c r="H114" s="17">
        <f>IFERROR(__xludf.DUMMYFUNCTION("INDEX(GOOGLEFINANCE(""NSE:""&amp;D114,""PRICE"",TODAY()-7),2,2)"),2298.1)</f>
        <v>2298.1</v>
      </c>
      <c r="I114" s="17">
        <f>IFERROR(__xludf.DUMMYFUNCTION("INDEX(GOOGLEFINANCE(""NSE:""&amp;D114,""PRICE"",TODAY()-14),2,2)"),2409.4)</f>
        <v>2409.4</v>
      </c>
      <c r="J114" s="17">
        <f>IFERROR(__xludf.DUMMYFUNCTION("INDEX(GOOGLEFINANCE(""NSE:""&amp;D114,""PRICE"",TODAY()-28),2,2)"),2032.05)</f>
        <v>2032.05</v>
      </c>
      <c r="K114" s="17">
        <f>IFERROR(__xludf.DUMMYFUNCTION("INDEX(GOOGLEFINANCE(""NSE:""&amp;D114,""PRICE"",TODAY()-84),2,2)"),1937.65)</f>
        <v>1937.65</v>
      </c>
      <c r="L114" s="16">
        <f t="shared" si="1"/>
        <v>-0.0006581112208</v>
      </c>
      <c r="M114" s="16">
        <f t="shared" si="2"/>
        <v>-0.07493146512</v>
      </c>
      <c r="N114" s="16">
        <f t="shared" si="3"/>
        <v>-0.1176641488</v>
      </c>
      <c r="O114" s="16">
        <f t="shared" si="4"/>
        <v>0.04618488718</v>
      </c>
      <c r="P114" s="16">
        <f t="shared" si="5"/>
        <v>0.09715376874</v>
      </c>
      <c r="Q114" s="30">
        <f t="shared" si="6"/>
        <v>-0.08779701875</v>
      </c>
      <c r="R114" s="30">
        <f t="shared" si="7"/>
        <v>-0.143211594</v>
      </c>
      <c r="S114" s="30">
        <f t="shared" si="8"/>
        <v>-0.02562088707</v>
      </c>
      <c r="T114" s="30">
        <f t="shared" si="9"/>
        <v>-0.03508066349</v>
      </c>
      <c r="U114" s="31" t="str">
        <f t="shared" si="10"/>
        <v>#N/A</v>
      </c>
      <c r="V114" s="31" t="str">
        <f t="shared" si="11"/>
        <v>#N/A</v>
      </c>
      <c r="W114" s="31">
        <f t="shared" si="12"/>
        <v>120</v>
      </c>
      <c r="X114" s="31" t="str">
        <f t="shared" si="13"/>
        <v>#N/A</v>
      </c>
    </row>
    <row r="115">
      <c r="A115" s="1">
        <v>112.0</v>
      </c>
      <c r="B115" s="22" t="s">
        <v>661</v>
      </c>
      <c r="C115" s="22" t="s">
        <v>526</v>
      </c>
      <c r="D115" s="22" t="s">
        <v>271</v>
      </c>
      <c r="E115" s="23">
        <f>IFERROR(__xludf.DUMMYFUNCTION("GOOGLEFINANCE(""NSE:""&amp;D115,""marketcap"")/10000000"),40294.0744959)</f>
        <v>40294.0745</v>
      </c>
      <c r="F115" s="17">
        <f>IFERROR(__xludf.DUMMYFUNCTION("GOOGLEFINANCE(""NSE:""&amp;D115)"),929.1)</f>
        <v>929.1</v>
      </c>
      <c r="G115" s="17">
        <f>IFERROR(__xludf.DUMMYFUNCTION("GOOGLEFINANCE(""NSE:""&amp;D115,""closeyest"")"),915.95)</f>
        <v>915.95</v>
      </c>
      <c r="H115" s="17">
        <f>IFERROR(__xludf.DUMMYFUNCTION("INDEX(GOOGLEFINANCE(""NSE:""&amp;D115,""PRICE"",TODAY()-7),2,2)"),882.1)</f>
        <v>882.1</v>
      </c>
      <c r="I115" s="17">
        <f>IFERROR(__xludf.DUMMYFUNCTION("INDEX(GOOGLEFINANCE(""NSE:""&amp;D115,""PRICE"",TODAY()-14),2,2)"),928.7)</f>
        <v>928.7</v>
      </c>
      <c r="J115" s="17">
        <f>IFERROR(__xludf.DUMMYFUNCTION("INDEX(GOOGLEFINANCE(""NSE:""&amp;D115,""PRICE"",TODAY()-28),2,2)"),852.45)</f>
        <v>852.45</v>
      </c>
      <c r="K115" s="17">
        <f>IFERROR(__xludf.DUMMYFUNCTION("INDEX(GOOGLEFINANCE(""NSE:""&amp;D115,""PRICE"",TODAY()-84),2,2)"),719.15)</f>
        <v>719.15</v>
      </c>
      <c r="L115" s="16">
        <f t="shared" si="1"/>
        <v>0.01435667886</v>
      </c>
      <c r="M115" s="16">
        <f t="shared" si="2"/>
        <v>0.05328194082</v>
      </c>
      <c r="N115" s="16">
        <f t="shared" si="3"/>
        <v>0.0004307095941</v>
      </c>
      <c r="O115" s="16">
        <f t="shared" si="4"/>
        <v>0.0899172972</v>
      </c>
      <c r="P115" s="16">
        <f t="shared" si="5"/>
        <v>0.2919418758</v>
      </c>
      <c r="Q115" s="30">
        <f t="shared" si="6"/>
        <v>0.0404163872</v>
      </c>
      <c r="R115" s="30">
        <f t="shared" si="7"/>
        <v>-0.02511673566</v>
      </c>
      <c r="S115" s="30">
        <f t="shared" si="8"/>
        <v>0.01811152295</v>
      </c>
      <c r="T115" s="30">
        <f t="shared" si="9"/>
        <v>0.1597074436</v>
      </c>
      <c r="U115" s="31" t="str">
        <f t="shared" si="10"/>
        <v>#N/A</v>
      </c>
      <c r="V115" s="31" t="str">
        <f t="shared" si="11"/>
        <v>#N/A</v>
      </c>
      <c r="W115" s="31">
        <f t="shared" si="12"/>
        <v>72</v>
      </c>
      <c r="X115" s="31" t="str">
        <f t="shared" si="13"/>
        <v>#N/A</v>
      </c>
    </row>
    <row r="116">
      <c r="A116" s="1">
        <v>113.0</v>
      </c>
      <c r="B116" s="22" t="s">
        <v>605</v>
      </c>
      <c r="C116" s="22" t="s">
        <v>522</v>
      </c>
      <c r="D116" s="22" t="s">
        <v>269</v>
      </c>
      <c r="E116" s="23">
        <f>IFERROR(__xludf.DUMMYFUNCTION("GOOGLEFINANCE(""NSE:""&amp;D116,""marketcap"")/10000000"),39676.365749)</f>
        <v>39676.36575</v>
      </c>
      <c r="F116" s="17">
        <f>IFERROR(__xludf.DUMMYFUNCTION("GOOGLEFINANCE(""NSE:""&amp;D116)"),279.5)</f>
        <v>279.5</v>
      </c>
      <c r="G116" s="17">
        <f>IFERROR(__xludf.DUMMYFUNCTION("GOOGLEFINANCE(""NSE:""&amp;D116,""closeyest"")"),276.6)</f>
        <v>276.6</v>
      </c>
      <c r="H116" s="17">
        <f>IFERROR(__xludf.DUMMYFUNCTION("INDEX(GOOGLEFINANCE(""NSE:""&amp;D116,""PRICE"",TODAY()-7),2,2)"),282.95)</f>
        <v>282.95</v>
      </c>
      <c r="I116" s="17">
        <f>IFERROR(__xludf.DUMMYFUNCTION("INDEX(GOOGLEFINANCE(""NSE:""&amp;D116,""PRICE"",TODAY()-14),2,2)"),270.65)</f>
        <v>270.65</v>
      </c>
      <c r="J116" s="17">
        <f>IFERROR(__xludf.DUMMYFUNCTION("INDEX(GOOGLEFINANCE(""NSE:""&amp;D116,""PRICE"",TODAY()-28),2,2)"),256.6)</f>
        <v>256.6</v>
      </c>
      <c r="K116" s="17">
        <f>IFERROR(__xludf.DUMMYFUNCTION("INDEX(GOOGLEFINANCE(""NSE:""&amp;D116,""PRICE"",TODAY()-84),2,2)"),297.95)</f>
        <v>297.95</v>
      </c>
      <c r="L116" s="16">
        <f t="shared" si="1"/>
        <v>0.01048445409</v>
      </c>
      <c r="M116" s="16">
        <f t="shared" si="2"/>
        <v>-0.01219296696</v>
      </c>
      <c r="N116" s="16">
        <f t="shared" si="3"/>
        <v>0.03269905782</v>
      </c>
      <c r="O116" s="16">
        <f t="shared" si="4"/>
        <v>0.08924395947</v>
      </c>
      <c r="P116" s="16">
        <f t="shared" si="5"/>
        <v>-0.06192314147</v>
      </c>
      <c r="Q116" s="30">
        <f t="shared" si="6"/>
        <v>-0.02505852058</v>
      </c>
      <c r="R116" s="30">
        <f t="shared" si="7"/>
        <v>0.007151612568</v>
      </c>
      <c r="S116" s="30">
        <f t="shared" si="8"/>
        <v>0.01743818522</v>
      </c>
      <c r="T116" s="30">
        <f t="shared" si="9"/>
        <v>-0.1941575737</v>
      </c>
      <c r="U116" s="31" t="str">
        <f t="shared" si="10"/>
        <v>#N/A</v>
      </c>
      <c r="V116" s="31" t="str">
        <f t="shared" si="11"/>
        <v>#N/A</v>
      </c>
      <c r="W116" s="31">
        <f t="shared" si="12"/>
        <v>74</v>
      </c>
      <c r="X116" s="31" t="str">
        <f t="shared" si="13"/>
        <v>#N/A</v>
      </c>
    </row>
    <row r="117">
      <c r="A117" s="1">
        <v>114.0</v>
      </c>
      <c r="B117" s="22" t="s">
        <v>626</v>
      </c>
      <c r="C117" s="22" t="s">
        <v>522</v>
      </c>
      <c r="D117" s="22" t="s">
        <v>267</v>
      </c>
      <c r="E117" s="23">
        <f>IFERROR(__xludf.DUMMYFUNCTION("GOOGLEFINANCE(""NSE:""&amp;D117,""marketcap"")/10000000"),37621.5384759)</f>
        <v>37621.53848</v>
      </c>
      <c r="F117" s="17">
        <f>IFERROR(__xludf.DUMMYFUNCTION("GOOGLEFINANCE(""NSE:""&amp;D117)"),537.7)</f>
        <v>537.7</v>
      </c>
      <c r="G117" s="17">
        <f>IFERROR(__xludf.DUMMYFUNCTION("GOOGLEFINANCE(""NSE:""&amp;D117,""closeyest"")"),537.65)</f>
        <v>537.65</v>
      </c>
      <c r="H117" s="17">
        <f>IFERROR(__xludf.DUMMYFUNCTION("INDEX(GOOGLEFINANCE(""NSE:""&amp;D117,""PRICE"",TODAY()-7),2,2)"),561.35)</f>
        <v>561.35</v>
      </c>
      <c r="I117" s="17">
        <f>IFERROR(__xludf.DUMMYFUNCTION("INDEX(GOOGLEFINANCE(""NSE:""&amp;D117,""PRICE"",TODAY()-14),2,2)"),591.45)</f>
        <v>591.45</v>
      </c>
      <c r="J117" s="17">
        <f>IFERROR(__xludf.DUMMYFUNCTION("INDEX(GOOGLEFINANCE(""NSE:""&amp;D117,""PRICE"",TODAY()-28),2,2)"),524.8)</f>
        <v>524.8</v>
      </c>
      <c r="K117" s="17">
        <f>IFERROR(__xludf.DUMMYFUNCTION("INDEX(GOOGLEFINANCE(""NSE:""&amp;D117,""PRICE"",TODAY()-84),2,2)"),563.65)</f>
        <v>563.65</v>
      </c>
      <c r="L117" s="16">
        <f t="shared" si="1"/>
        <v>0.00009299730308</v>
      </c>
      <c r="M117" s="16">
        <f t="shared" si="2"/>
        <v>-0.04213057807</v>
      </c>
      <c r="N117" s="16">
        <f t="shared" si="3"/>
        <v>-0.09087834982</v>
      </c>
      <c r="O117" s="16">
        <f t="shared" si="4"/>
        <v>0.02458079268</v>
      </c>
      <c r="P117" s="16">
        <f t="shared" si="5"/>
        <v>-0.04603920873</v>
      </c>
      <c r="Q117" s="30">
        <f t="shared" si="6"/>
        <v>-0.05499613169</v>
      </c>
      <c r="R117" s="30">
        <f t="shared" si="7"/>
        <v>-0.1164257951</v>
      </c>
      <c r="S117" s="30">
        <f t="shared" si="8"/>
        <v>-0.04722498157</v>
      </c>
      <c r="T117" s="30">
        <f t="shared" si="9"/>
        <v>-0.178273641</v>
      </c>
      <c r="U117" s="31" t="str">
        <f t="shared" si="10"/>
        <v>#N/A</v>
      </c>
      <c r="V117" s="31" t="str">
        <f t="shared" si="11"/>
        <v>#N/A</v>
      </c>
      <c r="W117" s="31">
        <f t="shared" si="12"/>
        <v>146</v>
      </c>
      <c r="X117" s="31" t="str">
        <f t="shared" si="13"/>
        <v>#N/A</v>
      </c>
    </row>
    <row r="118">
      <c r="A118" s="1">
        <v>115.0</v>
      </c>
      <c r="B118" s="22" t="s">
        <v>662</v>
      </c>
      <c r="C118" s="22" t="s">
        <v>545</v>
      </c>
      <c r="D118" s="22" t="s">
        <v>279</v>
      </c>
      <c r="E118" s="23">
        <f>IFERROR(__xludf.DUMMYFUNCTION("GOOGLEFINANCE(""NSE:""&amp;D118,""marketcap"")/10000000"),37824.4908162)</f>
        <v>37824.49082</v>
      </c>
      <c r="F118" s="17">
        <f>IFERROR(__xludf.DUMMYFUNCTION("GOOGLEFINANCE(""NSE:""&amp;D118)"),128.9)</f>
        <v>128.9</v>
      </c>
      <c r="G118" s="17">
        <f>IFERROR(__xludf.DUMMYFUNCTION("GOOGLEFINANCE(""NSE:""&amp;D118,""closeyest"")"),128.3)</f>
        <v>128.3</v>
      </c>
      <c r="H118" s="17">
        <f>IFERROR(__xludf.DUMMYFUNCTION("INDEX(GOOGLEFINANCE(""NSE:""&amp;D118,""PRICE"",TODAY()-7),2,2)"),125.15)</f>
        <v>125.15</v>
      </c>
      <c r="I118" s="17">
        <f>IFERROR(__xludf.DUMMYFUNCTION("INDEX(GOOGLEFINANCE(""NSE:""&amp;D118,""PRICE"",TODAY()-14),2,2)"),123.3)</f>
        <v>123.3</v>
      </c>
      <c r="J118" s="17">
        <f>IFERROR(__xludf.DUMMYFUNCTION("INDEX(GOOGLEFINANCE(""NSE:""&amp;D118,""PRICE"",TODAY()-28),2,2)"),120.25)</f>
        <v>120.25</v>
      </c>
      <c r="K118" s="17">
        <f>IFERROR(__xludf.DUMMYFUNCTION("INDEX(GOOGLEFINANCE(""NSE:""&amp;D118,""PRICE"",TODAY()-84),2,2)"),122.45)</f>
        <v>122.45</v>
      </c>
      <c r="L118" s="16">
        <f t="shared" si="1"/>
        <v>0.004676539361</v>
      </c>
      <c r="M118" s="16">
        <f t="shared" si="2"/>
        <v>0.02996404315</v>
      </c>
      <c r="N118" s="16">
        <f t="shared" si="3"/>
        <v>0.04541768045</v>
      </c>
      <c r="O118" s="16">
        <f t="shared" si="4"/>
        <v>0.07193347193</v>
      </c>
      <c r="P118" s="16">
        <f t="shared" si="5"/>
        <v>0.05267456105</v>
      </c>
      <c r="Q118" s="30">
        <f t="shared" si="6"/>
        <v>0.01709848953</v>
      </c>
      <c r="R118" s="30">
        <f t="shared" si="7"/>
        <v>0.0198702352</v>
      </c>
      <c r="S118" s="30">
        <f t="shared" si="8"/>
        <v>0.0001276976851</v>
      </c>
      <c r="T118" s="30">
        <f t="shared" si="9"/>
        <v>-0.07955987119</v>
      </c>
      <c r="U118" s="31" t="str">
        <f t="shared" si="10"/>
        <v>#N/A</v>
      </c>
      <c r="V118" s="31" t="str">
        <f t="shared" si="11"/>
        <v>#N/A</v>
      </c>
      <c r="W118" s="31">
        <f t="shared" si="12"/>
        <v>92</v>
      </c>
      <c r="X118" s="31" t="str">
        <f t="shared" si="13"/>
        <v>#N/A</v>
      </c>
    </row>
    <row r="119">
      <c r="A119" s="1">
        <v>116.0</v>
      </c>
      <c r="B119" s="22" t="s">
        <v>663</v>
      </c>
      <c r="C119" s="22" t="s">
        <v>552</v>
      </c>
      <c r="D119" s="22" t="s">
        <v>261</v>
      </c>
      <c r="E119" s="23">
        <f>IFERROR(__xludf.DUMMYFUNCTION("GOOGLEFINANCE(""NSE:""&amp;D119,""marketcap"")/10000000"),37824.4373247)</f>
        <v>37824.43732</v>
      </c>
      <c r="F119" s="17">
        <f>IFERROR(__xludf.DUMMYFUNCTION("GOOGLEFINANCE(""NSE:""&amp;D119)"),370.55)</f>
        <v>370.55</v>
      </c>
      <c r="G119" s="17">
        <f>IFERROR(__xludf.DUMMYFUNCTION("GOOGLEFINANCE(""NSE:""&amp;D119,""closeyest"")"),365.95)</f>
        <v>365.95</v>
      </c>
      <c r="H119" s="17">
        <f>IFERROR(__xludf.DUMMYFUNCTION("INDEX(GOOGLEFINANCE(""NSE:""&amp;D119,""PRICE"",TODAY()-7),2,2)"),386.6)</f>
        <v>386.6</v>
      </c>
      <c r="I119" s="17">
        <f>IFERROR(__xludf.DUMMYFUNCTION("INDEX(GOOGLEFINANCE(""NSE:""&amp;D119,""PRICE"",TODAY()-14),2,2)"),403.5)</f>
        <v>403.5</v>
      </c>
      <c r="J119" s="17">
        <f>IFERROR(__xludf.DUMMYFUNCTION("INDEX(GOOGLEFINANCE(""NSE:""&amp;D119,""PRICE"",TODAY()-28),2,2)"),371.5)</f>
        <v>371.5</v>
      </c>
      <c r="K119" s="17">
        <f>IFERROR(__xludf.DUMMYFUNCTION("INDEX(GOOGLEFINANCE(""NSE:""&amp;D119,""PRICE"",TODAY()-84),2,2)"),388.15)</f>
        <v>388.15</v>
      </c>
      <c r="L119" s="16">
        <f t="shared" si="1"/>
        <v>0.01257002323</v>
      </c>
      <c r="M119" s="16">
        <f t="shared" si="2"/>
        <v>-0.04151577858</v>
      </c>
      <c r="N119" s="16">
        <f t="shared" si="3"/>
        <v>-0.08166047088</v>
      </c>
      <c r="O119" s="16">
        <f t="shared" si="4"/>
        <v>-0.002557200538</v>
      </c>
      <c r="P119" s="16">
        <f t="shared" si="5"/>
        <v>-0.04534329512</v>
      </c>
      <c r="Q119" s="30">
        <f t="shared" si="6"/>
        <v>-0.0543813322</v>
      </c>
      <c r="R119" s="30">
        <f t="shared" si="7"/>
        <v>-0.1072079161</v>
      </c>
      <c r="S119" s="30">
        <f t="shared" si="8"/>
        <v>-0.07436297479</v>
      </c>
      <c r="T119" s="30">
        <f t="shared" si="9"/>
        <v>-0.1775777274</v>
      </c>
      <c r="U119" s="31" t="str">
        <f t="shared" si="10"/>
        <v>#N/A</v>
      </c>
      <c r="V119" s="31" t="str">
        <f t="shared" si="11"/>
        <v>#N/A</v>
      </c>
      <c r="W119" s="31">
        <f t="shared" si="12"/>
        <v>169</v>
      </c>
      <c r="X119" s="31" t="str">
        <f t="shared" si="13"/>
        <v>#N/A</v>
      </c>
    </row>
    <row r="120">
      <c r="A120" s="1">
        <v>117.0</v>
      </c>
      <c r="B120" s="22" t="s">
        <v>664</v>
      </c>
      <c r="C120" s="22" t="s">
        <v>665</v>
      </c>
      <c r="D120" s="22" t="s">
        <v>285</v>
      </c>
      <c r="E120" s="23">
        <f>IFERROR(__xludf.DUMMYFUNCTION("GOOGLEFINANCE(""NSE:""&amp;D120,""marketcap"")/10000000"),36940.1099247)</f>
        <v>36940.10992</v>
      </c>
      <c r="F120" s="17">
        <f>IFERROR(__xludf.DUMMYFUNCTION("GOOGLEFINANCE(""NSE:""&amp;D120)"),33118.65)</f>
        <v>33118.65</v>
      </c>
      <c r="G120" s="17">
        <f>IFERROR(__xludf.DUMMYFUNCTION("GOOGLEFINANCE(""NSE:""&amp;D120,""closeyest"")"),33348.85)</f>
        <v>33348.85</v>
      </c>
      <c r="H120" s="17">
        <f>IFERROR(__xludf.DUMMYFUNCTION("INDEX(GOOGLEFINANCE(""NSE:""&amp;D120,""PRICE"",TODAY()-7),2,2)"),33121.25)</f>
        <v>33121.25</v>
      </c>
      <c r="I120" s="17">
        <f>IFERROR(__xludf.DUMMYFUNCTION("INDEX(GOOGLEFINANCE(""NSE:""&amp;D120,""PRICE"",TODAY()-14),2,2)"),32077.75)</f>
        <v>32077.75</v>
      </c>
      <c r="J120" s="17">
        <f>IFERROR(__xludf.DUMMYFUNCTION("INDEX(GOOGLEFINANCE(""NSE:""&amp;D120,""PRICE"",TODAY()-28),2,2)"),30859.05)</f>
        <v>30859.05</v>
      </c>
      <c r="K120" s="17">
        <f>IFERROR(__xludf.DUMMYFUNCTION("INDEX(GOOGLEFINANCE(""NSE:""&amp;D120,""PRICE"",TODAY()-84),2,2)"),29759.5)</f>
        <v>29759.5</v>
      </c>
      <c r="L120" s="16">
        <f t="shared" si="1"/>
        <v>-0.006902786753</v>
      </c>
      <c r="M120" s="16">
        <f t="shared" si="2"/>
        <v>-0.00007849945277</v>
      </c>
      <c r="N120" s="16">
        <f t="shared" si="3"/>
        <v>0.03244928338</v>
      </c>
      <c r="O120" s="16">
        <f t="shared" si="4"/>
        <v>0.07322325217</v>
      </c>
      <c r="P120" s="16">
        <f t="shared" si="5"/>
        <v>0.1128765604</v>
      </c>
      <c r="Q120" s="30">
        <f t="shared" si="6"/>
        <v>-0.01294405307</v>
      </c>
      <c r="R120" s="30">
        <f t="shared" si="7"/>
        <v>0.006901838126</v>
      </c>
      <c r="S120" s="30">
        <f t="shared" si="8"/>
        <v>0.001417477926</v>
      </c>
      <c r="T120" s="30">
        <f t="shared" si="9"/>
        <v>-0.01935787181</v>
      </c>
      <c r="U120" s="31" t="str">
        <f t="shared" si="10"/>
        <v>#N/A</v>
      </c>
      <c r="V120" s="31" t="str">
        <f t="shared" si="11"/>
        <v>#N/A</v>
      </c>
      <c r="W120" s="31">
        <f t="shared" si="12"/>
        <v>90</v>
      </c>
      <c r="X120" s="31" t="str">
        <f t="shared" si="13"/>
        <v>#N/A</v>
      </c>
    </row>
    <row r="121">
      <c r="A121" s="1">
        <v>118.0</v>
      </c>
      <c r="B121" s="22" t="s">
        <v>666</v>
      </c>
      <c r="C121" s="22" t="s">
        <v>528</v>
      </c>
      <c r="D121" s="22" t="s">
        <v>277</v>
      </c>
      <c r="E121" s="23">
        <f>IFERROR(__xludf.DUMMYFUNCTION("GOOGLEFINANCE(""NSE:""&amp;D121,""marketcap"")/10000000"),37112.24182)</f>
        <v>37112.24182</v>
      </c>
      <c r="F121" s="17">
        <f>IFERROR(__xludf.DUMMYFUNCTION("GOOGLEFINANCE(""NSE:""&amp;D121)"),1383.0)</f>
        <v>1383</v>
      </c>
      <c r="G121" s="17">
        <f>IFERROR(__xludf.DUMMYFUNCTION("GOOGLEFINANCE(""NSE:""&amp;D121,""closeyest"")"),1346.5)</f>
        <v>1346.5</v>
      </c>
      <c r="H121" s="17">
        <f>IFERROR(__xludf.DUMMYFUNCTION("INDEX(GOOGLEFINANCE(""NSE:""&amp;D121,""PRICE"",TODAY()-7),2,2)"),1360.8)</f>
        <v>1360.8</v>
      </c>
      <c r="I121" s="17">
        <f>IFERROR(__xludf.DUMMYFUNCTION("INDEX(GOOGLEFINANCE(""NSE:""&amp;D121,""PRICE"",TODAY()-14),2,2)"),1341.7)</f>
        <v>1341.7</v>
      </c>
      <c r="J121" s="17">
        <f>IFERROR(__xludf.DUMMYFUNCTION("INDEX(GOOGLEFINANCE(""NSE:""&amp;D121,""PRICE"",TODAY()-28),2,2)"),1281.4)</f>
        <v>1281.4</v>
      </c>
      <c r="K121" s="17">
        <f>IFERROR(__xludf.DUMMYFUNCTION("INDEX(GOOGLEFINANCE(""NSE:""&amp;D121,""PRICE"",TODAY()-84),2,2)"),1362.2)</f>
        <v>1362.2</v>
      </c>
      <c r="L121" s="16">
        <f t="shared" si="1"/>
        <v>0.02710731526</v>
      </c>
      <c r="M121" s="16">
        <f t="shared" si="2"/>
        <v>0.01631393298</v>
      </c>
      <c r="N121" s="16">
        <f t="shared" si="3"/>
        <v>0.03078184393</v>
      </c>
      <c r="O121" s="16">
        <f t="shared" si="4"/>
        <v>0.07928827845</v>
      </c>
      <c r="P121" s="16">
        <f t="shared" si="5"/>
        <v>0.01526941712</v>
      </c>
      <c r="Q121" s="30">
        <f t="shared" si="6"/>
        <v>0.003448379359</v>
      </c>
      <c r="R121" s="30">
        <f t="shared" si="7"/>
        <v>0.005234398674</v>
      </c>
      <c r="S121" s="30">
        <f t="shared" si="8"/>
        <v>0.007482504197</v>
      </c>
      <c r="T121" s="30">
        <f t="shared" si="9"/>
        <v>-0.1169650151</v>
      </c>
      <c r="U121" s="31" t="str">
        <f t="shared" si="10"/>
        <v>#N/A</v>
      </c>
      <c r="V121" s="31" t="str">
        <f t="shared" si="11"/>
        <v>#N/A</v>
      </c>
      <c r="W121" s="31">
        <f t="shared" si="12"/>
        <v>84</v>
      </c>
      <c r="X121" s="31" t="str">
        <f t="shared" si="13"/>
        <v>#N/A</v>
      </c>
    </row>
    <row r="122">
      <c r="A122" s="1">
        <v>119.0</v>
      </c>
      <c r="B122" s="22" t="s">
        <v>667</v>
      </c>
      <c r="C122" s="22" t="s">
        <v>528</v>
      </c>
      <c r="D122" s="22" t="s">
        <v>273</v>
      </c>
      <c r="E122" s="23">
        <f>IFERROR(__xludf.DUMMYFUNCTION("GOOGLEFINANCE(""NSE:""&amp;D122,""marketcap"")/10000000"),36029.97468)</f>
        <v>36029.97468</v>
      </c>
      <c r="F122" s="17">
        <f>IFERROR(__xludf.DUMMYFUNCTION("GOOGLEFINANCE(""NSE:""&amp;D122)"),1044.0)</f>
        <v>1044</v>
      </c>
      <c r="G122" s="17">
        <f>IFERROR(__xludf.DUMMYFUNCTION("GOOGLEFINANCE(""NSE:""&amp;D122,""closeyest"")"),1039.2)</f>
        <v>1039.2</v>
      </c>
      <c r="H122" s="17">
        <f>IFERROR(__xludf.DUMMYFUNCTION("INDEX(GOOGLEFINANCE(""NSE:""&amp;D122,""PRICE"",TODAY()-7),2,2)"),1081.7)</f>
        <v>1081.7</v>
      </c>
      <c r="I122" s="17">
        <f>IFERROR(__xludf.DUMMYFUNCTION("INDEX(GOOGLEFINANCE(""NSE:""&amp;D122,""PRICE"",TODAY()-14),2,2)"),1094.9)</f>
        <v>1094.9</v>
      </c>
      <c r="J122" s="17">
        <f>IFERROR(__xludf.DUMMYFUNCTION("INDEX(GOOGLEFINANCE(""NSE:""&amp;D122,""PRICE"",TODAY()-28),2,2)"),1019.8)</f>
        <v>1019.8</v>
      </c>
      <c r="K122" s="17">
        <f>IFERROR(__xludf.DUMMYFUNCTION("INDEX(GOOGLEFINANCE(""NSE:""&amp;D122,""PRICE"",TODAY()-84),2,2)"),1034.85)</f>
        <v>1034.85</v>
      </c>
      <c r="L122" s="16">
        <f t="shared" si="1"/>
        <v>0.004618937644</v>
      </c>
      <c r="M122" s="16">
        <f t="shared" si="2"/>
        <v>-0.03485254692</v>
      </c>
      <c r="N122" s="16">
        <f t="shared" si="3"/>
        <v>-0.04648826377</v>
      </c>
      <c r="O122" s="16">
        <f t="shared" si="4"/>
        <v>0.02373014317</v>
      </c>
      <c r="P122" s="16">
        <f t="shared" si="5"/>
        <v>0.008841861139</v>
      </c>
      <c r="Q122" s="30">
        <f t="shared" si="6"/>
        <v>-0.04771810054</v>
      </c>
      <c r="R122" s="30">
        <f t="shared" si="7"/>
        <v>-0.07203570902</v>
      </c>
      <c r="S122" s="30">
        <f t="shared" si="8"/>
        <v>-0.04807563108</v>
      </c>
      <c r="T122" s="30">
        <f t="shared" si="9"/>
        <v>-0.1233925711</v>
      </c>
      <c r="U122" s="31" t="str">
        <f t="shared" si="10"/>
        <v>#N/A</v>
      </c>
      <c r="V122" s="31" t="str">
        <f t="shared" si="11"/>
        <v>#N/A</v>
      </c>
      <c r="W122" s="31">
        <f t="shared" si="12"/>
        <v>147</v>
      </c>
      <c r="X122" s="31" t="str">
        <f t="shared" si="13"/>
        <v>#N/A</v>
      </c>
    </row>
    <row r="123">
      <c r="A123" s="1">
        <v>120.0</v>
      </c>
      <c r="B123" s="22" t="s">
        <v>668</v>
      </c>
      <c r="C123" s="22" t="s">
        <v>635</v>
      </c>
      <c r="D123" s="22" t="s">
        <v>315</v>
      </c>
      <c r="E123" s="23">
        <f>IFERROR(__xludf.DUMMYFUNCTION("GOOGLEFINANCE(""NSE:""&amp;D123,""marketcap"")/10000000"),36212.983487)</f>
        <v>36212.98349</v>
      </c>
      <c r="F123" s="17">
        <f>IFERROR(__xludf.DUMMYFUNCTION("GOOGLEFINANCE(""NSE:""&amp;D123)"),2425.2)</f>
        <v>2425.2</v>
      </c>
      <c r="G123" s="17">
        <f>IFERROR(__xludf.DUMMYFUNCTION("GOOGLEFINANCE(""NSE:""&amp;D123,""closeyest"")"),2401.95)</f>
        <v>2401.95</v>
      </c>
      <c r="H123" s="17">
        <f>IFERROR(__xludf.DUMMYFUNCTION("INDEX(GOOGLEFINANCE(""NSE:""&amp;D123,""PRICE"",TODAY()-7),2,2)"),2505.75)</f>
        <v>2505.75</v>
      </c>
      <c r="I123" s="17">
        <f>IFERROR(__xludf.DUMMYFUNCTION("INDEX(GOOGLEFINANCE(""NSE:""&amp;D123,""PRICE"",TODAY()-14),2,2)"),2442.35)</f>
        <v>2442.35</v>
      </c>
      <c r="J123" s="17">
        <f>IFERROR(__xludf.DUMMYFUNCTION("INDEX(GOOGLEFINANCE(""NSE:""&amp;D123,""PRICE"",TODAY()-28),2,2)"),1894.55)</f>
        <v>1894.55</v>
      </c>
      <c r="K123" s="17">
        <f>IFERROR(__xludf.DUMMYFUNCTION("INDEX(GOOGLEFINANCE(""NSE:""&amp;D123,""PRICE"",TODAY()-84),2,2)"),1989.6)</f>
        <v>1989.6</v>
      </c>
      <c r="L123" s="16">
        <f t="shared" si="1"/>
        <v>0.009679635296</v>
      </c>
      <c r="M123" s="16">
        <f t="shared" si="2"/>
        <v>-0.03214606405</v>
      </c>
      <c r="N123" s="16">
        <f t="shared" si="3"/>
        <v>-0.007021925604</v>
      </c>
      <c r="O123" s="16">
        <f t="shared" si="4"/>
        <v>0.280092898</v>
      </c>
      <c r="P123" s="16">
        <f t="shared" si="5"/>
        <v>0.2189384801</v>
      </c>
      <c r="Q123" s="30">
        <f t="shared" si="6"/>
        <v>-0.04501161767</v>
      </c>
      <c r="R123" s="30">
        <f t="shared" si="7"/>
        <v>-0.03256937086</v>
      </c>
      <c r="S123" s="30">
        <f t="shared" si="8"/>
        <v>0.2082871238</v>
      </c>
      <c r="T123" s="30">
        <f t="shared" si="9"/>
        <v>0.08670404786</v>
      </c>
      <c r="U123" s="31" t="str">
        <f t="shared" si="10"/>
        <v>#N/A</v>
      </c>
      <c r="V123" s="31" t="str">
        <f t="shared" si="11"/>
        <v>#N/A</v>
      </c>
      <c r="W123" s="31">
        <f t="shared" si="12"/>
        <v>10</v>
      </c>
      <c r="X123" s="31" t="str">
        <f t="shared" si="13"/>
        <v>#N/A</v>
      </c>
    </row>
    <row r="124">
      <c r="A124" s="1">
        <v>121.0</v>
      </c>
      <c r="B124" s="22" t="s">
        <v>669</v>
      </c>
      <c r="C124" s="22" t="s">
        <v>528</v>
      </c>
      <c r="D124" s="22" t="s">
        <v>295</v>
      </c>
      <c r="E124" s="23">
        <f>IFERROR(__xludf.DUMMYFUNCTION("GOOGLEFINANCE(""NSE:""&amp;D124,""marketcap"")/10000000"),36459.0543692)</f>
        <v>36459.05437</v>
      </c>
      <c r="F124" s="17">
        <f>IFERROR(__xludf.DUMMYFUNCTION("GOOGLEFINANCE(""NSE:""&amp;D124)"),138.2)</f>
        <v>138.2</v>
      </c>
      <c r="G124" s="17">
        <f>IFERROR(__xludf.DUMMYFUNCTION("GOOGLEFINANCE(""NSE:""&amp;D124,""closeyest"")"),135.0)</f>
        <v>135</v>
      </c>
      <c r="H124" s="17">
        <f>IFERROR(__xludf.DUMMYFUNCTION("INDEX(GOOGLEFINANCE(""NSE:""&amp;D124,""PRICE"",TODAY()-7),2,2)"),138.3)</f>
        <v>138.3</v>
      </c>
      <c r="I124" s="17">
        <f>IFERROR(__xludf.DUMMYFUNCTION("INDEX(GOOGLEFINANCE(""NSE:""&amp;D124,""PRICE"",TODAY()-14),2,2)"),138.7)</f>
        <v>138.7</v>
      </c>
      <c r="J124" s="17">
        <f>IFERROR(__xludf.DUMMYFUNCTION("INDEX(GOOGLEFINANCE(""NSE:""&amp;D124,""PRICE"",TODAY()-28),2,2)"),126.3)</f>
        <v>126.3</v>
      </c>
      <c r="K124" s="17">
        <f>IFERROR(__xludf.DUMMYFUNCTION("INDEX(GOOGLEFINANCE(""NSE:""&amp;D124,""PRICE"",TODAY()-84),2,2)"),121.05)</f>
        <v>121.05</v>
      </c>
      <c r="L124" s="16">
        <f t="shared" si="1"/>
        <v>0.0237037037</v>
      </c>
      <c r="M124" s="16">
        <f t="shared" si="2"/>
        <v>-0.000723065799</v>
      </c>
      <c r="N124" s="16">
        <f t="shared" si="3"/>
        <v>-0.003604902668</v>
      </c>
      <c r="O124" s="16">
        <f t="shared" si="4"/>
        <v>0.09422011085</v>
      </c>
      <c r="P124" s="16">
        <f t="shared" si="5"/>
        <v>0.141676993</v>
      </c>
      <c r="Q124" s="30">
        <f t="shared" si="6"/>
        <v>-0.01358861942</v>
      </c>
      <c r="R124" s="30">
        <f t="shared" si="7"/>
        <v>-0.02915234792</v>
      </c>
      <c r="S124" s="30">
        <f t="shared" si="8"/>
        <v>0.0224143366</v>
      </c>
      <c r="T124" s="30">
        <f t="shared" si="9"/>
        <v>0.009442560744</v>
      </c>
      <c r="U124" s="31" t="str">
        <f t="shared" si="10"/>
        <v>#N/A</v>
      </c>
      <c r="V124" s="31" t="str">
        <f t="shared" si="11"/>
        <v>#N/A</v>
      </c>
      <c r="W124" s="31">
        <f t="shared" si="12"/>
        <v>68</v>
      </c>
      <c r="X124" s="31" t="str">
        <f t="shared" si="13"/>
        <v>#N/A</v>
      </c>
    </row>
    <row r="125">
      <c r="A125" s="1">
        <v>122.0</v>
      </c>
      <c r="B125" s="22" t="s">
        <v>670</v>
      </c>
      <c r="C125" s="22" t="s">
        <v>590</v>
      </c>
      <c r="D125" s="22" t="s">
        <v>283</v>
      </c>
      <c r="E125" s="23">
        <f>IFERROR(__xludf.DUMMYFUNCTION("GOOGLEFINANCE(""NSE:""&amp;D125,""marketcap"")/10000000"),35913.5653691)</f>
        <v>35913.56537</v>
      </c>
      <c r="F125" s="17">
        <f>IFERROR(__xludf.DUMMYFUNCTION("GOOGLEFINANCE(""NSE:""&amp;D125)"),1010.0)</f>
        <v>1010</v>
      </c>
      <c r="G125" s="17">
        <f>IFERROR(__xludf.DUMMYFUNCTION("GOOGLEFINANCE(""NSE:""&amp;D125,""closeyest"")"),983.7)</f>
        <v>983.7</v>
      </c>
      <c r="H125" s="17">
        <f>IFERROR(__xludf.DUMMYFUNCTION("INDEX(GOOGLEFINANCE(""NSE:""&amp;D125,""PRICE"",TODAY()-7),2,2)"),982.45)</f>
        <v>982.45</v>
      </c>
      <c r="I125" s="17">
        <f>IFERROR(__xludf.DUMMYFUNCTION("INDEX(GOOGLEFINANCE(""NSE:""&amp;D125,""PRICE"",TODAY()-14),2,2)"),1006.1)</f>
        <v>1006.1</v>
      </c>
      <c r="J125" s="17">
        <f>IFERROR(__xludf.DUMMYFUNCTION("INDEX(GOOGLEFINANCE(""NSE:""&amp;D125,""PRICE"",TODAY()-28),2,2)"),948.5)</f>
        <v>948.5</v>
      </c>
      <c r="K125" s="17">
        <f>IFERROR(__xludf.DUMMYFUNCTION("INDEX(GOOGLEFINANCE(""NSE:""&amp;D125,""PRICE"",TODAY()-84),2,2)"),899.8)</f>
        <v>899.8</v>
      </c>
      <c r="L125" s="16">
        <f t="shared" si="1"/>
        <v>0.02673579343</v>
      </c>
      <c r="M125" s="16">
        <f t="shared" si="2"/>
        <v>0.02804213955</v>
      </c>
      <c r="N125" s="16">
        <f t="shared" si="3"/>
        <v>0.003876354239</v>
      </c>
      <c r="O125" s="16">
        <f t="shared" si="4"/>
        <v>0.06483921982</v>
      </c>
      <c r="P125" s="16">
        <f t="shared" si="5"/>
        <v>0.1224716604</v>
      </c>
      <c r="Q125" s="30">
        <f t="shared" si="6"/>
        <v>0.01517658593</v>
      </c>
      <c r="R125" s="30">
        <f t="shared" si="7"/>
        <v>-0.02167109102</v>
      </c>
      <c r="S125" s="30">
        <f t="shared" si="8"/>
        <v>-0.006966554428</v>
      </c>
      <c r="T125" s="30">
        <f t="shared" si="9"/>
        <v>-0.009762771865</v>
      </c>
      <c r="U125" s="31" t="str">
        <f t="shared" si="10"/>
        <v>#N/A</v>
      </c>
      <c r="V125" s="31" t="str">
        <f t="shared" si="11"/>
        <v>#N/A</v>
      </c>
      <c r="W125" s="31">
        <f t="shared" si="12"/>
        <v>99</v>
      </c>
      <c r="X125" s="31" t="str">
        <f t="shared" si="13"/>
        <v>#N/A</v>
      </c>
    </row>
    <row r="126">
      <c r="A126" s="1">
        <v>123.0</v>
      </c>
      <c r="B126" s="22" t="s">
        <v>627</v>
      </c>
      <c r="C126" s="22" t="s">
        <v>522</v>
      </c>
      <c r="D126" s="22" t="s">
        <v>293</v>
      </c>
      <c r="E126" s="23">
        <f>IFERROR(__xludf.DUMMYFUNCTION("GOOGLEFINANCE(""NSE:""&amp;D126,""marketcap"")/10000000"),35122.9613567)</f>
        <v>35122.96136</v>
      </c>
      <c r="F126" s="17">
        <f>IFERROR(__xludf.DUMMYFUNCTION("GOOGLEFINANCE(""NSE:""&amp;D126)"),233.5)</f>
        <v>233.5</v>
      </c>
      <c r="G126" s="17">
        <f>IFERROR(__xludf.DUMMYFUNCTION("GOOGLEFINANCE(""NSE:""&amp;D126,""closeyest"")"),233.15)</f>
        <v>233.15</v>
      </c>
      <c r="H126" s="17">
        <f>IFERROR(__xludf.DUMMYFUNCTION("INDEX(GOOGLEFINANCE(""NSE:""&amp;D126,""PRICE"",TODAY()-7),2,2)"),232.2)</f>
        <v>232.2</v>
      </c>
      <c r="I126" s="17">
        <f>IFERROR(__xludf.DUMMYFUNCTION("INDEX(GOOGLEFINANCE(""NSE:""&amp;D126,""PRICE"",TODAY()-14),2,2)"),230.05)</f>
        <v>230.05</v>
      </c>
      <c r="J126" s="17">
        <f>IFERROR(__xludf.DUMMYFUNCTION("INDEX(GOOGLEFINANCE(""NSE:""&amp;D126,""PRICE"",TODAY()-28),2,2)"),227.85)</f>
        <v>227.85</v>
      </c>
      <c r="K126" s="17">
        <f>IFERROR(__xludf.DUMMYFUNCTION("INDEX(GOOGLEFINANCE(""NSE:""&amp;D126,""PRICE"",TODAY()-84),2,2)"),223.4)</f>
        <v>223.4</v>
      </c>
      <c r="L126" s="16">
        <f t="shared" si="1"/>
        <v>0.001501179498</v>
      </c>
      <c r="M126" s="16">
        <f t="shared" si="2"/>
        <v>0.005598621878</v>
      </c>
      <c r="N126" s="16">
        <f t="shared" si="3"/>
        <v>0.01499673984</v>
      </c>
      <c r="O126" s="16">
        <f t="shared" si="4"/>
        <v>0.02479701558</v>
      </c>
      <c r="P126" s="16">
        <f t="shared" si="5"/>
        <v>0.04521038496</v>
      </c>
      <c r="Q126" s="30">
        <f t="shared" si="6"/>
        <v>-0.007266931744</v>
      </c>
      <c r="R126" s="30">
        <f t="shared" si="7"/>
        <v>-0.01055070542</v>
      </c>
      <c r="S126" s="30">
        <f t="shared" si="8"/>
        <v>-0.04700875867</v>
      </c>
      <c r="T126" s="30">
        <f t="shared" si="9"/>
        <v>-0.08702404727</v>
      </c>
      <c r="U126" s="31" t="str">
        <f t="shared" si="10"/>
        <v>#N/A</v>
      </c>
      <c r="V126" s="31" t="str">
        <f t="shared" si="11"/>
        <v>#N/A</v>
      </c>
      <c r="W126" s="31">
        <f t="shared" si="12"/>
        <v>144</v>
      </c>
      <c r="X126" s="31" t="str">
        <f t="shared" si="13"/>
        <v>#N/A</v>
      </c>
    </row>
    <row r="127">
      <c r="A127" s="1">
        <v>124.0</v>
      </c>
      <c r="B127" s="22" t="s">
        <v>671</v>
      </c>
      <c r="C127" s="22" t="s">
        <v>524</v>
      </c>
      <c r="D127" s="22" t="s">
        <v>319</v>
      </c>
      <c r="E127" s="23">
        <f>IFERROR(__xludf.DUMMYFUNCTION("GOOGLEFINANCE(""NSE:""&amp;D127,""marketcap"")/10000000"),35659.982769)</f>
        <v>35659.98277</v>
      </c>
      <c r="F127" s="17">
        <f>IFERROR(__xludf.DUMMYFUNCTION("GOOGLEFINANCE(""NSE:""&amp;D127)"),5725.0)</f>
        <v>5725</v>
      </c>
      <c r="G127" s="17">
        <f>IFERROR(__xludf.DUMMYFUNCTION("GOOGLEFINANCE(""NSE:""&amp;D127,""closeyest"")"),5580.15)</f>
        <v>5580.15</v>
      </c>
      <c r="H127" s="17">
        <f>IFERROR(__xludf.DUMMYFUNCTION("INDEX(GOOGLEFINANCE(""NSE:""&amp;D127,""PRICE"",TODAY()-7),2,2)"),5490.65)</f>
        <v>5490.65</v>
      </c>
      <c r="I127" s="17">
        <f>IFERROR(__xludf.DUMMYFUNCTION("INDEX(GOOGLEFINANCE(""NSE:""&amp;D127,""PRICE"",TODAY()-14),2,2)"),5009.3)</f>
        <v>5009.3</v>
      </c>
      <c r="J127" s="17">
        <f>IFERROR(__xludf.DUMMYFUNCTION("INDEX(GOOGLEFINANCE(""NSE:""&amp;D127,""PRICE"",TODAY()-28),2,2)"),4868.65)</f>
        <v>4868.65</v>
      </c>
      <c r="K127" s="17">
        <f>IFERROR(__xludf.DUMMYFUNCTION("INDEX(GOOGLEFINANCE(""NSE:""&amp;D127,""PRICE"",TODAY()-84),2,2)"),4429.55)</f>
        <v>4429.55</v>
      </c>
      <c r="L127" s="16">
        <f t="shared" si="1"/>
        <v>0.02595808356</v>
      </c>
      <c r="M127" s="16">
        <f t="shared" si="2"/>
        <v>0.04268164971</v>
      </c>
      <c r="N127" s="16">
        <f t="shared" si="3"/>
        <v>0.1428742539</v>
      </c>
      <c r="O127" s="16">
        <f t="shared" si="4"/>
        <v>0.1758906473</v>
      </c>
      <c r="P127" s="16">
        <f t="shared" si="5"/>
        <v>0.2924563443</v>
      </c>
      <c r="Q127" s="30">
        <f t="shared" si="6"/>
        <v>0.02981609609</v>
      </c>
      <c r="R127" s="30">
        <f t="shared" si="7"/>
        <v>0.1173268086</v>
      </c>
      <c r="S127" s="30">
        <f t="shared" si="8"/>
        <v>0.1040848731</v>
      </c>
      <c r="T127" s="30">
        <f t="shared" si="9"/>
        <v>0.1602219121</v>
      </c>
      <c r="U127" s="31" t="str">
        <f t="shared" si="10"/>
        <v>#N/A</v>
      </c>
      <c r="V127" s="31" t="str">
        <f t="shared" si="11"/>
        <v>#N/A</v>
      </c>
      <c r="W127" s="31">
        <f t="shared" si="12"/>
        <v>29</v>
      </c>
      <c r="X127" s="31" t="str">
        <f t="shared" si="13"/>
        <v>#N/A</v>
      </c>
    </row>
    <row r="128">
      <c r="A128" s="1">
        <v>125.0</v>
      </c>
      <c r="B128" s="22" t="s">
        <v>672</v>
      </c>
      <c r="C128" s="22" t="s">
        <v>635</v>
      </c>
      <c r="D128" s="22" t="s">
        <v>281</v>
      </c>
      <c r="E128" s="23">
        <f>IFERROR(__xludf.DUMMYFUNCTION("GOOGLEFINANCE(""NSE:""&amp;D128,""marketcap"")/10000000"),35617.5279)</f>
        <v>35617.5279</v>
      </c>
      <c r="F128" s="17">
        <f>IFERROR(__xludf.DUMMYFUNCTION("GOOGLEFINANCE(""NSE:""&amp;D128)"),765.0)</f>
        <v>765</v>
      </c>
      <c r="G128" s="17">
        <f>IFERROR(__xludf.DUMMYFUNCTION("GOOGLEFINANCE(""NSE:""&amp;D128,""closeyest"")"),740.85)</f>
        <v>740.85</v>
      </c>
      <c r="H128" s="17">
        <f>IFERROR(__xludf.DUMMYFUNCTION("INDEX(GOOGLEFINANCE(""NSE:""&amp;D128,""PRICE"",TODAY()-7),2,2)"),761.55)</f>
        <v>761.55</v>
      </c>
      <c r="I128" s="17">
        <f>IFERROR(__xludf.DUMMYFUNCTION("INDEX(GOOGLEFINANCE(""NSE:""&amp;D128,""PRICE"",TODAY()-14),2,2)"),774.5)</f>
        <v>774.5</v>
      </c>
      <c r="J128" s="17">
        <f>IFERROR(__xludf.DUMMYFUNCTION("INDEX(GOOGLEFINANCE(""NSE:""&amp;D128,""PRICE"",TODAY()-28),2,2)"),729.45)</f>
        <v>729.45</v>
      </c>
      <c r="K128" s="17">
        <f>IFERROR(__xludf.DUMMYFUNCTION("INDEX(GOOGLEFINANCE(""NSE:""&amp;D128,""PRICE"",TODAY()-84),2,2)"),771.9)</f>
        <v>771.9</v>
      </c>
      <c r="L128" s="16">
        <f t="shared" si="1"/>
        <v>0.03259769184</v>
      </c>
      <c r="M128" s="16">
        <f t="shared" si="2"/>
        <v>0.00453023439</v>
      </c>
      <c r="N128" s="16">
        <f t="shared" si="3"/>
        <v>-0.01226597805</v>
      </c>
      <c r="O128" s="16">
        <f t="shared" si="4"/>
        <v>0.04873534855</v>
      </c>
      <c r="P128" s="16">
        <f t="shared" si="5"/>
        <v>-0.008938981733</v>
      </c>
      <c r="Q128" s="30">
        <f t="shared" si="6"/>
        <v>-0.008335319231</v>
      </c>
      <c r="R128" s="30">
        <f t="shared" si="7"/>
        <v>-0.03781342331</v>
      </c>
      <c r="S128" s="30">
        <f t="shared" si="8"/>
        <v>-0.0230704257</v>
      </c>
      <c r="T128" s="30">
        <f t="shared" si="9"/>
        <v>-0.141173414</v>
      </c>
      <c r="U128" s="31" t="str">
        <f t="shared" si="10"/>
        <v>#N/A</v>
      </c>
      <c r="V128" s="31" t="str">
        <f t="shared" si="11"/>
        <v>#N/A</v>
      </c>
      <c r="W128" s="31">
        <f t="shared" si="12"/>
        <v>118</v>
      </c>
      <c r="X128" s="31" t="str">
        <f t="shared" si="13"/>
        <v>#N/A</v>
      </c>
    </row>
    <row r="129">
      <c r="A129" s="1">
        <v>126.0</v>
      </c>
      <c r="B129" s="22" t="s">
        <v>615</v>
      </c>
      <c r="C129" s="22" t="s">
        <v>545</v>
      </c>
      <c r="D129" s="22" t="s">
        <v>301</v>
      </c>
      <c r="E129" s="23">
        <f>IFERROR(__xludf.DUMMYFUNCTION("GOOGLEFINANCE(""NSE:""&amp;D129,""marketcap"")/10000000"),33970.4752638)</f>
        <v>33970.47526</v>
      </c>
      <c r="F129" s="17">
        <f>IFERROR(__xludf.DUMMYFUNCTION("GOOGLEFINANCE(""NSE:""&amp;D129)"),80097.45)</f>
        <v>80097.45</v>
      </c>
      <c r="G129" s="17">
        <f>IFERROR(__xludf.DUMMYFUNCTION("GOOGLEFINANCE(""NSE:""&amp;D129,""closeyest"")"),79993.8)</f>
        <v>79993.8</v>
      </c>
      <c r="H129" s="17">
        <f>IFERROR(__xludf.DUMMYFUNCTION("INDEX(GOOGLEFINANCE(""NSE:""&amp;D129,""PRICE"",TODAY()-7),2,2)"),79397.25)</f>
        <v>79397.25</v>
      </c>
      <c r="I129" s="17">
        <f>IFERROR(__xludf.DUMMYFUNCTION("INDEX(GOOGLEFINANCE(""NSE:""&amp;D129,""PRICE"",TODAY()-14),2,2)"),80243.6)</f>
        <v>80243.6</v>
      </c>
      <c r="J129" s="17">
        <f>IFERROR(__xludf.DUMMYFUNCTION("INDEX(GOOGLEFINANCE(""NSE:""&amp;D129,""PRICE"",TODAY()-28),2,2)"),76953.45)</f>
        <v>76953.45</v>
      </c>
      <c r="K129" s="17">
        <f>IFERROR(__xludf.DUMMYFUNCTION("INDEX(GOOGLEFINANCE(""NSE:""&amp;D129,""PRICE"",TODAY()-84),2,2)"),81142.3)</f>
        <v>81142.3</v>
      </c>
      <c r="L129" s="16">
        <f t="shared" si="1"/>
        <v>0.001295725419</v>
      </c>
      <c r="M129" s="16">
        <f t="shared" si="2"/>
        <v>0.008818945241</v>
      </c>
      <c r="N129" s="16">
        <f t="shared" si="3"/>
        <v>-0.001821329053</v>
      </c>
      <c r="O129" s="16">
        <f t="shared" si="4"/>
        <v>0.04085586806</v>
      </c>
      <c r="P129" s="16">
        <f t="shared" si="5"/>
        <v>-0.01287676095</v>
      </c>
      <c r="Q129" s="30">
        <f t="shared" si="6"/>
        <v>-0.004046608381</v>
      </c>
      <c r="R129" s="30">
        <f t="shared" si="7"/>
        <v>-0.02736877431</v>
      </c>
      <c r="S129" s="30">
        <f t="shared" si="8"/>
        <v>-0.03094990619</v>
      </c>
      <c r="T129" s="30">
        <f t="shared" si="9"/>
        <v>-0.1451111932</v>
      </c>
      <c r="U129" s="31" t="str">
        <f t="shared" si="10"/>
        <v>#N/A</v>
      </c>
      <c r="V129" s="31" t="str">
        <f t="shared" si="11"/>
        <v>#N/A</v>
      </c>
      <c r="W129" s="31">
        <f t="shared" si="12"/>
        <v>128</v>
      </c>
      <c r="X129" s="31" t="str">
        <f t="shared" si="13"/>
        <v>#N/A</v>
      </c>
    </row>
    <row r="130">
      <c r="A130" s="1">
        <v>127.0</v>
      </c>
      <c r="B130" s="22" t="s">
        <v>673</v>
      </c>
      <c r="C130" s="22" t="s">
        <v>528</v>
      </c>
      <c r="D130" s="22" t="s">
        <v>257</v>
      </c>
      <c r="E130" s="23">
        <f>IFERROR(__xludf.DUMMYFUNCTION("GOOGLEFINANCE(""NSE:""&amp;D130,""marketcap"")/10000000"),34664.5362229)</f>
        <v>34664.53622</v>
      </c>
      <c r="F130" s="17">
        <f>IFERROR(__xludf.DUMMYFUNCTION("GOOGLEFINANCE(""NSE:""&amp;D130)"),1107.0)</f>
        <v>1107</v>
      </c>
      <c r="G130" s="17">
        <f>IFERROR(__xludf.DUMMYFUNCTION("GOOGLEFINANCE(""NSE:""&amp;D130,""closeyest"")"),1085.0)</f>
        <v>1085</v>
      </c>
      <c r="H130" s="17">
        <f>IFERROR(__xludf.DUMMYFUNCTION("INDEX(GOOGLEFINANCE(""NSE:""&amp;D130,""PRICE"",TODAY()-7),2,2)"),1116.4)</f>
        <v>1116.4</v>
      </c>
      <c r="I130" s="17">
        <f>IFERROR(__xludf.DUMMYFUNCTION("INDEX(GOOGLEFINANCE(""NSE:""&amp;D130,""PRICE"",TODAY()-14),2,2)"),1150.4)</f>
        <v>1150.4</v>
      </c>
      <c r="J130" s="17">
        <f>IFERROR(__xludf.DUMMYFUNCTION("INDEX(GOOGLEFINANCE(""NSE:""&amp;D130,""PRICE"",TODAY()-28),2,2)"),1285.5)</f>
        <v>1285.5</v>
      </c>
      <c r="K130" s="17">
        <f>IFERROR(__xludf.DUMMYFUNCTION("INDEX(GOOGLEFINANCE(""NSE:""&amp;D130,""PRICE"",TODAY()-84),2,2)"),1038.85)</f>
        <v>1038.85</v>
      </c>
      <c r="L130" s="16">
        <f t="shared" si="1"/>
        <v>0.0202764977</v>
      </c>
      <c r="M130" s="16">
        <f t="shared" si="2"/>
        <v>-0.008419921175</v>
      </c>
      <c r="N130" s="16">
        <f t="shared" si="3"/>
        <v>-0.03772600834</v>
      </c>
      <c r="O130" s="16">
        <f t="shared" si="4"/>
        <v>-0.1388564761</v>
      </c>
      <c r="P130" s="16">
        <f t="shared" si="5"/>
        <v>0.06560138615</v>
      </c>
      <c r="Q130" s="30">
        <f t="shared" si="6"/>
        <v>-0.0212854748</v>
      </c>
      <c r="R130" s="30">
        <f t="shared" si="7"/>
        <v>-0.0632734536</v>
      </c>
      <c r="S130" s="30">
        <f t="shared" si="8"/>
        <v>-0.2106622503</v>
      </c>
      <c r="T130" s="30">
        <f t="shared" si="9"/>
        <v>-0.06663304609</v>
      </c>
      <c r="U130" s="31" t="str">
        <f t="shared" si="10"/>
        <v>#N/A</v>
      </c>
      <c r="V130" s="31" t="str">
        <f t="shared" si="11"/>
        <v>#N/A</v>
      </c>
      <c r="W130" s="31">
        <f t="shared" si="12"/>
        <v>199</v>
      </c>
      <c r="X130" s="31" t="str">
        <f t="shared" si="13"/>
        <v>#N/A</v>
      </c>
    </row>
    <row r="131">
      <c r="A131" s="1">
        <v>128.0</v>
      </c>
      <c r="B131" s="22" t="s">
        <v>674</v>
      </c>
      <c r="C131" s="22" t="s">
        <v>524</v>
      </c>
      <c r="D131" s="22" t="s">
        <v>311</v>
      </c>
      <c r="E131" s="23">
        <f>IFERROR(__xludf.DUMMYFUNCTION("GOOGLEFINANCE(""NSE:""&amp;D131,""marketcap"")/10000000"),34171.5943907)</f>
        <v>34171.59439</v>
      </c>
      <c r="F131" s="17">
        <f>IFERROR(__xludf.DUMMYFUNCTION("GOOGLEFINANCE(""NSE:""&amp;D131)"),5650.0)</f>
        <v>5650</v>
      </c>
      <c r="G131" s="17">
        <f>IFERROR(__xludf.DUMMYFUNCTION("GOOGLEFINANCE(""NSE:""&amp;D131,""closeyest"")"),5560.35)</f>
        <v>5560.35</v>
      </c>
      <c r="H131" s="17">
        <f>IFERROR(__xludf.DUMMYFUNCTION("INDEX(GOOGLEFINANCE(""NSE:""&amp;D131,""PRICE"",TODAY()-7),2,2)"),5444.7)</f>
        <v>5444.7</v>
      </c>
      <c r="I131" s="17">
        <f>IFERROR(__xludf.DUMMYFUNCTION("INDEX(GOOGLEFINANCE(""NSE:""&amp;D131,""PRICE"",TODAY()-14),2,2)"),5177.85)</f>
        <v>5177.85</v>
      </c>
      <c r="J131" s="17">
        <f>IFERROR(__xludf.DUMMYFUNCTION("INDEX(GOOGLEFINANCE(""NSE:""&amp;D131,""PRICE"",TODAY()-28),2,2)"),5077.0)</f>
        <v>5077</v>
      </c>
      <c r="K131" s="17">
        <f>IFERROR(__xludf.DUMMYFUNCTION("INDEX(GOOGLEFINANCE(""NSE:""&amp;D131,""PRICE"",TODAY()-84),2,2)"),4196.95)</f>
        <v>4196.95</v>
      </c>
      <c r="L131" s="16">
        <f t="shared" si="1"/>
        <v>0.01612308578</v>
      </c>
      <c r="M131" s="16">
        <f t="shared" si="2"/>
        <v>0.03770639337</v>
      </c>
      <c r="N131" s="16">
        <f t="shared" si="3"/>
        <v>0.09118649633</v>
      </c>
      <c r="O131" s="16">
        <f t="shared" si="4"/>
        <v>0.1128619263</v>
      </c>
      <c r="P131" s="16">
        <f t="shared" si="5"/>
        <v>0.3462157043</v>
      </c>
      <c r="Q131" s="30">
        <f t="shared" si="6"/>
        <v>0.02484083975</v>
      </c>
      <c r="R131" s="30">
        <f t="shared" si="7"/>
        <v>0.06563905107</v>
      </c>
      <c r="S131" s="30">
        <f t="shared" si="8"/>
        <v>0.04105615209</v>
      </c>
      <c r="T131" s="30">
        <f t="shared" si="9"/>
        <v>0.213981272</v>
      </c>
      <c r="U131" s="31" t="str">
        <f t="shared" si="10"/>
        <v>#N/A</v>
      </c>
      <c r="V131" s="31" t="str">
        <f t="shared" si="11"/>
        <v>#N/A</v>
      </c>
      <c r="W131" s="31">
        <f t="shared" si="12"/>
        <v>58</v>
      </c>
      <c r="X131" s="31" t="str">
        <f t="shared" si="13"/>
        <v>#N/A</v>
      </c>
    </row>
    <row r="132">
      <c r="A132" s="1">
        <v>129.0</v>
      </c>
      <c r="B132" s="22" t="s">
        <v>675</v>
      </c>
      <c r="C132" s="22" t="s">
        <v>549</v>
      </c>
      <c r="D132" s="22" t="s">
        <v>291</v>
      </c>
      <c r="E132" s="23">
        <f>IFERROR(__xludf.DUMMYFUNCTION("GOOGLEFINANCE(""NSE:""&amp;D132,""marketcap"")/10000000"),33390.0332333)</f>
        <v>33390.03323</v>
      </c>
      <c r="F132" s="17">
        <f>IFERROR(__xludf.DUMMYFUNCTION("GOOGLEFINANCE(""NSE:""&amp;D132)"),622.7)</f>
        <v>622.7</v>
      </c>
      <c r="G132" s="17">
        <f>IFERROR(__xludf.DUMMYFUNCTION("GOOGLEFINANCE(""NSE:""&amp;D132,""closeyest"")"),620.9)</f>
        <v>620.9</v>
      </c>
      <c r="H132" s="17">
        <f>IFERROR(__xludf.DUMMYFUNCTION("INDEX(GOOGLEFINANCE(""NSE:""&amp;D132,""PRICE"",TODAY()-7),2,2)"),651.15)</f>
        <v>651.15</v>
      </c>
      <c r="I132" s="17">
        <f>IFERROR(__xludf.DUMMYFUNCTION("INDEX(GOOGLEFINANCE(""NSE:""&amp;D132,""PRICE"",TODAY()-14),2,2)"),645.7)</f>
        <v>645.7</v>
      </c>
      <c r="J132" s="17">
        <f>IFERROR(__xludf.DUMMYFUNCTION("INDEX(GOOGLEFINANCE(""NSE:""&amp;D132,""PRICE"",TODAY()-28),2,2)"),658.6)</f>
        <v>658.6</v>
      </c>
      <c r="K132" s="17">
        <f>IFERROR(__xludf.DUMMYFUNCTION("INDEX(GOOGLEFINANCE(""NSE:""&amp;D132,""PRICE"",TODAY()-84),2,2)"),677.65)</f>
        <v>677.65</v>
      </c>
      <c r="L132" s="16">
        <f t="shared" si="1"/>
        <v>0.002899017555</v>
      </c>
      <c r="M132" s="16">
        <f t="shared" si="2"/>
        <v>-0.04369192966</v>
      </c>
      <c r="N132" s="16">
        <f t="shared" si="3"/>
        <v>-0.03562025709</v>
      </c>
      <c r="O132" s="16">
        <f t="shared" si="4"/>
        <v>-0.05450956575</v>
      </c>
      <c r="P132" s="16">
        <f t="shared" si="5"/>
        <v>-0.08108905777</v>
      </c>
      <c r="Q132" s="30">
        <f t="shared" si="6"/>
        <v>-0.05655748328</v>
      </c>
      <c r="R132" s="30">
        <f t="shared" si="7"/>
        <v>-0.06116770234</v>
      </c>
      <c r="S132" s="30">
        <f t="shared" si="8"/>
        <v>-0.12631534</v>
      </c>
      <c r="T132" s="30">
        <f t="shared" si="9"/>
        <v>-0.21332349</v>
      </c>
      <c r="U132" s="31" t="str">
        <f t="shared" si="10"/>
        <v>#N/A</v>
      </c>
      <c r="V132" s="31" t="str">
        <f t="shared" si="11"/>
        <v>#N/A</v>
      </c>
      <c r="W132" s="31">
        <f t="shared" si="12"/>
        <v>189</v>
      </c>
      <c r="X132" s="31" t="str">
        <f t="shared" si="13"/>
        <v>#N/A</v>
      </c>
    </row>
    <row r="133">
      <c r="A133" s="1">
        <v>130.0</v>
      </c>
      <c r="B133" s="22" t="s">
        <v>676</v>
      </c>
      <c r="C133" s="22" t="s">
        <v>603</v>
      </c>
      <c r="D133" s="22" t="s">
        <v>297</v>
      </c>
      <c r="E133" s="23">
        <f>IFERROR(__xludf.DUMMYFUNCTION("GOOGLEFINANCE(""NSE:""&amp;D133,""marketcap"")/10000000"),33308.6791549)</f>
        <v>33308.67915</v>
      </c>
      <c r="F133" s="17">
        <f>IFERROR(__xludf.DUMMYFUNCTION("GOOGLEFINANCE(""NSE:""&amp;D133)"),918.85)</f>
        <v>918.85</v>
      </c>
      <c r="G133" s="17">
        <f>IFERROR(__xludf.DUMMYFUNCTION("GOOGLEFINANCE(""NSE:""&amp;D133,""closeyest"")"),915.3)</f>
        <v>915.3</v>
      </c>
      <c r="H133" s="17">
        <f>IFERROR(__xludf.DUMMYFUNCTION("INDEX(GOOGLEFINANCE(""NSE:""&amp;D133,""PRICE"",TODAY()-7),2,2)"),926.05)</f>
        <v>926.05</v>
      </c>
      <c r="I133" s="17">
        <f>IFERROR(__xludf.DUMMYFUNCTION("INDEX(GOOGLEFINANCE(""NSE:""&amp;D133,""PRICE"",TODAY()-14),2,2)"),928.95)</f>
        <v>928.95</v>
      </c>
      <c r="J133" s="17">
        <f>IFERROR(__xludf.DUMMYFUNCTION("INDEX(GOOGLEFINANCE(""NSE:""&amp;D133,""PRICE"",TODAY()-28),2,2)"),926.5)</f>
        <v>926.5</v>
      </c>
      <c r="K133" s="17">
        <f>IFERROR(__xludf.DUMMYFUNCTION("INDEX(GOOGLEFINANCE(""NSE:""&amp;D133,""PRICE"",TODAY()-84),2,2)"),874.3)</f>
        <v>874.3</v>
      </c>
      <c r="L133" s="16">
        <f t="shared" si="1"/>
        <v>0.003878509778</v>
      </c>
      <c r="M133" s="16">
        <f t="shared" si="2"/>
        <v>-0.007774958156</v>
      </c>
      <c r="N133" s="16">
        <f t="shared" si="3"/>
        <v>-0.01087249045</v>
      </c>
      <c r="O133" s="16">
        <f t="shared" si="4"/>
        <v>-0.008256880734</v>
      </c>
      <c r="P133" s="16">
        <f t="shared" si="5"/>
        <v>0.05095504975</v>
      </c>
      <c r="Q133" s="30">
        <f t="shared" si="6"/>
        <v>-0.02064051178</v>
      </c>
      <c r="R133" s="30">
        <f t="shared" si="7"/>
        <v>-0.0364199357</v>
      </c>
      <c r="S133" s="30">
        <f t="shared" si="8"/>
        <v>-0.08006265498</v>
      </c>
      <c r="T133" s="30">
        <f t="shared" si="9"/>
        <v>-0.08127938248</v>
      </c>
      <c r="U133" s="31" t="str">
        <f t="shared" si="10"/>
        <v>#N/A</v>
      </c>
      <c r="V133" s="31" t="str">
        <f t="shared" si="11"/>
        <v>#N/A</v>
      </c>
      <c r="W133" s="31">
        <f t="shared" si="12"/>
        <v>175</v>
      </c>
      <c r="X133" s="31" t="str">
        <f t="shared" si="13"/>
        <v>#N/A</v>
      </c>
    </row>
    <row r="134">
      <c r="A134" s="1">
        <v>131.0</v>
      </c>
      <c r="B134" s="22" t="s">
        <v>587</v>
      </c>
      <c r="C134" s="22" t="s">
        <v>528</v>
      </c>
      <c r="D134" s="22" t="s">
        <v>337</v>
      </c>
      <c r="E134" s="23">
        <f>IFERROR(__xludf.DUMMYFUNCTION("GOOGLEFINANCE(""NSE:""&amp;D134,""marketcap"")/10000000"),32596.4254734)</f>
        <v>32596.42547</v>
      </c>
      <c r="F134" s="17">
        <f>IFERROR(__xludf.DUMMYFUNCTION("GOOGLEFINANCE(""NSE:""&amp;D134)"),13.0)</f>
        <v>13</v>
      </c>
      <c r="G134" s="17">
        <f>IFERROR(__xludf.DUMMYFUNCTION("GOOGLEFINANCE(""NSE:""&amp;D134,""closeyest"")"),13.15)</f>
        <v>13.15</v>
      </c>
      <c r="H134" s="17">
        <f>IFERROR(__xludf.DUMMYFUNCTION("INDEX(GOOGLEFINANCE(""NSE:""&amp;D134,""PRICE"",TODAY()-7),2,2)"),13.25)</f>
        <v>13.25</v>
      </c>
      <c r="I134" s="17">
        <f>IFERROR(__xludf.DUMMYFUNCTION("INDEX(GOOGLEFINANCE(""NSE:""&amp;D134,""PRICE"",TODAY()-14),2,2)"),11.1)</f>
        <v>11.1</v>
      </c>
      <c r="J134" s="17">
        <f>IFERROR(__xludf.DUMMYFUNCTION("INDEX(GOOGLEFINANCE(""NSE:""&amp;D134,""PRICE"",TODAY()-28),2,2)"),11.05)</f>
        <v>11.05</v>
      </c>
      <c r="K134" s="17">
        <f>IFERROR(__xludf.DUMMYFUNCTION("INDEX(GOOGLEFINANCE(""NSE:""&amp;D134,""PRICE"",TODAY()-84),2,2)"),13.55)</f>
        <v>13.55</v>
      </c>
      <c r="L134" s="16">
        <f t="shared" si="1"/>
        <v>-0.01140684411</v>
      </c>
      <c r="M134" s="16">
        <f t="shared" si="2"/>
        <v>-0.01886792453</v>
      </c>
      <c r="N134" s="16">
        <f t="shared" si="3"/>
        <v>0.1711711712</v>
      </c>
      <c r="O134" s="16">
        <f t="shared" si="4"/>
        <v>0.1764705882</v>
      </c>
      <c r="P134" s="16">
        <f t="shared" si="5"/>
        <v>-0.0405904059</v>
      </c>
      <c r="Q134" s="30">
        <f t="shared" si="6"/>
        <v>-0.03173347815</v>
      </c>
      <c r="R134" s="30">
        <f t="shared" si="7"/>
        <v>0.1456237259</v>
      </c>
      <c r="S134" s="30">
        <f t="shared" si="8"/>
        <v>0.104664814</v>
      </c>
      <c r="T134" s="30">
        <f t="shared" si="9"/>
        <v>-0.1728248381</v>
      </c>
      <c r="U134" s="31" t="str">
        <f t="shared" si="10"/>
        <v>#N/A</v>
      </c>
      <c r="V134" s="31" t="str">
        <f t="shared" si="11"/>
        <v>#N/A</v>
      </c>
      <c r="W134" s="31">
        <f t="shared" si="12"/>
        <v>28</v>
      </c>
      <c r="X134" s="31" t="str">
        <f t="shared" si="13"/>
        <v>#N/A</v>
      </c>
    </row>
    <row r="135">
      <c r="A135" s="1">
        <v>132.0</v>
      </c>
      <c r="B135" s="22" t="s">
        <v>677</v>
      </c>
      <c r="C135" s="22" t="s">
        <v>618</v>
      </c>
      <c r="D135" s="22" t="s">
        <v>303</v>
      </c>
      <c r="E135" s="23">
        <f>IFERROR(__xludf.DUMMYFUNCTION("GOOGLEFINANCE(""NSE:""&amp;D135,""marketcap"")/10000000"),33444.845902)</f>
        <v>33444.8459</v>
      </c>
      <c r="F135" s="17">
        <f>IFERROR(__xludf.DUMMYFUNCTION("GOOGLEFINANCE(""NSE:""&amp;D135)"),4036.15)</f>
        <v>4036.15</v>
      </c>
      <c r="G135" s="17">
        <f>IFERROR(__xludf.DUMMYFUNCTION("GOOGLEFINANCE(""NSE:""&amp;D135,""closeyest"")"),3985.6)</f>
        <v>3985.6</v>
      </c>
      <c r="H135" s="17">
        <f>IFERROR(__xludf.DUMMYFUNCTION("INDEX(GOOGLEFINANCE(""NSE:""&amp;D135,""PRICE"",TODAY()-7),2,2)"),3981.15)</f>
        <v>3981.15</v>
      </c>
      <c r="I135" s="17">
        <f>IFERROR(__xludf.DUMMYFUNCTION("INDEX(GOOGLEFINANCE(""NSE:""&amp;D135,""PRICE"",TODAY()-14),2,2)"),4170.45)</f>
        <v>4170.45</v>
      </c>
      <c r="J135" s="17">
        <f>IFERROR(__xludf.DUMMYFUNCTION("INDEX(GOOGLEFINANCE(""NSE:""&amp;D135,""PRICE"",TODAY()-28),2,2)"),3825.2)</f>
        <v>3825.2</v>
      </c>
      <c r="K135" s="17">
        <f>IFERROR(__xludf.DUMMYFUNCTION("INDEX(GOOGLEFINANCE(""NSE:""&amp;D135,""PRICE"",TODAY()-84),2,2)"),3337.45)</f>
        <v>3337.45</v>
      </c>
      <c r="L135" s="16">
        <f t="shared" si="1"/>
        <v>0.01268315937</v>
      </c>
      <c r="M135" s="16">
        <f t="shared" si="2"/>
        <v>0.01381510368</v>
      </c>
      <c r="N135" s="16">
        <f t="shared" si="3"/>
        <v>-0.03220275989</v>
      </c>
      <c r="O135" s="16">
        <f t="shared" si="4"/>
        <v>0.05514744327</v>
      </c>
      <c r="P135" s="16">
        <f t="shared" si="5"/>
        <v>0.209351451</v>
      </c>
      <c r="Q135" s="30">
        <f t="shared" si="6"/>
        <v>0.0009495500544</v>
      </c>
      <c r="R135" s="30">
        <f t="shared" si="7"/>
        <v>-0.05775020515</v>
      </c>
      <c r="S135" s="30">
        <f t="shared" si="8"/>
        <v>-0.01665833098</v>
      </c>
      <c r="T135" s="30">
        <f t="shared" si="9"/>
        <v>0.07711701872</v>
      </c>
      <c r="U135" s="31" t="str">
        <f t="shared" si="10"/>
        <v>#N/A</v>
      </c>
      <c r="V135" s="31" t="str">
        <f t="shared" si="11"/>
        <v>#N/A</v>
      </c>
      <c r="W135" s="31">
        <f t="shared" si="12"/>
        <v>109</v>
      </c>
      <c r="X135" s="31" t="str">
        <f t="shared" si="13"/>
        <v>#N/A</v>
      </c>
    </row>
    <row r="136">
      <c r="A136" s="1">
        <v>133.0</v>
      </c>
      <c r="B136" s="22" t="s">
        <v>678</v>
      </c>
      <c r="C136" s="22" t="s">
        <v>603</v>
      </c>
      <c r="D136" s="22" t="s">
        <v>313</v>
      </c>
      <c r="E136" s="23">
        <f>IFERROR(__xludf.DUMMYFUNCTION("GOOGLEFINANCE(""NSE:""&amp;D136,""marketcap"")/10000000"),33661.8456799)</f>
        <v>33661.84568</v>
      </c>
      <c r="F136" s="17">
        <f>IFERROR(__xludf.DUMMYFUNCTION("GOOGLEFINANCE(""NSE:""&amp;D136)"),2470.6)</f>
        <v>2470.6</v>
      </c>
      <c r="G136" s="17">
        <f>IFERROR(__xludf.DUMMYFUNCTION("GOOGLEFINANCE(""NSE:""&amp;D136,""closeyest"")"),2416.85)</f>
        <v>2416.85</v>
      </c>
      <c r="H136" s="17">
        <f>IFERROR(__xludf.DUMMYFUNCTION("INDEX(GOOGLEFINANCE(""NSE:""&amp;D136,""PRICE"",TODAY()-7),2,2)"),2416.25)</f>
        <v>2416.25</v>
      </c>
      <c r="I136" s="17">
        <f>IFERROR(__xludf.DUMMYFUNCTION("INDEX(GOOGLEFINANCE(""NSE:""&amp;D136,""PRICE"",TODAY()-14),2,2)"),2427.6)</f>
        <v>2427.6</v>
      </c>
      <c r="J136" s="17">
        <f>IFERROR(__xludf.DUMMYFUNCTION("INDEX(GOOGLEFINANCE(""NSE:""&amp;D136,""PRICE"",TODAY()-28),2,2)"),2130.95)</f>
        <v>2130.95</v>
      </c>
      <c r="K136" s="17">
        <f>IFERROR(__xludf.DUMMYFUNCTION("INDEX(GOOGLEFINANCE(""NSE:""&amp;D136,""PRICE"",TODAY()-84),2,2)"),1927.6)</f>
        <v>1927.6</v>
      </c>
      <c r="L136" s="16">
        <f t="shared" si="1"/>
        <v>0.02223969216</v>
      </c>
      <c r="M136" s="16">
        <f t="shared" si="2"/>
        <v>0.02249353337</v>
      </c>
      <c r="N136" s="16">
        <f t="shared" si="3"/>
        <v>0.01771296754</v>
      </c>
      <c r="O136" s="16">
        <f t="shared" si="4"/>
        <v>0.1593890049</v>
      </c>
      <c r="P136" s="16">
        <f t="shared" si="5"/>
        <v>0.2816974476</v>
      </c>
      <c r="Q136" s="30">
        <f t="shared" si="6"/>
        <v>0.009627979746</v>
      </c>
      <c r="R136" s="30">
        <f t="shared" si="7"/>
        <v>-0.007834477716</v>
      </c>
      <c r="S136" s="30">
        <f t="shared" si="8"/>
        <v>0.08758323066</v>
      </c>
      <c r="T136" s="30">
        <f t="shared" si="9"/>
        <v>0.1494630154</v>
      </c>
      <c r="U136" s="31" t="str">
        <f t="shared" si="10"/>
        <v>#N/A</v>
      </c>
      <c r="V136" s="31" t="str">
        <f t="shared" si="11"/>
        <v>#N/A</v>
      </c>
      <c r="W136" s="31">
        <f t="shared" si="12"/>
        <v>33</v>
      </c>
      <c r="X136" s="31" t="str">
        <f t="shared" si="13"/>
        <v>#N/A</v>
      </c>
    </row>
    <row r="137">
      <c r="A137" s="1">
        <v>134.0</v>
      </c>
      <c r="B137" s="22" t="s">
        <v>679</v>
      </c>
      <c r="C137" s="22" t="s">
        <v>549</v>
      </c>
      <c r="D137" s="22" t="s">
        <v>307</v>
      </c>
      <c r="E137" s="23">
        <f>IFERROR(__xludf.DUMMYFUNCTION("GOOGLEFINANCE(""NSE:""&amp;D137,""marketcap"")/10000000"),31410.4815027)</f>
        <v>31410.4815</v>
      </c>
      <c r="F137" s="17">
        <f>IFERROR(__xludf.DUMMYFUNCTION("GOOGLEFINANCE(""NSE:""&amp;D137)"),2476.15)</f>
        <v>2476.15</v>
      </c>
      <c r="G137" s="17">
        <f>IFERROR(__xludf.DUMMYFUNCTION("GOOGLEFINANCE(""NSE:""&amp;D137,""closeyest"")"),2429.55)</f>
        <v>2429.55</v>
      </c>
      <c r="H137" s="17">
        <f>IFERROR(__xludf.DUMMYFUNCTION("INDEX(GOOGLEFINANCE(""NSE:""&amp;D137,""PRICE"",TODAY()-7),2,2)"),2493.4)</f>
        <v>2493.4</v>
      </c>
      <c r="I137" s="17">
        <f>IFERROR(__xludf.DUMMYFUNCTION("INDEX(GOOGLEFINANCE(""NSE:""&amp;D137,""PRICE"",TODAY()-14),2,2)"),2596.15)</f>
        <v>2596.15</v>
      </c>
      <c r="J137" s="17">
        <f>IFERROR(__xludf.DUMMYFUNCTION("INDEX(GOOGLEFINANCE(""NSE:""&amp;D137,""PRICE"",TODAY()-28),2,2)"),2459.9)</f>
        <v>2459.9</v>
      </c>
      <c r="K137" s="17">
        <f>IFERROR(__xludf.DUMMYFUNCTION("INDEX(GOOGLEFINANCE(""NSE:""&amp;D137,""PRICE"",TODAY()-84),2,2)"),2015.25)</f>
        <v>2015.25</v>
      </c>
      <c r="L137" s="16">
        <f t="shared" si="1"/>
        <v>0.01918050668</v>
      </c>
      <c r="M137" s="16">
        <f t="shared" si="2"/>
        <v>-0.006918264218</v>
      </c>
      <c r="N137" s="16">
        <f t="shared" si="3"/>
        <v>-0.0462222907</v>
      </c>
      <c r="O137" s="16">
        <f t="shared" si="4"/>
        <v>0.006605959592</v>
      </c>
      <c r="P137" s="16">
        <f t="shared" si="5"/>
        <v>0.2287061159</v>
      </c>
      <c r="Q137" s="30">
        <f t="shared" si="6"/>
        <v>-0.01978381784</v>
      </c>
      <c r="R137" s="30">
        <f t="shared" si="7"/>
        <v>-0.07176973596</v>
      </c>
      <c r="S137" s="30">
        <f t="shared" si="8"/>
        <v>-0.06519981466</v>
      </c>
      <c r="T137" s="30">
        <f t="shared" si="9"/>
        <v>0.09647168363</v>
      </c>
      <c r="U137" s="31" t="str">
        <f t="shared" si="10"/>
        <v>#N/A</v>
      </c>
      <c r="V137" s="31" t="str">
        <f t="shared" si="11"/>
        <v>#N/A</v>
      </c>
      <c r="W137" s="31">
        <f t="shared" si="12"/>
        <v>164</v>
      </c>
      <c r="X137" s="31" t="str">
        <f t="shared" si="13"/>
        <v>#N/A</v>
      </c>
    </row>
    <row r="138">
      <c r="A138" s="1">
        <v>135.0</v>
      </c>
      <c r="B138" s="22" t="s">
        <v>680</v>
      </c>
      <c r="C138" s="22" t="s">
        <v>528</v>
      </c>
      <c r="D138" s="22" t="s">
        <v>345</v>
      </c>
      <c r="E138" s="23">
        <f>IFERROR(__xludf.DUMMYFUNCTION("GOOGLEFINANCE(""NSE:""&amp;D138,""marketcap"")/10000000"),30093.74075)</f>
        <v>30093.74075</v>
      </c>
      <c r="F138" s="17">
        <f>IFERROR(__xludf.DUMMYFUNCTION("GOOGLEFINANCE(""NSE:""&amp;D138)"),48.5)</f>
        <v>48.5</v>
      </c>
      <c r="G138" s="17">
        <f>IFERROR(__xludf.DUMMYFUNCTION("GOOGLEFINANCE(""NSE:""&amp;D138,""closeyest"")"),48.5)</f>
        <v>48.5</v>
      </c>
      <c r="H138" s="17">
        <f>IFERROR(__xludf.DUMMYFUNCTION("INDEX(GOOGLEFINANCE(""NSE:""&amp;D138,""PRICE"",TODAY()-7),2,2)"),49.15)</f>
        <v>49.15</v>
      </c>
      <c r="I138" s="17">
        <f>IFERROR(__xludf.DUMMYFUNCTION("INDEX(GOOGLEFINANCE(""NSE:""&amp;D138,""PRICE"",TODAY()-14),2,2)"),46.85)</f>
        <v>46.85</v>
      </c>
      <c r="J138" s="17">
        <f>IFERROR(__xludf.DUMMYFUNCTION("INDEX(GOOGLEFINANCE(""NSE:""&amp;D138,""PRICE"",TODAY()-28),2,2)"),42.5)</f>
        <v>42.5</v>
      </c>
      <c r="K138" s="17">
        <f>IFERROR(__xludf.DUMMYFUNCTION("INDEX(GOOGLEFINANCE(""NSE:""&amp;D138,""PRICE"",TODAY()-84),2,2)"),54.0)</f>
        <v>54</v>
      </c>
      <c r="L138" s="16">
        <f t="shared" si="1"/>
        <v>0</v>
      </c>
      <c r="M138" s="16">
        <f t="shared" si="2"/>
        <v>-0.01322482197</v>
      </c>
      <c r="N138" s="16">
        <f t="shared" si="3"/>
        <v>0.03521878335</v>
      </c>
      <c r="O138" s="16">
        <f t="shared" si="4"/>
        <v>0.1411764706</v>
      </c>
      <c r="P138" s="16">
        <f t="shared" si="5"/>
        <v>-0.1018518519</v>
      </c>
      <c r="Q138" s="30">
        <f t="shared" si="6"/>
        <v>-0.0260903756</v>
      </c>
      <c r="R138" s="30">
        <f t="shared" si="7"/>
        <v>0.009671338096</v>
      </c>
      <c r="S138" s="30">
        <f t="shared" si="8"/>
        <v>0.06937069634</v>
      </c>
      <c r="T138" s="30">
        <f t="shared" si="9"/>
        <v>-0.2340862841</v>
      </c>
      <c r="U138" s="31" t="str">
        <f t="shared" si="10"/>
        <v>#N/A</v>
      </c>
      <c r="V138" s="31" t="str">
        <f t="shared" si="11"/>
        <v>#N/A</v>
      </c>
      <c r="W138" s="31">
        <f t="shared" si="12"/>
        <v>42</v>
      </c>
      <c r="X138" s="31" t="str">
        <f t="shared" si="13"/>
        <v>#N/A</v>
      </c>
    </row>
    <row r="139">
      <c r="A139" s="1">
        <v>136.0</v>
      </c>
      <c r="B139" s="22" t="s">
        <v>681</v>
      </c>
      <c r="C139" s="22" t="s">
        <v>528</v>
      </c>
      <c r="D139" s="22" t="s">
        <v>323</v>
      </c>
      <c r="E139" s="23">
        <f>IFERROR(__xludf.DUMMYFUNCTION("GOOGLEFINANCE(""NSE:""&amp;D139,""marketcap"")/10000000"),30680.3368003)</f>
        <v>30680.3368</v>
      </c>
      <c r="F139" s="17">
        <f>IFERROR(__xludf.DUMMYFUNCTION("GOOGLEFINANCE(""NSE:""&amp;D139)"),155.5)</f>
        <v>155.5</v>
      </c>
      <c r="G139" s="17">
        <f>IFERROR(__xludf.DUMMYFUNCTION("GOOGLEFINANCE(""NSE:""&amp;D139,""closeyest"")"),152.6)</f>
        <v>152.6</v>
      </c>
      <c r="H139" s="17">
        <f>IFERROR(__xludf.DUMMYFUNCTION("INDEX(GOOGLEFINANCE(""NSE:""&amp;D139,""PRICE"",TODAY()-7),2,2)"),157.05)</f>
        <v>157.05</v>
      </c>
      <c r="I139" s="17">
        <f>IFERROR(__xludf.DUMMYFUNCTION("INDEX(GOOGLEFINANCE(""NSE:""&amp;D139,""PRICE"",TODAY()-14),2,2)"),158.05)</f>
        <v>158.05</v>
      </c>
      <c r="J139" s="17">
        <f>IFERROR(__xludf.DUMMYFUNCTION("INDEX(GOOGLEFINANCE(""NSE:""&amp;D139,""PRICE"",TODAY()-28),2,2)"),146.3)</f>
        <v>146.3</v>
      </c>
      <c r="K139" s="17">
        <f>IFERROR(__xludf.DUMMYFUNCTION("INDEX(GOOGLEFINANCE(""NSE:""&amp;D139,""PRICE"",TODAY()-84),2,2)"),144.45)</f>
        <v>144.45</v>
      </c>
      <c r="L139" s="16">
        <f t="shared" si="1"/>
        <v>0.01900393185</v>
      </c>
      <c r="M139" s="16">
        <f t="shared" si="2"/>
        <v>-0.009869468322</v>
      </c>
      <c r="N139" s="16">
        <f t="shared" si="3"/>
        <v>-0.01613413477</v>
      </c>
      <c r="O139" s="16">
        <f t="shared" si="4"/>
        <v>0.06288448394</v>
      </c>
      <c r="P139" s="16">
        <f t="shared" si="5"/>
        <v>0.07649705781</v>
      </c>
      <c r="Q139" s="30">
        <f t="shared" si="6"/>
        <v>-0.02273502194</v>
      </c>
      <c r="R139" s="30">
        <f t="shared" si="7"/>
        <v>-0.04168158002</v>
      </c>
      <c r="S139" s="30">
        <f t="shared" si="8"/>
        <v>-0.008921290311</v>
      </c>
      <c r="T139" s="30">
        <f t="shared" si="9"/>
        <v>-0.05573737443</v>
      </c>
      <c r="U139" s="31" t="str">
        <f t="shared" si="10"/>
        <v>#N/A</v>
      </c>
      <c r="V139" s="31" t="str">
        <f t="shared" si="11"/>
        <v>#N/A</v>
      </c>
      <c r="W139" s="31">
        <f t="shared" si="12"/>
        <v>101</v>
      </c>
      <c r="X139" s="31" t="str">
        <f t="shared" si="13"/>
        <v>#N/A</v>
      </c>
    </row>
    <row r="140">
      <c r="A140" s="1">
        <v>137.0</v>
      </c>
      <c r="B140" s="22" t="s">
        <v>682</v>
      </c>
      <c r="C140" s="22" t="s">
        <v>531</v>
      </c>
      <c r="D140" s="22" t="s">
        <v>469</v>
      </c>
      <c r="E140" s="23">
        <f>IFERROR(__xludf.DUMMYFUNCTION("GOOGLEFINANCE(""NSE:""&amp;D140,""marketcap"")/10000000"),30373.9101809)</f>
        <v>30373.91018</v>
      </c>
      <c r="F140" s="17">
        <f>IFERROR(__xludf.DUMMYFUNCTION("GOOGLEFINANCE(""NSE:""&amp;D140)"),10.55)</f>
        <v>10.55</v>
      </c>
      <c r="G140" s="17">
        <f>IFERROR(__xludf.DUMMYFUNCTION("GOOGLEFINANCE(""NSE:""&amp;D140,""closeyest"")"),10.4)</f>
        <v>10.4</v>
      </c>
      <c r="H140" s="17">
        <f>IFERROR(__xludf.DUMMYFUNCTION("INDEX(GOOGLEFINANCE(""NSE:""&amp;D140,""PRICE"",TODAY()-7),2,2)"),11.15)</f>
        <v>11.15</v>
      </c>
      <c r="I140" s="17">
        <f>IFERROR(__xludf.DUMMYFUNCTION("INDEX(GOOGLEFINANCE(""NSE:""&amp;D140,""PRICE"",TODAY()-14),2,2)"),7.95)</f>
        <v>7.95</v>
      </c>
      <c r="J140" s="17">
        <f>IFERROR(__xludf.DUMMYFUNCTION("INDEX(GOOGLEFINANCE(""NSE:""&amp;D140,""PRICE"",TODAY()-28),2,2)"),6.0)</f>
        <v>6</v>
      </c>
      <c r="K140" s="17">
        <f>IFERROR(__xludf.DUMMYFUNCTION("INDEX(GOOGLEFINANCE(""NSE:""&amp;D140,""PRICE"",TODAY()-84),2,2)"),8.8)</f>
        <v>8.8</v>
      </c>
      <c r="L140" s="16">
        <f t="shared" si="1"/>
        <v>0.01442307692</v>
      </c>
      <c r="M140" s="16">
        <f t="shared" si="2"/>
        <v>-0.05381165919</v>
      </c>
      <c r="N140" s="16">
        <f t="shared" si="3"/>
        <v>0.3270440252</v>
      </c>
      <c r="O140" s="16">
        <f t="shared" si="4"/>
        <v>0.7583333333</v>
      </c>
      <c r="P140" s="16">
        <f t="shared" si="5"/>
        <v>0.1988636364</v>
      </c>
      <c r="Q140" s="30">
        <f t="shared" si="6"/>
        <v>-0.06667721281</v>
      </c>
      <c r="R140" s="30">
        <f t="shared" si="7"/>
        <v>0.3014965799</v>
      </c>
      <c r="S140" s="30">
        <f t="shared" si="8"/>
        <v>0.6865275591</v>
      </c>
      <c r="T140" s="30">
        <f t="shared" si="9"/>
        <v>0.06662920413</v>
      </c>
      <c r="U140" s="31" t="str">
        <f t="shared" si="10"/>
        <v>#N/A</v>
      </c>
      <c r="V140" s="31" t="str">
        <f t="shared" si="11"/>
        <v>#N/A</v>
      </c>
      <c r="W140" s="31">
        <f t="shared" si="12"/>
        <v>2</v>
      </c>
      <c r="X140" s="31" t="str">
        <f t="shared" si="13"/>
        <v>#N/A</v>
      </c>
    </row>
    <row r="141">
      <c r="A141" s="1">
        <v>138.0</v>
      </c>
      <c r="B141" s="22" t="s">
        <v>683</v>
      </c>
      <c r="C141" s="22" t="s">
        <v>526</v>
      </c>
      <c r="D141" s="22" t="s">
        <v>325</v>
      </c>
      <c r="E141" s="23">
        <f>IFERROR(__xludf.DUMMYFUNCTION("GOOGLEFINANCE(""NSE:""&amp;D141,""marketcap"")/10000000"),30458.511675)</f>
        <v>30458.51168</v>
      </c>
      <c r="F141" s="17">
        <f>IFERROR(__xludf.DUMMYFUNCTION("GOOGLEFINANCE(""NSE:""&amp;D141)"),485.35)</f>
        <v>485.35</v>
      </c>
      <c r="G141" s="17">
        <f>IFERROR(__xludf.DUMMYFUNCTION("GOOGLEFINANCE(""NSE:""&amp;D141,""closeyest"")"),466.65)</f>
        <v>466.65</v>
      </c>
      <c r="H141" s="17">
        <f>IFERROR(__xludf.DUMMYFUNCTION("INDEX(GOOGLEFINANCE(""NSE:""&amp;D141,""PRICE"",TODAY()-7),2,2)"),486.1)</f>
        <v>486.1</v>
      </c>
      <c r="I141" s="17">
        <f>IFERROR(__xludf.DUMMYFUNCTION("INDEX(GOOGLEFINANCE(""NSE:""&amp;D141,""PRICE"",TODAY()-14),2,2)"),486.3)</f>
        <v>486.3</v>
      </c>
      <c r="J141" s="17">
        <f>IFERROR(__xludf.DUMMYFUNCTION("INDEX(GOOGLEFINANCE(""NSE:""&amp;D141,""PRICE"",TODAY()-28),2,2)"),459.9)</f>
        <v>459.9</v>
      </c>
      <c r="K141" s="17">
        <f>IFERROR(__xludf.DUMMYFUNCTION("INDEX(GOOGLEFINANCE(""NSE:""&amp;D141,""PRICE"",TODAY()-84),2,2)"),446.9)</f>
        <v>446.9</v>
      </c>
      <c r="L141" s="16">
        <f t="shared" si="1"/>
        <v>0.04007285974</v>
      </c>
      <c r="M141" s="16">
        <f t="shared" si="2"/>
        <v>-0.001542892409</v>
      </c>
      <c r="N141" s="16">
        <f t="shared" si="3"/>
        <v>-0.00195352663</v>
      </c>
      <c r="O141" s="16">
        <f t="shared" si="4"/>
        <v>0.05533811698</v>
      </c>
      <c r="P141" s="16">
        <f t="shared" si="5"/>
        <v>0.08603714478</v>
      </c>
      <c r="Q141" s="30">
        <f t="shared" si="6"/>
        <v>-0.01440844603</v>
      </c>
      <c r="R141" s="30">
        <f t="shared" si="7"/>
        <v>-0.02750097189</v>
      </c>
      <c r="S141" s="30">
        <f t="shared" si="8"/>
        <v>-0.01646765727</v>
      </c>
      <c r="T141" s="30">
        <f t="shared" si="9"/>
        <v>-0.04619728746</v>
      </c>
      <c r="U141" s="31" t="str">
        <f t="shared" si="10"/>
        <v>#N/A</v>
      </c>
      <c r="V141" s="31" t="str">
        <f t="shared" si="11"/>
        <v>#N/A</v>
      </c>
      <c r="W141" s="31">
        <f t="shared" si="12"/>
        <v>108</v>
      </c>
      <c r="X141" s="31" t="str">
        <f t="shared" si="13"/>
        <v>#N/A</v>
      </c>
    </row>
    <row r="142">
      <c r="A142" s="1">
        <v>139.0</v>
      </c>
      <c r="B142" s="22" t="s">
        <v>684</v>
      </c>
      <c r="C142" s="22" t="s">
        <v>526</v>
      </c>
      <c r="D142" s="22" t="s">
        <v>361</v>
      </c>
      <c r="E142" s="23">
        <f>IFERROR(__xludf.DUMMYFUNCTION("GOOGLEFINANCE(""NSE:""&amp;D142,""marketcap"")/10000000"),28640.0371917)</f>
        <v>28640.03719</v>
      </c>
      <c r="F142" s="17">
        <f>IFERROR(__xludf.DUMMYFUNCTION("GOOGLEFINANCE(""NSE:""&amp;D142)"),2256.9)</f>
        <v>2256.9</v>
      </c>
      <c r="G142" s="17">
        <f>IFERROR(__xludf.DUMMYFUNCTION("GOOGLEFINANCE(""NSE:""&amp;D142,""closeyest"")"),2256.4)</f>
        <v>2256.4</v>
      </c>
      <c r="H142" s="17">
        <f>IFERROR(__xludf.DUMMYFUNCTION("INDEX(GOOGLEFINANCE(""NSE:""&amp;D142,""PRICE"",TODAY()-7),2,2)"),2246.9)</f>
        <v>2246.9</v>
      </c>
      <c r="I142" s="17">
        <f>IFERROR(__xludf.DUMMYFUNCTION("INDEX(GOOGLEFINANCE(""NSE:""&amp;D142,""PRICE"",TODAY()-14),2,2)"),2293.95)</f>
        <v>2293.95</v>
      </c>
      <c r="J142" s="17">
        <f>IFERROR(__xludf.DUMMYFUNCTION("INDEX(GOOGLEFINANCE(""NSE:""&amp;D142,""PRICE"",TODAY()-28),2,2)"),2009.3)</f>
        <v>2009.3</v>
      </c>
      <c r="K142" s="17">
        <f>IFERROR(__xludf.DUMMYFUNCTION("INDEX(GOOGLEFINANCE(""NSE:""&amp;D142,""PRICE"",TODAY()-84),2,2)"),2265.75)</f>
        <v>2265.75</v>
      </c>
      <c r="L142" s="16">
        <f t="shared" si="1"/>
        <v>0.0002215919163</v>
      </c>
      <c r="M142" s="16">
        <f t="shared" si="2"/>
        <v>0.00445057635</v>
      </c>
      <c r="N142" s="16">
        <f t="shared" si="3"/>
        <v>-0.01615118028</v>
      </c>
      <c r="O142" s="16">
        <f t="shared" si="4"/>
        <v>0.1232269945</v>
      </c>
      <c r="P142" s="16">
        <f t="shared" si="5"/>
        <v>-0.003905991394</v>
      </c>
      <c r="Q142" s="30">
        <f t="shared" si="6"/>
        <v>-0.008414977272</v>
      </c>
      <c r="R142" s="30">
        <f t="shared" si="7"/>
        <v>-0.04169862553</v>
      </c>
      <c r="S142" s="30">
        <f t="shared" si="8"/>
        <v>0.05142122023</v>
      </c>
      <c r="T142" s="30">
        <f t="shared" si="9"/>
        <v>-0.1361404236</v>
      </c>
      <c r="U142" s="31" t="str">
        <f t="shared" si="10"/>
        <v>#N/A</v>
      </c>
      <c r="V142" s="31" t="str">
        <f t="shared" si="11"/>
        <v>#N/A</v>
      </c>
      <c r="W142" s="31">
        <f t="shared" si="12"/>
        <v>53</v>
      </c>
      <c r="X142" s="31" t="str">
        <f t="shared" si="13"/>
        <v>#N/A</v>
      </c>
    </row>
    <row r="143">
      <c r="A143" s="1">
        <v>140.0</v>
      </c>
      <c r="B143" s="22" t="s">
        <v>330</v>
      </c>
      <c r="C143" s="22" t="s">
        <v>528</v>
      </c>
      <c r="D143" s="22" t="s">
        <v>331</v>
      </c>
      <c r="E143" s="23">
        <f>IFERROR(__xludf.DUMMYFUNCTION("GOOGLEFINANCE(""NSE:""&amp;D143,""marketcap"")/10000000"),29171.543625)</f>
        <v>29171.54363</v>
      </c>
      <c r="F143" s="17">
        <f>IFERROR(__xludf.DUMMYFUNCTION("GOOGLEFINANCE(""NSE:""&amp;D143)"),160.6)</f>
        <v>160.6</v>
      </c>
      <c r="G143" s="17">
        <f>IFERROR(__xludf.DUMMYFUNCTION("GOOGLEFINANCE(""NSE:""&amp;D143,""closeyest"")"),156.85)</f>
        <v>156.85</v>
      </c>
      <c r="H143" s="17">
        <f>IFERROR(__xludf.DUMMYFUNCTION("INDEX(GOOGLEFINANCE(""NSE:""&amp;D143,""PRICE"",TODAY()-7),2,2)"),162.75)</f>
        <v>162.75</v>
      </c>
      <c r="I143" s="17">
        <f>IFERROR(__xludf.DUMMYFUNCTION("INDEX(GOOGLEFINANCE(""NSE:""&amp;D143,""PRICE"",TODAY()-14),2,2)"),156.8)</f>
        <v>156.8</v>
      </c>
      <c r="J143" s="17">
        <f>IFERROR(__xludf.DUMMYFUNCTION("INDEX(GOOGLEFINANCE(""NSE:""&amp;D143,""PRICE"",TODAY()-28),2,2)"),151.6)</f>
        <v>151.6</v>
      </c>
      <c r="K143" s="17">
        <f>IFERROR(__xludf.DUMMYFUNCTION("INDEX(GOOGLEFINANCE(""NSE:""&amp;D143,""PRICE"",TODAY()-84),2,2)"),153.75)</f>
        <v>153.75</v>
      </c>
      <c r="L143" s="16">
        <f t="shared" si="1"/>
        <v>0.02390819254</v>
      </c>
      <c r="M143" s="16">
        <f t="shared" si="2"/>
        <v>-0.01321044547</v>
      </c>
      <c r="N143" s="16">
        <f t="shared" si="3"/>
        <v>0.02423469388</v>
      </c>
      <c r="O143" s="16">
        <f t="shared" si="4"/>
        <v>0.05936675462</v>
      </c>
      <c r="P143" s="16">
        <f t="shared" si="5"/>
        <v>0.04455284553</v>
      </c>
      <c r="Q143" s="30">
        <f t="shared" si="6"/>
        <v>-0.02607599909</v>
      </c>
      <c r="R143" s="30">
        <f t="shared" si="7"/>
        <v>-0.001312751378</v>
      </c>
      <c r="S143" s="30">
        <f t="shared" si="8"/>
        <v>-0.01243901963</v>
      </c>
      <c r="T143" s="30">
        <f t="shared" si="9"/>
        <v>-0.08768158671</v>
      </c>
      <c r="U143" s="31" t="str">
        <f t="shared" si="10"/>
        <v>#N/A</v>
      </c>
      <c r="V143" s="31" t="str">
        <f t="shared" si="11"/>
        <v>#N/A</v>
      </c>
      <c r="W143" s="31">
        <f t="shared" si="12"/>
        <v>106</v>
      </c>
      <c r="X143" s="31" t="str">
        <f t="shared" si="13"/>
        <v>#N/A</v>
      </c>
    </row>
    <row r="144">
      <c r="A144" s="1">
        <v>141.0</v>
      </c>
      <c r="B144" s="22" t="s">
        <v>685</v>
      </c>
      <c r="C144" s="22" t="s">
        <v>635</v>
      </c>
      <c r="D144" s="22" t="s">
        <v>333</v>
      </c>
      <c r="E144" s="23">
        <f>IFERROR(__xludf.DUMMYFUNCTION("GOOGLEFINANCE(""NSE:""&amp;D144,""marketcap"")/10000000"),28550.2126464)</f>
        <v>28550.21265</v>
      </c>
      <c r="F144" s="17">
        <f>IFERROR(__xludf.DUMMYFUNCTION("GOOGLEFINANCE(""NSE:""&amp;D144)"),1029.95)</f>
        <v>1029.95</v>
      </c>
      <c r="G144" s="17">
        <f>IFERROR(__xludf.DUMMYFUNCTION("GOOGLEFINANCE(""NSE:""&amp;D144,""closeyest"")"),1022.2)</f>
        <v>1022.2</v>
      </c>
      <c r="H144" s="17">
        <f>IFERROR(__xludf.DUMMYFUNCTION("INDEX(GOOGLEFINANCE(""NSE:""&amp;D144,""PRICE"",TODAY()-7),2,2)"),1007.7)</f>
        <v>1007.7</v>
      </c>
      <c r="I144" s="17">
        <f>IFERROR(__xludf.DUMMYFUNCTION("INDEX(GOOGLEFINANCE(""NSE:""&amp;D144,""PRICE"",TODAY()-14),2,2)"),1044.15)</f>
        <v>1044.15</v>
      </c>
      <c r="J144" s="17">
        <f>IFERROR(__xludf.DUMMYFUNCTION("INDEX(GOOGLEFINANCE(""NSE:""&amp;D144,""PRICE"",TODAY()-28),2,2)"),980.0)</f>
        <v>980</v>
      </c>
      <c r="K144" s="17">
        <f>IFERROR(__xludf.DUMMYFUNCTION("INDEX(GOOGLEFINANCE(""NSE:""&amp;D144,""PRICE"",TODAY()-84),2,2)"),881.35)</f>
        <v>881.35</v>
      </c>
      <c r="L144" s="16">
        <f t="shared" si="1"/>
        <v>0.007581686558</v>
      </c>
      <c r="M144" s="16">
        <f t="shared" si="2"/>
        <v>0.02207998412</v>
      </c>
      <c r="N144" s="16">
        <f t="shared" si="3"/>
        <v>-0.0135995786</v>
      </c>
      <c r="O144" s="16">
        <f t="shared" si="4"/>
        <v>0.05096938776</v>
      </c>
      <c r="P144" s="16">
        <f t="shared" si="5"/>
        <v>0.168604981</v>
      </c>
      <c r="Q144" s="30">
        <f t="shared" si="6"/>
        <v>0.009214430501</v>
      </c>
      <c r="R144" s="30">
        <f t="shared" si="7"/>
        <v>-0.03914702386</v>
      </c>
      <c r="S144" s="30">
        <f t="shared" si="8"/>
        <v>-0.02083638649</v>
      </c>
      <c r="T144" s="30">
        <f t="shared" si="9"/>
        <v>0.03637054876</v>
      </c>
      <c r="U144" s="31" t="str">
        <f t="shared" si="10"/>
        <v>#N/A</v>
      </c>
      <c r="V144" s="31" t="str">
        <f t="shared" si="11"/>
        <v>#N/A</v>
      </c>
      <c r="W144" s="31">
        <f t="shared" si="12"/>
        <v>116</v>
      </c>
      <c r="X144" s="31" t="str">
        <f t="shared" si="13"/>
        <v>#N/A</v>
      </c>
    </row>
    <row r="145">
      <c r="A145" s="1">
        <v>142.0</v>
      </c>
      <c r="B145" s="22" t="s">
        <v>686</v>
      </c>
      <c r="C145" s="22" t="s">
        <v>541</v>
      </c>
      <c r="D145" s="22" t="s">
        <v>367</v>
      </c>
      <c r="E145" s="23">
        <f>IFERROR(__xludf.DUMMYFUNCTION("GOOGLEFINANCE(""NSE:""&amp;D145,""marketcap"")/10000000"),30838.1822138)</f>
        <v>30838.18221</v>
      </c>
      <c r="F145" s="17">
        <f>IFERROR(__xludf.DUMMYFUNCTION("GOOGLEFINANCE(""NSE:""&amp;D145)"),849.0)</f>
        <v>849</v>
      </c>
      <c r="G145" s="17">
        <f>IFERROR(__xludf.DUMMYFUNCTION("GOOGLEFINANCE(""NSE:""&amp;D145,""closeyest"")"),750.7)</f>
        <v>750.7</v>
      </c>
      <c r="H145" s="17" t="str">
        <f>IFERROR(__xludf.DUMMYFUNCTION("INDEX(GOOGLEFINANCE(""NSE:""&amp;D145,""PRICE"",TODAY()-7),2,2)"),"#N/A")</f>
        <v>#N/A</v>
      </c>
      <c r="I145" s="17">
        <f>IFERROR(__xludf.DUMMYFUNCTION("INDEX(GOOGLEFINANCE(""NSE:""&amp;D145,""PRICE"",TODAY()-14),2,2)"),758.8)</f>
        <v>758.8</v>
      </c>
      <c r="J145" s="17">
        <f>IFERROR(__xludf.DUMMYFUNCTION("INDEX(GOOGLEFINANCE(""NSE:""&amp;D145,""PRICE"",TODAY()-28),2,2)"),678.3)</f>
        <v>678.3</v>
      </c>
      <c r="K145" s="17" t="str">
        <f>IFERROR(__xludf.DUMMYFUNCTION("INDEX(GOOGLEFINANCE(""NSE:""&amp;D145,""PRICE"",TODAY()-84),2,2)"),"#N/A")</f>
        <v>#N/A</v>
      </c>
      <c r="L145" s="16">
        <f t="shared" si="1"/>
        <v>0.1309444518</v>
      </c>
      <c r="M145" s="16" t="str">
        <f t="shared" si="2"/>
        <v>#N/A</v>
      </c>
      <c r="N145" s="16">
        <f t="shared" si="3"/>
        <v>0.118871903</v>
      </c>
      <c r="O145" s="16">
        <f t="shared" si="4"/>
        <v>0.2516585582</v>
      </c>
      <c r="P145" s="16" t="str">
        <f t="shared" si="5"/>
        <v>#N/A</v>
      </c>
      <c r="Q145" s="32" t="str">
        <f t="shared" si="6"/>
        <v>#N/A</v>
      </c>
      <c r="R145" s="30">
        <f t="shared" si="7"/>
        <v>0.09332445775</v>
      </c>
      <c r="S145" s="30">
        <f t="shared" si="8"/>
        <v>0.1798527839</v>
      </c>
      <c r="T145" s="32" t="str">
        <f t="shared" si="9"/>
        <v>#N/A</v>
      </c>
      <c r="U145" s="31" t="str">
        <f t="shared" si="10"/>
        <v>#N/A</v>
      </c>
      <c r="V145" s="31" t="str">
        <f t="shared" si="11"/>
        <v>#N/A</v>
      </c>
      <c r="W145" s="31">
        <f t="shared" si="12"/>
        <v>13</v>
      </c>
      <c r="X145" s="31" t="str">
        <f t="shared" si="13"/>
        <v>#N/A</v>
      </c>
    </row>
    <row r="146">
      <c r="A146" s="1">
        <v>143.0</v>
      </c>
      <c r="B146" s="22" t="s">
        <v>687</v>
      </c>
      <c r="C146" s="22" t="s">
        <v>528</v>
      </c>
      <c r="D146" s="22" t="s">
        <v>355</v>
      </c>
      <c r="E146" s="23">
        <f>IFERROR(__xludf.DUMMYFUNCTION("GOOGLEFINANCE(""NSE:""&amp;D146,""marketcap"")/10000000"),27458.5462525)</f>
        <v>27458.54625</v>
      </c>
      <c r="F146" s="17">
        <f>IFERROR(__xludf.DUMMYFUNCTION("GOOGLEFINANCE(""NSE:""&amp;D146)"),442.7)</f>
        <v>442.7</v>
      </c>
      <c r="G146" s="17">
        <f>IFERROR(__xludf.DUMMYFUNCTION("GOOGLEFINANCE(""NSE:""&amp;D146,""closeyest"")"),435.2)</f>
        <v>435.2</v>
      </c>
      <c r="H146" s="17">
        <f>IFERROR(__xludf.DUMMYFUNCTION("INDEX(GOOGLEFINANCE(""NSE:""&amp;D146,""PRICE"",TODAY()-7),2,2)"),439.6)</f>
        <v>439.6</v>
      </c>
      <c r="I146" s="17">
        <f>IFERROR(__xludf.DUMMYFUNCTION("INDEX(GOOGLEFINANCE(""NSE:""&amp;D146,""PRICE"",TODAY()-14),2,2)"),436.8)</f>
        <v>436.8</v>
      </c>
      <c r="J146" s="17">
        <f>IFERROR(__xludf.DUMMYFUNCTION("INDEX(GOOGLEFINANCE(""NSE:""&amp;D146,""PRICE"",TODAY()-28),2,2)"),410.1)</f>
        <v>410.1</v>
      </c>
      <c r="K146" s="17">
        <f>IFERROR(__xludf.DUMMYFUNCTION("INDEX(GOOGLEFINANCE(""NSE:""&amp;D146,""PRICE"",TODAY()-84),2,2)"),372.8)</f>
        <v>372.8</v>
      </c>
      <c r="L146" s="16">
        <f t="shared" si="1"/>
        <v>0.01723345588</v>
      </c>
      <c r="M146" s="16">
        <f t="shared" si="2"/>
        <v>0.007051865332</v>
      </c>
      <c r="N146" s="16">
        <f t="shared" si="3"/>
        <v>0.01350732601</v>
      </c>
      <c r="O146" s="16">
        <f t="shared" si="4"/>
        <v>0.07949280663</v>
      </c>
      <c r="P146" s="16">
        <f t="shared" si="5"/>
        <v>0.1875</v>
      </c>
      <c r="Q146" s="30">
        <f t="shared" si="6"/>
        <v>-0.00581368829</v>
      </c>
      <c r="R146" s="30">
        <f t="shared" si="7"/>
        <v>-0.01204011925</v>
      </c>
      <c r="S146" s="30">
        <f t="shared" si="8"/>
        <v>0.007687032384</v>
      </c>
      <c r="T146" s="30">
        <f t="shared" si="9"/>
        <v>0.05526556777</v>
      </c>
      <c r="U146" s="31" t="str">
        <f t="shared" si="10"/>
        <v>#N/A</v>
      </c>
      <c r="V146" s="31" t="str">
        <f t="shared" si="11"/>
        <v>#N/A</v>
      </c>
      <c r="W146" s="31">
        <f t="shared" si="12"/>
        <v>83</v>
      </c>
      <c r="X146" s="31" t="str">
        <f t="shared" si="13"/>
        <v>#N/A</v>
      </c>
    </row>
    <row r="147">
      <c r="A147" s="1">
        <v>144.0</v>
      </c>
      <c r="B147" s="22" t="s">
        <v>688</v>
      </c>
      <c r="C147" s="22" t="s">
        <v>528</v>
      </c>
      <c r="D147" s="22" t="s">
        <v>349</v>
      </c>
      <c r="E147" s="23">
        <f>IFERROR(__xludf.DUMMYFUNCTION("GOOGLEFINANCE(""NSE:""&amp;D147,""marketcap"")/10000000"),27275.1151)</f>
        <v>27275.1151</v>
      </c>
      <c r="F147" s="17">
        <f>IFERROR(__xludf.DUMMYFUNCTION("GOOGLEFINANCE(""NSE:""&amp;D147)"),113.0)</f>
        <v>113</v>
      </c>
      <c r="G147" s="17">
        <f>IFERROR(__xludf.DUMMYFUNCTION("GOOGLEFINANCE(""NSE:""&amp;D147,""closeyest"")"),109.95)</f>
        <v>109.95</v>
      </c>
      <c r="H147" s="17">
        <f>IFERROR(__xludf.DUMMYFUNCTION("INDEX(GOOGLEFINANCE(""NSE:""&amp;D147,""PRICE"",TODAY()-7),2,2)"),109.4)</f>
        <v>109.4</v>
      </c>
      <c r="I147" s="17">
        <f>IFERROR(__xludf.DUMMYFUNCTION("INDEX(GOOGLEFINANCE(""NSE:""&amp;D147,""PRICE"",TODAY()-14),2,2)"),113.15)</f>
        <v>113.15</v>
      </c>
      <c r="J147" s="17">
        <f>IFERROR(__xludf.DUMMYFUNCTION("INDEX(GOOGLEFINANCE(""NSE:""&amp;D147,""PRICE"",TODAY()-28),2,2)"),107.95)</f>
        <v>107.95</v>
      </c>
      <c r="K147" s="17">
        <f>IFERROR(__xludf.DUMMYFUNCTION("INDEX(GOOGLEFINANCE(""NSE:""&amp;D147,""PRICE"",TODAY()-84),2,2)"),117.5)</f>
        <v>117.5</v>
      </c>
      <c r="L147" s="16">
        <f t="shared" si="1"/>
        <v>0.02773988176</v>
      </c>
      <c r="M147" s="16">
        <f t="shared" si="2"/>
        <v>0.03290676417</v>
      </c>
      <c r="N147" s="16">
        <f t="shared" si="3"/>
        <v>-0.001325673884</v>
      </c>
      <c r="O147" s="16">
        <f t="shared" si="4"/>
        <v>0.04678091709</v>
      </c>
      <c r="P147" s="16">
        <f t="shared" si="5"/>
        <v>-0.03829787234</v>
      </c>
      <c r="Q147" s="30">
        <f t="shared" si="6"/>
        <v>0.02004121055</v>
      </c>
      <c r="R147" s="30">
        <f t="shared" si="7"/>
        <v>-0.02687311914</v>
      </c>
      <c r="S147" s="30">
        <f t="shared" si="8"/>
        <v>-0.02502485716</v>
      </c>
      <c r="T147" s="30">
        <f t="shared" si="9"/>
        <v>-0.1705323046</v>
      </c>
      <c r="U147" s="31" t="str">
        <f t="shared" si="10"/>
        <v>#N/A</v>
      </c>
      <c r="V147" s="31" t="str">
        <f t="shared" si="11"/>
        <v>#N/A</v>
      </c>
      <c r="W147" s="31">
        <f t="shared" si="12"/>
        <v>119</v>
      </c>
      <c r="X147" s="31" t="str">
        <f t="shared" si="13"/>
        <v>#N/A</v>
      </c>
    </row>
    <row r="148">
      <c r="A148" s="1">
        <v>145.0</v>
      </c>
      <c r="B148" s="22" t="s">
        <v>689</v>
      </c>
      <c r="C148" s="22" t="s">
        <v>549</v>
      </c>
      <c r="D148" s="22" t="s">
        <v>353</v>
      </c>
      <c r="E148" s="23">
        <f>IFERROR(__xludf.DUMMYFUNCTION("GOOGLEFINANCE(""NSE:""&amp;D148,""marketcap"")/10000000"),26648.052725)</f>
        <v>26648.05273</v>
      </c>
      <c r="F148" s="17">
        <f>IFERROR(__xludf.DUMMYFUNCTION("GOOGLEFINANCE(""NSE:""&amp;D148)"),5825.0)</f>
        <v>5825</v>
      </c>
      <c r="G148" s="17">
        <f>IFERROR(__xludf.DUMMYFUNCTION("GOOGLEFINANCE(""NSE:""&amp;D148,""closeyest"")"),5794.65)</f>
        <v>5794.65</v>
      </c>
      <c r="H148" s="17">
        <f>IFERROR(__xludf.DUMMYFUNCTION("INDEX(GOOGLEFINANCE(""NSE:""&amp;D148,""PRICE"",TODAY()-7),2,2)"),5872.25)</f>
        <v>5872.25</v>
      </c>
      <c r="I148" s="17">
        <f>IFERROR(__xludf.DUMMYFUNCTION("INDEX(GOOGLEFINANCE(""NSE:""&amp;D148,""PRICE"",TODAY()-14),2,2)"),6091.6)</f>
        <v>6091.6</v>
      </c>
      <c r="J148" s="17">
        <f>IFERROR(__xludf.DUMMYFUNCTION("INDEX(GOOGLEFINANCE(""NSE:""&amp;D148,""PRICE"",TODAY()-28),2,2)"),5692.65)</f>
        <v>5692.65</v>
      </c>
      <c r="K148" s="17">
        <f>IFERROR(__xludf.DUMMYFUNCTION("INDEX(GOOGLEFINANCE(""NSE:""&amp;D148,""PRICE"",TODAY()-84),2,2)"),5720.25)</f>
        <v>5720.25</v>
      </c>
      <c r="L148" s="16">
        <f t="shared" si="1"/>
        <v>0.005237589846</v>
      </c>
      <c r="M148" s="16">
        <f t="shared" si="2"/>
        <v>-0.008046319554</v>
      </c>
      <c r="N148" s="16">
        <f t="shared" si="3"/>
        <v>-0.04376518484</v>
      </c>
      <c r="O148" s="16">
        <f t="shared" si="4"/>
        <v>0.02324927758</v>
      </c>
      <c r="P148" s="16">
        <f t="shared" si="5"/>
        <v>0.01831213671</v>
      </c>
      <c r="Q148" s="30">
        <f t="shared" si="6"/>
        <v>-0.02091187318</v>
      </c>
      <c r="R148" s="30">
        <f t="shared" si="7"/>
        <v>-0.0693126301</v>
      </c>
      <c r="S148" s="30">
        <f t="shared" si="8"/>
        <v>-0.04855649667</v>
      </c>
      <c r="T148" s="30">
        <f t="shared" si="9"/>
        <v>-0.1139222955</v>
      </c>
      <c r="U148" s="31" t="str">
        <f t="shared" si="10"/>
        <v>#N/A</v>
      </c>
      <c r="V148" s="31" t="str">
        <f t="shared" si="11"/>
        <v>#N/A</v>
      </c>
      <c r="W148" s="31">
        <f t="shared" si="12"/>
        <v>149</v>
      </c>
      <c r="X148" s="31" t="str">
        <f t="shared" si="13"/>
        <v>#N/A</v>
      </c>
    </row>
    <row r="149">
      <c r="A149" s="1">
        <v>146.0</v>
      </c>
      <c r="B149" s="22" t="s">
        <v>690</v>
      </c>
      <c r="C149" s="22" t="s">
        <v>590</v>
      </c>
      <c r="D149" s="22" t="s">
        <v>385</v>
      </c>
      <c r="E149" s="23">
        <f>IFERROR(__xludf.DUMMYFUNCTION("GOOGLEFINANCE(""NSE:""&amp;D149,""marketcap"")/10000000"),26202.7793325)</f>
        <v>26202.77933</v>
      </c>
      <c r="F149" s="17">
        <f>IFERROR(__xludf.DUMMYFUNCTION("GOOGLEFINANCE(""NSE:""&amp;D149)"),8586.25)</f>
        <v>8586.25</v>
      </c>
      <c r="G149" s="17">
        <f>IFERROR(__xludf.DUMMYFUNCTION("GOOGLEFINANCE(""NSE:""&amp;D149,""closeyest"")"),8614.0)</f>
        <v>8614</v>
      </c>
      <c r="H149" s="17">
        <f>IFERROR(__xludf.DUMMYFUNCTION("INDEX(GOOGLEFINANCE(""NSE:""&amp;D149,""PRICE"",TODAY()-7),2,2)"),8608.75)</f>
        <v>8608.75</v>
      </c>
      <c r="I149" s="17">
        <f>IFERROR(__xludf.DUMMYFUNCTION("INDEX(GOOGLEFINANCE(""NSE:""&amp;D149,""PRICE"",TODAY()-14),2,2)"),8705.9)</f>
        <v>8705.9</v>
      </c>
      <c r="J149" s="17">
        <f>IFERROR(__xludf.DUMMYFUNCTION("INDEX(GOOGLEFINANCE(""NSE:""&amp;D149,""PRICE"",TODAY()-28),2,2)"),7143.45)</f>
        <v>7143.45</v>
      </c>
      <c r="K149" s="17">
        <f>IFERROR(__xludf.DUMMYFUNCTION("INDEX(GOOGLEFINANCE(""NSE:""&amp;D149,""PRICE"",TODAY()-84),2,2)"),7265.95)</f>
        <v>7265.95</v>
      </c>
      <c r="L149" s="16">
        <f t="shared" si="1"/>
        <v>-0.003221499884</v>
      </c>
      <c r="M149" s="16">
        <f t="shared" si="2"/>
        <v>-0.002613619864</v>
      </c>
      <c r="N149" s="16">
        <f t="shared" si="3"/>
        <v>-0.01374355322</v>
      </c>
      <c r="O149" s="16">
        <f t="shared" si="4"/>
        <v>0.2019752361</v>
      </c>
      <c r="P149" s="16">
        <f t="shared" si="5"/>
        <v>0.1817105815</v>
      </c>
      <c r="Q149" s="30">
        <f t="shared" si="6"/>
        <v>-0.01547917349</v>
      </c>
      <c r="R149" s="30">
        <f t="shared" si="7"/>
        <v>-0.03929099848</v>
      </c>
      <c r="S149" s="30">
        <f t="shared" si="8"/>
        <v>0.1301694618</v>
      </c>
      <c r="T149" s="30">
        <f t="shared" si="9"/>
        <v>0.04947614931</v>
      </c>
      <c r="U149" s="31" t="str">
        <f t="shared" si="10"/>
        <v>#N/A</v>
      </c>
      <c r="V149" s="31" t="str">
        <f t="shared" si="11"/>
        <v>#N/A</v>
      </c>
      <c r="W149" s="31">
        <f t="shared" si="12"/>
        <v>20</v>
      </c>
      <c r="X149" s="31" t="str">
        <f t="shared" si="13"/>
        <v>#N/A</v>
      </c>
    </row>
    <row r="150">
      <c r="A150" s="1">
        <v>147.0</v>
      </c>
      <c r="B150" s="22" t="s">
        <v>691</v>
      </c>
      <c r="C150" s="22" t="s">
        <v>618</v>
      </c>
      <c r="D150" s="22" t="s">
        <v>369</v>
      </c>
      <c r="E150" s="23">
        <f>IFERROR(__xludf.DUMMYFUNCTION("GOOGLEFINANCE(""NSE:""&amp;D150,""marketcap"")/10000000"),26175.8442521)</f>
        <v>26175.84425</v>
      </c>
      <c r="F150" s="17">
        <f>IFERROR(__xludf.DUMMYFUNCTION("GOOGLEFINANCE(""NSE:""&amp;D150)"),659.05)</f>
        <v>659.05</v>
      </c>
      <c r="G150" s="17">
        <f>IFERROR(__xludf.DUMMYFUNCTION("GOOGLEFINANCE(""NSE:""&amp;D150,""closeyest"")"),662.4)</f>
        <v>662.4</v>
      </c>
      <c r="H150" s="17">
        <f>IFERROR(__xludf.DUMMYFUNCTION("INDEX(GOOGLEFINANCE(""NSE:""&amp;D150,""PRICE"",TODAY()-7),2,2)"),646.9)</f>
        <v>646.9</v>
      </c>
      <c r="I150" s="17">
        <f>IFERROR(__xludf.DUMMYFUNCTION("INDEX(GOOGLEFINANCE(""NSE:""&amp;D150,""PRICE"",TODAY()-14),2,2)"),668.8)</f>
        <v>668.8</v>
      </c>
      <c r="J150" s="17">
        <f>IFERROR(__xludf.DUMMYFUNCTION("INDEX(GOOGLEFINANCE(""NSE:""&amp;D150,""PRICE"",TODAY()-28),2,2)"),617.75)</f>
        <v>617.75</v>
      </c>
      <c r="K150" s="17">
        <f>IFERROR(__xludf.DUMMYFUNCTION("INDEX(GOOGLEFINANCE(""NSE:""&amp;D150,""PRICE"",TODAY()-84),2,2)"),588.6)</f>
        <v>588.6</v>
      </c>
      <c r="L150" s="16">
        <f t="shared" si="1"/>
        <v>-0.00505736715</v>
      </c>
      <c r="M150" s="16">
        <f t="shared" si="2"/>
        <v>0.01878188283</v>
      </c>
      <c r="N150" s="16">
        <f t="shared" si="3"/>
        <v>-0.01457834928</v>
      </c>
      <c r="O150" s="16">
        <f t="shared" si="4"/>
        <v>0.06685552408</v>
      </c>
      <c r="P150" s="16">
        <f t="shared" si="5"/>
        <v>0.1196907917</v>
      </c>
      <c r="Q150" s="30">
        <f t="shared" si="6"/>
        <v>0.005916329204</v>
      </c>
      <c r="R150" s="30">
        <f t="shared" si="7"/>
        <v>-0.04012579454</v>
      </c>
      <c r="S150" s="30">
        <f t="shared" si="8"/>
        <v>-0.004950250169</v>
      </c>
      <c r="T150" s="30">
        <f t="shared" si="9"/>
        <v>-0.01254364053</v>
      </c>
      <c r="U150" s="31" t="str">
        <f t="shared" si="10"/>
        <v>#N/A</v>
      </c>
      <c r="V150" s="31" t="str">
        <f t="shared" si="11"/>
        <v>#N/A</v>
      </c>
      <c r="W150" s="31">
        <f t="shared" si="12"/>
        <v>95</v>
      </c>
      <c r="X150" s="31" t="str">
        <f t="shared" si="13"/>
        <v>#N/A</v>
      </c>
    </row>
    <row r="151">
      <c r="A151" s="1">
        <v>148.0</v>
      </c>
      <c r="B151" s="22" t="s">
        <v>692</v>
      </c>
      <c r="C151" s="22" t="s">
        <v>526</v>
      </c>
      <c r="D151" s="22" t="s">
        <v>343</v>
      </c>
      <c r="E151" s="23">
        <f>IFERROR(__xludf.DUMMYFUNCTION("GOOGLEFINANCE(""NSE:""&amp;D151,""marketcap"")/10000000"),26053.0561131)</f>
        <v>26053.05611</v>
      </c>
      <c r="F151" s="17">
        <f>IFERROR(__xludf.DUMMYFUNCTION("GOOGLEFINANCE(""NSE:""&amp;D151)"),585.0)</f>
        <v>585</v>
      </c>
      <c r="G151" s="17">
        <f>IFERROR(__xludf.DUMMYFUNCTION("GOOGLEFINANCE(""NSE:""&amp;D151,""closeyest"")"),584.6)</f>
        <v>584.6</v>
      </c>
      <c r="H151" s="17">
        <f>IFERROR(__xludf.DUMMYFUNCTION("INDEX(GOOGLEFINANCE(""NSE:""&amp;D151,""PRICE"",TODAY()-7),2,2)"),580.4)</f>
        <v>580.4</v>
      </c>
      <c r="I151" s="17">
        <f>IFERROR(__xludf.DUMMYFUNCTION("INDEX(GOOGLEFINANCE(""NSE:""&amp;D151,""PRICE"",TODAY()-14),2,2)"),591.05)</f>
        <v>591.05</v>
      </c>
      <c r="J151" s="17">
        <f>IFERROR(__xludf.DUMMYFUNCTION("INDEX(GOOGLEFINANCE(""NSE:""&amp;D151,""PRICE"",TODAY()-28),2,2)"),596.55)</f>
        <v>596.55</v>
      </c>
      <c r="K151" s="17">
        <f>IFERROR(__xludf.DUMMYFUNCTION("INDEX(GOOGLEFINANCE(""NSE:""&amp;D151,""PRICE"",TODAY()-84),2,2)"),563.6)</f>
        <v>563.6</v>
      </c>
      <c r="L151" s="16">
        <f t="shared" si="1"/>
        <v>0.0006842285323</v>
      </c>
      <c r="M151" s="16">
        <f t="shared" si="2"/>
        <v>0.007925568573</v>
      </c>
      <c r="N151" s="16">
        <f t="shared" si="3"/>
        <v>-0.01023602064</v>
      </c>
      <c r="O151" s="16">
        <f t="shared" si="4"/>
        <v>-0.01936132763</v>
      </c>
      <c r="P151" s="16">
        <f t="shared" si="5"/>
        <v>0.03797019163</v>
      </c>
      <c r="Q151" s="30">
        <f t="shared" si="6"/>
        <v>-0.004939985048</v>
      </c>
      <c r="R151" s="30">
        <f t="shared" si="7"/>
        <v>-0.0357834659</v>
      </c>
      <c r="S151" s="30">
        <f t="shared" si="8"/>
        <v>-0.09116710188</v>
      </c>
      <c r="T151" s="30">
        <f t="shared" si="9"/>
        <v>-0.09426424061</v>
      </c>
      <c r="U151" s="31" t="str">
        <f t="shared" si="10"/>
        <v>#N/A</v>
      </c>
      <c r="V151" s="31" t="str">
        <f t="shared" si="11"/>
        <v>#N/A</v>
      </c>
      <c r="W151" s="31">
        <f t="shared" si="12"/>
        <v>180</v>
      </c>
      <c r="X151" s="31" t="str">
        <f t="shared" si="13"/>
        <v>#N/A</v>
      </c>
    </row>
    <row r="152">
      <c r="A152" s="1">
        <v>149.0</v>
      </c>
      <c r="B152" s="22" t="s">
        <v>693</v>
      </c>
      <c r="C152" s="22" t="s">
        <v>545</v>
      </c>
      <c r="D152" s="22" t="s">
        <v>373</v>
      </c>
      <c r="E152" s="23">
        <f>IFERROR(__xludf.DUMMYFUNCTION("GOOGLEFINANCE(""NSE:""&amp;D152,""marketcap"")/10000000"),25661.265093)</f>
        <v>25661.26509</v>
      </c>
      <c r="F152" s="17">
        <f>IFERROR(__xludf.DUMMYFUNCTION("GOOGLEFINANCE(""NSE:""&amp;D152)"),537.6)</f>
        <v>537.6</v>
      </c>
      <c r="G152" s="17">
        <f>IFERROR(__xludf.DUMMYFUNCTION("GOOGLEFINANCE(""NSE:""&amp;D152,""closeyest"")"),540.1)</f>
        <v>540.1</v>
      </c>
      <c r="H152" s="17">
        <f>IFERROR(__xludf.DUMMYFUNCTION("INDEX(GOOGLEFINANCE(""NSE:""&amp;D152,""PRICE"",TODAY()-7),2,2)"),547.1)</f>
        <v>547.1</v>
      </c>
      <c r="I152" s="17">
        <f>IFERROR(__xludf.DUMMYFUNCTION("INDEX(GOOGLEFINANCE(""NSE:""&amp;D152,""PRICE"",TODAY()-14),2,2)"),545.65)</f>
        <v>545.65</v>
      </c>
      <c r="J152" s="17">
        <f>IFERROR(__xludf.DUMMYFUNCTION("INDEX(GOOGLEFINANCE(""NSE:""&amp;D152,""PRICE"",TODAY()-28),2,2)"),511.1)</f>
        <v>511.1</v>
      </c>
      <c r="K152" s="17">
        <f>IFERROR(__xludf.DUMMYFUNCTION("INDEX(GOOGLEFINANCE(""NSE:""&amp;D152,""PRICE"",TODAY()-84),2,2)"),612.0)</f>
        <v>612</v>
      </c>
      <c r="L152" s="16">
        <f t="shared" si="1"/>
        <v>-0.00462877245</v>
      </c>
      <c r="M152" s="16">
        <f t="shared" si="2"/>
        <v>-0.01736428441</v>
      </c>
      <c r="N152" s="16">
        <f t="shared" si="3"/>
        <v>-0.01475304682</v>
      </c>
      <c r="O152" s="16">
        <f t="shared" si="4"/>
        <v>0.05184895324</v>
      </c>
      <c r="P152" s="16">
        <f t="shared" si="5"/>
        <v>-0.1215686275</v>
      </c>
      <c r="Q152" s="30">
        <f t="shared" si="6"/>
        <v>-0.03022983803</v>
      </c>
      <c r="R152" s="30">
        <f t="shared" si="7"/>
        <v>-0.04030049208</v>
      </c>
      <c r="S152" s="30">
        <f t="shared" si="8"/>
        <v>-0.01995682101</v>
      </c>
      <c r="T152" s="30">
        <f t="shared" si="9"/>
        <v>-0.2538030597</v>
      </c>
      <c r="U152" s="31" t="str">
        <f t="shared" si="10"/>
        <v>#N/A</v>
      </c>
      <c r="V152" s="31" t="str">
        <f t="shared" si="11"/>
        <v>#N/A</v>
      </c>
      <c r="W152" s="31">
        <f t="shared" si="12"/>
        <v>114</v>
      </c>
      <c r="X152" s="31" t="str">
        <f t="shared" si="13"/>
        <v>#N/A</v>
      </c>
    </row>
    <row r="153">
      <c r="A153" s="1">
        <v>150.0</v>
      </c>
      <c r="B153" s="22" t="s">
        <v>694</v>
      </c>
      <c r="C153" s="22" t="s">
        <v>526</v>
      </c>
      <c r="D153" s="22" t="s">
        <v>379</v>
      </c>
      <c r="E153" s="23">
        <f>IFERROR(__xludf.DUMMYFUNCTION("GOOGLEFINANCE(""NSE:""&amp;D153,""marketcap"")/10000000"),25741.7028881)</f>
        <v>25741.70289</v>
      </c>
      <c r="F153" s="17">
        <f>IFERROR(__xludf.DUMMYFUNCTION("GOOGLEFINANCE(""NSE:""&amp;D153)"),4390.0)</f>
        <v>4390</v>
      </c>
      <c r="G153" s="17">
        <f>IFERROR(__xludf.DUMMYFUNCTION("GOOGLEFINANCE(""NSE:""&amp;D153,""closeyest"")"),4163.15)</f>
        <v>4163.15</v>
      </c>
      <c r="H153" s="17">
        <f>IFERROR(__xludf.DUMMYFUNCTION("INDEX(GOOGLEFINANCE(""NSE:""&amp;D153,""PRICE"",TODAY()-7),2,2)"),4245.1)</f>
        <v>4245.1</v>
      </c>
      <c r="I153" s="17">
        <f>IFERROR(__xludf.DUMMYFUNCTION("INDEX(GOOGLEFINANCE(""NSE:""&amp;D153,""PRICE"",TODAY()-14),2,2)"),4306.75)</f>
        <v>4306.75</v>
      </c>
      <c r="J153" s="17">
        <f>IFERROR(__xludf.DUMMYFUNCTION("INDEX(GOOGLEFINANCE(""NSE:""&amp;D153,""PRICE"",TODAY()-28),2,2)"),4046.25)</f>
        <v>4046.25</v>
      </c>
      <c r="K153" s="17">
        <f>IFERROR(__xludf.DUMMYFUNCTION("INDEX(GOOGLEFINANCE(""NSE:""&amp;D153,""PRICE"",TODAY()-84),2,2)"),4518.85)</f>
        <v>4518.85</v>
      </c>
      <c r="L153" s="16">
        <f t="shared" si="1"/>
        <v>0.05448998955</v>
      </c>
      <c r="M153" s="16">
        <f t="shared" si="2"/>
        <v>0.03413347153</v>
      </c>
      <c r="N153" s="16">
        <f t="shared" si="3"/>
        <v>0.01933012132</v>
      </c>
      <c r="O153" s="16">
        <f t="shared" si="4"/>
        <v>0.08495520544</v>
      </c>
      <c r="P153" s="16">
        <f t="shared" si="5"/>
        <v>-0.02851389181</v>
      </c>
      <c r="Q153" s="30">
        <f t="shared" si="6"/>
        <v>0.02126791791</v>
      </c>
      <c r="R153" s="30">
        <f t="shared" si="7"/>
        <v>-0.006217323934</v>
      </c>
      <c r="S153" s="30">
        <f t="shared" si="8"/>
        <v>0.01314943119</v>
      </c>
      <c r="T153" s="30">
        <f t="shared" si="9"/>
        <v>-0.160748324</v>
      </c>
      <c r="U153" s="31" t="str">
        <f t="shared" si="10"/>
        <v>#N/A</v>
      </c>
      <c r="V153" s="31" t="str">
        <f t="shared" si="11"/>
        <v>#N/A</v>
      </c>
      <c r="W153" s="31">
        <f t="shared" si="12"/>
        <v>75</v>
      </c>
      <c r="X153" s="31" t="str">
        <f t="shared" si="13"/>
        <v>#N/A</v>
      </c>
    </row>
    <row r="154">
      <c r="A154" s="1">
        <v>151.0</v>
      </c>
      <c r="B154" s="22" t="s">
        <v>695</v>
      </c>
      <c r="C154" s="22" t="s">
        <v>578</v>
      </c>
      <c r="D154" s="22" t="s">
        <v>395</v>
      </c>
      <c r="E154" s="23">
        <f>IFERROR(__xludf.DUMMYFUNCTION("GOOGLEFINANCE(""NSE:""&amp;D154,""marketcap"")/10000000"),23694.81165)</f>
        <v>23694.81165</v>
      </c>
      <c r="F154" s="17">
        <f>IFERROR(__xludf.DUMMYFUNCTION("GOOGLEFINANCE(""NSE:""&amp;D154)"),807.5)</f>
        <v>807.5</v>
      </c>
      <c r="G154" s="17">
        <f>IFERROR(__xludf.DUMMYFUNCTION("GOOGLEFINANCE(""NSE:""&amp;D154,""closeyest"")"),818.75)</f>
        <v>818.75</v>
      </c>
      <c r="H154" s="17">
        <f>IFERROR(__xludf.DUMMYFUNCTION("INDEX(GOOGLEFINANCE(""NSE:""&amp;D154,""PRICE"",TODAY()-7),2,2)"),807.6)</f>
        <v>807.6</v>
      </c>
      <c r="I154" s="17">
        <f>IFERROR(__xludf.DUMMYFUNCTION("INDEX(GOOGLEFINANCE(""NSE:""&amp;D154,""PRICE"",TODAY()-14),2,2)"),835.05)</f>
        <v>835.05</v>
      </c>
      <c r="J154" s="17">
        <f>IFERROR(__xludf.DUMMYFUNCTION("INDEX(GOOGLEFINANCE(""NSE:""&amp;D154,""PRICE"",TODAY()-28),2,2)"),766.8)</f>
        <v>766.8</v>
      </c>
      <c r="K154" s="17">
        <f>IFERROR(__xludf.DUMMYFUNCTION("INDEX(GOOGLEFINANCE(""NSE:""&amp;D154,""PRICE"",TODAY()-84),2,2)"),908.95)</f>
        <v>908.95</v>
      </c>
      <c r="L154" s="16">
        <f t="shared" si="1"/>
        <v>-0.01374045802</v>
      </c>
      <c r="M154" s="16">
        <f t="shared" si="2"/>
        <v>-0.0001238236751</v>
      </c>
      <c r="N154" s="16">
        <f t="shared" si="3"/>
        <v>-0.03299203641</v>
      </c>
      <c r="O154" s="16">
        <f t="shared" si="4"/>
        <v>0.05307772561</v>
      </c>
      <c r="P154" s="16">
        <f t="shared" si="5"/>
        <v>-0.1116122999</v>
      </c>
      <c r="Q154" s="30">
        <f t="shared" si="6"/>
        <v>-0.0129893773</v>
      </c>
      <c r="R154" s="30">
        <f t="shared" si="7"/>
        <v>-0.05853948166</v>
      </c>
      <c r="S154" s="30">
        <f t="shared" si="8"/>
        <v>-0.01872804864</v>
      </c>
      <c r="T154" s="30">
        <f t="shared" si="9"/>
        <v>-0.2438467321</v>
      </c>
      <c r="U154" s="31" t="str">
        <f t="shared" si="10"/>
        <v>#N/A</v>
      </c>
      <c r="V154" s="31" t="str">
        <f t="shared" si="11"/>
        <v>#N/A</v>
      </c>
      <c r="W154" s="31">
        <f t="shared" si="12"/>
        <v>112</v>
      </c>
      <c r="X154" s="31" t="str">
        <f t="shared" si="13"/>
        <v>#N/A</v>
      </c>
    </row>
    <row r="155">
      <c r="A155" s="1">
        <v>152.0</v>
      </c>
      <c r="B155" s="22" t="s">
        <v>696</v>
      </c>
      <c r="C155" s="22" t="s">
        <v>528</v>
      </c>
      <c r="D155" s="22" t="s">
        <v>391</v>
      </c>
      <c r="E155" s="23">
        <f>IFERROR(__xludf.DUMMYFUNCTION("GOOGLEFINANCE(""NSE:""&amp;D155,""marketcap"")/10000000"),24186.50323)</f>
        <v>24186.50323</v>
      </c>
      <c r="F155" s="17">
        <f>IFERROR(__xludf.DUMMYFUNCTION("GOOGLEFINANCE(""NSE:""&amp;D155)"),750.0)</f>
        <v>750</v>
      </c>
      <c r="G155" s="17">
        <f>IFERROR(__xludf.DUMMYFUNCTION("GOOGLEFINANCE(""NSE:""&amp;D155,""closeyest"")"),744.35)</f>
        <v>744.35</v>
      </c>
      <c r="H155" s="17">
        <f>IFERROR(__xludf.DUMMYFUNCTION("INDEX(GOOGLEFINANCE(""NSE:""&amp;D155,""PRICE"",TODAY()-7),2,2)"),735.6)</f>
        <v>735.6</v>
      </c>
      <c r="I155" s="17">
        <f>IFERROR(__xludf.DUMMYFUNCTION("INDEX(GOOGLEFINANCE(""NSE:""&amp;D155,""PRICE"",TODAY()-14),2,2)"),716.45)</f>
        <v>716.45</v>
      </c>
      <c r="J155" s="17">
        <f>IFERROR(__xludf.DUMMYFUNCTION("INDEX(GOOGLEFINANCE(""NSE:""&amp;D155,""PRICE"",TODAY()-28),2,2)"),705.65)</f>
        <v>705.65</v>
      </c>
      <c r="K155" s="17">
        <f>IFERROR(__xludf.DUMMYFUNCTION("INDEX(GOOGLEFINANCE(""NSE:""&amp;D155,""PRICE"",TODAY()-84),2,2)"),692.75)</f>
        <v>692.75</v>
      </c>
      <c r="L155" s="16">
        <f t="shared" si="1"/>
        <v>0.007590515215</v>
      </c>
      <c r="M155" s="16">
        <f t="shared" si="2"/>
        <v>0.01957585644</v>
      </c>
      <c r="N155" s="16">
        <f t="shared" si="3"/>
        <v>0.04682811082</v>
      </c>
      <c r="O155" s="16">
        <f t="shared" si="4"/>
        <v>0.06284985474</v>
      </c>
      <c r="P155" s="16">
        <f t="shared" si="5"/>
        <v>0.08264164562</v>
      </c>
      <c r="Q155" s="30">
        <f t="shared" si="6"/>
        <v>0.006710302822</v>
      </c>
      <c r="R155" s="30">
        <f t="shared" si="7"/>
        <v>0.02128066557</v>
      </c>
      <c r="S155" s="30">
        <f t="shared" si="8"/>
        <v>-0.008955919505</v>
      </c>
      <c r="T155" s="30">
        <f t="shared" si="9"/>
        <v>-0.04959278662</v>
      </c>
      <c r="U155" s="31" t="str">
        <f t="shared" si="10"/>
        <v>#N/A</v>
      </c>
      <c r="V155" s="31" t="str">
        <f t="shared" si="11"/>
        <v>#N/A</v>
      </c>
      <c r="W155" s="31">
        <f t="shared" si="12"/>
        <v>103</v>
      </c>
      <c r="X155" s="31" t="str">
        <f t="shared" si="13"/>
        <v>#N/A</v>
      </c>
    </row>
    <row r="156">
      <c r="A156" s="1">
        <v>153.0</v>
      </c>
      <c r="B156" s="22" t="s">
        <v>697</v>
      </c>
      <c r="C156" s="22" t="s">
        <v>528</v>
      </c>
      <c r="D156" s="22" t="s">
        <v>383</v>
      </c>
      <c r="E156" s="23">
        <f>IFERROR(__xludf.DUMMYFUNCTION("GOOGLEFINANCE(""NSE:""&amp;D156,""marketcap"")/10000000"),23819.0887671)</f>
        <v>23819.08877</v>
      </c>
      <c r="F156" s="17">
        <f>IFERROR(__xludf.DUMMYFUNCTION("GOOGLEFINANCE(""NSE:""&amp;D156)"),34.9)</f>
        <v>34.9</v>
      </c>
      <c r="G156" s="17">
        <f>IFERROR(__xludf.DUMMYFUNCTION("GOOGLEFINANCE(""NSE:""&amp;D156,""closeyest"")"),35.05)</f>
        <v>35.05</v>
      </c>
      <c r="H156" s="17">
        <f>IFERROR(__xludf.DUMMYFUNCTION("INDEX(GOOGLEFINANCE(""NSE:""&amp;D156,""PRICE"",TODAY()-7),2,2)"),35.9)</f>
        <v>35.9</v>
      </c>
      <c r="I156" s="17">
        <f>IFERROR(__xludf.DUMMYFUNCTION("INDEX(GOOGLEFINANCE(""NSE:""&amp;D156,""PRICE"",TODAY()-14),2,2)"),34.65)</f>
        <v>34.65</v>
      </c>
      <c r="J156" s="17">
        <f>IFERROR(__xludf.DUMMYFUNCTION("INDEX(GOOGLEFINANCE(""NSE:""&amp;D156,""PRICE"",TODAY()-28),2,2)"),34.15)</f>
        <v>34.15</v>
      </c>
      <c r="K156" s="17">
        <f>IFERROR(__xludf.DUMMYFUNCTION("INDEX(GOOGLEFINANCE(""NSE:""&amp;D156,""PRICE"",TODAY()-84),2,2)"),39.05)</f>
        <v>39.05</v>
      </c>
      <c r="L156" s="16">
        <f t="shared" si="1"/>
        <v>-0.004279600571</v>
      </c>
      <c r="M156" s="16">
        <f t="shared" si="2"/>
        <v>-0.0278551532</v>
      </c>
      <c r="N156" s="16">
        <f t="shared" si="3"/>
        <v>0.007215007215</v>
      </c>
      <c r="O156" s="16">
        <f t="shared" si="4"/>
        <v>0.02196193265</v>
      </c>
      <c r="P156" s="16">
        <f t="shared" si="5"/>
        <v>-0.1062740077</v>
      </c>
      <c r="Q156" s="30">
        <f t="shared" si="6"/>
        <v>-0.04072070683</v>
      </c>
      <c r="R156" s="30">
        <f t="shared" si="7"/>
        <v>-0.01833243804</v>
      </c>
      <c r="S156" s="30">
        <f t="shared" si="8"/>
        <v>-0.0498438416</v>
      </c>
      <c r="T156" s="30">
        <f t="shared" si="9"/>
        <v>-0.2385084399</v>
      </c>
      <c r="U156" s="31" t="str">
        <f t="shared" si="10"/>
        <v>#N/A</v>
      </c>
      <c r="V156" s="31" t="str">
        <f t="shared" si="11"/>
        <v>#N/A</v>
      </c>
      <c r="W156" s="31">
        <f t="shared" si="12"/>
        <v>151</v>
      </c>
      <c r="X156" s="31" t="str">
        <f t="shared" si="13"/>
        <v>#N/A</v>
      </c>
    </row>
    <row r="157">
      <c r="A157" s="1">
        <v>154.0</v>
      </c>
      <c r="B157" s="22" t="s">
        <v>698</v>
      </c>
      <c r="C157" s="22" t="s">
        <v>560</v>
      </c>
      <c r="D157" s="22" t="s">
        <v>389</v>
      </c>
      <c r="E157" s="23">
        <f>IFERROR(__xludf.DUMMYFUNCTION("GOOGLEFINANCE(""NSE:""&amp;D157,""marketcap"")/10000000"),23756.8828943)</f>
        <v>23756.88289</v>
      </c>
      <c r="F157" s="17">
        <f>IFERROR(__xludf.DUMMYFUNCTION("GOOGLEFINANCE(""NSE:""&amp;D157)"),495.15)</f>
        <v>495.15</v>
      </c>
      <c r="G157" s="17">
        <f>IFERROR(__xludf.DUMMYFUNCTION("GOOGLEFINANCE(""NSE:""&amp;D157,""closeyest"")"),492.95)</f>
        <v>492.95</v>
      </c>
      <c r="H157" s="17">
        <f>IFERROR(__xludf.DUMMYFUNCTION("INDEX(GOOGLEFINANCE(""NSE:""&amp;D157,""PRICE"",TODAY()-7),2,2)"),481.9)</f>
        <v>481.9</v>
      </c>
      <c r="I157" s="17">
        <f>IFERROR(__xludf.DUMMYFUNCTION("INDEX(GOOGLEFINANCE(""NSE:""&amp;D157,""PRICE"",TODAY()-14),2,2)"),480.75)</f>
        <v>480.75</v>
      </c>
      <c r="J157" s="17">
        <f>IFERROR(__xludf.DUMMYFUNCTION("INDEX(GOOGLEFINANCE(""NSE:""&amp;D157,""PRICE"",TODAY()-28),2,2)"),488.15)</f>
        <v>488.15</v>
      </c>
      <c r="K157" s="17">
        <f>IFERROR(__xludf.DUMMYFUNCTION("INDEX(GOOGLEFINANCE(""NSE:""&amp;D157,""PRICE"",TODAY()-84),2,2)"),464.65)</f>
        <v>464.65</v>
      </c>
      <c r="L157" s="16">
        <f t="shared" si="1"/>
        <v>0.004462927275</v>
      </c>
      <c r="M157" s="16">
        <f t="shared" si="2"/>
        <v>0.02749533098</v>
      </c>
      <c r="N157" s="16">
        <f t="shared" si="3"/>
        <v>0.02995319813</v>
      </c>
      <c r="O157" s="16">
        <f t="shared" si="4"/>
        <v>0.01433985455</v>
      </c>
      <c r="P157" s="16">
        <f t="shared" si="5"/>
        <v>0.06564080491</v>
      </c>
      <c r="Q157" s="30">
        <f t="shared" si="6"/>
        <v>0.01462977736</v>
      </c>
      <c r="R157" s="30">
        <f t="shared" si="7"/>
        <v>0.004405752872</v>
      </c>
      <c r="S157" s="30">
        <f t="shared" si="8"/>
        <v>-0.0574659197</v>
      </c>
      <c r="T157" s="30">
        <f t="shared" si="9"/>
        <v>-0.06659362733</v>
      </c>
      <c r="U157" s="31" t="str">
        <f t="shared" si="10"/>
        <v>#N/A</v>
      </c>
      <c r="V157" s="31" t="str">
        <f t="shared" si="11"/>
        <v>#N/A</v>
      </c>
      <c r="W157" s="31">
        <f t="shared" si="12"/>
        <v>161</v>
      </c>
      <c r="X157" s="31" t="str">
        <f t="shared" si="13"/>
        <v>#N/A</v>
      </c>
    </row>
    <row r="158">
      <c r="A158" s="1">
        <v>155.0</v>
      </c>
      <c r="B158" s="22" t="s">
        <v>699</v>
      </c>
      <c r="C158" s="22" t="s">
        <v>522</v>
      </c>
      <c r="D158" s="22" t="s">
        <v>440</v>
      </c>
      <c r="E158" s="23">
        <f>IFERROR(__xludf.DUMMYFUNCTION("GOOGLEFINANCE(""NSE:""&amp;D158,""marketcap"")/10000000"),23151.8056215)</f>
        <v>23151.80562</v>
      </c>
      <c r="F158" s="17">
        <f>IFERROR(__xludf.DUMMYFUNCTION("GOOGLEFINANCE(""NSE:""&amp;D158)"),215.2)</f>
        <v>215.2</v>
      </c>
      <c r="G158" s="17">
        <f>IFERROR(__xludf.DUMMYFUNCTION("GOOGLEFINANCE(""NSE:""&amp;D158,""closeyest"")"),217.0)</f>
        <v>217</v>
      </c>
      <c r="H158" s="17">
        <f>IFERROR(__xludf.DUMMYFUNCTION("INDEX(GOOGLEFINANCE(""NSE:""&amp;D158,""PRICE"",TODAY()-7),2,2)"),199.8)</f>
        <v>199.8</v>
      </c>
      <c r="I158" s="17">
        <f>IFERROR(__xludf.DUMMYFUNCTION("INDEX(GOOGLEFINANCE(""NSE:""&amp;D158,""PRICE"",TODAY()-14),2,2)"),193.35)</f>
        <v>193.35</v>
      </c>
      <c r="J158" s="17">
        <f>IFERROR(__xludf.DUMMYFUNCTION("INDEX(GOOGLEFINANCE(""NSE:""&amp;D158,""PRICE"",TODAY()-28),2,2)"),176.55)</f>
        <v>176.55</v>
      </c>
      <c r="K158" s="17">
        <f>IFERROR(__xludf.DUMMYFUNCTION("INDEX(GOOGLEFINANCE(""NSE:""&amp;D158,""PRICE"",TODAY()-84),2,2)"),169.2)</f>
        <v>169.2</v>
      </c>
      <c r="L158" s="16">
        <f t="shared" si="1"/>
        <v>-0.008294930876</v>
      </c>
      <c r="M158" s="16">
        <f t="shared" si="2"/>
        <v>0.07707707708</v>
      </c>
      <c r="N158" s="16">
        <f t="shared" si="3"/>
        <v>0.1130074994</v>
      </c>
      <c r="O158" s="16">
        <f t="shared" si="4"/>
        <v>0.2189181535</v>
      </c>
      <c r="P158" s="16">
        <f t="shared" si="5"/>
        <v>0.2718676123</v>
      </c>
      <c r="Q158" s="30">
        <f t="shared" si="6"/>
        <v>0.06421152346</v>
      </c>
      <c r="R158" s="30">
        <f t="shared" si="7"/>
        <v>0.0874600541</v>
      </c>
      <c r="S158" s="30">
        <f t="shared" si="8"/>
        <v>0.1471123792</v>
      </c>
      <c r="T158" s="30">
        <f t="shared" si="9"/>
        <v>0.1396331801</v>
      </c>
      <c r="U158" s="31" t="str">
        <f t="shared" si="10"/>
        <v>#N/A</v>
      </c>
      <c r="V158" s="31" t="str">
        <f t="shared" si="11"/>
        <v>#N/A</v>
      </c>
      <c r="W158" s="31">
        <f t="shared" si="12"/>
        <v>17</v>
      </c>
      <c r="X158" s="31" t="str">
        <f t="shared" si="13"/>
        <v>#N/A</v>
      </c>
    </row>
    <row r="159">
      <c r="A159" s="1">
        <v>156.0</v>
      </c>
      <c r="B159" s="22" t="s">
        <v>700</v>
      </c>
      <c r="C159" s="22" t="s">
        <v>526</v>
      </c>
      <c r="D159" s="22" t="s">
        <v>397</v>
      </c>
      <c r="E159" s="23">
        <f>IFERROR(__xludf.DUMMYFUNCTION("GOOGLEFINANCE(""NSE:""&amp;D159,""marketcap"")/10000000"),23125.4820419)</f>
        <v>23125.48204</v>
      </c>
      <c r="F159" s="17">
        <f>IFERROR(__xludf.DUMMYFUNCTION("GOOGLEFINANCE(""NSE:""&amp;D159)"),1796.05)</f>
        <v>1796.05</v>
      </c>
      <c r="G159" s="17">
        <f>IFERROR(__xludf.DUMMYFUNCTION("GOOGLEFINANCE(""NSE:""&amp;D159,""closeyest"")"),1798.85)</f>
        <v>1798.85</v>
      </c>
      <c r="H159" s="17">
        <f>IFERROR(__xludf.DUMMYFUNCTION("INDEX(GOOGLEFINANCE(""NSE:""&amp;D159,""PRICE"",TODAY()-7),2,2)"),1784.55)</f>
        <v>1784.55</v>
      </c>
      <c r="I159" s="17">
        <f>IFERROR(__xludf.DUMMYFUNCTION("INDEX(GOOGLEFINANCE(""NSE:""&amp;D159,""PRICE"",TODAY()-14),2,2)"),1768.9)</f>
        <v>1768.9</v>
      </c>
      <c r="J159" s="17">
        <f>IFERROR(__xludf.DUMMYFUNCTION("INDEX(GOOGLEFINANCE(""NSE:""&amp;D159,""PRICE"",TODAY()-28),2,2)"),1722.95)</f>
        <v>1722.95</v>
      </c>
      <c r="K159" s="17">
        <f>IFERROR(__xludf.DUMMYFUNCTION("INDEX(GOOGLEFINANCE(""NSE:""&amp;D159,""PRICE"",TODAY()-84),2,2)"),1589.15)</f>
        <v>1589.15</v>
      </c>
      <c r="L159" s="16">
        <f t="shared" si="1"/>
        <v>-0.001556550018</v>
      </c>
      <c r="M159" s="16">
        <f t="shared" si="2"/>
        <v>0.006444201619</v>
      </c>
      <c r="N159" s="16">
        <f t="shared" si="3"/>
        <v>0.01534852168</v>
      </c>
      <c r="O159" s="16">
        <f t="shared" si="4"/>
        <v>0.04242723236</v>
      </c>
      <c r="P159" s="16">
        <f t="shared" si="5"/>
        <v>0.1301953875</v>
      </c>
      <c r="Q159" s="30">
        <f t="shared" si="6"/>
        <v>-0.006421352002</v>
      </c>
      <c r="R159" s="30">
        <f t="shared" si="7"/>
        <v>-0.01019892358</v>
      </c>
      <c r="S159" s="30">
        <f t="shared" si="8"/>
        <v>-0.02937854189</v>
      </c>
      <c r="T159" s="30">
        <f t="shared" si="9"/>
        <v>-0.002039044763</v>
      </c>
      <c r="U159" s="31" t="str">
        <f t="shared" si="10"/>
        <v>#N/A</v>
      </c>
      <c r="V159" s="31" t="str">
        <f t="shared" si="11"/>
        <v>#N/A</v>
      </c>
      <c r="W159" s="31">
        <f t="shared" si="12"/>
        <v>126</v>
      </c>
      <c r="X159" s="31" t="str">
        <f t="shared" si="13"/>
        <v>#N/A</v>
      </c>
    </row>
    <row r="160">
      <c r="A160" s="1">
        <v>157.0</v>
      </c>
      <c r="B160" s="22" t="s">
        <v>701</v>
      </c>
      <c r="C160" s="22" t="s">
        <v>543</v>
      </c>
      <c r="D160" s="22" t="s">
        <v>393</v>
      </c>
      <c r="E160" s="23">
        <f>IFERROR(__xludf.DUMMYFUNCTION("GOOGLEFINANCE(""NSE:""&amp;D160,""marketcap"")/10000000"),22943.210582)</f>
        <v>22943.21058</v>
      </c>
      <c r="F160" s="17">
        <f>IFERROR(__xludf.DUMMYFUNCTION("GOOGLEFINANCE(""NSE:""&amp;D160)"),972.2)</f>
        <v>972.2</v>
      </c>
      <c r="G160" s="17">
        <f>IFERROR(__xludf.DUMMYFUNCTION("GOOGLEFINANCE(""NSE:""&amp;D160,""closeyest"")"),977.9)</f>
        <v>977.9</v>
      </c>
      <c r="H160" s="17">
        <f>IFERROR(__xludf.DUMMYFUNCTION("INDEX(GOOGLEFINANCE(""NSE:""&amp;D160,""PRICE"",TODAY()-7),2,2)"),1011.5)</f>
        <v>1011.5</v>
      </c>
      <c r="I160" s="17">
        <f>IFERROR(__xludf.DUMMYFUNCTION("INDEX(GOOGLEFINANCE(""NSE:""&amp;D160,""PRICE"",TODAY()-14),2,2)"),1056.1)</f>
        <v>1056.1</v>
      </c>
      <c r="J160" s="17">
        <f>IFERROR(__xludf.DUMMYFUNCTION("INDEX(GOOGLEFINANCE(""NSE:""&amp;D160,""PRICE"",TODAY()-28),2,2)"),986.65)</f>
        <v>986.65</v>
      </c>
      <c r="K160" s="17">
        <f>IFERROR(__xludf.DUMMYFUNCTION("INDEX(GOOGLEFINANCE(""NSE:""&amp;D160,""PRICE"",TODAY()-84),2,2)"),1009.45)</f>
        <v>1009.45</v>
      </c>
      <c r="L160" s="16">
        <f t="shared" si="1"/>
        <v>-0.005828816852</v>
      </c>
      <c r="M160" s="16">
        <f t="shared" si="2"/>
        <v>-0.03885318833</v>
      </c>
      <c r="N160" s="16">
        <f t="shared" si="3"/>
        <v>-0.07944323454</v>
      </c>
      <c r="O160" s="16">
        <f t="shared" si="4"/>
        <v>-0.01464551766</v>
      </c>
      <c r="P160" s="16">
        <f t="shared" si="5"/>
        <v>-0.03690128288</v>
      </c>
      <c r="Q160" s="30">
        <f t="shared" si="6"/>
        <v>-0.05171874196</v>
      </c>
      <c r="R160" s="30">
        <f t="shared" si="7"/>
        <v>-0.1049906798</v>
      </c>
      <c r="S160" s="30">
        <f t="shared" si="8"/>
        <v>-0.08645129191</v>
      </c>
      <c r="T160" s="30">
        <f t="shared" si="9"/>
        <v>-0.1691357151</v>
      </c>
      <c r="U160" s="31" t="str">
        <f t="shared" si="10"/>
        <v>#N/A</v>
      </c>
      <c r="V160" s="31" t="str">
        <f t="shared" si="11"/>
        <v>#N/A</v>
      </c>
      <c r="W160" s="31">
        <f t="shared" si="12"/>
        <v>177</v>
      </c>
      <c r="X160" s="31" t="str">
        <f t="shared" si="13"/>
        <v>#N/A</v>
      </c>
    </row>
    <row r="161">
      <c r="A161" s="1">
        <v>158.0</v>
      </c>
      <c r="B161" s="22" t="s">
        <v>702</v>
      </c>
      <c r="C161" s="22" t="s">
        <v>528</v>
      </c>
      <c r="D161" s="22" t="s">
        <v>424</v>
      </c>
      <c r="E161" s="23">
        <f>IFERROR(__xludf.DUMMYFUNCTION("GOOGLEFINANCE(""NSE:""&amp;D161,""marketcap"")/10000000"),22857.1543169)</f>
        <v>22857.15432</v>
      </c>
      <c r="F161" s="17">
        <f>IFERROR(__xludf.DUMMYFUNCTION("GOOGLEFINANCE(""NSE:""&amp;D161)"),184.95)</f>
        <v>184.95</v>
      </c>
      <c r="G161" s="17">
        <f>IFERROR(__xludf.DUMMYFUNCTION("GOOGLEFINANCE(""NSE:""&amp;D161,""closeyest"")"),180.85)</f>
        <v>180.85</v>
      </c>
      <c r="H161" s="17">
        <f>IFERROR(__xludf.DUMMYFUNCTION("INDEX(GOOGLEFINANCE(""NSE:""&amp;D161,""PRICE"",TODAY()-7),2,2)"),179.35)</f>
        <v>179.35</v>
      </c>
      <c r="I161" s="17">
        <f>IFERROR(__xludf.DUMMYFUNCTION("INDEX(GOOGLEFINANCE(""NSE:""&amp;D161,""PRICE"",TODAY()-14),2,2)"),168.55)</f>
        <v>168.55</v>
      </c>
      <c r="J161" s="17">
        <f>IFERROR(__xludf.DUMMYFUNCTION("INDEX(GOOGLEFINANCE(""NSE:""&amp;D161,""PRICE"",TODAY()-28),2,2)"),155.55)</f>
        <v>155.55</v>
      </c>
      <c r="K161" s="17">
        <f>IFERROR(__xludf.DUMMYFUNCTION("INDEX(GOOGLEFINANCE(""NSE:""&amp;D161,""PRICE"",TODAY()-84),2,2)"),157.35)</f>
        <v>157.35</v>
      </c>
      <c r="L161" s="16">
        <f t="shared" si="1"/>
        <v>0.02267072159</v>
      </c>
      <c r="M161" s="16">
        <f t="shared" si="2"/>
        <v>0.03122386395</v>
      </c>
      <c r="N161" s="16">
        <f t="shared" si="3"/>
        <v>0.0973005043</v>
      </c>
      <c r="O161" s="16">
        <f t="shared" si="4"/>
        <v>0.1890067502</v>
      </c>
      <c r="P161" s="16">
        <f t="shared" si="5"/>
        <v>0.1754051478</v>
      </c>
      <c r="Q161" s="30">
        <f t="shared" si="6"/>
        <v>0.01835831033</v>
      </c>
      <c r="R161" s="30">
        <f t="shared" si="7"/>
        <v>0.07175305905</v>
      </c>
      <c r="S161" s="30">
        <f t="shared" si="8"/>
        <v>0.117200976</v>
      </c>
      <c r="T161" s="30">
        <f t="shared" si="9"/>
        <v>0.04317071553</v>
      </c>
      <c r="U161" s="31" t="str">
        <f t="shared" si="10"/>
        <v>#N/A</v>
      </c>
      <c r="V161" s="31" t="str">
        <f t="shared" si="11"/>
        <v>#N/A</v>
      </c>
      <c r="W161" s="31">
        <f t="shared" si="12"/>
        <v>21</v>
      </c>
      <c r="X161" s="31" t="str">
        <f t="shared" si="13"/>
        <v>#N/A</v>
      </c>
    </row>
    <row r="162">
      <c r="A162" s="1">
        <v>159.0</v>
      </c>
      <c r="B162" s="22" t="s">
        <v>703</v>
      </c>
      <c r="C162" s="22" t="s">
        <v>545</v>
      </c>
      <c r="D162" s="22" t="s">
        <v>387</v>
      </c>
      <c r="E162" s="23">
        <f>IFERROR(__xludf.DUMMYFUNCTION("GOOGLEFINANCE(""NSE:""&amp;D162,""marketcap"")/10000000"),21992.7430779)</f>
        <v>21992.74308</v>
      </c>
      <c r="F162" s="17">
        <f>IFERROR(__xludf.DUMMYFUNCTION("GOOGLEFINANCE(""NSE:""&amp;D162)"),1566.0)</f>
        <v>1566</v>
      </c>
      <c r="G162" s="17">
        <f>IFERROR(__xludf.DUMMYFUNCTION("GOOGLEFINANCE(""NSE:""&amp;D162,""closeyest"")"),1601.0)</f>
        <v>1601</v>
      </c>
      <c r="H162" s="17">
        <f>IFERROR(__xludf.DUMMYFUNCTION("INDEX(GOOGLEFINANCE(""NSE:""&amp;D162,""PRICE"",TODAY()-7),2,2)"),1588.9)</f>
        <v>1588.9</v>
      </c>
      <c r="I162" s="17">
        <f>IFERROR(__xludf.DUMMYFUNCTION("INDEX(GOOGLEFINANCE(""NSE:""&amp;D162,""PRICE"",TODAY()-14),2,2)"),1604.5)</f>
        <v>1604.5</v>
      </c>
      <c r="J162" s="17">
        <f>IFERROR(__xludf.DUMMYFUNCTION("INDEX(GOOGLEFINANCE(""NSE:""&amp;D162,""PRICE"",TODAY()-28),2,2)"),1698.7)</f>
        <v>1698.7</v>
      </c>
      <c r="K162" s="17">
        <f>IFERROR(__xludf.DUMMYFUNCTION("INDEX(GOOGLEFINANCE(""NSE:""&amp;D162,""PRICE"",TODAY()-84),2,2)"),1656.15)</f>
        <v>1656.15</v>
      </c>
      <c r="L162" s="16">
        <f t="shared" si="1"/>
        <v>-0.02186133666</v>
      </c>
      <c r="M162" s="16">
        <f t="shared" si="2"/>
        <v>-0.01441248663</v>
      </c>
      <c r="N162" s="16">
        <f t="shared" si="3"/>
        <v>-0.02399501402</v>
      </c>
      <c r="O162" s="16">
        <f t="shared" si="4"/>
        <v>-0.07811856125</v>
      </c>
      <c r="P162" s="16">
        <f t="shared" si="5"/>
        <v>-0.05443347523</v>
      </c>
      <c r="Q162" s="30">
        <f t="shared" si="6"/>
        <v>-0.02727804025</v>
      </c>
      <c r="R162" s="30">
        <f t="shared" si="7"/>
        <v>-0.04954245928</v>
      </c>
      <c r="S162" s="30">
        <f t="shared" si="8"/>
        <v>-0.1499243355</v>
      </c>
      <c r="T162" s="30">
        <f t="shared" si="9"/>
        <v>-0.1866679075</v>
      </c>
      <c r="U162" s="31" t="str">
        <f t="shared" si="10"/>
        <v>#N/A</v>
      </c>
      <c r="V162" s="31" t="str">
        <f t="shared" si="11"/>
        <v>#N/A</v>
      </c>
      <c r="W162" s="31">
        <f t="shared" si="12"/>
        <v>195</v>
      </c>
      <c r="X162" s="31" t="str">
        <f t="shared" si="13"/>
        <v>#N/A</v>
      </c>
    </row>
    <row r="163">
      <c r="A163" s="1">
        <v>160.0</v>
      </c>
      <c r="B163" s="22" t="s">
        <v>370</v>
      </c>
      <c r="C163" s="22" t="s">
        <v>528</v>
      </c>
      <c r="D163" s="22" t="s">
        <v>371</v>
      </c>
      <c r="E163" s="23">
        <f>IFERROR(__xludf.DUMMYFUNCTION("GOOGLEFINANCE(""NSE:""&amp;D163,""marketcap"")/10000000"),22425.9888161)</f>
        <v>22425.98882</v>
      </c>
      <c r="F163" s="17">
        <f>IFERROR(__xludf.DUMMYFUNCTION("GOOGLEFINANCE(""NSE:""&amp;D163)"),54.65)</f>
        <v>54.65</v>
      </c>
      <c r="G163" s="17">
        <f>IFERROR(__xludf.DUMMYFUNCTION("GOOGLEFINANCE(""NSE:""&amp;D163,""closeyest"")"),54.5)</f>
        <v>54.5</v>
      </c>
      <c r="H163" s="17">
        <f>IFERROR(__xludf.DUMMYFUNCTION("INDEX(GOOGLEFINANCE(""NSE:""&amp;D163,""PRICE"",TODAY()-7),2,2)"),58.25)</f>
        <v>58.25</v>
      </c>
      <c r="I163" s="17">
        <f>IFERROR(__xludf.DUMMYFUNCTION("INDEX(GOOGLEFINANCE(""NSE:""&amp;D163,""PRICE"",TODAY()-14),2,2)"),56.2)</f>
        <v>56.2</v>
      </c>
      <c r="J163" s="17">
        <f>IFERROR(__xludf.DUMMYFUNCTION("INDEX(GOOGLEFINANCE(""NSE:""&amp;D163,""PRICE"",TODAY()-28),2,2)"),67.4)</f>
        <v>67.4</v>
      </c>
      <c r="K163" s="17">
        <f>IFERROR(__xludf.DUMMYFUNCTION("INDEX(GOOGLEFINANCE(""NSE:""&amp;D163,""PRICE"",TODAY()-84),2,2)"),77.05)</f>
        <v>77.05</v>
      </c>
      <c r="L163" s="16">
        <f t="shared" si="1"/>
        <v>0.002752293578</v>
      </c>
      <c r="M163" s="16">
        <f t="shared" si="2"/>
        <v>-0.06180257511</v>
      </c>
      <c r="N163" s="16">
        <f t="shared" si="3"/>
        <v>-0.02758007117</v>
      </c>
      <c r="O163" s="16">
        <f t="shared" si="4"/>
        <v>-0.1891691395</v>
      </c>
      <c r="P163" s="16">
        <f t="shared" si="5"/>
        <v>-0.2907203115</v>
      </c>
      <c r="Q163" s="30">
        <f t="shared" si="6"/>
        <v>-0.07466812873</v>
      </c>
      <c r="R163" s="30">
        <f t="shared" si="7"/>
        <v>-0.05312751643</v>
      </c>
      <c r="S163" s="30">
        <f t="shared" si="8"/>
        <v>-0.2609749137</v>
      </c>
      <c r="T163" s="30">
        <f t="shared" si="9"/>
        <v>-0.4229547437</v>
      </c>
      <c r="U163" s="31" t="str">
        <f t="shared" si="10"/>
        <v>#N/A</v>
      </c>
      <c r="V163" s="31" t="str">
        <f t="shared" si="11"/>
        <v>#N/A</v>
      </c>
      <c r="W163" s="31">
        <f t="shared" si="12"/>
        <v>200</v>
      </c>
      <c r="X163" s="31" t="str">
        <f t="shared" si="13"/>
        <v>#N/A</v>
      </c>
    </row>
    <row r="164">
      <c r="A164" s="1">
        <v>161.0</v>
      </c>
      <c r="B164" s="22" t="s">
        <v>704</v>
      </c>
      <c r="C164" s="22" t="s">
        <v>541</v>
      </c>
      <c r="D164" s="22" t="s">
        <v>458</v>
      </c>
      <c r="E164" s="23">
        <f>IFERROR(__xludf.DUMMYFUNCTION("GOOGLEFINANCE(""NSE:""&amp;D164,""marketcap"")/10000000"),21699.2263305)</f>
        <v>21699.22633</v>
      </c>
      <c r="F164" s="17">
        <f>IFERROR(__xludf.DUMMYFUNCTION("GOOGLEFINANCE(""NSE:""&amp;D164)"),36.0)</f>
        <v>36</v>
      </c>
      <c r="G164" s="17">
        <f>IFERROR(__xludf.DUMMYFUNCTION("GOOGLEFINANCE(""NSE:""&amp;D164,""closeyest"")"),36.25)</f>
        <v>36.25</v>
      </c>
      <c r="H164" s="17">
        <f>IFERROR(__xludf.DUMMYFUNCTION("INDEX(GOOGLEFINANCE(""NSE:""&amp;D164,""PRICE"",TODAY()-7),2,2)"),31.55)</f>
        <v>31.55</v>
      </c>
      <c r="I164" s="17">
        <f>IFERROR(__xludf.DUMMYFUNCTION("INDEX(GOOGLEFINANCE(""NSE:""&amp;D164,""PRICE"",TODAY()-14),2,2)"),30.0)</f>
        <v>30</v>
      </c>
      <c r="J164" s="17">
        <f>IFERROR(__xludf.DUMMYFUNCTION("INDEX(GOOGLEFINANCE(""NSE:""&amp;D164,""PRICE"",TODAY()-28),2,2)"),29.15)</f>
        <v>29.15</v>
      </c>
      <c r="K164" s="17">
        <f>IFERROR(__xludf.DUMMYFUNCTION("INDEX(GOOGLEFINANCE(""NSE:""&amp;D164,""PRICE"",TODAY()-84),2,2)"),32.6)</f>
        <v>32.6</v>
      </c>
      <c r="L164" s="16">
        <f t="shared" si="1"/>
        <v>-0.006896551724</v>
      </c>
      <c r="M164" s="16">
        <f t="shared" si="2"/>
        <v>0.1410459588</v>
      </c>
      <c r="N164" s="16">
        <f t="shared" si="3"/>
        <v>0.2</v>
      </c>
      <c r="O164" s="16">
        <f t="shared" si="4"/>
        <v>0.2349914237</v>
      </c>
      <c r="P164" s="16">
        <f t="shared" si="5"/>
        <v>0.1042944785</v>
      </c>
      <c r="Q164" s="30">
        <f t="shared" si="6"/>
        <v>0.1281804052</v>
      </c>
      <c r="R164" s="30">
        <f t="shared" si="7"/>
        <v>0.1744525547</v>
      </c>
      <c r="S164" s="30">
        <f t="shared" si="8"/>
        <v>0.1631856494</v>
      </c>
      <c r="T164" s="30">
        <f t="shared" si="9"/>
        <v>-0.02793995371</v>
      </c>
      <c r="U164" s="31" t="str">
        <f t="shared" si="10"/>
        <v>#N/A</v>
      </c>
      <c r="V164" s="31" t="str">
        <f t="shared" si="11"/>
        <v>#N/A</v>
      </c>
      <c r="W164" s="31">
        <f t="shared" si="12"/>
        <v>15</v>
      </c>
      <c r="X164" s="31" t="str">
        <f t="shared" si="13"/>
        <v>#N/A</v>
      </c>
    </row>
    <row r="165">
      <c r="A165" s="1">
        <v>162.0</v>
      </c>
      <c r="B165" s="22" t="s">
        <v>705</v>
      </c>
      <c r="C165" s="22" t="s">
        <v>528</v>
      </c>
      <c r="D165" s="22" t="s">
        <v>420</v>
      </c>
      <c r="E165" s="23">
        <f>IFERROR(__xludf.DUMMYFUNCTION("GOOGLEFINANCE(""NSE:""&amp;D165,""marketcap"")/10000000"),24212.6691275)</f>
        <v>24212.66913</v>
      </c>
      <c r="F165" s="17">
        <f>IFERROR(__xludf.DUMMYFUNCTION("GOOGLEFINANCE(""NSE:""&amp;D165)"),440.3)</f>
        <v>440.3</v>
      </c>
      <c r="G165" s="17">
        <f>IFERROR(__xludf.DUMMYFUNCTION("GOOGLEFINANCE(""NSE:""&amp;D165,""closeyest"")"),430.7)</f>
        <v>430.7</v>
      </c>
      <c r="H165" s="17">
        <f>IFERROR(__xludf.DUMMYFUNCTION("INDEX(GOOGLEFINANCE(""NSE:""&amp;D165,""PRICE"",TODAY()-7),2,2)"),417.75)</f>
        <v>417.75</v>
      </c>
      <c r="I165" s="17">
        <f>IFERROR(__xludf.DUMMYFUNCTION("INDEX(GOOGLEFINANCE(""NSE:""&amp;D165,""PRICE"",TODAY()-14),2,2)"),419.55)</f>
        <v>419.55</v>
      </c>
      <c r="J165" s="17">
        <f>IFERROR(__xludf.DUMMYFUNCTION("INDEX(GOOGLEFINANCE(""NSE:""&amp;D165,""PRICE"",TODAY()-28),2,2)"),387.75)</f>
        <v>387.75</v>
      </c>
      <c r="K165" s="17">
        <f>IFERROR(__xludf.DUMMYFUNCTION("INDEX(GOOGLEFINANCE(""NSE:""&amp;D165,""PRICE"",TODAY()-84),2,2)"),465.8)</f>
        <v>465.8</v>
      </c>
      <c r="L165" s="16">
        <f t="shared" si="1"/>
        <v>0.02228929649</v>
      </c>
      <c r="M165" s="16">
        <f t="shared" si="2"/>
        <v>0.0539796529</v>
      </c>
      <c r="N165" s="16">
        <f t="shared" si="3"/>
        <v>0.04945775235</v>
      </c>
      <c r="O165" s="16">
        <f t="shared" si="4"/>
        <v>0.1355254674</v>
      </c>
      <c r="P165" s="16">
        <f t="shared" si="5"/>
        <v>-0.05474452555</v>
      </c>
      <c r="Q165" s="30">
        <f t="shared" si="6"/>
        <v>0.04111409928</v>
      </c>
      <c r="R165" s="30">
        <f t="shared" si="7"/>
        <v>0.0239103071</v>
      </c>
      <c r="S165" s="30">
        <f t="shared" si="8"/>
        <v>0.06371969319</v>
      </c>
      <c r="T165" s="30">
        <f t="shared" si="9"/>
        <v>-0.1869789578</v>
      </c>
      <c r="U165" s="31" t="str">
        <f t="shared" si="10"/>
        <v>#N/A</v>
      </c>
      <c r="V165" s="31" t="str">
        <f t="shared" si="11"/>
        <v>#N/A</v>
      </c>
      <c r="W165" s="31">
        <f t="shared" si="12"/>
        <v>46</v>
      </c>
      <c r="X165" s="31" t="str">
        <f t="shared" si="13"/>
        <v>#N/A</v>
      </c>
    </row>
    <row r="166">
      <c r="A166" s="1">
        <v>163.0</v>
      </c>
      <c r="B166" s="22" t="s">
        <v>706</v>
      </c>
      <c r="C166" s="22" t="s">
        <v>528</v>
      </c>
      <c r="D166" s="22" t="s">
        <v>411</v>
      </c>
      <c r="E166" s="23">
        <f>IFERROR(__xludf.DUMMYFUNCTION("GOOGLEFINANCE(""NSE:""&amp;D166,""marketcap"")/10000000"),21699.583425)</f>
        <v>21699.58343</v>
      </c>
      <c r="F166" s="17">
        <f>IFERROR(__xludf.DUMMYFUNCTION("GOOGLEFINANCE(""NSE:""&amp;D166)"),87.9)</f>
        <v>87.9</v>
      </c>
      <c r="G166" s="17">
        <f>IFERROR(__xludf.DUMMYFUNCTION("GOOGLEFINANCE(""NSE:""&amp;D166,""closeyest"")"),86.3)</f>
        <v>86.3</v>
      </c>
      <c r="H166" s="17">
        <f>IFERROR(__xludf.DUMMYFUNCTION("INDEX(GOOGLEFINANCE(""NSE:""&amp;D166,""PRICE"",TODAY()-7),2,2)"),85.5)</f>
        <v>85.5</v>
      </c>
      <c r="I166" s="17">
        <f>IFERROR(__xludf.DUMMYFUNCTION("INDEX(GOOGLEFINANCE(""NSE:""&amp;D166,""PRICE"",TODAY()-14),2,2)"),85.2)</f>
        <v>85.2</v>
      </c>
      <c r="J166" s="17">
        <f>IFERROR(__xludf.DUMMYFUNCTION("INDEX(GOOGLEFINANCE(""NSE:""&amp;D166,""PRICE"",TODAY()-28),2,2)"),81.45)</f>
        <v>81.45</v>
      </c>
      <c r="K166" s="17">
        <f>IFERROR(__xludf.DUMMYFUNCTION("INDEX(GOOGLEFINANCE(""NSE:""&amp;D166,""PRICE"",TODAY()-84),2,2)"),92.35)</f>
        <v>92.35</v>
      </c>
      <c r="L166" s="16">
        <f t="shared" si="1"/>
        <v>0.01853997683</v>
      </c>
      <c r="M166" s="16">
        <f t="shared" si="2"/>
        <v>0.02807017544</v>
      </c>
      <c r="N166" s="16">
        <f t="shared" si="3"/>
        <v>0.03169014085</v>
      </c>
      <c r="O166" s="16">
        <f t="shared" si="4"/>
        <v>0.07918968692</v>
      </c>
      <c r="P166" s="16">
        <f t="shared" si="5"/>
        <v>-0.04818624797</v>
      </c>
      <c r="Q166" s="30">
        <f t="shared" si="6"/>
        <v>0.01520462182</v>
      </c>
      <c r="R166" s="30">
        <f t="shared" si="7"/>
        <v>0.00614269559</v>
      </c>
      <c r="S166" s="30">
        <f t="shared" si="8"/>
        <v>0.007383912676</v>
      </c>
      <c r="T166" s="30">
        <f t="shared" si="9"/>
        <v>-0.1804206802</v>
      </c>
      <c r="U166" s="31" t="str">
        <f t="shared" si="10"/>
        <v>#N/A</v>
      </c>
      <c r="V166" s="31" t="str">
        <f t="shared" si="11"/>
        <v>#N/A</v>
      </c>
      <c r="W166" s="31">
        <f t="shared" si="12"/>
        <v>85</v>
      </c>
      <c r="X166" s="31" t="str">
        <f t="shared" si="13"/>
        <v>#N/A</v>
      </c>
    </row>
    <row r="167">
      <c r="A167" s="1">
        <v>164.0</v>
      </c>
      <c r="B167" s="22" t="s">
        <v>707</v>
      </c>
      <c r="C167" s="22" t="s">
        <v>603</v>
      </c>
      <c r="D167" s="22" t="s">
        <v>405</v>
      </c>
      <c r="E167" s="23">
        <f>IFERROR(__xludf.DUMMYFUNCTION("GOOGLEFINANCE(""NSE:""&amp;D167,""marketcap"")/10000000"),21572.3980331)</f>
        <v>21572.39803</v>
      </c>
      <c r="F167" s="17">
        <f>IFERROR(__xludf.DUMMYFUNCTION("GOOGLEFINANCE(""NSE:""&amp;D167)"),847.0)</f>
        <v>847</v>
      </c>
      <c r="G167" s="17">
        <f>IFERROR(__xludf.DUMMYFUNCTION("GOOGLEFINANCE(""NSE:""&amp;D167,""closeyest"")"),825.3)</f>
        <v>825.3</v>
      </c>
      <c r="H167" s="17">
        <f>IFERROR(__xludf.DUMMYFUNCTION("INDEX(GOOGLEFINANCE(""NSE:""&amp;D167,""PRICE"",TODAY()-7),2,2)"),844.5)</f>
        <v>844.5</v>
      </c>
      <c r="I167" s="17">
        <f>IFERROR(__xludf.DUMMYFUNCTION("INDEX(GOOGLEFINANCE(""NSE:""&amp;D167,""PRICE"",TODAY()-14),2,2)"),837.3)</f>
        <v>837.3</v>
      </c>
      <c r="J167" s="17">
        <f>IFERROR(__xludf.DUMMYFUNCTION("INDEX(GOOGLEFINANCE(""NSE:""&amp;D167,""PRICE"",TODAY()-28),2,2)"),829.0)</f>
        <v>829</v>
      </c>
      <c r="K167" s="17">
        <f>IFERROR(__xludf.DUMMYFUNCTION("INDEX(GOOGLEFINANCE(""NSE:""&amp;D167,""PRICE"",TODAY()-84),2,2)"),767.7)</f>
        <v>767.7</v>
      </c>
      <c r="L167" s="16">
        <f t="shared" si="1"/>
        <v>0.02629346904</v>
      </c>
      <c r="M167" s="16">
        <f t="shared" si="2"/>
        <v>0.002960331557</v>
      </c>
      <c r="N167" s="16">
        <f t="shared" si="3"/>
        <v>0.01158485609</v>
      </c>
      <c r="O167" s="16">
        <f t="shared" si="4"/>
        <v>0.02171290712</v>
      </c>
      <c r="P167" s="16">
        <f t="shared" si="5"/>
        <v>0.1032955582</v>
      </c>
      <c r="Q167" s="30">
        <f t="shared" si="6"/>
        <v>-0.009905222065</v>
      </c>
      <c r="R167" s="30">
        <f t="shared" si="7"/>
        <v>-0.01396258917</v>
      </c>
      <c r="S167" s="30">
        <f t="shared" si="8"/>
        <v>-0.05009286713</v>
      </c>
      <c r="T167" s="30">
        <f t="shared" si="9"/>
        <v>-0.02893887407</v>
      </c>
      <c r="U167" s="31" t="str">
        <f t="shared" si="10"/>
        <v>#N/A</v>
      </c>
      <c r="V167" s="31" t="str">
        <f t="shared" si="11"/>
        <v>#N/A</v>
      </c>
      <c r="W167" s="31">
        <f t="shared" si="12"/>
        <v>153</v>
      </c>
      <c r="X167" s="31" t="str">
        <f t="shared" si="13"/>
        <v>#N/A</v>
      </c>
    </row>
    <row r="168">
      <c r="A168" s="1">
        <v>165.0</v>
      </c>
      <c r="B168" s="22" t="s">
        <v>708</v>
      </c>
      <c r="C168" s="22" t="s">
        <v>590</v>
      </c>
      <c r="D168" s="22" t="s">
        <v>473</v>
      </c>
      <c r="E168" s="23">
        <f>IFERROR(__xludf.DUMMYFUNCTION("GOOGLEFINANCE(""NSE:""&amp;D168,""marketcap"")/10000000"),21865.215963)</f>
        <v>21865.21596</v>
      </c>
      <c r="F168" s="17">
        <f>IFERROR(__xludf.DUMMYFUNCTION("GOOGLEFINANCE(""NSE:""&amp;D168)"),185.0)</f>
        <v>185</v>
      </c>
      <c r="G168" s="17">
        <f>IFERROR(__xludf.DUMMYFUNCTION("GOOGLEFINANCE(""NSE:""&amp;D168,""closeyest"")"),173.1)</f>
        <v>173.1</v>
      </c>
      <c r="H168" s="17">
        <f>IFERROR(__xludf.DUMMYFUNCTION("INDEX(GOOGLEFINANCE(""NSE:""&amp;D168,""PRICE"",TODAY()-7),2,2)"),149.05)</f>
        <v>149.05</v>
      </c>
      <c r="I168" s="17">
        <f>IFERROR(__xludf.DUMMYFUNCTION("INDEX(GOOGLEFINANCE(""NSE:""&amp;D168,""PRICE"",TODAY()-14),2,2)"),154.1)</f>
        <v>154.1</v>
      </c>
      <c r="J168" s="17">
        <f>IFERROR(__xludf.DUMMYFUNCTION("INDEX(GOOGLEFINANCE(""NSE:""&amp;D168,""PRICE"",TODAY()-28),2,2)"),140.15)</f>
        <v>140.15</v>
      </c>
      <c r="K168" s="17">
        <f>IFERROR(__xludf.DUMMYFUNCTION("INDEX(GOOGLEFINANCE(""NSE:""&amp;D168,""PRICE"",TODAY()-84),2,2)"),142.95)</f>
        <v>142.95</v>
      </c>
      <c r="L168" s="16">
        <f t="shared" si="1"/>
        <v>0.06874638937</v>
      </c>
      <c r="M168" s="16">
        <f t="shared" si="2"/>
        <v>0.2411942301</v>
      </c>
      <c r="N168" s="16">
        <f t="shared" si="3"/>
        <v>0.2005191434</v>
      </c>
      <c r="O168" s="16">
        <f t="shared" si="4"/>
        <v>0.3200142704</v>
      </c>
      <c r="P168" s="16">
        <f t="shared" si="5"/>
        <v>0.2941587968</v>
      </c>
      <c r="Q168" s="30">
        <f t="shared" si="6"/>
        <v>0.2283286765</v>
      </c>
      <c r="R168" s="30">
        <f t="shared" si="7"/>
        <v>0.1749716982</v>
      </c>
      <c r="S168" s="30">
        <f t="shared" si="8"/>
        <v>0.2482084962</v>
      </c>
      <c r="T168" s="30">
        <f t="shared" si="9"/>
        <v>0.1619243645</v>
      </c>
      <c r="U168" s="31" t="str">
        <f t="shared" si="10"/>
        <v>#N/A</v>
      </c>
      <c r="V168" s="31" t="str">
        <f t="shared" si="11"/>
        <v>#N/A</v>
      </c>
      <c r="W168" s="31">
        <f t="shared" si="12"/>
        <v>6</v>
      </c>
      <c r="X168" s="31" t="str">
        <f t="shared" si="13"/>
        <v>#N/A</v>
      </c>
    </row>
    <row r="169">
      <c r="A169" s="1">
        <v>166.0</v>
      </c>
      <c r="B169" s="22" t="s">
        <v>709</v>
      </c>
      <c r="C169" s="22" t="s">
        <v>618</v>
      </c>
      <c r="D169" s="22" t="s">
        <v>403</v>
      </c>
      <c r="E169" s="23">
        <f>IFERROR(__xludf.DUMMYFUNCTION("GOOGLEFINANCE(""NSE:""&amp;D169,""marketcap"")/10000000"),20459.36451)</f>
        <v>20459.36451</v>
      </c>
      <c r="F169" s="17">
        <f>IFERROR(__xludf.DUMMYFUNCTION("GOOGLEFINANCE(""NSE:""&amp;D169)"),271.0)</f>
        <v>271</v>
      </c>
      <c r="G169" s="17">
        <f>IFERROR(__xludf.DUMMYFUNCTION("GOOGLEFINANCE(""NSE:""&amp;D169,""closeyest"")"),265.25)</f>
        <v>265.25</v>
      </c>
      <c r="H169" s="17">
        <f>IFERROR(__xludf.DUMMYFUNCTION("INDEX(GOOGLEFINANCE(""NSE:""&amp;D169,""PRICE"",TODAY()-7),2,2)"),267.95)</f>
        <v>267.95</v>
      </c>
      <c r="I169" s="17">
        <f>IFERROR(__xludf.DUMMYFUNCTION("INDEX(GOOGLEFINANCE(""NSE:""&amp;D169,""PRICE"",TODAY()-14),2,2)"),272.3)</f>
        <v>272.3</v>
      </c>
      <c r="J169" s="17">
        <f>IFERROR(__xludf.DUMMYFUNCTION("INDEX(GOOGLEFINANCE(""NSE:""&amp;D169,""PRICE"",TODAY()-28),2,2)"),294.5)</f>
        <v>294.5</v>
      </c>
      <c r="K169" s="17">
        <f>IFERROR(__xludf.DUMMYFUNCTION("INDEX(GOOGLEFINANCE(""NSE:""&amp;D169,""PRICE"",TODAY()-84),2,2)"),248.95)</f>
        <v>248.95</v>
      </c>
      <c r="L169" s="16">
        <f t="shared" si="1"/>
        <v>0.02167766258</v>
      </c>
      <c r="M169" s="16">
        <f t="shared" si="2"/>
        <v>0.01138272066</v>
      </c>
      <c r="N169" s="16">
        <f t="shared" si="3"/>
        <v>-0.004774146162</v>
      </c>
      <c r="O169" s="16">
        <f t="shared" si="4"/>
        <v>-0.07979626486</v>
      </c>
      <c r="P169" s="16">
        <f t="shared" si="5"/>
        <v>0.08857200241</v>
      </c>
      <c r="Q169" s="30">
        <f t="shared" si="6"/>
        <v>-0.001482832965</v>
      </c>
      <c r="R169" s="30">
        <f t="shared" si="7"/>
        <v>-0.03032159142</v>
      </c>
      <c r="S169" s="30">
        <f t="shared" si="8"/>
        <v>-0.1516020391</v>
      </c>
      <c r="T169" s="30">
        <f t="shared" si="9"/>
        <v>-0.04366242982</v>
      </c>
      <c r="U169" s="31" t="str">
        <f t="shared" si="10"/>
        <v>#N/A</v>
      </c>
      <c r="V169" s="31" t="str">
        <f t="shared" si="11"/>
        <v>#N/A</v>
      </c>
      <c r="W169" s="31">
        <f t="shared" si="12"/>
        <v>196</v>
      </c>
      <c r="X169" s="31" t="str">
        <f t="shared" si="13"/>
        <v>#N/A</v>
      </c>
    </row>
    <row r="170">
      <c r="A170" s="1">
        <v>167.0</v>
      </c>
      <c r="B170" s="22" t="s">
        <v>710</v>
      </c>
      <c r="C170" s="22" t="s">
        <v>590</v>
      </c>
      <c r="D170" s="22" t="s">
        <v>428</v>
      </c>
      <c r="E170" s="23">
        <f>IFERROR(__xludf.DUMMYFUNCTION("GOOGLEFINANCE(""NSE:""&amp;D170,""marketcap"")/10000000"),20405.1565655)</f>
        <v>20405.15657</v>
      </c>
      <c r="F170" s="17">
        <f>IFERROR(__xludf.DUMMYFUNCTION("GOOGLEFINANCE(""NSE:""&amp;D170)"),219.1)</f>
        <v>219.1</v>
      </c>
      <c r="G170" s="17">
        <f>IFERROR(__xludf.DUMMYFUNCTION("GOOGLEFINANCE(""NSE:""&amp;D170,""closeyest"")"),214.6)</f>
        <v>214.6</v>
      </c>
      <c r="H170" s="17">
        <f>IFERROR(__xludf.DUMMYFUNCTION("INDEX(GOOGLEFINANCE(""NSE:""&amp;D170,""PRICE"",TODAY()-7),2,2)"),212.1)</f>
        <v>212.1</v>
      </c>
      <c r="I170" s="17">
        <f>IFERROR(__xludf.DUMMYFUNCTION("INDEX(GOOGLEFINANCE(""NSE:""&amp;D170,""PRICE"",TODAY()-14),2,2)"),215.9)</f>
        <v>215.9</v>
      </c>
      <c r="J170" s="17">
        <f>IFERROR(__xludf.DUMMYFUNCTION("INDEX(GOOGLEFINANCE(""NSE:""&amp;D170,""PRICE"",TODAY()-28),2,2)"),202.35)</f>
        <v>202.35</v>
      </c>
      <c r="K170" s="17">
        <f>IFERROR(__xludf.DUMMYFUNCTION("INDEX(GOOGLEFINANCE(""NSE:""&amp;D170,""PRICE"",TODAY()-84),2,2)"),214.85)</f>
        <v>214.85</v>
      </c>
      <c r="L170" s="16">
        <f t="shared" si="1"/>
        <v>0.02096924511</v>
      </c>
      <c r="M170" s="16">
        <f t="shared" si="2"/>
        <v>0.03300330033</v>
      </c>
      <c r="N170" s="16">
        <f t="shared" si="3"/>
        <v>0.0148216767</v>
      </c>
      <c r="O170" s="16">
        <f t="shared" si="4"/>
        <v>0.08277736595</v>
      </c>
      <c r="P170" s="16">
        <f t="shared" si="5"/>
        <v>0.01978124273</v>
      </c>
      <c r="Q170" s="30">
        <f t="shared" si="6"/>
        <v>0.02013774671</v>
      </c>
      <c r="R170" s="30">
        <f t="shared" si="7"/>
        <v>-0.01072576855</v>
      </c>
      <c r="S170" s="30">
        <f t="shared" si="8"/>
        <v>0.0109715917</v>
      </c>
      <c r="T170" s="30">
        <f t="shared" si="9"/>
        <v>-0.1124531895</v>
      </c>
      <c r="U170" s="31" t="str">
        <f t="shared" si="10"/>
        <v>#N/A</v>
      </c>
      <c r="V170" s="31" t="str">
        <f t="shared" si="11"/>
        <v>#N/A</v>
      </c>
      <c r="W170" s="31">
        <f t="shared" si="12"/>
        <v>80</v>
      </c>
      <c r="X170" s="31" t="str">
        <f t="shared" si="13"/>
        <v>#N/A</v>
      </c>
    </row>
    <row r="171">
      <c r="A171" s="1">
        <v>168.0</v>
      </c>
      <c r="B171" s="22" t="s">
        <v>711</v>
      </c>
      <c r="C171" s="22" t="s">
        <v>712</v>
      </c>
      <c r="D171" s="22" t="s">
        <v>436</v>
      </c>
      <c r="E171" s="23">
        <f>IFERROR(__xludf.DUMMYFUNCTION("GOOGLEFINANCE(""NSE:""&amp;D171,""marketcap"")/10000000"),20807.1356808)</f>
        <v>20807.13568</v>
      </c>
      <c r="F171" s="17">
        <f>IFERROR(__xludf.DUMMYFUNCTION("GOOGLEFINANCE(""NSE:""&amp;D171)"),529.25)</f>
        <v>529.25</v>
      </c>
      <c r="G171" s="17">
        <f>IFERROR(__xludf.DUMMYFUNCTION("GOOGLEFINANCE(""NSE:""&amp;D171,""closeyest"")"),506.45)</f>
        <v>506.45</v>
      </c>
      <c r="H171" s="17">
        <f>IFERROR(__xludf.DUMMYFUNCTION("INDEX(GOOGLEFINANCE(""NSE:""&amp;D171,""PRICE"",TODAY()-7),2,2)"),493.15)</f>
        <v>493.15</v>
      </c>
      <c r="I171" s="17">
        <f>IFERROR(__xludf.DUMMYFUNCTION("INDEX(GOOGLEFINANCE(""NSE:""&amp;D171,""PRICE"",TODAY()-14),2,2)"),488.65)</f>
        <v>488.65</v>
      </c>
      <c r="J171" s="17">
        <f>IFERROR(__xludf.DUMMYFUNCTION("INDEX(GOOGLEFINANCE(""NSE:""&amp;D171,""PRICE"",TODAY()-28),2,2)"),482.65)</f>
        <v>482.65</v>
      </c>
      <c r="K171" s="17">
        <f>IFERROR(__xludf.DUMMYFUNCTION("INDEX(GOOGLEFINANCE(""NSE:""&amp;D171,""PRICE"",TODAY()-84),2,2)"),528.4)</f>
        <v>528.4</v>
      </c>
      <c r="L171" s="16">
        <f t="shared" si="1"/>
        <v>0.04501925165</v>
      </c>
      <c r="M171" s="16">
        <f t="shared" si="2"/>
        <v>0.07320287945</v>
      </c>
      <c r="N171" s="16">
        <f t="shared" si="3"/>
        <v>0.08308605341</v>
      </c>
      <c r="O171" s="16">
        <f t="shared" si="4"/>
        <v>0.09655029525</v>
      </c>
      <c r="P171" s="16">
        <f t="shared" si="5"/>
        <v>0.001608629826</v>
      </c>
      <c r="Q171" s="30">
        <f t="shared" si="6"/>
        <v>0.06033732583</v>
      </c>
      <c r="R171" s="30">
        <f t="shared" si="7"/>
        <v>0.05753860816</v>
      </c>
      <c r="S171" s="30">
        <f t="shared" si="8"/>
        <v>0.024744521</v>
      </c>
      <c r="T171" s="30">
        <f t="shared" si="9"/>
        <v>-0.1306258024</v>
      </c>
      <c r="U171" s="31" t="str">
        <f t="shared" si="10"/>
        <v>#N/A</v>
      </c>
      <c r="V171" s="31" t="str">
        <f t="shared" si="11"/>
        <v>#N/A</v>
      </c>
      <c r="W171" s="31">
        <f t="shared" si="12"/>
        <v>66</v>
      </c>
      <c r="X171" s="31" t="str">
        <f t="shared" si="13"/>
        <v>#N/A</v>
      </c>
    </row>
    <row r="172">
      <c r="A172" s="1">
        <v>169.0</v>
      </c>
      <c r="B172" s="22" t="s">
        <v>713</v>
      </c>
      <c r="C172" s="22" t="s">
        <v>635</v>
      </c>
      <c r="D172" s="22" t="s">
        <v>444</v>
      </c>
      <c r="E172" s="23">
        <f>IFERROR(__xludf.DUMMYFUNCTION("GOOGLEFINANCE(""NSE:""&amp;D172,""marketcap"")/10000000"),19864.3243291)</f>
        <v>19864.32433</v>
      </c>
      <c r="F172" s="17">
        <f>IFERROR(__xludf.DUMMYFUNCTION("GOOGLEFINANCE(""NSE:""&amp;D172)"),57.05)</f>
        <v>57.05</v>
      </c>
      <c r="G172" s="17">
        <f>IFERROR(__xludf.DUMMYFUNCTION("GOOGLEFINANCE(""NSE:""&amp;D172,""closeyest"")"),57.05)</f>
        <v>57.05</v>
      </c>
      <c r="H172" s="17">
        <f>IFERROR(__xludf.DUMMYFUNCTION("INDEX(GOOGLEFINANCE(""NSE:""&amp;D172,""PRICE"",TODAY()-7),2,2)"),56.55)</f>
        <v>56.55</v>
      </c>
      <c r="I172" s="17">
        <f>IFERROR(__xludf.DUMMYFUNCTION("INDEX(GOOGLEFINANCE(""NSE:""&amp;D172,""PRICE"",TODAY()-14),2,2)"),55.15)</f>
        <v>55.15</v>
      </c>
      <c r="J172" s="17">
        <f>IFERROR(__xludf.DUMMYFUNCTION("INDEX(GOOGLEFINANCE(""NSE:""&amp;D172,""PRICE"",TODAY()-28),2,2)"),54.2)</f>
        <v>54.2</v>
      </c>
      <c r="K172" s="17">
        <f>IFERROR(__xludf.DUMMYFUNCTION("INDEX(GOOGLEFINANCE(""NSE:""&amp;D172,""PRICE"",TODAY()-84),2,2)"),65.85)</f>
        <v>65.85</v>
      </c>
      <c r="L172" s="16">
        <f t="shared" si="1"/>
        <v>0</v>
      </c>
      <c r="M172" s="16">
        <f t="shared" si="2"/>
        <v>0.00884173298</v>
      </c>
      <c r="N172" s="16">
        <f t="shared" si="3"/>
        <v>0.03445149592</v>
      </c>
      <c r="O172" s="16">
        <f t="shared" si="4"/>
        <v>0.05258302583</v>
      </c>
      <c r="P172" s="16">
        <f t="shared" si="5"/>
        <v>-0.1336370539</v>
      </c>
      <c r="Q172" s="30">
        <f t="shared" si="6"/>
        <v>-0.004023820642</v>
      </c>
      <c r="R172" s="30">
        <f t="shared" si="7"/>
        <v>0.008904050665</v>
      </c>
      <c r="S172" s="30">
        <f t="shared" si="8"/>
        <v>-0.01922274842</v>
      </c>
      <c r="T172" s="30">
        <f t="shared" si="9"/>
        <v>-0.2658714861</v>
      </c>
      <c r="U172" s="31" t="str">
        <f t="shared" si="10"/>
        <v>#N/A</v>
      </c>
      <c r="V172" s="31" t="str">
        <f t="shared" si="11"/>
        <v>#N/A</v>
      </c>
      <c r="W172" s="31">
        <f t="shared" si="12"/>
        <v>113</v>
      </c>
      <c r="X172" s="31" t="str">
        <f t="shared" si="13"/>
        <v>#N/A</v>
      </c>
    </row>
    <row r="173">
      <c r="A173" s="1">
        <v>170.0</v>
      </c>
      <c r="B173" s="22" t="s">
        <v>714</v>
      </c>
      <c r="C173" s="22" t="s">
        <v>545</v>
      </c>
      <c r="D173" s="22" t="s">
        <v>452</v>
      </c>
      <c r="E173" s="23">
        <f>IFERROR(__xludf.DUMMYFUNCTION("GOOGLEFINANCE(""NSE:""&amp;D173,""marketcap"")/10000000"),19461.5104356)</f>
        <v>19461.51044</v>
      </c>
      <c r="F173" s="17">
        <f>IFERROR(__xludf.DUMMYFUNCTION("GOOGLEFINANCE(""NSE:""&amp;D173)"),1507.0)</f>
        <v>1507</v>
      </c>
      <c r="G173" s="17">
        <f>IFERROR(__xludf.DUMMYFUNCTION("GOOGLEFINANCE(""NSE:""&amp;D173,""closeyest"")"),1520.15)</f>
        <v>1520.15</v>
      </c>
      <c r="H173" s="17">
        <f>IFERROR(__xludf.DUMMYFUNCTION("INDEX(GOOGLEFINANCE(""NSE:""&amp;D173,""PRICE"",TODAY()-7),2,2)"),1452.55)</f>
        <v>1452.55</v>
      </c>
      <c r="I173" s="17">
        <f>IFERROR(__xludf.DUMMYFUNCTION("INDEX(GOOGLEFINANCE(""NSE:""&amp;D173,""PRICE"",TODAY()-14),2,2)"),1378.85)</f>
        <v>1378.85</v>
      </c>
      <c r="J173" s="17">
        <f>IFERROR(__xludf.DUMMYFUNCTION("INDEX(GOOGLEFINANCE(""NSE:""&amp;D173,""PRICE"",TODAY()-28),2,2)"),1347.5)</f>
        <v>1347.5</v>
      </c>
      <c r="K173" s="17">
        <f>IFERROR(__xludf.DUMMYFUNCTION("INDEX(GOOGLEFINANCE(""NSE:""&amp;D173,""PRICE"",TODAY()-84),2,2)"),1202.95)</f>
        <v>1202.95</v>
      </c>
      <c r="L173" s="16">
        <f t="shared" si="1"/>
        <v>-0.008650462125</v>
      </c>
      <c r="M173" s="16">
        <f t="shared" si="2"/>
        <v>0.03748580083</v>
      </c>
      <c r="N173" s="16">
        <f t="shared" si="3"/>
        <v>0.09293976865</v>
      </c>
      <c r="O173" s="16">
        <f t="shared" si="4"/>
        <v>0.1183673469</v>
      </c>
      <c r="P173" s="16">
        <f t="shared" si="5"/>
        <v>0.2527536473</v>
      </c>
      <c r="Q173" s="30">
        <f t="shared" si="6"/>
        <v>0.02462024721</v>
      </c>
      <c r="R173" s="30">
        <f t="shared" si="7"/>
        <v>0.06739232339</v>
      </c>
      <c r="S173" s="30">
        <f t="shared" si="8"/>
        <v>0.04656157269</v>
      </c>
      <c r="T173" s="30">
        <f t="shared" si="9"/>
        <v>0.120519215</v>
      </c>
      <c r="U173" s="31" t="str">
        <f t="shared" si="10"/>
        <v>#N/A</v>
      </c>
      <c r="V173" s="31" t="str">
        <f t="shared" si="11"/>
        <v>#N/A</v>
      </c>
      <c r="W173" s="31">
        <f t="shared" si="12"/>
        <v>55</v>
      </c>
      <c r="X173" s="31" t="str">
        <f t="shared" si="13"/>
        <v>#N/A</v>
      </c>
    </row>
    <row r="174">
      <c r="A174" s="1">
        <v>171.0</v>
      </c>
      <c r="B174" s="22" t="s">
        <v>715</v>
      </c>
      <c r="C174" s="22" t="s">
        <v>603</v>
      </c>
      <c r="D174" s="22" t="s">
        <v>432</v>
      </c>
      <c r="E174" s="23">
        <f>IFERROR(__xludf.DUMMYFUNCTION("GOOGLEFINANCE(""NSE:""&amp;D174,""marketcap"")/10000000"),19465.81662)</f>
        <v>19465.81662</v>
      </c>
      <c r="F174" s="17">
        <f>IFERROR(__xludf.DUMMYFUNCTION("GOOGLEFINANCE(""NSE:""&amp;D174)"),3930.0)</f>
        <v>3930</v>
      </c>
      <c r="G174" s="17">
        <f>IFERROR(__xludf.DUMMYFUNCTION("GOOGLEFINANCE(""NSE:""&amp;D174,""closeyest"")"),3881.55)</f>
        <v>3881.55</v>
      </c>
      <c r="H174" s="17">
        <f>IFERROR(__xludf.DUMMYFUNCTION("INDEX(GOOGLEFINANCE(""NSE:""&amp;D174,""PRICE"",TODAY()-7),2,2)"),3860.15)</f>
        <v>3860.15</v>
      </c>
      <c r="I174" s="17">
        <f>IFERROR(__xludf.DUMMYFUNCTION("INDEX(GOOGLEFINANCE(""NSE:""&amp;D174,""PRICE"",TODAY()-14),2,2)"),4019.85)</f>
        <v>4019.85</v>
      </c>
      <c r="J174" s="17">
        <f>IFERROR(__xludf.DUMMYFUNCTION("INDEX(GOOGLEFINANCE(""NSE:""&amp;D174,""PRICE"",TODAY()-28),2,2)"),3830.05)</f>
        <v>3830.05</v>
      </c>
      <c r="K174" s="17">
        <f>IFERROR(__xludf.DUMMYFUNCTION("INDEX(GOOGLEFINANCE(""NSE:""&amp;D174,""PRICE"",TODAY()-84),2,2)"),3799.05)</f>
        <v>3799.05</v>
      </c>
      <c r="L174" s="16">
        <f t="shared" si="1"/>
        <v>0.01248212699</v>
      </c>
      <c r="M174" s="16">
        <f t="shared" si="2"/>
        <v>0.01809515174</v>
      </c>
      <c r="N174" s="16">
        <f t="shared" si="3"/>
        <v>-0.02235158028</v>
      </c>
      <c r="O174" s="16">
        <f t="shared" si="4"/>
        <v>0.02609626506</v>
      </c>
      <c r="P174" s="16">
        <f t="shared" si="5"/>
        <v>0.0344691436</v>
      </c>
      <c r="Q174" s="30">
        <f t="shared" si="6"/>
        <v>0.005229598121</v>
      </c>
      <c r="R174" s="30">
        <f t="shared" si="7"/>
        <v>-0.04789902554</v>
      </c>
      <c r="S174" s="30">
        <f t="shared" si="8"/>
        <v>-0.04570950919</v>
      </c>
      <c r="T174" s="30">
        <f t="shared" si="9"/>
        <v>-0.09776528863</v>
      </c>
      <c r="U174" s="31" t="str">
        <f t="shared" si="10"/>
        <v>#N/A</v>
      </c>
      <c r="V174" s="31" t="str">
        <f t="shared" si="11"/>
        <v>#N/A</v>
      </c>
      <c r="W174" s="31">
        <f t="shared" si="12"/>
        <v>142</v>
      </c>
      <c r="X174" s="31" t="str">
        <f t="shared" si="13"/>
        <v>#N/A</v>
      </c>
    </row>
    <row r="175">
      <c r="A175" s="1">
        <v>172.0</v>
      </c>
      <c r="B175" s="22" t="s">
        <v>716</v>
      </c>
      <c r="C175" s="22" t="s">
        <v>526</v>
      </c>
      <c r="D175" s="22" t="s">
        <v>442</v>
      </c>
      <c r="E175" s="23">
        <f>IFERROR(__xludf.DUMMYFUNCTION("GOOGLEFINANCE(""NSE:""&amp;D175,""marketcap"")/10000000"),19885.5088966)</f>
        <v>19885.5089</v>
      </c>
      <c r="F175" s="17">
        <f>IFERROR(__xludf.DUMMYFUNCTION("GOOGLEFINANCE(""NSE:""&amp;D175)"),591.1)</f>
        <v>591.1</v>
      </c>
      <c r="G175" s="17">
        <f>IFERROR(__xludf.DUMMYFUNCTION("GOOGLEFINANCE(""NSE:""&amp;D175,""closeyest"")"),567.3)</f>
        <v>567.3</v>
      </c>
      <c r="H175" s="17">
        <f>IFERROR(__xludf.DUMMYFUNCTION("INDEX(GOOGLEFINANCE(""NSE:""&amp;D175,""PRICE"",TODAY()-7),2,2)"),546.8)</f>
        <v>546.8</v>
      </c>
      <c r="I175" s="17">
        <f>IFERROR(__xludf.DUMMYFUNCTION("INDEX(GOOGLEFINANCE(""NSE:""&amp;D175,""PRICE"",TODAY()-14),2,2)"),553.7)</f>
        <v>553.7</v>
      </c>
      <c r="J175" s="17">
        <f>IFERROR(__xludf.DUMMYFUNCTION("INDEX(GOOGLEFINANCE(""NSE:""&amp;D175,""PRICE"",TODAY()-28),2,2)"),551.15)</f>
        <v>551.15</v>
      </c>
      <c r="K175" s="17">
        <f>IFERROR(__xludf.DUMMYFUNCTION("INDEX(GOOGLEFINANCE(""NSE:""&amp;D175,""PRICE"",TODAY()-84),2,2)"),574.9)</f>
        <v>574.9</v>
      </c>
      <c r="L175" s="16">
        <f t="shared" si="1"/>
        <v>0.04195311123</v>
      </c>
      <c r="M175" s="16">
        <f t="shared" si="2"/>
        <v>0.08101682516</v>
      </c>
      <c r="N175" s="16">
        <f t="shared" si="3"/>
        <v>0.06754560231</v>
      </c>
      <c r="O175" s="16">
        <f t="shared" si="4"/>
        <v>0.0724848045</v>
      </c>
      <c r="P175" s="16">
        <f t="shared" si="5"/>
        <v>0.02817881371</v>
      </c>
      <c r="Q175" s="30">
        <f t="shared" si="6"/>
        <v>0.06815127154</v>
      </c>
      <c r="R175" s="30">
        <f t="shared" si="7"/>
        <v>0.04199815706</v>
      </c>
      <c r="S175" s="30">
        <f t="shared" si="8"/>
        <v>0.0006790302513</v>
      </c>
      <c r="T175" s="30">
        <f t="shared" si="9"/>
        <v>-0.1040556185</v>
      </c>
      <c r="U175" s="31" t="str">
        <f t="shared" si="10"/>
        <v>#N/A</v>
      </c>
      <c r="V175" s="31" t="str">
        <f t="shared" si="11"/>
        <v>#N/A</v>
      </c>
      <c r="W175" s="31">
        <f t="shared" si="12"/>
        <v>91</v>
      </c>
      <c r="X175" s="31" t="str">
        <f t="shared" si="13"/>
        <v>#N/A</v>
      </c>
    </row>
    <row r="176">
      <c r="A176" s="1">
        <v>173.0</v>
      </c>
      <c r="B176" s="22" t="s">
        <v>717</v>
      </c>
      <c r="C176" s="22" t="s">
        <v>549</v>
      </c>
      <c r="D176" s="22" t="s">
        <v>434</v>
      </c>
      <c r="E176" s="23">
        <f>IFERROR(__xludf.DUMMYFUNCTION("GOOGLEFINANCE(""NSE:""&amp;D176,""marketcap"")/10000000"),18907.18956)</f>
        <v>18907.18956</v>
      </c>
      <c r="F176" s="17">
        <f>IFERROR(__xludf.DUMMYFUNCTION("GOOGLEFINANCE(""NSE:""&amp;D176)"),2185.0)</f>
        <v>2185</v>
      </c>
      <c r="G176" s="17">
        <f>IFERROR(__xludf.DUMMYFUNCTION("GOOGLEFINANCE(""NSE:""&amp;D176,""closeyest"")"),2177.55)</f>
        <v>2177.55</v>
      </c>
      <c r="H176" s="17">
        <f>IFERROR(__xludf.DUMMYFUNCTION("INDEX(GOOGLEFINANCE(""NSE:""&amp;D176,""PRICE"",TODAY()-7),2,2)"),2185.15)</f>
        <v>2185.15</v>
      </c>
      <c r="I176" s="17">
        <f>IFERROR(__xludf.DUMMYFUNCTION("INDEX(GOOGLEFINANCE(""NSE:""&amp;D176,""PRICE"",TODAY()-14),2,2)"),2137.05)</f>
        <v>2137.05</v>
      </c>
      <c r="J176" s="17">
        <f>IFERROR(__xludf.DUMMYFUNCTION("INDEX(GOOGLEFINANCE(""NSE:""&amp;D176,""PRICE"",TODAY()-28),2,2)"),2218.3)</f>
        <v>2218.3</v>
      </c>
      <c r="K176" s="17">
        <f>IFERROR(__xludf.DUMMYFUNCTION("INDEX(GOOGLEFINANCE(""NSE:""&amp;D176,""PRICE"",TODAY()-84),2,2)"),2123.2)</f>
        <v>2123.2</v>
      </c>
      <c r="L176" s="16">
        <f t="shared" si="1"/>
        <v>0.003421276205</v>
      </c>
      <c r="M176" s="16">
        <f t="shared" si="2"/>
        <v>-0.0000686451731</v>
      </c>
      <c r="N176" s="16">
        <f t="shared" si="3"/>
        <v>0.02243747222</v>
      </c>
      <c r="O176" s="16">
        <f t="shared" si="4"/>
        <v>-0.01501149529</v>
      </c>
      <c r="P176" s="16">
        <f t="shared" si="5"/>
        <v>0.02910700829</v>
      </c>
      <c r="Q176" s="30">
        <f t="shared" si="6"/>
        <v>-0.01293419879</v>
      </c>
      <c r="R176" s="30">
        <f t="shared" si="7"/>
        <v>-0.003109973039</v>
      </c>
      <c r="S176" s="30">
        <f t="shared" si="8"/>
        <v>-0.08681726954</v>
      </c>
      <c r="T176" s="30">
        <f t="shared" si="9"/>
        <v>-0.1031274239</v>
      </c>
      <c r="U176" s="31" t="str">
        <f t="shared" si="10"/>
        <v>#N/A</v>
      </c>
      <c r="V176" s="31" t="str">
        <f t="shared" si="11"/>
        <v>#N/A</v>
      </c>
      <c r="W176" s="31">
        <f t="shared" si="12"/>
        <v>178</v>
      </c>
      <c r="X176" s="31" t="str">
        <f t="shared" si="13"/>
        <v>#N/A</v>
      </c>
    </row>
    <row r="177">
      <c r="A177" s="1">
        <v>174.0</v>
      </c>
      <c r="B177" s="22" t="s">
        <v>718</v>
      </c>
      <c r="C177" s="22" t="s">
        <v>549</v>
      </c>
      <c r="D177" s="22" t="s">
        <v>417</v>
      </c>
      <c r="E177" s="23">
        <f>IFERROR(__xludf.DUMMYFUNCTION("GOOGLEFINANCE(""NSE:""&amp;D177,""marketcap"")/10000000"),18896.62371)</f>
        <v>18896.62371</v>
      </c>
      <c r="F177" s="17">
        <f>IFERROR(__xludf.DUMMYFUNCTION("GOOGLEFINANCE(""NSE:""&amp;D177)"),8205.0)</f>
        <v>8205</v>
      </c>
      <c r="G177" s="17">
        <f>IFERROR(__xludf.DUMMYFUNCTION("GOOGLEFINANCE(""NSE:""&amp;D177,""closeyest"")"),8035.15)</f>
        <v>8035.15</v>
      </c>
      <c r="H177" s="17">
        <f>IFERROR(__xludf.DUMMYFUNCTION("INDEX(GOOGLEFINANCE(""NSE:""&amp;D177,""PRICE"",TODAY()-7),2,2)"),7916.3)</f>
        <v>7916.3</v>
      </c>
      <c r="I177" s="17">
        <f>IFERROR(__xludf.DUMMYFUNCTION("INDEX(GOOGLEFINANCE(""NSE:""&amp;D177,""PRICE"",TODAY()-14),2,2)"),8213.45)</f>
        <v>8213.45</v>
      </c>
      <c r="J177" s="17">
        <f>IFERROR(__xludf.DUMMYFUNCTION("INDEX(GOOGLEFINANCE(""NSE:""&amp;D177,""PRICE"",TODAY()-28),2,2)"),8794.0)</f>
        <v>8794</v>
      </c>
      <c r="K177" s="17">
        <f>IFERROR(__xludf.DUMMYFUNCTION("INDEX(GOOGLEFINANCE(""NSE:""&amp;D177,""PRICE"",TODAY()-84),2,2)"),7697.6)</f>
        <v>7697.6</v>
      </c>
      <c r="L177" s="16">
        <f t="shared" si="1"/>
        <v>0.02113837327</v>
      </c>
      <c r="M177" s="16">
        <f t="shared" si="2"/>
        <v>0.03646905751</v>
      </c>
      <c r="N177" s="16">
        <f t="shared" si="3"/>
        <v>-0.001028800321</v>
      </c>
      <c r="O177" s="16">
        <f t="shared" si="4"/>
        <v>-0.06697748465</v>
      </c>
      <c r="P177" s="16">
        <f t="shared" si="5"/>
        <v>0.06591664935</v>
      </c>
      <c r="Q177" s="30">
        <f t="shared" si="6"/>
        <v>0.02360350389</v>
      </c>
      <c r="R177" s="30">
        <f t="shared" si="7"/>
        <v>-0.02657624558</v>
      </c>
      <c r="S177" s="30">
        <f t="shared" si="8"/>
        <v>-0.1387832589</v>
      </c>
      <c r="T177" s="30">
        <f t="shared" si="9"/>
        <v>-0.06631778289</v>
      </c>
      <c r="U177" s="31" t="str">
        <f t="shared" si="10"/>
        <v>#N/A</v>
      </c>
      <c r="V177" s="31" t="str">
        <f t="shared" si="11"/>
        <v>#N/A</v>
      </c>
      <c r="W177" s="31">
        <f t="shared" si="12"/>
        <v>192</v>
      </c>
      <c r="X177" s="31" t="str">
        <f t="shared" si="13"/>
        <v>#N/A</v>
      </c>
    </row>
    <row r="178">
      <c r="A178" s="1">
        <v>175.0</v>
      </c>
      <c r="B178" s="22" t="s">
        <v>719</v>
      </c>
      <c r="C178" s="22" t="s">
        <v>522</v>
      </c>
      <c r="D178" s="22" t="s">
        <v>426</v>
      </c>
      <c r="E178" s="23">
        <f>IFERROR(__xludf.DUMMYFUNCTION("GOOGLEFINANCE(""NSE:""&amp;D178,""marketcap"")/10000000"),18229.81638)</f>
        <v>18229.81638</v>
      </c>
      <c r="F178" s="17">
        <f>IFERROR(__xludf.DUMMYFUNCTION("GOOGLEFINANCE(""NSE:""&amp;D178)"),321.6)</f>
        <v>321.6</v>
      </c>
      <c r="G178" s="17">
        <f>IFERROR(__xludf.DUMMYFUNCTION("GOOGLEFINANCE(""NSE:""&amp;D178,""closeyest"")"),313.35)</f>
        <v>313.35</v>
      </c>
      <c r="H178" s="17">
        <f>IFERROR(__xludf.DUMMYFUNCTION("INDEX(GOOGLEFINANCE(""NSE:""&amp;D178,""PRICE"",TODAY()-7),2,2)"),321.25)</f>
        <v>321.25</v>
      </c>
      <c r="I178" s="17">
        <f>IFERROR(__xludf.DUMMYFUNCTION("INDEX(GOOGLEFINANCE(""NSE:""&amp;D178,""PRICE"",TODAY()-14),2,2)"),351.0)</f>
        <v>351</v>
      </c>
      <c r="J178" s="17">
        <f>IFERROR(__xludf.DUMMYFUNCTION("INDEX(GOOGLEFINANCE(""NSE:""&amp;D178,""PRICE"",TODAY()-28),2,2)"),347.05)</f>
        <v>347.05</v>
      </c>
      <c r="K178" s="17">
        <f>IFERROR(__xludf.DUMMYFUNCTION("INDEX(GOOGLEFINANCE(""NSE:""&amp;D178,""PRICE"",TODAY()-84),2,2)"),331.15)</f>
        <v>331.15</v>
      </c>
      <c r="L178" s="16">
        <f t="shared" si="1"/>
        <v>0.02632838679</v>
      </c>
      <c r="M178" s="16">
        <f t="shared" si="2"/>
        <v>0.001089494163</v>
      </c>
      <c r="N178" s="16">
        <f t="shared" si="3"/>
        <v>-0.08376068376</v>
      </c>
      <c r="O178" s="16">
        <f t="shared" si="4"/>
        <v>-0.07333237286</v>
      </c>
      <c r="P178" s="16">
        <f t="shared" si="5"/>
        <v>-0.02883889476</v>
      </c>
      <c r="Q178" s="30">
        <f t="shared" si="6"/>
        <v>-0.01177605946</v>
      </c>
      <c r="R178" s="30">
        <f t="shared" si="7"/>
        <v>-0.109308129</v>
      </c>
      <c r="S178" s="30">
        <f t="shared" si="8"/>
        <v>-0.1451381471</v>
      </c>
      <c r="T178" s="30">
        <f t="shared" si="9"/>
        <v>-0.161073327</v>
      </c>
      <c r="U178" s="31" t="str">
        <f t="shared" si="10"/>
        <v>#N/A</v>
      </c>
      <c r="V178" s="31" t="str">
        <f t="shared" si="11"/>
        <v>#N/A</v>
      </c>
      <c r="W178" s="31">
        <f t="shared" si="12"/>
        <v>194</v>
      </c>
      <c r="X178" s="31" t="str">
        <f t="shared" si="13"/>
        <v>#N/A</v>
      </c>
    </row>
    <row r="179">
      <c r="A179" s="1">
        <v>176.0</v>
      </c>
      <c r="B179" s="22" t="s">
        <v>720</v>
      </c>
      <c r="C179" s="22" t="s">
        <v>541</v>
      </c>
      <c r="D179" s="22" t="s">
        <v>721</v>
      </c>
      <c r="E179" s="23">
        <f>IFERROR(__xludf.DUMMYFUNCTION("GOOGLEFINANCE(""NSE:""&amp;D179,""marketcap"")/10000000"),18301.1537866)</f>
        <v>18301.15379</v>
      </c>
      <c r="F179" s="17">
        <f>IFERROR(__xludf.DUMMYFUNCTION("GOOGLEFINANCE(""NSE:""&amp;D179)"),454.4)</f>
        <v>454.4</v>
      </c>
      <c r="G179" s="17">
        <f>IFERROR(__xludf.DUMMYFUNCTION("GOOGLEFINANCE(""NSE:""&amp;D179,""closeyest"")"),430.9)</f>
        <v>430.9</v>
      </c>
      <c r="H179" s="17">
        <f>IFERROR(__xludf.DUMMYFUNCTION("INDEX(GOOGLEFINANCE(""NSE:""&amp;D179,""PRICE"",TODAY()-7),2,2)"),410.6)</f>
        <v>410.6</v>
      </c>
      <c r="I179" s="17">
        <f>IFERROR(__xludf.DUMMYFUNCTION("INDEX(GOOGLEFINANCE(""NSE:""&amp;D179,""PRICE"",TODAY()-14),2,2)"),436.0)</f>
        <v>436</v>
      </c>
      <c r="J179" s="17">
        <f>IFERROR(__xludf.DUMMYFUNCTION("INDEX(GOOGLEFINANCE(""NSE:""&amp;D179,""PRICE"",TODAY()-28),2,2)"),351.7)</f>
        <v>351.7</v>
      </c>
      <c r="K179" s="17">
        <f>IFERROR(__xludf.DUMMYFUNCTION("INDEX(GOOGLEFINANCE(""NSE:""&amp;D179,""PRICE"",TODAY()-84),2,2)"),284.85)</f>
        <v>284.85</v>
      </c>
      <c r="L179" s="16">
        <f t="shared" si="1"/>
        <v>0.05453701555</v>
      </c>
      <c r="M179" s="16">
        <f t="shared" si="2"/>
        <v>0.1066731612</v>
      </c>
      <c r="N179" s="16">
        <f t="shared" si="3"/>
        <v>0.04220183486</v>
      </c>
      <c r="O179" s="16">
        <f t="shared" si="4"/>
        <v>0.292010236</v>
      </c>
      <c r="P179" s="16">
        <f t="shared" si="5"/>
        <v>0.5952255573</v>
      </c>
      <c r="Q179" s="30">
        <f t="shared" si="6"/>
        <v>0.09380760761</v>
      </c>
      <c r="R179" s="30">
        <f t="shared" si="7"/>
        <v>0.01665438961</v>
      </c>
      <c r="S179" s="30">
        <f t="shared" si="8"/>
        <v>0.2202044617</v>
      </c>
      <c r="T179" s="30">
        <f t="shared" si="9"/>
        <v>0.4629911251</v>
      </c>
      <c r="U179" s="31" t="str">
        <f t="shared" si="10"/>
        <v>#N/A</v>
      </c>
      <c r="V179" s="31" t="str">
        <f t="shared" si="11"/>
        <v>#N/A</v>
      </c>
      <c r="W179" s="31">
        <f t="shared" si="12"/>
        <v>8</v>
      </c>
      <c r="X179" s="31" t="str">
        <f t="shared" si="13"/>
        <v>#N/A</v>
      </c>
    </row>
    <row r="180">
      <c r="A180" s="1">
        <v>177.0</v>
      </c>
      <c r="B180" s="22" t="s">
        <v>722</v>
      </c>
      <c r="C180" s="22" t="s">
        <v>528</v>
      </c>
      <c r="D180" s="22" t="s">
        <v>467</v>
      </c>
      <c r="E180" s="23">
        <f>IFERROR(__xludf.DUMMYFUNCTION("GOOGLEFINANCE(""NSE:""&amp;D180,""marketcap"")/10000000"),17200.4988893)</f>
        <v>17200.49889</v>
      </c>
      <c r="F180" s="17">
        <f>IFERROR(__xludf.DUMMYFUNCTION("GOOGLEFINANCE(""NSE:""&amp;D180)"),81.95)</f>
        <v>81.95</v>
      </c>
      <c r="G180" s="17">
        <f>IFERROR(__xludf.DUMMYFUNCTION("GOOGLEFINANCE(""NSE:""&amp;D180,""closeyest"")"),81.1)</f>
        <v>81.1</v>
      </c>
      <c r="H180" s="17">
        <f>IFERROR(__xludf.DUMMYFUNCTION("INDEX(GOOGLEFINANCE(""NSE:""&amp;D180,""PRICE"",TODAY()-7),2,2)"),83.3)</f>
        <v>83.3</v>
      </c>
      <c r="I180" s="17">
        <f>IFERROR(__xludf.DUMMYFUNCTION("INDEX(GOOGLEFINANCE(""NSE:""&amp;D180,""PRICE"",TODAY()-14),2,2)"),82.1)</f>
        <v>82.1</v>
      </c>
      <c r="J180" s="17">
        <f>IFERROR(__xludf.DUMMYFUNCTION("INDEX(GOOGLEFINANCE(""NSE:""&amp;D180,""PRICE"",TODAY()-28),2,2)"),77.95)</f>
        <v>77.95</v>
      </c>
      <c r="K180" s="17">
        <f>IFERROR(__xludf.DUMMYFUNCTION("INDEX(GOOGLEFINANCE(""NSE:""&amp;D180,""PRICE"",TODAY()-84),2,2)"),85.3)</f>
        <v>85.3</v>
      </c>
      <c r="L180" s="16">
        <f t="shared" si="1"/>
        <v>0.01048088779</v>
      </c>
      <c r="M180" s="16">
        <f t="shared" si="2"/>
        <v>-0.01620648259</v>
      </c>
      <c r="N180" s="16">
        <f t="shared" si="3"/>
        <v>-0.001827040195</v>
      </c>
      <c r="O180" s="16">
        <f t="shared" si="4"/>
        <v>0.05131494548</v>
      </c>
      <c r="P180" s="16">
        <f t="shared" si="5"/>
        <v>-0.03927315358</v>
      </c>
      <c r="Q180" s="30">
        <f t="shared" si="6"/>
        <v>-0.02907203621</v>
      </c>
      <c r="R180" s="30">
        <f t="shared" si="7"/>
        <v>-0.02737448545</v>
      </c>
      <c r="S180" s="30">
        <f t="shared" si="8"/>
        <v>-0.02049082877</v>
      </c>
      <c r="T180" s="30">
        <f t="shared" si="9"/>
        <v>-0.1715075858</v>
      </c>
      <c r="U180" s="31" t="str">
        <f t="shared" si="10"/>
        <v>#N/A</v>
      </c>
      <c r="V180" s="31" t="str">
        <f t="shared" si="11"/>
        <v>#N/A</v>
      </c>
      <c r="W180" s="31">
        <f t="shared" si="12"/>
        <v>115</v>
      </c>
      <c r="X180" s="31" t="str">
        <f t="shared" si="13"/>
        <v>#N/A</v>
      </c>
    </row>
    <row r="181">
      <c r="A181" s="1">
        <v>178.0</v>
      </c>
      <c r="B181" s="22" t="s">
        <v>723</v>
      </c>
      <c r="C181" s="22" t="s">
        <v>549</v>
      </c>
      <c r="D181" s="22" t="s">
        <v>462</v>
      </c>
      <c r="E181" s="23">
        <f>IFERROR(__xludf.DUMMYFUNCTION("GOOGLEFINANCE(""NSE:""&amp;D181,""marketcap"")/10000000"),16111.2175803)</f>
        <v>16111.21758</v>
      </c>
      <c r="F181" s="17">
        <f>IFERROR(__xludf.DUMMYFUNCTION("GOOGLEFINANCE(""NSE:""&amp;D181)"),883.95)</f>
        <v>883.95</v>
      </c>
      <c r="G181" s="17">
        <f>IFERROR(__xludf.DUMMYFUNCTION("GOOGLEFINANCE(""NSE:""&amp;D181,""closeyest"")"),893.95)</f>
        <v>893.95</v>
      </c>
      <c r="H181" s="17">
        <f>IFERROR(__xludf.DUMMYFUNCTION("INDEX(GOOGLEFINANCE(""NSE:""&amp;D181,""PRICE"",TODAY()-7),2,2)"),937.4)</f>
        <v>937.4</v>
      </c>
      <c r="I181" s="17">
        <f>IFERROR(__xludf.DUMMYFUNCTION("INDEX(GOOGLEFINANCE(""NSE:""&amp;D181,""PRICE"",TODAY()-14),2,2)"),970.6)</f>
        <v>970.6</v>
      </c>
      <c r="J181" s="17">
        <f>IFERROR(__xludf.DUMMYFUNCTION("INDEX(GOOGLEFINANCE(""NSE:""&amp;D181,""PRICE"",TODAY()-28),2,2)"),938.1)</f>
        <v>938.1</v>
      </c>
      <c r="K181" s="17">
        <f>IFERROR(__xludf.DUMMYFUNCTION("INDEX(GOOGLEFINANCE(""NSE:""&amp;D181,""PRICE"",TODAY()-84),2,2)"),1150.0)</f>
        <v>1150</v>
      </c>
      <c r="L181" s="16">
        <f t="shared" si="1"/>
        <v>-0.01118630796</v>
      </c>
      <c r="M181" s="16">
        <f t="shared" si="2"/>
        <v>-0.0570194154</v>
      </c>
      <c r="N181" s="16">
        <f t="shared" si="3"/>
        <v>-0.08927467546</v>
      </c>
      <c r="O181" s="16">
        <f t="shared" si="4"/>
        <v>-0.05772305724</v>
      </c>
      <c r="P181" s="16">
        <f t="shared" si="5"/>
        <v>-0.2313478261</v>
      </c>
      <c r="Q181" s="30">
        <f t="shared" si="6"/>
        <v>-0.06988496903</v>
      </c>
      <c r="R181" s="30">
        <f t="shared" si="7"/>
        <v>-0.1148221207</v>
      </c>
      <c r="S181" s="30">
        <f t="shared" si="8"/>
        <v>-0.1295288315</v>
      </c>
      <c r="T181" s="30">
        <f t="shared" si="9"/>
        <v>-0.3635822583</v>
      </c>
      <c r="U181" s="31" t="str">
        <f t="shared" si="10"/>
        <v>#N/A</v>
      </c>
      <c r="V181" s="31" t="str">
        <f t="shared" si="11"/>
        <v>#N/A</v>
      </c>
      <c r="W181" s="31">
        <f t="shared" si="12"/>
        <v>190</v>
      </c>
      <c r="X181" s="31" t="str">
        <f t="shared" si="13"/>
        <v>#N/A</v>
      </c>
    </row>
    <row r="182">
      <c r="A182" s="1">
        <v>179.0</v>
      </c>
      <c r="B182" s="22" t="s">
        <v>724</v>
      </c>
      <c r="C182" s="22" t="s">
        <v>549</v>
      </c>
      <c r="D182" s="22" t="s">
        <v>502</v>
      </c>
      <c r="E182" s="23">
        <f>IFERROR(__xludf.DUMMYFUNCTION("GOOGLEFINANCE(""NSE:""&amp;D182,""marketcap"")/10000000"),16082.928204)</f>
        <v>16082.9282</v>
      </c>
      <c r="F182" s="17">
        <f>IFERROR(__xludf.DUMMYFUNCTION("GOOGLEFINANCE(""NSE:""&amp;D182)"),818.45)</f>
        <v>818.45</v>
      </c>
      <c r="G182" s="17">
        <f>IFERROR(__xludf.DUMMYFUNCTION("GOOGLEFINANCE(""NSE:""&amp;D182,""closeyest"")"),813.35)</f>
        <v>813.35</v>
      </c>
      <c r="H182" s="17">
        <f>IFERROR(__xludf.DUMMYFUNCTION("INDEX(GOOGLEFINANCE(""NSE:""&amp;D182,""PRICE"",TODAY()-7),2,2)"),778.25)</f>
        <v>778.25</v>
      </c>
      <c r="I182" s="17">
        <f>IFERROR(__xludf.DUMMYFUNCTION("INDEX(GOOGLEFINANCE(""NSE:""&amp;D182,""PRICE"",TODAY()-14),2,2)"),773.4)</f>
        <v>773.4</v>
      </c>
      <c r="J182" s="17">
        <f>IFERROR(__xludf.DUMMYFUNCTION("INDEX(GOOGLEFINANCE(""NSE:""&amp;D182,""PRICE"",TODAY()-28),2,2)"),746.15)</f>
        <v>746.15</v>
      </c>
      <c r="K182" s="17">
        <f>IFERROR(__xludf.DUMMYFUNCTION("INDEX(GOOGLEFINANCE(""NSE:""&amp;D182,""PRICE"",TODAY()-84),2,2)"),985.0)</f>
        <v>985</v>
      </c>
      <c r="L182" s="16">
        <f t="shared" si="1"/>
        <v>0.006270363312</v>
      </c>
      <c r="M182" s="16">
        <f t="shared" si="2"/>
        <v>0.05165435271</v>
      </c>
      <c r="N182" s="16">
        <f t="shared" si="3"/>
        <v>0.05824928885</v>
      </c>
      <c r="O182" s="16">
        <f t="shared" si="4"/>
        <v>0.09689740669</v>
      </c>
      <c r="P182" s="16">
        <f t="shared" si="5"/>
        <v>-0.1690862944</v>
      </c>
      <c r="Q182" s="30">
        <f t="shared" si="6"/>
        <v>0.03878879909</v>
      </c>
      <c r="R182" s="30">
        <f t="shared" si="7"/>
        <v>0.0327018436</v>
      </c>
      <c r="S182" s="30">
        <f t="shared" si="8"/>
        <v>0.02509163244</v>
      </c>
      <c r="T182" s="30">
        <f t="shared" si="9"/>
        <v>-0.3013207267</v>
      </c>
      <c r="U182" s="31" t="str">
        <f t="shared" si="10"/>
        <v>#N/A</v>
      </c>
      <c r="V182" s="31" t="str">
        <f t="shared" si="11"/>
        <v>#N/A</v>
      </c>
      <c r="W182" s="31">
        <f t="shared" si="12"/>
        <v>65</v>
      </c>
      <c r="X182" s="31" t="str">
        <f t="shared" si="13"/>
        <v>#N/A</v>
      </c>
    </row>
    <row r="183">
      <c r="A183" s="1">
        <v>180.0</v>
      </c>
      <c r="B183" s="22" t="s">
        <v>725</v>
      </c>
      <c r="C183" s="22" t="s">
        <v>545</v>
      </c>
      <c r="D183" s="22" t="s">
        <v>726</v>
      </c>
      <c r="E183" s="23">
        <f>IFERROR(__xludf.DUMMYFUNCTION("GOOGLEFINANCE(""NSE:""&amp;D183,""marketcap"")/10000000"),15444.4997406)</f>
        <v>15444.49974</v>
      </c>
      <c r="F183" s="17">
        <f>IFERROR(__xludf.DUMMYFUNCTION("GOOGLEFINANCE(""NSE:""&amp;D183)"),181.7)</f>
        <v>181.7</v>
      </c>
      <c r="G183" s="17">
        <f>IFERROR(__xludf.DUMMYFUNCTION("GOOGLEFINANCE(""NSE:""&amp;D183,""closeyest"")"),182.5)</f>
        <v>182.5</v>
      </c>
      <c r="H183" s="17">
        <f>IFERROR(__xludf.DUMMYFUNCTION("INDEX(GOOGLEFINANCE(""NSE:""&amp;D183,""PRICE"",TODAY()-7),2,2)"),184.45)</f>
        <v>184.45</v>
      </c>
      <c r="I183" s="17">
        <f>IFERROR(__xludf.DUMMYFUNCTION("INDEX(GOOGLEFINANCE(""NSE:""&amp;D183,""PRICE"",TODAY()-14),2,2)"),184.05)</f>
        <v>184.05</v>
      </c>
      <c r="J183" s="17">
        <f>IFERROR(__xludf.DUMMYFUNCTION("INDEX(GOOGLEFINANCE(""NSE:""&amp;D183,""PRICE"",TODAY()-28),2,2)"),157.6)</f>
        <v>157.6</v>
      </c>
      <c r="K183" s="17">
        <f>IFERROR(__xludf.DUMMYFUNCTION("INDEX(GOOGLEFINANCE(""NSE:""&amp;D183,""PRICE"",TODAY()-84),2,2)"),182.45)</f>
        <v>182.45</v>
      </c>
      <c r="L183" s="16">
        <f t="shared" si="1"/>
        <v>-0.004383561644</v>
      </c>
      <c r="M183" s="16">
        <f t="shared" si="2"/>
        <v>-0.01490918948</v>
      </c>
      <c r="N183" s="16">
        <f t="shared" si="3"/>
        <v>-0.01276826949</v>
      </c>
      <c r="O183" s="16">
        <f t="shared" si="4"/>
        <v>0.1529187817</v>
      </c>
      <c r="P183" s="16">
        <f t="shared" si="5"/>
        <v>-0.004110715264</v>
      </c>
      <c r="Q183" s="30">
        <f t="shared" si="6"/>
        <v>-0.0277747431</v>
      </c>
      <c r="R183" s="30">
        <f t="shared" si="7"/>
        <v>-0.03831571475</v>
      </c>
      <c r="S183" s="30">
        <f t="shared" si="8"/>
        <v>0.08111300748</v>
      </c>
      <c r="T183" s="30">
        <f t="shared" si="9"/>
        <v>-0.1363451475</v>
      </c>
      <c r="U183" s="31" t="str">
        <f t="shared" si="10"/>
        <v>#N/A</v>
      </c>
      <c r="V183" s="31" t="str">
        <f t="shared" si="11"/>
        <v>#N/A</v>
      </c>
      <c r="W183" s="31">
        <f t="shared" si="12"/>
        <v>38</v>
      </c>
      <c r="X183" s="31" t="str">
        <f t="shared" si="13"/>
        <v>#N/A</v>
      </c>
    </row>
    <row r="184">
      <c r="A184" s="1">
        <v>181.0</v>
      </c>
      <c r="B184" s="22" t="s">
        <v>727</v>
      </c>
      <c r="C184" s="22" t="s">
        <v>545</v>
      </c>
      <c r="D184" s="22" t="s">
        <v>728</v>
      </c>
      <c r="E184" s="23">
        <f>IFERROR(__xludf.DUMMYFUNCTION("GOOGLEFINANCE(""NSE:""&amp;D184,""marketcap"")/10000000"),15042.6136338)</f>
        <v>15042.61363</v>
      </c>
      <c r="F184" s="17">
        <f>IFERROR(__xludf.DUMMYFUNCTION("GOOGLEFINANCE(""NSE:""&amp;D184)"),236.6)</f>
        <v>236.6</v>
      </c>
      <c r="G184" s="17">
        <f>IFERROR(__xludf.DUMMYFUNCTION("GOOGLEFINANCE(""NSE:""&amp;D184,""closeyest"")"),232.55)</f>
        <v>232.55</v>
      </c>
      <c r="H184" s="17">
        <f>IFERROR(__xludf.DUMMYFUNCTION("INDEX(GOOGLEFINANCE(""NSE:""&amp;D184,""PRICE"",TODAY()-7),2,2)"),223.6)</f>
        <v>223.6</v>
      </c>
      <c r="I184" s="17">
        <f>IFERROR(__xludf.DUMMYFUNCTION("INDEX(GOOGLEFINANCE(""NSE:""&amp;D184,""PRICE"",TODAY()-14),2,2)"),214.9)</f>
        <v>214.9</v>
      </c>
      <c r="J184" s="17">
        <f>IFERROR(__xludf.DUMMYFUNCTION("INDEX(GOOGLEFINANCE(""NSE:""&amp;D184,""PRICE"",TODAY()-28),2,2)"),208.95)</f>
        <v>208.95</v>
      </c>
      <c r="K184" s="17">
        <f>IFERROR(__xludf.DUMMYFUNCTION("INDEX(GOOGLEFINANCE(""NSE:""&amp;D184,""PRICE"",TODAY()-84),2,2)"),227.45)</f>
        <v>227.45</v>
      </c>
      <c r="L184" s="16">
        <f t="shared" si="1"/>
        <v>0.01741560955</v>
      </c>
      <c r="M184" s="16">
        <f t="shared" si="2"/>
        <v>0.05813953488</v>
      </c>
      <c r="N184" s="16">
        <f t="shared" si="3"/>
        <v>0.1009771987</v>
      </c>
      <c r="O184" s="16">
        <f t="shared" si="4"/>
        <v>0.1323283082</v>
      </c>
      <c r="P184" s="16">
        <f t="shared" si="5"/>
        <v>0.04022862168</v>
      </c>
      <c r="Q184" s="30">
        <f t="shared" si="6"/>
        <v>0.04527398126</v>
      </c>
      <c r="R184" s="30">
        <f t="shared" si="7"/>
        <v>0.07542975344</v>
      </c>
      <c r="S184" s="30">
        <f t="shared" si="8"/>
        <v>0.06052253396</v>
      </c>
      <c r="T184" s="30">
        <f t="shared" si="9"/>
        <v>-0.09200581056</v>
      </c>
      <c r="U184" s="31" t="str">
        <f t="shared" si="10"/>
        <v>#N/A</v>
      </c>
      <c r="V184" s="31" t="str">
        <f t="shared" si="11"/>
        <v>#N/A</v>
      </c>
      <c r="W184" s="31">
        <f t="shared" si="12"/>
        <v>49</v>
      </c>
      <c r="X184" s="31" t="str">
        <f t="shared" si="13"/>
        <v>#N/A</v>
      </c>
    </row>
    <row r="185">
      <c r="A185" s="1">
        <v>182.0</v>
      </c>
      <c r="B185" s="22" t="s">
        <v>729</v>
      </c>
      <c r="C185" s="22" t="s">
        <v>528</v>
      </c>
      <c r="D185" s="22" t="s">
        <v>730</v>
      </c>
      <c r="E185" s="23">
        <f>IFERROR(__xludf.DUMMYFUNCTION("GOOGLEFINANCE(""NSE:""&amp;D185,""marketcap"")/10000000"),14723.0390272)</f>
        <v>14723.03903</v>
      </c>
      <c r="F185" s="17">
        <f>IFERROR(__xludf.DUMMYFUNCTION("GOOGLEFINANCE(""NSE:""&amp;D185)"),173.9)</f>
        <v>173.9</v>
      </c>
      <c r="G185" s="17">
        <f>IFERROR(__xludf.DUMMYFUNCTION("GOOGLEFINANCE(""NSE:""&amp;D185,""closeyest"")"),171.35)</f>
        <v>171.35</v>
      </c>
      <c r="H185" s="17">
        <f>IFERROR(__xludf.DUMMYFUNCTION("INDEX(GOOGLEFINANCE(""NSE:""&amp;D185,""PRICE"",TODAY()-7),2,2)"),163.75)</f>
        <v>163.75</v>
      </c>
      <c r="I185" s="17">
        <f>IFERROR(__xludf.DUMMYFUNCTION("INDEX(GOOGLEFINANCE(""NSE:""&amp;D185,""PRICE"",TODAY()-14),2,2)"),165.3)</f>
        <v>165.3</v>
      </c>
      <c r="J185" s="17">
        <f>IFERROR(__xludf.DUMMYFUNCTION("INDEX(GOOGLEFINANCE(""NSE:""&amp;D185,""PRICE"",TODAY()-28),2,2)"),160.35)</f>
        <v>160.35</v>
      </c>
      <c r="K185" s="17">
        <f>IFERROR(__xludf.DUMMYFUNCTION("INDEX(GOOGLEFINANCE(""NSE:""&amp;D185,""PRICE"",TODAY()-84),2,2)"),173.1)</f>
        <v>173.1</v>
      </c>
      <c r="L185" s="16">
        <f t="shared" si="1"/>
        <v>0.01488182083</v>
      </c>
      <c r="M185" s="16">
        <f t="shared" si="2"/>
        <v>0.06198473282</v>
      </c>
      <c r="N185" s="16">
        <f t="shared" si="3"/>
        <v>0.05202661827</v>
      </c>
      <c r="O185" s="16">
        <f t="shared" si="4"/>
        <v>0.08450265045</v>
      </c>
      <c r="P185" s="16">
        <f t="shared" si="5"/>
        <v>0.004621606008</v>
      </c>
      <c r="Q185" s="30">
        <f t="shared" si="6"/>
        <v>0.0491191792</v>
      </c>
      <c r="R185" s="30">
        <f t="shared" si="7"/>
        <v>0.02647917301</v>
      </c>
      <c r="S185" s="30">
        <f t="shared" si="8"/>
        <v>0.0126968762</v>
      </c>
      <c r="T185" s="30">
        <f t="shared" si="9"/>
        <v>-0.1276128262</v>
      </c>
      <c r="U185" s="31" t="str">
        <f t="shared" si="10"/>
        <v>#N/A</v>
      </c>
      <c r="V185" s="31" t="str">
        <f t="shared" si="11"/>
        <v>#N/A</v>
      </c>
      <c r="W185" s="31">
        <f t="shared" si="12"/>
        <v>76</v>
      </c>
      <c r="X185" s="31" t="str">
        <f t="shared" si="13"/>
        <v>#N/A</v>
      </c>
    </row>
    <row r="186">
      <c r="A186" s="1">
        <v>183.0</v>
      </c>
      <c r="B186" s="22" t="s">
        <v>731</v>
      </c>
      <c r="C186" s="22" t="s">
        <v>549</v>
      </c>
      <c r="D186" s="22" t="s">
        <v>500</v>
      </c>
      <c r="E186" s="23">
        <f>IFERROR(__xludf.DUMMYFUNCTION("GOOGLEFINANCE(""NSE:""&amp;D186,""marketcap"")/10000000"),14451.25135)</f>
        <v>14451.25135</v>
      </c>
      <c r="F186" s="17">
        <f>IFERROR(__xludf.DUMMYFUNCTION("GOOGLEFINANCE(""NSE:""&amp;D186)"),512.0)</f>
        <v>512</v>
      </c>
      <c r="G186" s="17">
        <f>IFERROR(__xludf.DUMMYFUNCTION("GOOGLEFINANCE(""NSE:""&amp;D186,""closeyest"")"),511.95)</f>
        <v>511.95</v>
      </c>
      <c r="H186" s="17">
        <f>IFERROR(__xludf.DUMMYFUNCTION("INDEX(GOOGLEFINANCE(""NSE:""&amp;D186,""PRICE"",TODAY()-7),2,2)"),518.85)</f>
        <v>518.85</v>
      </c>
      <c r="I186" s="17">
        <f>IFERROR(__xludf.DUMMYFUNCTION("INDEX(GOOGLEFINANCE(""NSE:""&amp;D186,""PRICE"",TODAY()-14),2,2)"),518.7)</f>
        <v>518.7</v>
      </c>
      <c r="J186" s="17">
        <f>IFERROR(__xludf.DUMMYFUNCTION("INDEX(GOOGLEFINANCE(""NSE:""&amp;D186,""PRICE"",TODAY()-28),2,2)"),516.6)</f>
        <v>516.6</v>
      </c>
      <c r="K186" s="17">
        <f>IFERROR(__xludf.DUMMYFUNCTION("INDEX(GOOGLEFINANCE(""NSE:""&amp;D186,""PRICE"",TODAY()-84),2,2)"),662.7)</f>
        <v>662.7</v>
      </c>
      <c r="L186" s="16">
        <f t="shared" si="1"/>
        <v>0.00009766578767</v>
      </c>
      <c r="M186" s="16">
        <f t="shared" si="2"/>
        <v>-0.01320227426</v>
      </c>
      <c r="N186" s="16">
        <f t="shared" si="3"/>
        <v>-0.01291690765</v>
      </c>
      <c r="O186" s="16">
        <f t="shared" si="4"/>
        <v>-0.008904374758</v>
      </c>
      <c r="P186" s="16">
        <f t="shared" si="5"/>
        <v>-0.2274030481</v>
      </c>
      <c r="Q186" s="30">
        <f t="shared" si="6"/>
        <v>-0.02606782788</v>
      </c>
      <c r="R186" s="30">
        <f t="shared" si="7"/>
        <v>-0.03846435291</v>
      </c>
      <c r="S186" s="30">
        <f t="shared" si="8"/>
        <v>-0.08071014901</v>
      </c>
      <c r="T186" s="30">
        <f t="shared" si="9"/>
        <v>-0.3596374804</v>
      </c>
      <c r="U186" s="31" t="str">
        <f t="shared" si="10"/>
        <v>#N/A</v>
      </c>
      <c r="V186" s="31" t="str">
        <f t="shared" si="11"/>
        <v>#N/A</v>
      </c>
      <c r="W186" s="31">
        <f t="shared" si="12"/>
        <v>176</v>
      </c>
      <c r="X186" s="31" t="str">
        <f t="shared" si="13"/>
        <v>#N/A</v>
      </c>
    </row>
    <row r="187">
      <c r="A187" s="1">
        <v>184.0</v>
      </c>
      <c r="B187" s="22" t="s">
        <v>732</v>
      </c>
      <c r="C187" s="22" t="s">
        <v>522</v>
      </c>
      <c r="D187" s="22" t="s">
        <v>733</v>
      </c>
      <c r="E187" s="23">
        <f>IFERROR(__xludf.DUMMYFUNCTION("GOOGLEFINANCE(""NSE:""&amp;D187,""marketcap"")/10000000"),13956.38773)</f>
        <v>13956.38773</v>
      </c>
      <c r="F187" s="17">
        <f>IFERROR(__xludf.DUMMYFUNCTION("GOOGLEFINANCE(""NSE:""&amp;D187)"),141.0)</f>
        <v>141</v>
      </c>
      <c r="G187" s="17">
        <f>IFERROR(__xludf.DUMMYFUNCTION("GOOGLEFINANCE(""NSE:""&amp;D187,""closeyest"")"),139.2)</f>
        <v>139.2</v>
      </c>
      <c r="H187" s="17">
        <f>IFERROR(__xludf.DUMMYFUNCTION("INDEX(GOOGLEFINANCE(""NSE:""&amp;D187,""PRICE"",TODAY()-7),2,2)"),136.45)</f>
        <v>136.45</v>
      </c>
      <c r="I187" s="17">
        <f>IFERROR(__xludf.DUMMYFUNCTION("INDEX(GOOGLEFINANCE(""NSE:""&amp;D187,""PRICE"",TODAY()-14),2,2)"),138.9)</f>
        <v>138.9</v>
      </c>
      <c r="J187" s="17">
        <f>IFERROR(__xludf.DUMMYFUNCTION("INDEX(GOOGLEFINANCE(""NSE:""&amp;D187,""PRICE"",TODAY()-28),2,2)"),133.65)</f>
        <v>133.65</v>
      </c>
      <c r="K187" s="17">
        <f>IFERROR(__xludf.DUMMYFUNCTION("INDEX(GOOGLEFINANCE(""NSE:""&amp;D187,""PRICE"",TODAY()-84),2,2)"),142.9)</f>
        <v>142.9</v>
      </c>
      <c r="L187" s="16">
        <f t="shared" si="1"/>
        <v>0.01293103448</v>
      </c>
      <c r="M187" s="16">
        <f t="shared" si="2"/>
        <v>0.03334554782</v>
      </c>
      <c r="N187" s="16">
        <f t="shared" si="3"/>
        <v>0.0151187905</v>
      </c>
      <c r="O187" s="16">
        <f t="shared" si="4"/>
        <v>0.05499438833</v>
      </c>
      <c r="P187" s="16">
        <f t="shared" si="5"/>
        <v>-0.0132960112</v>
      </c>
      <c r="Q187" s="30">
        <f t="shared" si="6"/>
        <v>0.0204799942</v>
      </c>
      <c r="R187" s="30">
        <f t="shared" si="7"/>
        <v>-0.01042865476</v>
      </c>
      <c r="S187" s="30">
        <f t="shared" si="8"/>
        <v>-0.01681138592</v>
      </c>
      <c r="T187" s="30">
        <f t="shared" si="9"/>
        <v>-0.1455304434</v>
      </c>
      <c r="U187" s="31" t="str">
        <f t="shared" si="10"/>
        <v>#N/A</v>
      </c>
      <c r="V187" s="31" t="str">
        <f t="shared" si="11"/>
        <v>#N/A</v>
      </c>
      <c r="W187" s="31">
        <f t="shared" si="12"/>
        <v>110</v>
      </c>
      <c r="X187" s="31" t="str">
        <f t="shared" si="13"/>
        <v>#N/A</v>
      </c>
    </row>
    <row r="188">
      <c r="A188" s="1">
        <v>185.0</v>
      </c>
      <c r="B188" s="22" t="s">
        <v>734</v>
      </c>
      <c r="C188" s="22" t="s">
        <v>545</v>
      </c>
      <c r="D188" s="22" t="s">
        <v>735</v>
      </c>
      <c r="E188" s="23">
        <f>IFERROR(__xludf.DUMMYFUNCTION("GOOGLEFINANCE(""NSE:""&amp;D188,""marketcap"")/10000000"),12547.8784869)</f>
        <v>12547.87849</v>
      </c>
      <c r="F188" s="17">
        <f>IFERROR(__xludf.DUMMYFUNCTION("GOOGLEFINANCE(""NSE:""&amp;D188)"),734.6)</f>
        <v>734.6</v>
      </c>
      <c r="G188" s="17">
        <f>IFERROR(__xludf.DUMMYFUNCTION("GOOGLEFINANCE(""NSE:""&amp;D188,""closeyest"")"),735.75)</f>
        <v>735.75</v>
      </c>
      <c r="H188" s="17">
        <f>IFERROR(__xludf.DUMMYFUNCTION("INDEX(GOOGLEFINANCE(""NSE:""&amp;D188,""PRICE"",TODAY()-7),2,2)"),728.45)</f>
        <v>728.45</v>
      </c>
      <c r="I188" s="17">
        <f>IFERROR(__xludf.DUMMYFUNCTION("INDEX(GOOGLEFINANCE(""NSE:""&amp;D188,""PRICE"",TODAY()-14),2,2)"),718.05)</f>
        <v>718.05</v>
      </c>
      <c r="J188" s="17">
        <f>IFERROR(__xludf.DUMMYFUNCTION("INDEX(GOOGLEFINANCE(""NSE:""&amp;D188,""PRICE"",TODAY()-28),2,2)"),682.85)</f>
        <v>682.85</v>
      </c>
      <c r="K188" s="17">
        <f>IFERROR(__xludf.DUMMYFUNCTION("INDEX(GOOGLEFINANCE(""NSE:""&amp;D188,""PRICE"",TODAY()-84),2,2)"),746.55)</f>
        <v>746.55</v>
      </c>
      <c r="L188" s="16">
        <f t="shared" si="1"/>
        <v>-0.001563030921</v>
      </c>
      <c r="M188" s="16">
        <f t="shared" si="2"/>
        <v>0.008442583568</v>
      </c>
      <c r="N188" s="16">
        <f t="shared" si="3"/>
        <v>0.02304853422</v>
      </c>
      <c r="O188" s="16">
        <f t="shared" si="4"/>
        <v>0.07578531156</v>
      </c>
      <c r="P188" s="16">
        <f t="shared" si="5"/>
        <v>-0.01600696537</v>
      </c>
      <c r="Q188" s="30">
        <f t="shared" si="6"/>
        <v>-0.004422970054</v>
      </c>
      <c r="R188" s="30">
        <f t="shared" si="7"/>
        <v>-0.002498911031</v>
      </c>
      <c r="S188" s="30">
        <f t="shared" si="8"/>
        <v>0.003979537313</v>
      </c>
      <c r="T188" s="30">
        <f t="shared" si="9"/>
        <v>-0.1482413976</v>
      </c>
      <c r="U188" s="31" t="str">
        <f t="shared" si="10"/>
        <v>#N/A</v>
      </c>
      <c r="V188" s="31" t="str">
        <f t="shared" si="11"/>
        <v>#N/A</v>
      </c>
      <c r="W188" s="31">
        <f t="shared" si="12"/>
        <v>87</v>
      </c>
      <c r="X188" s="31" t="str">
        <f t="shared" si="13"/>
        <v>#N/A</v>
      </c>
    </row>
    <row r="189">
      <c r="A189" s="1">
        <v>186.0</v>
      </c>
      <c r="B189" s="22" t="s">
        <v>736</v>
      </c>
      <c r="C189" s="22" t="s">
        <v>526</v>
      </c>
      <c r="D189" s="22" t="s">
        <v>737</v>
      </c>
      <c r="E189" s="23">
        <f>IFERROR(__xludf.DUMMYFUNCTION("GOOGLEFINANCE(""NSE:""&amp;D189,""marketcap"")/10000000"),12439.3291263)</f>
        <v>12439.32913</v>
      </c>
      <c r="F189" s="17">
        <f>IFERROR(__xludf.DUMMYFUNCTION("GOOGLEFINANCE(""NSE:""&amp;D189)"),647.0)</f>
        <v>647</v>
      </c>
      <c r="G189" s="17">
        <f>IFERROR(__xludf.DUMMYFUNCTION("GOOGLEFINANCE(""NSE:""&amp;D189,""closeyest"")"),650.65)</f>
        <v>650.65</v>
      </c>
      <c r="H189" s="17">
        <f>IFERROR(__xludf.DUMMYFUNCTION("INDEX(GOOGLEFINANCE(""NSE:""&amp;D189,""PRICE"",TODAY()-7),2,2)"),670.55)</f>
        <v>670.55</v>
      </c>
      <c r="I189" s="17">
        <f>IFERROR(__xludf.DUMMYFUNCTION("INDEX(GOOGLEFINANCE(""NSE:""&amp;D189,""PRICE"",TODAY()-14),2,2)"),654.3)</f>
        <v>654.3</v>
      </c>
      <c r="J189" s="17">
        <f>IFERROR(__xludf.DUMMYFUNCTION("INDEX(GOOGLEFINANCE(""NSE:""&amp;D189,""PRICE"",TODAY()-28),2,2)"),621.7)</f>
        <v>621.7</v>
      </c>
      <c r="K189" s="17">
        <f>IFERROR(__xludf.DUMMYFUNCTION("INDEX(GOOGLEFINANCE(""NSE:""&amp;D189,""PRICE"",TODAY()-84),2,2)"),636.75)</f>
        <v>636.75</v>
      </c>
      <c r="L189" s="16">
        <f t="shared" si="1"/>
        <v>-0.005609774841</v>
      </c>
      <c r="M189" s="16">
        <f t="shared" si="2"/>
        <v>-0.03512042353</v>
      </c>
      <c r="N189" s="16">
        <f t="shared" si="3"/>
        <v>-0.01115696164</v>
      </c>
      <c r="O189" s="16">
        <f t="shared" si="4"/>
        <v>0.04069486891</v>
      </c>
      <c r="P189" s="16">
        <f t="shared" si="5"/>
        <v>0.01609736945</v>
      </c>
      <c r="Q189" s="30">
        <f t="shared" si="6"/>
        <v>-0.04798597715</v>
      </c>
      <c r="R189" s="30">
        <f t="shared" si="7"/>
        <v>-0.03670440689</v>
      </c>
      <c r="S189" s="30">
        <f t="shared" si="8"/>
        <v>-0.03111090534</v>
      </c>
      <c r="T189" s="30">
        <f t="shared" si="9"/>
        <v>-0.1161370628</v>
      </c>
      <c r="U189" s="31" t="str">
        <f t="shared" si="10"/>
        <v>#N/A</v>
      </c>
      <c r="V189" s="31" t="str">
        <f t="shared" si="11"/>
        <v>#N/A</v>
      </c>
      <c r="W189" s="31">
        <f t="shared" si="12"/>
        <v>130</v>
      </c>
      <c r="X189" s="31" t="str">
        <f t="shared" si="13"/>
        <v>#N/A</v>
      </c>
    </row>
    <row r="190">
      <c r="A190" s="1">
        <v>187.0</v>
      </c>
      <c r="B190" s="22" t="s">
        <v>738</v>
      </c>
      <c r="C190" s="22" t="s">
        <v>528</v>
      </c>
      <c r="D190" s="22" t="s">
        <v>739</v>
      </c>
      <c r="E190" s="23">
        <f>IFERROR(__xludf.DUMMYFUNCTION("GOOGLEFINANCE(""NSE:""&amp;D190,""marketcap"")/10000000"),11716.9731992)</f>
        <v>11716.9732</v>
      </c>
      <c r="F190" s="17">
        <f>IFERROR(__xludf.DUMMYFUNCTION("GOOGLEFINANCE(""NSE:""&amp;D190)"),180.5)</f>
        <v>180.5</v>
      </c>
      <c r="G190" s="17">
        <f>IFERROR(__xludf.DUMMYFUNCTION("GOOGLEFINANCE(""NSE:""&amp;D190,""closeyest"")"),181.4)</f>
        <v>181.4</v>
      </c>
      <c r="H190" s="17">
        <f>IFERROR(__xludf.DUMMYFUNCTION("INDEX(GOOGLEFINANCE(""NSE:""&amp;D190,""PRICE"",TODAY()-7),2,2)"),189.45)</f>
        <v>189.45</v>
      </c>
      <c r="I190" s="17">
        <f>IFERROR(__xludf.DUMMYFUNCTION("INDEX(GOOGLEFINANCE(""NSE:""&amp;D190,""PRICE"",TODAY()-14),2,2)"),198.05)</f>
        <v>198.05</v>
      </c>
      <c r="J190" s="17">
        <f>IFERROR(__xludf.DUMMYFUNCTION("INDEX(GOOGLEFINANCE(""NSE:""&amp;D190,""PRICE"",TODAY()-28),2,2)"),186.15)</f>
        <v>186.15</v>
      </c>
      <c r="K190" s="17">
        <f>IFERROR(__xludf.DUMMYFUNCTION("INDEX(GOOGLEFINANCE(""NSE:""&amp;D190,""PRICE"",TODAY()-84),2,2)"),175.05)</f>
        <v>175.05</v>
      </c>
      <c r="L190" s="16">
        <f t="shared" si="1"/>
        <v>-0.004961411246</v>
      </c>
      <c r="M190" s="16">
        <f t="shared" si="2"/>
        <v>-0.04724201636</v>
      </c>
      <c r="N190" s="16">
        <f t="shared" si="3"/>
        <v>-0.08861398637</v>
      </c>
      <c r="O190" s="16">
        <f t="shared" si="4"/>
        <v>-0.03035186677</v>
      </c>
      <c r="P190" s="16">
        <f t="shared" si="5"/>
        <v>0.03113396173</v>
      </c>
      <c r="Q190" s="30">
        <f t="shared" si="6"/>
        <v>-0.06010756998</v>
      </c>
      <c r="R190" s="30">
        <f t="shared" si="7"/>
        <v>-0.1141614316</v>
      </c>
      <c r="S190" s="30">
        <f t="shared" si="8"/>
        <v>-0.102157641</v>
      </c>
      <c r="T190" s="30">
        <f t="shared" si="9"/>
        <v>-0.1011004705</v>
      </c>
      <c r="U190" s="31" t="str">
        <f t="shared" si="10"/>
        <v>#N/A</v>
      </c>
      <c r="V190" s="31" t="str">
        <f t="shared" si="11"/>
        <v>#N/A</v>
      </c>
      <c r="W190" s="31">
        <f t="shared" si="12"/>
        <v>185</v>
      </c>
      <c r="X190" s="31" t="str">
        <f t="shared" si="13"/>
        <v>#N/A</v>
      </c>
    </row>
    <row r="191">
      <c r="A191" s="1">
        <v>188.0</v>
      </c>
      <c r="B191" s="22" t="s">
        <v>579</v>
      </c>
      <c r="C191" s="22" t="s">
        <v>528</v>
      </c>
      <c r="D191" s="22" t="s">
        <v>26</v>
      </c>
      <c r="E191" s="23">
        <f>IFERROR(__xludf.DUMMYFUNCTION("GOOGLEFINANCE(""NSE:""&amp;D191,""marketcap"")/10000000"),11908.7788472)</f>
        <v>11908.77885</v>
      </c>
      <c r="F191" s="17">
        <f>IFERROR(__xludf.DUMMYFUNCTION("GOOGLEFINANCE(""NSE:""&amp;D191)"),1571.6)</f>
        <v>1571.6</v>
      </c>
      <c r="G191" s="17">
        <f>IFERROR(__xludf.DUMMYFUNCTION("GOOGLEFINANCE(""NSE:""&amp;D191,""closeyest"")"),1533.7)</f>
        <v>1533.7</v>
      </c>
      <c r="H191" s="17">
        <f>IFERROR(__xludf.DUMMYFUNCTION("INDEX(GOOGLEFINANCE(""NSE:""&amp;D191,""PRICE"",TODAY()-7),2,2)"),1582.15)</f>
        <v>1582.15</v>
      </c>
      <c r="I191" s="17">
        <f>IFERROR(__xludf.DUMMYFUNCTION("INDEX(GOOGLEFINANCE(""NSE:""&amp;D191,""PRICE"",TODAY()-14),2,2)"),1555.55)</f>
        <v>1555.55</v>
      </c>
      <c r="J191" s="17">
        <f>IFERROR(__xludf.DUMMYFUNCTION("INDEX(GOOGLEFINANCE(""NSE:""&amp;D191,""PRICE"",TODAY()-28),2,2)"),1548.45)</f>
        <v>1548.45</v>
      </c>
      <c r="K191" s="17">
        <f>IFERROR(__xludf.DUMMYFUNCTION("INDEX(GOOGLEFINANCE(""NSE:""&amp;D191,""PRICE"",TODAY()-84),2,2)"),1480.4)</f>
        <v>1480.4</v>
      </c>
      <c r="L191" s="16">
        <f t="shared" si="1"/>
        <v>0.02471148204</v>
      </c>
      <c r="M191" s="16">
        <f t="shared" si="2"/>
        <v>-0.006668141453</v>
      </c>
      <c r="N191" s="16">
        <f t="shared" si="3"/>
        <v>0.01031789399</v>
      </c>
      <c r="O191" s="16">
        <f t="shared" si="4"/>
        <v>0.01495043431</v>
      </c>
      <c r="P191" s="16">
        <f t="shared" si="5"/>
        <v>0.06160497163</v>
      </c>
      <c r="Q191" s="30">
        <f t="shared" si="6"/>
        <v>-0.01953369507</v>
      </c>
      <c r="R191" s="30">
        <f t="shared" si="7"/>
        <v>-0.01522955126</v>
      </c>
      <c r="S191" s="30">
        <f t="shared" si="8"/>
        <v>-0.05685533994</v>
      </c>
      <c r="T191" s="30">
        <f t="shared" si="9"/>
        <v>-0.07062946061</v>
      </c>
      <c r="U191" s="31" t="str">
        <f t="shared" si="10"/>
        <v>#N/A</v>
      </c>
      <c r="V191" s="31" t="str">
        <f t="shared" si="11"/>
        <v>#N/A</v>
      </c>
      <c r="W191" s="31">
        <f t="shared" si="12"/>
        <v>160</v>
      </c>
      <c r="X191" s="31" t="str">
        <f t="shared" si="13"/>
        <v>#N/A</v>
      </c>
    </row>
    <row r="192">
      <c r="A192" s="1">
        <v>189.0</v>
      </c>
      <c r="B192" s="22" t="s">
        <v>740</v>
      </c>
      <c r="C192" s="22" t="s">
        <v>560</v>
      </c>
      <c r="D192" s="22" t="s">
        <v>741</v>
      </c>
      <c r="E192" s="23">
        <f>IFERROR(__xludf.DUMMYFUNCTION("GOOGLEFINANCE(""NSE:""&amp;D192,""marketcap"")/10000000"),11413.1574977)</f>
        <v>11413.1575</v>
      </c>
      <c r="F192" s="17">
        <f>IFERROR(__xludf.DUMMYFUNCTION("GOOGLEFINANCE(""NSE:""&amp;D192)"),86.1)</f>
        <v>86.1</v>
      </c>
      <c r="G192" s="17">
        <f>IFERROR(__xludf.DUMMYFUNCTION("GOOGLEFINANCE(""NSE:""&amp;D192,""closeyest"")"),85.95)</f>
        <v>85.95</v>
      </c>
      <c r="H192" s="17">
        <f>IFERROR(__xludf.DUMMYFUNCTION("INDEX(GOOGLEFINANCE(""NSE:""&amp;D192,""PRICE"",TODAY()-7),2,2)"),92.2)</f>
        <v>92.2</v>
      </c>
      <c r="I192" s="17">
        <f>IFERROR(__xludf.DUMMYFUNCTION("INDEX(GOOGLEFINANCE(""NSE:""&amp;D192,""PRICE"",TODAY()-14),2,2)"),83.83)</f>
        <v>83.83</v>
      </c>
      <c r="J192" s="17">
        <f>IFERROR(__xludf.DUMMYFUNCTION("INDEX(GOOGLEFINANCE(""NSE:""&amp;D192,""PRICE"",TODAY()-28),2,2)"),75.86)</f>
        <v>75.86</v>
      </c>
      <c r="K192" s="17">
        <f>IFERROR(__xludf.DUMMYFUNCTION("INDEX(GOOGLEFINANCE(""NSE:""&amp;D192,""PRICE"",TODAY()-84),2,2)"),76.15)</f>
        <v>76.15</v>
      </c>
      <c r="L192" s="16">
        <f t="shared" si="1"/>
        <v>0.001745200698</v>
      </c>
      <c r="M192" s="16">
        <f t="shared" si="2"/>
        <v>-0.06616052061</v>
      </c>
      <c r="N192" s="16">
        <f t="shared" si="3"/>
        <v>0.02707861148</v>
      </c>
      <c r="O192" s="16">
        <f t="shared" si="4"/>
        <v>0.1349854996</v>
      </c>
      <c r="P192" s="16">
        <f t="shared" si="5"/>
        <v>0.1306631648</v>
      </c>
      <c r="Q192" s="30">
        <f t="shared" si="6"/>
        <v>-0.07902607423</v>
      </c>
      <c r="R192" s="30">
        <f t="shared" si="7"/>
        <v>0.00153116622</v>
      </c>
      <c r="S192" s="30">
        <f t="shared" si="8"/>
        <v>0.06317972536</v>
      </c>
      <c r="T192" s="30">
        <f t="shared" si="9"/>
        <v>-0.001571267428</v>
      </c>
      <c r="U192" s="31" t="str">
        <f t="shared" si="10"/>
        <v>#N/A</v>
      </c>
      <c r="V192" s="31" t="str">
        <f t="shared" si="11"/>
        <v>#N/A</v>
      </c>
      <c r="W192" s="31">
        <f t="shared" si="12"/>
        <v>47</v>
      </c>
      <c r="X192" s="31" t="str">
        <f t="shared" si="13"/>
        <v>#N/A</v>
      </c>
    </row>
    <row r="193">
      <c r="A193" s="1">
        <v>190.0</v>
      </c>
      <c r="B193" s="22" t="s">
        <v>742</v>
      </c>
      <c r="C193" s="22" t="s">
        <v>528</v>
      </c>
      <c r="D193" s="22" t="s">
        <v>743</v>
      </c>
      <c r="E193" s="23">
        <f>IFERROR(__xludf.DUMMYFUNCTION("GOOGLEFINANCE(""NSE:""&amp;D193,""marketcap"")/10000000"),11281.8147685)</f>
        <v>11281.81477</v>
      </c>
      <c r="F193" s="17">
        <f>IFERROR(__xludf.DUMMYFUNCTION("GOOGLEFINANCE(""NSE:""&amp;D193)"),152.7)</f>
        <v>152.7</v>
      </c>
      <c r="G193" s="17">
        <f>IFERROR(__xludf.DUMMYFUNCTION("GOOGLEFINANCE(""NSE:""&amp;D193,""closeyest"")"),149.85)</f>
        <v>149.85</v>
      </c>
      <c r="H193" s="17">
        <f>IFERROR(__xludf.DUMMYFUNCTION("INDEX(GOOGLEFINANCE(""NSE:""&amp;D193,""PRICE"",TODAY()-7),2,2)"),153.55)</f>
        <v>153.55</v>
      </c>
      <c r="I193" s="17">
        <f>IFERROR(__xludf.DUMMYFUNCTION("INDEX(GOOGLEFINANCE(""NSE:""&amp;D193,""PRICE"",TODAY()-14),2,2)"),155.55)</f>
        <v>155.55</v>
      </c>
      <c r="J193" s="17">
        <f>IFERROR(__xludf.DUMMYFUNCTION("INDEX(GOOGLEFINANCE(""NSE:""&amp;D193,""PRICE"",TODAY()-28),2,2)"),148.3)</f>
        <v>148.3</v>
      </c>
      <c r="K193" s="17">
        <f>IFERROR(__xludf.DUMMYFUNCTION("INDEX(GOOGLEFINANCE(""NSE:""&amp;D193,""PRICE"",TODAY()-84),2,2)"),164.25)</f>
        <v>164.25</v>
      </c>
      <c r="L193" s="16">
        <f t="shared" si="1"/>
        <v>0.01901901902</v>
      </c>
      <c r="M193" s="16">
        <f t="shared" si="2"/>
        <v>-0.005535656138</v>
      </c>
      <c r="N193" s="16">
        <f t="shared" si="3"/>
        <v>-0.01832208293</v>
      </c>
      <c r="O193" s="16">
        <f t="shared" si="4"/>
        <v>0.02966958867</v>
      </c>
      <c r="P193" s="16">
        <f t="shared" si="5"/>
        <v>-0.0703196347</v>
      </c>
      <c r="Q193" s="30">
        <f t="shared" si="6"/>
        <v>-0.01840120976</v>
      </c>
      <c r="R193" s="30">
        <f t="shared" si="7"/>
        <v>-0.04386952819</v>
      </c>
      <c r="S193" s="30">
        <f t="shared" si="8"/>
        <v>-0.04213618558</v>
      </c>
      <c r="T193" s="30">
        <f t="shared" si="9"/>
        <v>-0.2025540669</v>
      </c>
      <c r="U193" s="31" t="str">
        <f t="shared" si="10"/>
        <v>#N/A</v>
      </c>
      <c r="V193" s="31" t="str">
        <f t="shared" si="11"/>
        <v>#N/A</v>
      </c>
      <c r="W193" s="31">
        <f t="shared" si="12"/>
        <v>138</v>
      </c>
      <c r="X193" s="31" t="str">
        <f t="shared" si="13"/>
        <v>#N/A</v>
      </c>
    </row>
    <row r="194">
      <c r="A194" s="1">
        <v>191.0</v>
      </c>
      <c r="B194" s="22" t="s">
        <v>744</v>
      </c>
      <c r="C194" s="22" t="s">
        <v>526</v>
      </c>
      <c r="D194" s="22" t="s">
        <v>745</v>
      </c>
      <c r="E194" s="23">
        <f>IFERROR(__xludf.DUMMYFUNCTION("GOOGLEFINANCE(""NSE:""&amp;D194,""marketcap"")/10000000"),11111.9064342)</f>
        <v>11111.90643</v>
      </c>
      <c r="F194" s="17">
        <f>IFERROR(__xludf.DUMMYFUNCTION("GOOGLEFINANCE(""NSE:""&amp;D194)"),258.0)</f>
        <v>258</v>
      </c>
      <c r="G194" s="17">
        <f>IFERROR(__xludf.DUMMYFUNCTION("GOOGLEFINANCE(""NSE:""&amp;D194,""closeyest"")"),254.7)</f>
        <v>254.7</v>
      </c>
      <c r="H194" s="17">
        <f>IFERROR(__xludf.DUMMYFUNCTION("INDEX(GOOGLEFINANCE(""NSE:""&amp;D194,""PRICE"",TODAY()-7),2,2)"),259.6)</f>
        <v>259.6</v>
      </c>
      <c r="I194" s="17">
        <f>IFERROR(__xludf.DUMMYFUNCTION("INDEX(GOOGLEFINANCE(""NSE:""&amp;D194,""PRICE"",TODAY()-14),2,2)"),260.6)</f>
        <v>260.6</v>
      </c>
      <c r="J194" s="17">
        <f>IFERROR(__xludf.DUMMYFUNCTION("INDEX(GOOGLEFINANCE(""NSE:""&amp;D194,""PRICE"",TODAY()-28),2,2)"),240.35)</f>
        <v>240.35</v>
      </c>
      <c r="K194" s="17">
        <f>IFERROR(__xludf.DUMMYFUNCTION("INDEX(GOOGLEFINANCE(""NSE:""&amp;D194,""PRICE"",TODAY()-84),2,2)"),264.9)</f>
        <v>264.9</v>
      </c>
      <c r="L194" s="16">
        <f t="shared" si="1"/>
        <v>0.01295641932</v>
      </c>
      <c r="M194" s="16">
        <f t="shared" si="2"/>
        <v>-0.006163328197</v>
      </c>
      <c r="N194" s="16">
        <f t="shared" si="3"/>
        <v>-0.009976976209</v>
      </c>
      <c r="O194" s="16">
        <f t="shared" si="4"/>
        <v>0.07343457458</v>
      </c>
      <c r="P194" s="16">
        <f t="shared" si="5"/>
        <v>-0.02604756512</v>
      </c>
      <c r="Q194" s="30">
        <f t="shared" si="6"/>
        <v>-0.01902888182</v>
      </c>
      <c r="R194" s="30">
        <f t="shared" si="7"/>
        <v>-0.03552442146</v>
      </c>
      <c r="S194" s="30">
        <f t="shared" si="8"/>
        <v>0.00162880033</v>
      </c>
      <c r="T194" s="30">
        <f t="shared" si="9"/>
        <v>-0.1582819974</v>
      </c>
      <c r="U194" s="31" t="str">
        <f t="shared" si="10"/>
        <v>#N/A</v>
      </c>
      <c r="V194" s="31" t="str">
        <f t="shared" si="11"/>
        <v>#N/A</v>
      </c>
      <c r="W194" s="31">
        <f t="shared" si="12"/>
        <v>89</v>
      </c>
      <c r="X194" s="31" t="str">
        <f t="shared" si="13"/>
        <v>#N/A</v>
      </c>
    </row>
    <row r="195">
      <c r="A195" s="1">
        <v>192.0</v>
      </c>
      <c r="B195" s="22" t="s">
        <v>746</v>
      </c>
      <c r="C195" s="22" t="s">
        <v>522</v>
      </c>
      <c r="D195" s="22" t="s">
        <v>747</v>
      </c>
      <c r="E195" s="23">
        <f>IFERROR(__xludf.DUMMYFUNCTION("GOOGLEFINANCE(""NSE:""&amp;D195,""marketcap"")/10000000"),10952.9683498)</f>
        <v>10952.96835</v>
      </c>
      <c r="F195" s="17">
        <f>IFERROR(__xludf.DUMMYFUNCTION("GOOGLEFINANCE(""NSE:""&amp;D195)"),1108.85)</f>
        <v>1108.85</v>
      </c>
      <c r="G195" s="17">
        <f>IFERROR(__xludf.DUMMYFUNCTION("GOOGLEFINANCE(""NSE:""&amp;D195,""closeyest"")"),1094.3)</f>
        <v>1094.3</v>
      </c>
      <c r="H195" s="17">
        <f>IFERROR(__xludf.DUMMYFUNCTION("INDEX(GOOGLEFINANCE(""NSE:""&amp;D195,""PRICE"",TODAY()-7),2,2)"),1135.9)</f>
        <v>1135.9</v>
      </c>
      <c r="I195" s="17">
        <f>IFERROR(__xludf.DUMMYFUNCTION("INDEX(GOOGLEFINANCE(""NSE:""&amp;D195,""PRICE"",TODAY()-14),2,2)"),1181.65)</f>
        <v>1181.65</v>
      </c>
      <c r="J195" s="17">
        <f>IFERROR(__xludf.DUMMYFUNCTION("INDEX(GOOGLEFINANCE(""NSE:""&amp;D195,""PRICE"",TODAY()-28),2,2)"),1131.9)</f>
        <v>1131.9</v>
      </c>
      <c r="K195" s="17">
        <f>IFERROR(__xludf.DUMMYFUNCTION("INDEX(GOOGLEFINANCE(""NSE:""&amp;D195,""PRICE"",TODAY()-84),2,2)"),1141.55)</f>
        <v>1141.55</v>
      </c>
      <c r="L195" s="16">
        <f t="shared" si="1"/>
        <v>0.01329617107</v>
      </c>
      <c r="M195" s="16">
        <f t="shared" si="2"/>
        <v>-0.023813716</v>
      </c>
      <c r="N195" s="16">
        <f t="shared" si="3"/>
        <v>-0.0616087674</v>
      </c>
      <c r="O195" s="16">
        <f t="shared" si="4"/>
        <v>-0.02036398975</v>
      </c>
      <c r="P195" s="16">
        <f t="shared" si="5"/>
        <v>-0.02864526302</v>
      </c>
      <c r="Q195" s="30">
        <f t="shared" si="6"/>
        <v>-0.03667926962</v>
      </c>
      <c r="R195" s="30">
        <f t="shared" si="7"/>
        <v>-0.08715621266</v>
      </c>
      <c r="S195" s="30">
        <f t="shared" si="8"/>
        <v>-0.092169764</v>
      </c>
      <c r="T195" s="30">
        <f t="shared" si="9"/>
        <v>-0.1608796953</v>
      </c>
      <c r="U195" s="31" t="str">
        <f t="shared" si="10"/>
        <v>#N/A</v>
      </c>
      <c r="V195" s="31" t="str">
        <f t="shared" si="11"/>
        <v>#N/A</v>
      </c>
      <c r="W195" s="31">
        <f t="shared" si="12"/>
        <v>182</v>
      </c>
      <c r="X195" s="31" t="str">
        <f t="shared" si="13"/>
        <v>#N/A</v>
      </c>
    </row>
    <row r="196">
      <c r="A196" s="1">
        <v>193.0</v>
      </c>
      <c r="B196" s="22" t="s">
        <v>748</v>
      </c>
      <c r="C196" s="22" t="s">
        <v>528</v>
      </c>
      <c r="D196" s="22" t="s">
        <v>749</v>
      </c>
      <c r="E196" s="23">
        <f>IFERROR(__xludf.DUMMYFUNCTION("GOOGLEFINANCE(""NSE:""&amp;D196,""marketcap"")/10000000"),11183.0346819)</f>
        <v>11183.03468</v>
      </c>
      <c r="F196" s="17">
        <f>IFERROR(__xludf.DUMMYFUNCTION("GOOGLEFINANCE(""NSE:""&amp;D196)"),187.05)</f>
        <v>187.05</v>
      </c>
      <c r="G196" s="17">
        <f>IFERROR(__xludf.DUMMYFUNCTION("GOOGLEFINANCE(""NSE:""&amp;D196,""closeyest"")"),179.1)</f>
        <v>179.1</v>
      </c>
      <c r="H196" s="17">
        <f>IFERROR(__xludf.DUMMYFUNCTION("INDEX(GOOGLEFINANCE(""NSE:""&amp;D196,""PRICE"",TODAY()-7),2,2)"),181.0)</f>
        <v>181</v>
      </c>
      <c r="I196" s="17">
        <f>IFERROR(__xludf.DUMMYFUNCTION("INDEX(GOOGLEFINANCE(""NSE:""&amp;D196,""PRICE"",TODAY()-14),2,2)"),172.25)</f>
        <v>172.25</v>
      </c>
      <c r="J196" s="17">
        <f>IFERROR(__xludf.DUMMYFUNCTION("INDEX(GOOGLEFINANCE(""NSE:""&amp;D196,""PRICE"",TODAY()-28),2,2)"),162.75)</f>
        <v>162.75</v>
      </c>
      <c r="K196" s="17">
        <f>IFERROR(__xludf.DUMMYFUNCTION("INDEX(GOOGLEFINANCE(""NSE:""&amp;D196,""PRICE"",TODAY()-84),2,2)"),210.9)</f>
        <v>210.9</v>
      </c>
      <c r="L196" s="16">
        <f t="shared" si="1"/>
        <v>0.04438860972</v>
      </c>
      <c r="M196" s="16">
        <f t="shared" si="2"/>
        <v>0.03342541436</v>
      </c>
      <c r="N196" s="16">
        <f t="shared" si="3"/>
        <v>0.08592162554</v>
      </c>
      <c r="O196" s="16">
        <f t="shared" si="4"/>
        <v>0.1493087558</v>
      </c>
      <c r="P196" s="16">
        <f t="shared" si="5"/>
        <v>-0.113086771</v>
      </c>
      <c r="Q196" s="30">
        <f t="shared" si="6"/>
        <v>0.02055986074</v>
      </c>
      <c r="R196" s="30">
        <f t="shared" si="7"/>
        <v>0.06037418029</v>
      </c>
      <c r="S196" s="30">
        <f t="shared" si="8"/>
        <v>0.07750298151</v>
      </c>
      <c r="T196" s="30">
        <f t="shared" si="9"/>
        <v>-0.2453212032</v>
      </c>
      <c r="U196" s="31" t="str">
        <f t="shared" si="10"/>
        <v>#N/A</v>
      </c>
      <c r="V196" s="31" t="str">
        <f t="shared" si="11"/>
        <v>#N/A</v>
      </c>
      <c r="W196" s="31">
        <f t="shared" si="12"/>
        <v>40</v>
      </c>
      <c r="X196" s="31" t="str">
        <f t="shared" si="13"/>
        <v>#N/A</v>
      </c>
    </row>
    <row r="197">
      <c r="A197" s="1">
        <v>194.0</v>
      </c>
      <c r="B197" s="22" t="s">
        <v>750</v>
      </c>
      <c r="C197" s="22" t="s">
        <v>528</v>
      </c>
      <c r="D197" s="22" t="s">
        <v>751</v>
      </c>
      <c r="E197" s="23">
        <f>IFERROR(__xludf.DUMMYFUNCTION("GOOGLEFINANCE(""NSE:""&amp;D197,""marketcap"")/10000000"),10231.2476775)</f>
        <v>10231.24768</v>
      </c>
      <c r="F197" s="17">
        <f>IFERROR(__xludf.DUMMYFUNCTION("GOOGLEFINANCE(""NSE:""&amp;D197)"),229.3)</f>
        <v>229.3</v>
      </c>
      <c r="G197" s="17">
        <f>IFERROR(__xludf.DUMMYFUNCTION("GOOGLEFINANCE(""NSE:""&amp;D197,""closeyest"")"),220.9)</f>
        <v>220.9</v>
      </c>
      <c r="H197" s="17">
        <f>IFERROR(__xludf.DUMMYFUNCTION("INDEX(GOOGLEFINANCE(""NSE:""&amp;D197,""PRICE"",TODAY()-7),2,2)"),228.75)</f>
        <v>228.75</v>
      </c>
      <c r="I197" s="17">
        <f>IFERROR(__xludf.DUMMYFUNCTION("INDEX(GOOGLEFINANCE(""NSE:""&amp;D197,""PRICE"",TODAY()-14),2,2)"),228.95)</f>
        <v>228.95</v>
      </c>
      <c r="J197" s="17">
        <f>IFERROR(__xludf.DUMMYFUNCTION("INDEX(GOOGLEFINANCE(""NSE:""&amp;D197,""PRICE"",TODAY()-28),2,2)"),220.0)</f>
        <v>220</v>
      </c>
      <c r="K197" s="17">
        <f>IFERROR(__xludf.DUMMYFUNCTION("INDEX(GOOGLEFINANCE(""NSE:""&amp;D197,""PRICE"",TODAY()-84),2,2)"),260.0)</f>
        <v>260</v>
      </c>
      <c r="L197" s="16">
        <f t="shared" si="1"/>
        <v>0.03802625622</v>
      </c>
      <c r="M197" s="16">
        <f t="shared" si="2"/>
        <v>0.002404371585</v>
      </c>
      <c r="N197" s="16">
        <f t="shared" si="3"/>
        <v>0.001528718061</v>
      </c>
      <c r="O197" s="16">
        <f t="shared" si="4"/>
        <v>0.04227272727</v>
      </c>
      <c r="P197" s="16">
        <f t="shared" si="5"/>
        <v>-0.1180769231</v>
      </c>
      <c r="Q197" s="30">
        <f t="shared" si="6"/>
        <v>-0.01046118204</v>
      </c>
      <c r="R197" s="30">
        <f t="shared" si="7"/>
        <v>-0.02401872719</v>
      </c>
      <c r="S197" s="30">
        <f t="shared" si="8"/>
        <v>-0.02953304698</v>
      </c>
      <c r="T197" s="30">
        <f t="shared" si="9"/>
        <v>-0.2503113553</v>
      </c>
      <c r="U197" s="31" t="str">
        <f t="shared" si="10"/>
        <v>#N/A</v>
      </c>
      <c r="V197" s="31" t="str">
        <f t="shared" si="11"/>
        <v>#N/A</v>
      </c>
      <c r="W197" s="31">
        <f t="shared" si="12"/>
        <v>127</v>
      </c>
      <c r="X197" s="31" t="str">
        <f t="shared" si="13"/>
        <v>#N/A</v>
      </c>
    </row>
    <row r="198">
      <c r="A198" s="1">
        <v>195.0</v>
      </c>
      <c r="B198" s="22" t="s">
        <v>580</v>
      </c>
      <c r="C198" s="22" t="s">
        <v>524</v>
      </c>
      <c r="D198" s="22" t="s">
        <v>28</v>
      </c>
      <c r="E198" s="23">
        <f>IFERROR(__xludf.DUMMYFUNCTION("GOOGLEFINANCE(""NSE:""&amp;D198,""marketcap"")/10000000"),10066.141614)</f>
        <v>10066.14161</v>
      </c>
      <c r="F198" s="17">
        <f>IFERROR(__xludf.DUMMYFUNCTION("GOOGLEFINANCE(""NSE:""&amp;D198)"),1742.1)</f>
        <v>1742.1</v>
      </c>
      <c r="G198" s="17">
        <f>IFERROR(__xludf.DUMMYFUNCTION("GOOGLEFINANCE(""NSE:""&amp;D198,""closeyest"")"),1716.9)</f>
        <v>1716.9</v>
      </c>
      <c r="H198" s="17">
        <f>IFERROR(__xludf.DUMMYFUNCTION("INDEX(GOOGLEFINANCE(""NSE:""&amp;D198,""PRICE"",TODAY()-7),2,2)"),1691.3)</f>
        <v>1691.3</v>
      </c>
      <c r="I198" s="17">
        <f>IFERROR(__xludf.DUMMYFUNCTION("INDEX(GOOGLEFINANCE(""NSE:""&amp;D198,""PRICE"",TODAY()-14),2,2)"),1691.9)</f>
        <v>1691.9</v>
      </c>
      <c r="J198" s="17">
        <f>IFERROR(__xludf.DUMMYFUNCTION("INDEX(GOOGLEFINANCE(""NSE:""&amp;D198,""PRICE"",TODAY()-28),2,2)"),1708.8)</f>
        <v>1708.8</v>
      </c>
      <c r="K198" s="17">
        <f>IFERROR(__xludf.DUMMYFUNCTION("INDEX(GOOGLEFINANCE(""NSE:""&amp;D198,""PRICE"",TODAY()-84),2,2)"),1567.8)</f>
        <v>1567.8</v>
      </c>
      <c r="L198" s="16">
        <f t="shared" si="1"/>
        <v>0.01467761663</v>
      </c>
      <c r="M198" s="16">
        <f t="shared" si="2"/>
        <v>0.03003606693</v>
      </c>
      <c r="N198" s="16">
        <f t="shared" si="3"/>
        <v>0.02967078433</v>
      </c>
      <c r="O198" s="16">
        <f t="shared" si="4"/>
        <v>0.01948735955</v>
      </c>
      <c r="P198" s="16">
        <f t="shared" si="5"/>
        <v>0.1111748948</v>
      </c>
      <c r="Q198" s="30">
        <f t="shared" si="6"/>
        <v>0.01717051331</v>
      </c>
      <c r="R198" s="30">
        <f t="shared" si="7"/>
        <v>0.00412333907</v>
      </c>
      <c r="S198" s="30">
        <f t="shared" si="8"/>
        <v>-0.0523184147</v>
      </c>
      <c r="T198" s="30">
        <f t="shared" si="9"/>
        <v>-0.02105953748</v>
      </c>
      <c r="U198" s="31" t="str">
        <f t="shared" si="10"/>
        <v>#N/A</v>
      </c>
      <c r="V198" s="31" t="str">
        <f t="shared" si="11"/>
        <v>#N/A</v>
      </c>
      <c r="W198" s="31">
        <f t="shared" si="12"/>
        <v>156</v>
      </c>
      <c r="X198" s="31" t="str">
        <f t="shared" si="13"/>
        <v>#N/A</v>
      </c>
    </row>
    <row r="199">
      <c r="A199" s="1">
        <v>196.0</v>
      </c>
      <c r="B199" s="22" t="s">
        <v>752</v>
      </c>
      <c r="C199" s="22" t="s">
        <v>526</v>
      </c>
      <c r="D199" s="22" t="s">
        <v>753</v>
      </c>
      <c r="E199" s="23">
        <f>IFERROR(__xludf.DUMMYFUNCTION("GOOGLEFINANCE(""NSE:""&amp;D199,""marketcap"")/10000000"),8109.5871153)</f>
        <v>8109.587115</v>
      </c>
      <c r="F199" s="17">
        <f>IFERROR(__xludf.DUMMYFUNCTION("GOOGLEFINANCE(""NSE:""&amp;D199)"),1162.3)</f>
        <v>1162.3</v>
      </c>
      <c r="G199" s="17">
        <f>IFERROR(__xludf.DUMMYFUNCTION("GOOGLEFINANCE(""NSE:""&amp;D199,""closeyest"")"),1159.75)</f>
        <v>1159.75</v>
      </c>
      <c r="H199" s="17">
        <f>IFERROR(__xludf.DUMMYFUNCTION("INDEX(GOOGLEFINANCE(""NSE:""&amp;D199,""PRICE"",TODAY()-7),2,2)"),1160.7)</f>
        <v>1160.7</v>
      </c>
      <c r="I199" s="17">
        <f>IFERROR(__xludf.DUMMYFUNCTION("INDEX(GOOGLEFINANCE(""NSE:""&amp;D199,""PRICE"",TODAY()-14),2,2)"),1198.85)</f>
        <v>1198.85</v>
      </c>
      <c r="J199" s="17">
        <f>IFERROR(__xludf.DUMMYFUNCTION("INDEX(GOOGLEFINANCE(""NSE:""&amp;D199,""PRICE"",TODAY()-28),2,2)"),1199.5)</f>
        <v>1199.5</v>
      </c>
      <c r="K199" s="17">
        <f>IFERROR(__xludf.DUMMYFUNCTION("INDEX(GOOGLEFINANCE(""NSE:""&amp;D199,""PRICE"",TODAY()-84),2,2)"),1307.35)</f>
        <v>1307.35</v>
      </c>
      <c r="L199" s="16">
        <f t="shared" si="1"/>
        <v>0.002198749731</v>
      </c>
      <c r="M199" s="16">
        <f t="shared" si="2"/>
        <v>0.001378478504</v>
      </c>
      <c r="N199" s="16">
        <f t="shared" si="3"/>
        <v>-0.03048755057</v>
      </c>
      <c r="O199" s="16">
        <f t="shared" si="4"/>
        <v>-0.03101292205</v>
      </c>
      <c r="P199" s="16">
        <f t="shared" si="5"/>
        <v>-0.1109496309</v>
      </c>
      <c r="Q199" s="30">
        <f t="shared" si="6"/>
        <v>-0.01148707512</v>
      </c>
      <c r="R199" s="30">
        <f t="shared" si="7"/>
        <v>-0.05603499582</v>
      </c>
      <c r="S199" s="30">
        <f t="shared" si="8"/>
        <v>-0.1028186963</v>
      </c>
      <c r="T199" s="30">
        <f t="shared" si="9"/>
        <v>-0.2431840632</v>
      </c>
      <c r="U199" s="31" t="str">
        <f t="shared" si="10"/>
        <v>#N/A</v>
      </c>
      <c r="V199" s="31" t="str">
        <f t="shared" si="11"/>
        <v>#N/A</v>
      </c>
      <c r="W199" s="31">
        <f t="shared" si="12"/>
        <v>186</v>
      </c>
      <c r="X199" s="31" t="str">
        <f t="shared" si="13"/>
        <v>#N/A</v>
      </c>
    </row>
    <row r="200">
      <c r="A200" s="1">
        <v>197.0</v>
      </c>
      <c r="B200" s="22" t="s">
        <v>581</v>
      </c>
      <c r="C200" s="22" t="s">
        <v>528</v>
      </c>
      <c r="D200" s="22" t="s">
        <v>34</v>
      </c>
      <c r="E200" s="23">
        <f>IFERROR(__xludf.DUMMYFUNCTION("GOOGLEFINANCE(""NSE:""&amp;D200,""marketcap"")/10000000"),6827.2247571)</f>
        <v>6827.224757</v>
      </c>
      <c r="F200" s="17">
        <f>IFERROR(__xludf.DUMMYFUNCTION("GOOGLEFINANCE(""NSE:""&amp;D200)"),717.0)</f>
        <v>717</v>
      </c>
      <c r="G200" s="17">
        <f>IFERROR(__xludf.DUMMYFUNCTION("GOOGLEFINANCE(""NSE:""&amp;D200,""closeyest"")"),703.35)</f>
        <v>703.35</v>
      </c>
      <c r="H200" s="17">
        <f>IFERROR(__xludf.DUMMYFUNCTION("INDEX(GOOGLEFINANCE(""NSE:""&amp;D200,""PRICE"",TODAY()-7),2,2)"),720.15)</f>
        <v>720.15</v>
      </c>
      <c r="I200" s="17">
        <f>IFERROR(__xludf.DUMMYFUNCTION("INDEX(GOOGLEFINANCE(""NSE:""&amp;D200,""PRICE"",TODAY()-14),2,2)"),707.4)</f>
        <v>707.4</v>
      </c>
      <c r="J200" s="17">
        <f>IFERROR(__xludf.DUMMYFUNCTION("INDEX(GOOGLEFINANCE(""NSE:""&amp;D200,""PRICE"",TODAY()-28),2,2)"),699.75)</f>
        <v>699.75</v>
      </c>
      <c r="K200" s="17">
        <f>IFERROR(__xludf.DUMMYFUNCTION("INDEX(GOOGLEFINANCE(""NSE:""&amp;D200,""PRICE"",TODAY()-84),2,2)"),640.25)</f>
        <v>640.25</v>
      </c>
      <c r="L200" s="16">
        <f t="shared" si="1"/>
        <v>0.01940712305</v>
      </c>
      <c r="M200" s="16">
        <f t="shared" si="2"/>
        <v>-0.004374088732</v>
      </c>
      <c r="N200" s="16">
        <f t="shared" si="3"/>
        <v>0.01357082273</v>
      </c>
      <c r="O200" s="16">
        <f t="shared" si="4"/>
        <v>0.02465166131</v>
      </c>
      <c r="P200" s="16">
        <f t="shared" si="5"/>
        <v>0.1198750488</v>
      </c>
      <c r="Q200" s="30">
        <f t="shared" si="6"/>
        <v>-0.01723964235</v>
      </c>
      <c r="R200" s="30">
        <f t="shared" si="7"/>
        <v>-0.01197662252</v>
      </c>
      <c r="S200" s="30">
        <f t="shared" si="8"/>
        <v>-0.04715411294</v>
      </c>
      <c r="T200" s="30">
        <f t="shared" si="9"/>
        <v>-0.01235938343</v>
      </c>
      <c r="U200" s="31" t="str">
        <f t="shared" si="10"/>
        <v>#N/A</v>
      </c>
      <c r="V200" s="31" t="str">
        <f t="shared" si="11"/>
        <v>#N/A</v>
      </c>
      <c r="W200" s="31">
        <f t="shared" si="12"/>
        <v>145</v>
      </c>
      <c r="X200" s="31" t="str">
        <f t="shared" si="13"/>
        <v>#N/A</v>
      </c>
    </row>
    <row r="201">
      <c r="A201" s="1">
        <v>198.0</v>
      </c>
      <c r="B201" s="22" t="s">
        <v>582</v>
      </c>
      <c r="C201" s="22" t="s">
        <v>545</v>
      </c>
      <c r="D201" s="22" t="s">
        <v>110</v>
      </c>
      <c r="E201" s="23">
        <f>IFERROR(__xludf.DUMMYFUNCTION("GOOGLEFINANCE(""NSE:""&amp;D201,""marketcap"")/10000000"),1559.8243894)</f>
        <v>1559.824389</v>
      </c>
      <c r="F201" s="17">
        <f>IFERROR(__xludf.DUMMYFUNCTION("GOOGLEFINANCE(""NSE:""&amp;D201)"),321.0)</f>
        <v>321</v>
      </c>
      <c r="G201" s="17">
        <f>IFERROR(__xludf.DUMMYFUNCTION("GOOGLEFINANCE(""NSE:""&amp;D201,""closeyest"")"),310.1)</f>
        <v>310.1</v>
      </c>
      <c r="H201" s="17">
        <f>IFERROR(__xludf.DUMMYFUNCTION("INDEX(GOOGLEFINANCE(""NSE:""&amp;D201,""PRICE"",TODAY()-7),2,2)"),308.6)</f>
        <v>308.6</v>
      </c>
      <c r="I201" s="17">
        <f>IFERROR(__xludf.DUMMYFUNCTION("INDEX(GOOGLEFINANCE(""NSE:""&amp;D201,""PRICE"",TODAY()-14),2,2)"),301.2)</f>
        <v>301.2</v>
      </c>
      <c r="J201" s="17">
        <f>IFERROR(__xludf.DUMMYFUNCTION("INDEX(GOOGLEFINANCE(""NSE:""&amp;D201,""PRICE"",TODAY()-28),2,2)"),285.75)</f>
        <v>285.75</v>
      </c>
      <c r="K201" s="17">
        <f>IFERROR(__xludf.DUMMYFUNCTION("INDEX(GOOGLEFINANCE(""NSE:""&amp;D201,""PRICE"",TODAY()-84),2,2)"),344.9)</f>
        <v>344.9</v>
      </c>
      <c r="L201" s="16">
        <f t="shared" si="1"/>
        <v>0.03514995163</v>
      </c>
      <c r="M201" s="16">
        <f t="shared" si="2"/>
        <v>0.04018146468</v>
      </c>
      <c r="N201" s="16">
        <f t="shared" si="3"/>
        <v>0.06573705179</v>
      </c>
      <c r="O201" s="16">
        <f t="shared" si="4"/>
        <v>0.1233595801</v>
      </c>
      <c r="P201" s="16">
        <f t="shared" si="5"/>
        <v>-0.06929544796</v>
      </c>
      <c r="Q201" s="30">
        <f t="shared" si="6"/>
        <v>0.02731591106</v>
      </c>
      <c r="R201" s="30">
        <f t="shared" si="7"/>
        <v>0.04018960654</v>
      </c>
      <c r="S201" s="30">
        <f t="shared" si="8"/>
        <v>0.0515538058</v>
      </c>
      <c r="T201" s="30">
        <f t="shared" si="9"/>
        <v>-0.2015298802</v>
      </c>
      <c r="U201" s="31" t="str">
        <f t="shared" si="10"/>
        <v>#N/A</v>
      </c>
      <c r="V201" s="31" t="str">
        <f t="shared" si="11"/>
        <v>#N/A</v>
      </c>
      <c r="W201" s="31">
        <f t="shared" si="12"/>
        <v>52</v>
      </c>
      <c r="X201" s="31" t="str">
        <f t="shared" si="13"/>
        <v>#N/A</v>
      </c>
    </row>
    <row r="202">
      <c r="A202" s="1">
        <v>199.0</v>
      </c>
      <c r="B202" s="22" t="s">
        <v>583</v>
      </c>
      <c r="C202" s="22" t="s">
        <v>549</v>
      </c>
      <c r="D202" s="22" t="s">
        <v>147</v>
      </c>
      <c r="E202" s="23">
        <f>IFERROR(__xludf.DUMMYFUNCTION("GOOGLEFINANCE(""NSE:""&amp;D202,""marketcap"")/10000000"),1080.6777882)</f>
        <v>1080.677788</v>
      </c>
      <c r="F202" s="17">
        <f>IFERROR(__xludf.DUMMYFUNCTION("GOOGLEFINANCE(""NSE:""&amp;D202)"),4799.95)</f>
        <v>4799.95</v>
      </c>
      <c r="G202" s="17">
        <f>IFERROR(__xludf.DUMMYFUNCTION("GOOGLEFINANCE(""NSE:""&amp;D202,""closeyest"")"),4846.35)</f>
        <v>4846.35</v>
      </c>
      <c r="H202" s="17" t="str">
        <f>IFERROR(__xludf.DUMMYFUNCTION("INDEX(GOOGLEFINANCE(""NSE:""&amp;D202,""PRICE"",TODAY()-7),2,2)"),"#N/A")</f>
        <v>#N/A</v>
      </c>
      <c r="I202" s="17">
        <f>IFERROR(__xludf.DUMMYFUNCTION("INDEX(GOOGLEFINANCE(""NSE:""&amp;D202,""PRICE"",TODAY()-14),2,2)"),4931.4)</f>
        <v>4931.4</v>
      </c>
      <c r="J202" s="17">
        <f>IFERROR(__xludf.DUMMYFUNCTION("INDEX(GOOGLEFINANCE(""NSE:""&amp;D202,""PRICE"",TODAY()-28),2,2)"),4600.55)</f>
        <v>4600.55</v>
      </c>
      <c r="K202" s="17">
        <f>IFERROR(__xludf.DUMMYFUNCTION("INDEX(GOOGLEFINANCE(""NSE:""&amp;D202,""PRICE"",TODAY()-84),2,2)"),5575.7)</f>
        <v>5575.7</v>
      </c>
      <c r="L202" s="16">
        <f t="shared" si="1"/>
        <v>-0.009574215647</v>
      </c>
      <c r="M202" s="16" t="str">
        <f t="shared" si="2"/>
        <v>#N/A</v>
      </c>
      <c r="N202" s="16">
        <f t="shared" si="3"/>
        <v>-0.02665571643</v>
      </c>
      <c r="O202" s="16">
        <f t="shared" si="4"/>
        <v>0.04334264381</v>
      </c>
      <c r="P202" s="16">
        <f t="shared" si="5"/>
        <v>-0.1391305128</v>
      </c>
      <c r="Q202" s="32" t="str">
        <f t="shared" si="6"/>
        <v>#N/A</v>
      </c>
      <c r="R202" s="30">
        <f t="shared" si="7"/>
        <v>-0.05220316168</v>
      </c>
      <c r="S202" s="30">
        <f t="shared" si="8"/>
        <v>-0.02846313043</v>
      </c>
      <c r="T202" s="30">
        <f t="shared" si="9"/>
        <v>-0.271364945</v>
      </c>
      <c r="U202" s="31" t="str">
        <f t="shared" si="10"/>
        <v>#N/A</v>
      </c>
      <c r="V202" s="31" t="str">
        <f t="shared" si="11"/>
        <v>#N/A</v>
      </c>
      <c r="W202" s="31">
        <f t="shared" si="12"/>
        <v>124</v>
      </c>
      <c r="X202" s="31" t="str">
        <f t="shared" si="13"/>
        <v>#N/A</v>
      </c>
    </row>
    <row r="203">
      <c r="A203" s="1">
        <v>200.0</v>
      </c>
      <c r="B203" s="22" t="s">
        <v>754</v>
      </c>
      <c r="C203" s="22" t="s">
        <v>712</v>
      </c>
      <c r="D203" s="22" t="s">
        <v>477</v>
      </c>
      <c r="E203" s="23">
        <f>IFERROR(__xludf.DUMMYFUNCTION("GOOGLEFINANCE(""NSE:""&amp;D203,""marketcap"")/10000000"),30579.1944152)</f>
        <v>30579.19442</v>
      </c>
      <c r="F203" s="17">
        <f>IFERROR(__xludf.DUMMYFUNCTION("GOOGLEFINANCE(""NSE:""&amp;D203)"),318.95)</f>
        <v>318.95</v>
      </c>
      <c r="G203" s="17">
        <f>IFERROR(__xludf.DUMMYFUNCTION("GOOGLEFINANCE(""NSE:""&amp;D203,""closeyest"")"),336.8)</f>
        <v>336.8</v>
      </c>
      <c r="H203" s="17">
        <f>IFERROR(__xludf.DUMMYFUNCTION("INDEX(GOOGLEFINANCE(""NSE:""&amp;D203,""PRICE"",TODAY()-7),2,2)"),255.45)</f>
        <v>255.45</v>
      </c>
      <c r="I203" s="17">
        <f>IFERROR(__xludf.DUMMYFUNCTION("INDEX(GOOGLEFINANCE(""NSE:""&amp;D203,""PRICE"",TODAY()-14),2,2)"),186.85)</f>
        <v>186.85</v>
      </c>
      <c r="J203" s="17">
        <f>IFERROR(__xludf.DUMMYFUNCTION("INDEX(GOOGLEFINANCE(""NSE:""&amp;D203,""PRICE"",TODAY()-28),2,2)"),170.75)</f>
        <v>170.75</v>
      </c>
      <c r="K203" s="17">
        <f>IFERROR(__xludf.DUMMYFUNCTION("INDEX(GOOGLEFINANCE(""NSE:""&amp;D203,""PRICE"",TODAY()-84),2,2)"),217.1)</f>
        <v>217.1</v>
      </c>
      <c r="L203" s="16">
        <f t="shared" si="1"/>
        <v>-0.05299881235</v>
      </c>
      <c r="M203" s="16">
        <f t="shared" si="2"/>
        <v>0.2485809356</v>
      </c>
      <c r="N203" s="16">
        <f t="shared" si="3"/>
        <v>0.7069842119</v>
      </c>
      <c r="O203" s="16">
        <f t="shared" si="4"/>
        <v>0.8679355783</v>
      </c>
      <c r="P203" s="16">
        <f t="shared" si="5"/>
        <v>0.4691386458</v>
      </c>
      <c r="Q203" s="30">
        <f t="shared" si="6"/>
        <v>0.235715382</v>
      </c>
      <c r="R203" s="30">
        <f t="shared" si="7"/>
        <v>0.6814367667</v>
      </c>
      <c r="S203" s="30">
        <f t="shared" si="8"/>
        <v>0.7961298041</v>
      </c>
      <c r="T203" s="30">
        <f t="shared" si="9"/>
        <v>0.3369042136</v>
      </c>
      <c r="U203" s="31" t="str">
        <f t="shared" si="10"/>
        <v>#N/A</v>
      </c>
      <c r="V203" s="31" t="str">
        <f t="shared" si="11"/>
        <v>#N/A</v>
      </c>
      <c r="W203" s="31">
        <f t="shared" si="12"/>
        <v>1</v>
      </c>
      <c r="X203" s="31" t="str">
        <f t="shared" si="13"/>
        <v>#N/A</v>
      </c>
    </row>
    <row r="204">
      <c r="L204" s="16"/>
    </row>
    <row r="205">
      <c r="L205" s="16"/>
    </row>
    <row r="206">
      <c r="L206" s="16"/>
    </row>
    <row r="207">
      <c r="L207" s="16"/>
    </row>
    <row r="208">
      <c r="L208" s="16"/>
    </row>
    <row r="209">
      <c r="L209" s="16"/>
    </row>
    <row r="210">
      <c r="L210" s="16"/>
    </row>
    <row r="211">
      <c r="L211" s="16"/>
    </row>
    <row r="212">
      <c r="L212" s="16"/>
    </row>
    <row r="213">
      <c r="L213" s="16"/>
    </row>
    <row r="214">
      <c r="L214" s="16"/>
    </row>
    <row r="215">
      <c r="L215" s="16"/>
    </row>
    <row r="216">
      <c r="L216" s="16"/>
    </row>
    <row r="217">
      <c r="L217" s="16"/>
    </row>
    <row r="218">
      <c r="L218" s="16"/>
    </row>
    <row r="219">
      <c r="L219" s="16"/>
    </row>
    <row r="220">
      <c r="L220" s="16"/>
    </row>
    <row r="221">
      <c r="L221" s="16"/>
    </row>
    <row r="222">
      <c r="L222" s="16"/>
    </row>
    <row r="223">
      <c r="L223" s="16"/>
    </row>
    <row r="224">
      <c r="L224" s="16"/>
    </row>
    <row r="225">
      <c r="L225" s="16"/>
    </row>
    <row r="226">
      <c r="L226" s="16"/>
    </row>
    <row r="227">
      <c r="L227" s="16"/>
    </row>
    <row r="228">
      <c r="L228" s="16"/>
    </row>
    <row r="229">
      <c r="L229" s="16"/>
    </row>
    <row r="230">
      <c r="L230" s="16"/>
    </row>
    <row r="231">
      <c r="L231" s="16"/>
    </row>
    <row r="232">
      <c r="L232" s="16"/>
    </row>
    <row r="233">
      <c r="L233" s="16"/>
    </row>
    <row r="234">
      <c r="L234" s="16"/>
    </row>
    <row r="235">
      <c r="L235" s="16"/>
    </row>
    <row r="236">
      <c r="L236" s="16"/>
    </row>
    <row r="237">
      <c r="L237" s="16"/>
    </row>
    <row r="238">
      <c r="L238" s="16"/>
    </row>
    <row r="239">
      <c r="L239" s="16"/>
    </row>
    <row r="240">
      <c r="L240" s="16"/>
    </row>
    <row r="241">
      <c r="L241" s="16"/>
    </row>
    <row r="242">
      <c r="L242" s="16"/>
    </row>
    <row r="243">
      <c r="L243" s="16"/>
    </row>
    <row r="244">
      <c r="L244" s="16"/>
    </row>
    <row r="245">
      <c r="L245" s="16"/>
    </row>
    <row r="246">
      <c r="L246" s="16"/>
    </row>
    <row r="247">
      <c r="L247" s="16"/>
    </row>
    <row r="248">
      <c r="L248" s="16"/>
    </row>
    <row r="249">
      <c r="L249" s="16"/>
    </row>
    <row r="250">
      <c r="L250" s="16"/>
    </row>
    <row r="251">
      <c r="L251" s="16"/>
    </row>
    <row r="252">
      <c r="L252" s="16"/>
    </row>
    <row r="253">
      <c r="L253" s="16"/>
    </row>
    <row r="254">
      <c r="L254" s="16"/>
    </row>
    <row r="255">
      <c r="L255" s="16"/>
    </row>
    <row r="256">
      <c r="L256" s="16"/>
    </row>
    <row r="257">
      <c r="L257" s="16"/>
    </row>
    <row r="258">
      <c r="L258" s="16"/>
    </row>
    <row r="259">
      <c r="L259" s="16"/>
    </row>
    <row r="260">
      <c r="L260" s="16"/>
    </row>
    <row r="261">
      <c r="L261" s="16"/>
    </row>
    <row r="262">
      <c r="L262" s="16"/>
    </row>
    <row r="263">
      <c r="L263" s="16"/>
    </row>
    <row r="264">
      <c r="L264" s="16"/>
    </row>
    <row r="265">
      <c r="L265" s="16"/>
    </row>
    <row r="266">
      <c r="L266" s="16"/>
    </row>
    <row r="267">
      <c r="L267" s="16"/>
    </row>
    <row r="268">
      <c r="L268" s="16"/>
    </row>
    <row r="269">
      <c r="L269" s="16"/>
    </row>
    <row r="270">
      <c r="L270" s="16"/>
    </row>
    <row r="271">
      <c r="L271" s="16"/>
    </row>
    <row r="272">
      <c r="L272" s="16"/>
    </row>
    <row r="273">
      <c r="L273" s="16"/>
    </row>
    <row r="274">
      <c r="L274" s="16"/>
    </row>
    <row r="275">
      <c r="L275" s="16"/>
    </row>
    <row r="276">
      <c r="L276" s="16"/>
    </row>
    <row r="277">
      <c r="L277" s="16"/>
    </row>
    <row r="278">
      <c r="L278" s="16"/>
    </row>
    <row r="279">
      <c r="L279" s="16"/>
    </row>
    <row r="280">
      <c r="L280" s="16"/>
    </row>
    <row r="281">
      <c r="L281" s="16"/>
    </row>
    <row r="282">
      <c r="L282" s="16"/>
    </row>
    <row r="283">
      <c r="L283" s="16"/>
    </row>
    <row r="284">
      <c r="L284" s="16"/>
    </row>
    <row r="285">
      <c r="L285" s="16"/>
    </row>
    <row r="286">
      <c r="L286" s="16"/>
    </row>
    <row r="287">
      <c r="L287" s="16"/>
    </row>
    <row r="288">
      <c r="L288" s="16"/>
    </row>
    <row r="289">
      <c r="L289" s="16"/>
    </row>
    <row r="290">
      <c r="L290" s="16"/>
    </row>
    <row r="291">
      <c r="L291" s="16"/>
    </row>
    <row r="292">
      <c r="L292" s="16"/>
    </row>
    <row r="293">
      <c r="L293" s="16"/>
    </row>
    <row r="294">
      <c r="L294" s="16"/>
    </row>
    <row r="295">
      <c r="L295" s="16"/>
    </row>
    <row r="296">
      <c r="L296" s="16"/>
    </row>
    <row r="297">
      <c r="L297" s="16"/>
    </row>
    <row r="298">
      <c r="L298" s="16"/>
    </row>
    <row r="299">
      <c r="L299" s="16"/>
    </row>
    <row r="300">
      <c r="L300" s="16"/>
    </row>
    <row r="301">
      <c r="L301" s="16"/>
    </row>
    <row r="302">
      <c r="L302" s="16"/>
    </row>
    <row r="303">
      <c r="L303" s="16"/>
    </row>
    <row r="304">
      <c r="L304" s="16"/>
    </row>
    <row r="305">
      <c r="L305" s="16"/>
    </row>
    <row r="306">
      <c r="L306" s="16"/>
    </row>
    <row r="307">
      <c r="L307" s="16"/>
    </row>
    <row r="308">
      <c r="L308" s="16"/>
    </row>
    <row r="309">
      <c r="L309" s="16"/>
    </row>
    <row r="310">
      <c r="L310" s="16"/>
    </row>
    <row r="311">
      <c r="L311" s="16"/>
    </row>
    <row r="312">
      <c r="L312" s="16"/>
    </row>
    <row r="313">
      <c r="L313" s="16"/>
    </row>
    <row r="314">
      <c r="L314" s="16"/>
    </row>
    <row r="315">
      <c r="L315" s="16"/>
    </row>
    <row r="316">
      <c r="L316" s="16"/>
    </row>
    <row r="317">
      <c r="L317" s="16"/>
    </row>
    <row r="318">
      <c r="L318" s="16"/>
    </row>
    <row r="319">
      <c r="L319" s="16"/>
    </row>
    <row r="320">
      <c r="L320" s="16"/>
    </row>
    <row r="321">
      <c r="L321" s="16"/>
    </row>
    <row r="322">
      <c r="L322" s="16"/>
    </row>
    <row r="323">
      <c r="L323" s="16"/>
    </row>
    <row r="324">
      <c r="L324" s="16"/>
    </row>
    <row r="325">
      <c r="L325" s="16"/>
    </row>
    <row r="326">
      <c r="L326" s="16"/>
    </row>
    <row r="327">
      <c r="L327" s="16"/>
    </row>
    <row r="328">
      <c r="L328" s="16"/>
    </row>
    <row r="329">
      <c r="L329" s="16"/>
    </row>
    <row r="330">
      <c r="L330" s="16"/>
    </row>
    <row r="331">
      <c r="L331" s="16"/>
    </row>
    <row r="332">
      <c r="L332" s="16"/>
    </row>
    <row r="333">
      <c r="L333" s="16"/>
    </row>
    <row r="334">
      <c r="L334" s="16"/>
    </row>
    <row r="335">
      <c r="L335" s="16"/>
    </row>
    <row r="336">
      <c r="L336" s="16"/>
    </row>
    <row r="337">
      <c r="L337" s="16"/>
    </row>
    <row r="338">
      <c r="L338" s="16"/>
    </row>
    <row r="339">
      <c r="L339" s="16"/>
    </row>
    <row r="340">
      <c r="L340" s="16"/>
    </row>
    <row r="341">
      <c r="L341" s="16"/>
    </row>
    <row r="342">
      <c r="L342" s="16"/>
    </row>
    <row r="343">
      <c r="L343" s="16"/>
    </row>
    <row r="344">
      <c r="L344" s="16"/>
    </row>
    <row r="345">
      <c r="L345" s="16"/>
    </row>
    <row r="346">
      <c r="L346" s="16"/>
    </row>
    <row r="347">
      <c r="L347" s="16"/>
    </row>
    <row r="348">
      <c r="L348" s="16"/>
    </row>
    <row r="349">
      <c r="L349" s="16"/>
    </row>
    <row r="350">
      <c r="L350" s="16"/>
    </row>
    <row r="351">
      <c r="L351" s="16"/>
    </row>
    <row r="352">
      <c r="L352" s="16"/>
    </row>
    <row r="353">
      <c r="L353" s="16"/>
    </row>
    <row r="354">
      <c r="L354" s="16"/>
    </row>
    <row r="355">
      <c r="L355" s="16"/>
    </row>
    <row r="356">
      <c r="L356" s="16"/>
    </row>
    <row r="357">
      <c r="L357" s="16"/>
    </row>
    <row r="358">
      <c r="L358" s="16"/>
    </row>
    <row r="359">
      <c r="L359" s="16"/>
    </row>
    <row r="360">
      <c r="L360" s="16"/>
    </row>
    <row r="361">
      <c r="L361" s="16"/>
    </row>
    <row r="362">
      <c r="L362" s="16"/>
    </row>
    <row r="363">
      <c r="L363" s="16"/>
    </row>
    <row r="364">
      <c r="L364" s="16"/>
    </row>
    <row r="365">
      <c r="L365" s="16"/>
    </row>
    <row r="366">
      <c r="L366" s="16"/>
    </row>
    <row r="367">
      <c r="L367" s="16"/>
    </row>
    <row r="368">
      <c r="L368" s="16"/>
    </row>
    <row r="369">
      <c r="L369" s="16"/>
    </row>
    <row r="370">
      <c r="L370" s="16"/>
    </row>
    <row r="371">
      <c r="L371" s="16"/>
    </row>
    <row r="372">
      <c r="L372" s="16"/>
    </row>
    <row r="373">
      <c r="L373" s="16"/>
    </row>
    <row r="374">
      <c r="L374" s="16"/>
    </row>
    <row r="375">
      <c r="L375" s="16"/>
    </row>
    <row r="376">
      <c r="L376" s="16"/>
    </row>
    <row r="377">
      <c r="L377" s="16"/>
    </row>
    <row r="378">
      <c r="L378" s="16"/>
    </row>
    <row r="379">
      <c r="L379" s="16"/>
    </row>
    <row r="380">
      <c r="L380" s="16"/>
    </row>
    <row r="381">
      <c r="L381" s="16"/>
    </row>
    <row r="382">
      <c r="L382" s="16"/>
    </row>
    <row r="383">
      <c r="L383" s="16"/>
    </row>
    <row r="384">
      <c r="L384" s="16"/>
    </row>
    <row r="385">
      <c r="L385" s="16"/>
    </row>
    <row r="386">
      <c r="L386" s="16"/>
    </row>
    <row r="387">
      <c r="L387" s="16"/>
    </row>
    <row r="388">
      <c r="L388" s="16"/>
    </row>
    <row r="389">
      <c r="L389" s="16"/>
    </row>
    <row r="390">
      <c r="L390" s="16"/>
    </row>
    <row r="391">
      <c r="L391" s="16"/>
    </row>
    <row r="392">
      <c r="L392" s="16"/>
    </row>
    <row r="393">
      <c r="L393" s="16"/>
    </row>
    <row r="394">
      <c r="L394" s="16"/>
    </row>
    <row r="395">
      <c r="L395" s="16"/>
    </row>
    <row r="396">
      <c r="L396" s="16"/>
    </row>
    <row r="397">
      <c r="L397" s="16"/>
    </row>
    <row r="398">
      <c r="L398" s="16"/>
    </row>
    <row r="399">
      <c r="L399" s="16"/>
    </row>
    <row r="400">
      <c r="L400" s="16"/>
    </row>
    <row r="401">
      <c r="L401" s="16"/>
    </row>
    <row r="402">
      <c r="L402" s="16"/>
    </row>
    <row r="403">
      <c r="L403" s="16"/>
    </row>
    <row r="404">
      <c r="L404" s="16"/>
    </row>
    <row r="405">
      <c r="L405" s="16"/>
    </row>
    <row r="406">
      <c r="L406" s="16"/>
    </row>
    <row r="407">
      <c r="L407" s="16"/>
    </row>
    <row r="408">
      <c r="L408" s="16"/>
    </row>
    <row r="409">
      <c r="L409" s="16"/>
    </row>
    <row r="410">
      <c r="L410" s="16"/>
    </row>
    <row r="411">
      <c r="L411" s="16"/>
    </row>
    <row r="412">
      <c r="L412" s="16"/>
    </row>
    <row r="413">
      <c r="L413" s="16"/>
    </row>
    <row r="414">
      <c r="L414" s="16"/>
    </row>
    <row r="415">
      <c r="L415" s="16"/>
    </row>
    <row r="416">
      <c r="L416" s="16"/>
    </row>
    <row r="417">
      <c r="L417" s="16"/>
    </row>
    <row r="418">
      <c r="L418" s="16"/>
    </row>
    <row r="419">
      <c r="L419" s="16"/>
    </row>
    <row r="420">
      <c r="L420" s="16"/>
    </row>
    <row r="421">
      <c r="L421" s="16"/>
    </row>
    <row r="422">
      <c r="L422" s="16"/>
    </row>
    <row r="423">
      <c r="L423" s="16"/>
    </row>
    <row r="424">
      <c r="L424" s="16"/>
    </row>
    <row r="425">
      <c r="L425" s="16"/>
    </row>
    <row r="426">
      <c r="L426" s="16"/>
    </row>
    <row r="427">
      <c r="L427" s="16"/>
    </row>
    <row r="428">
      <c r="L428" s="16"/>
    </row>
    <row r="429">
      <c r="L429" s="16"/>
    </row>
    <row r="430">
      <c r="L430" s="16"/>
    </row>
    <row r="431">
      <c r="L431" s="16"/>
    </row>
    <row r="432">
      <c r="L432" s="16"/>
    </row>
    <row r="433">
      <c r="L433" s="16"/>
    </row>
    <row r="434">
      <c r="L434" s="16"/>
    </row>
    <row r="435">
      <c r="L435" s="16"/>
    </row>
    <row r="436">
      <c r="L436" s="16"/>
    </row>
    <row r="437">
      <c r="L437" s="16"/>
    </row>
    <row r="438">
      <c r="L438" s="16"/>
    </row>
    <row r="439">
      <c r="L439" s="16"/>
    </row>
    <row r="440">
      <c r="L440" s="16"/>
    </row>
    <row r="441">
      <c r="L441" s="16"/>
    </row>
    <row r="442">
      <c r="L442" s="16"/>
    </row>
    <row r="443">
      <c r="L443" s="16"/>
    </row>
    <row r="444">
      <c r="L444" s="16"/>
    </row>
    <row r="445">
      <c r="L445" s="16"/>
    </row>
    <row r="446">
      <c r="L446" s="16"/>
    </row>
    <row r="447">
      <c r="L447" s="16"/>
    </row>
    <row r="448">
      <c r="L448" s="16"/>
    </row>
    <row r="449">
      <c r="L449" s="16"/>
    </row>
    <row r="450">
      <c r="L450" s="16"/>
    </row>
    <row r="451">
      <c r="L451" s="16"/>
    </row>
    <row r="452">
      <c r="L452" s="16"/>
    </row>
    <row r="453">
      <c r="L453" s="16"/>
    </row>
    <row r="454">
      <c r="L454" s="16"/>
    </row>
    <row r="455">
      <c r="L455" s="16"/>
    </row>
    <row r="456">
      <c r="L456" s="16"/>
    </row>
    <row r="457">
      <c r="L457" s="16"/>
    </row>
    <row r="458">
      <c r="L458" s="16"/>
    </row>
    <row r="459">
      <c r="L459" s="16"/>
    </row>
    <row r="460">
      <c r="L460" s="16"/>
    </row>
    <row r="461">
      <c r="L461" s="16"/>
    </row>
    <row r="462">
      <c r="L462" s="16"/>
    </row>
    <row r="463">
      <c r="L463" s="16"/>
    </row>
    <row r="464">
      <c r="L464" s="16"/>
    </row>
    <row r="465">
      <c r="L465" s="16"/>
    </row>
    <row r="466">
      <c r="L466" s="16"/>
    </row>
    <row r="467">
      <c r="L467" s="16"/>
    </row>
    <row r="468">
      <c r="L468" s="16"/>
    </row>
    <row r="469">
      <c r="L469" s="16"/>
    </row>
    <row r="470">
      <c r="L470" s="16"/>
    </row>
    <row r="471">
      <c r="L471" s="16"/>
    </row>
    <row r="472">
      <c r="L472" s="16"/>
    </row>
    <row r="473">
      <c r="L473" s="16"/>
    </row>
    <row r="474">
      <c r="L474" s="16"/>
    </row>
    <row r="475">
      <c r="L475" s="16"/>
    </row>
    <row r="476">
      <c r="L476" s="16"/>
    </row>
    <row r="477">
      <c r="L477" s="16"/>
    </row>
    <row r="478">
      <c r="L478" s="16"/>
    </row>
    <row r="479">
      <c r="L479" s="16"/>
    </row>
    <row r="480">
      <c r="L480" s="16"/>
    </row>
    <row r="481">
      <c r="L481" s="16"/>
    </row>
    <row r="482">
      <c r="L482" s="16"/>
    </row>
    <row r="483">
      <c r="L483" s="16"/>
    </row>
    <row r="484">
      <c r="L484" s="16"/>
    </row>
    <row r="485">
      <c r="L485" s="16"/>
    </row>
    <row r="486">
      <c r="L486" s="16"/>
    </row>
    <row r="487">
      <c r="L487" s="16"/>
    </row>
    <row r="488">
      <c r="L488" s="16"/>
    </row>
    <row r="489">
      <c r="L489" s="16"/>
    </row>
    <row r="490">
      <c r="L490" s="16"/>
    </row>
    <row r="491">
      <c r="L491" s="16"/>
    </row>
    <row r="492">
      <c r="L492" s="16"/>
    </row>
    <row r="493">
      <c r="L493" s="16"/>
    </row>
    <row r="494">
      <c r="L494" s="16"/>
    </row>
    <row r="495">
      <c r="L495" s="16"/>
    </row>
    <row r="496">
      <c r="L496" s="16"/>
    </row>
    <row r="497">
      <c r="L497" s="16"/>
    </row>
    <row r="498">
      <c r="L498" s="16"/>
    </row>
    <row r="499">
      <c r="L499" s="16"/>
    </row>
    <row r="500">
      <c r="L500" s="16"/>
    </row>
    <row r="501">
      <c r="L501" s="16"/>
    </row>
    <row r="502">
      <c r="L502" s="16"/>
    </row>
    <row r="503">
      <c r="L503" s="16"/>
    </row>
    <row r="504">
      <c r="L504" s="16"/>
    </row>
    <row r="505">
      <c r="L505" s="16"/>
    </row>
    <row r="506">
      <c r="L506" s="16"/>
    </row>
    <row r="507">
      <c r="L507" s="16"/>
    </row>
    <row r="508">
      <c r="L508" s="16"/>
    </row>
    <row r="509">
      <c r="L509" s="16"/>
    </row>
    <row r="510">
      <c r="L510" s="16"/>
    </row>
    <row r="511">
      <c r="L511" s="16"/>
    </row>
    <row r="512">
      <c r="L512" s="16"/>
    </row>
    <row r="513">
      <c r="L513" s="16"/>
    </row>
    <row r="514">
      <c r="L514" s="16"/>
    </row>
    <row r="515">
      <c r="L515" s="16"/>
    </row>
    <row r="516">
      <c r="L516" s="16"/>
    </row>
    <row r="517">
      <c r="L517" s="16"/>
    </row>
    <row r="518">
      <c r="L518" s="16"/>
    </row>
    <row r="519">
      <c r="L519" s="16"/>
    </row>
    <row r="520">
      <c r="L520" s="16"/>
    </row>
    <row r="521">
      <c r="L521" s="16"/>
    </row>
    <row r="522">
      <c r="L522" s="16"/>
    </row>
    <row r="523">
      <c r="L523" s="16"/>
    </row>
    <row r="524">
      <c r="L524" s="16"/>
    </row>
    <row r="525">
      <c r="L525" s="16"/>
    </row>
    <row r="526">
      <c r="L526" s="16"/>
    </row>
    <row r="527">
      <c r="L527" s="16"/>
    </row>
    <row r="528">
      <c r="L528" s="16"/>
    </row>
    <row r="529">
      <c r="L529" s="16"/>
    </row>
    <row r="530">
      <c r="L530" s="16"/>
    </row>
    <row r="531">
      <c r="L531" s="16"/>
    </row>
    <row r="532">
      <c r="L532" s="16"/>
    </row>
    <row r="533">
      <c r="L533" s="16"/>
    </row>
    <row r="534">
      <c r="L534" s="16"/>
    </row>
    <row r="535">
      <c r="L535" s="16"/>
    </row>
    <row r="536">
      <c r="L536" s="16"/>
    </row>
    <row r="537">
      <c r="L537" s="16"/>
    </row>
    <row r="538">
      <c r="L538" s="16"/>
    </row>
    <row r="539">
      <c r="L539" s="16"/>
    </row>
    <row r="540">
      <c r="L540" s="16"/>
    </row>
    <row r="541">
      <c r="L541" s="16"/>
    </row>
    <row r="542">
      <c r="L542" s="16"/>
    </row>
    <row r="543">
      <c r="L543" s="16"/>
    </row>
    <row r="544">
      <c r="L544" s="16"/>
    </row>
    <row r="545">
      <c r="L545" s="16"/>
    </row>
    <row r="546">
      <c r="L546" s="16"/>
    </row>
    <row r="547">
      <c r="L547" s="16"/>
    </row>
    <row r="548">
      <c r="L548" s="16"/>
    </row>
    <row r="549">
      <c r="L549" s="16"/>
    </row>
    <row r="550">
      <c r="L550" s="16"/>
    </row>
    <row r="551">
      <c r="L551" s="16"/>
    </row>
    <row r="552">
      <c r="L552" s="16"/>
    </row>
    <row r="553">
      <c r="L553" s="16"/>
    </row>
    <row r="554">
      <c r="L554" s="16"/>
    </row>
    <row r="555">
      <c r="L555" s="16"/>
    </row>
    <row r="556">
      <c r="L556" s="16"/>
    </row>
    <row r="557">
      <c r="L557" s="16"/>
    </row>
    <row r="558">
      <c r="L558" s="16"/>
    </row>
    <row r="559">
      <c r="L559" s="16"/>
    </row>
    <row r="560">
      <c r="L560" s="16"/>
    </row>
    <row r="561">
      <c r="L561" s="16"/>
    </row>
    <row r="562">
      <c r="L562" s="16"/>
    </row>
    <row r="563">
      <c r="L563" s="16"/>
    </row>
    <row r="564">
      <c r="L564" s="16"/>
    </row>
    <row r="565">
      <c r="L565" s="16"/>
    </row>
    <row r="566">
      <c r="L566" s="16"/>
    </row>
    <row r="567">
      <c r="L567" s="16"/>
    </row>
    <row r="568">
      <c r="L568" s="16"/>
    </row>
    <row r="569">
      <c r="L569" s="16"/>
    </row>
    <row r="570">
      <c r="L570" s="16"/>
    </row>
    <row r="571">
      <c r="L571" s="16"/>
    </row>
    <row r="572">
      <c r="L572" s="16"/>
    </row>
    <row r="573">
      <c r="L573" s="16"/>
    </row>
    <row r="574">
      <c r="L574" s="16"/>
    </row>
    <row r="575">
      <c r="L575" s="16"/>
    </row>
    <row r="576">
      <c r="L576" s="16"/>
    </row>
    <row r="577">
      <c r="L577" s="16"/>
    </row>
    <row r="578">
      <c r="L578" s="16"/>
    </row>
    <row r="579">
      <c r="L579" s="16"/>
    </row>
    <row r="580">
      <c r="L580" s="16"/>
    </row>
    <row r="581">
      <c r="L581" s="16"/>
    </row>
    <row r="582">
      <c r="L582" s="16"/>
    </row>
    <row r="583">
      <c r="L583" s="16"/>
    </row>
    <row r="584">
      <c r="L584" s="16"/>
    </row>
    <row r="585">
      <c r="L585" s="16"/>
    </row>
    <row r="586">
      <c r="L586" s="16"/>
    </row>
    <row r="587">
      <c r="L587" s="16"/>
    </row>
    <row r="588">
      <c r="L588" s="16"/>
    </row>
    <row r="589">
      <c r="L589" s="16"/>
    </row>
    <row r="590">
      <c r="L590" s="16"/>
    </row>
    <row r="591">
      <c r="L591" s="16"/>
    </row>
    <row r="592">
      <c r="L592" s="16"/>
    </row>
    <row r="593">
      <c r="L593" s="16"/>
    </row>
    <row r="594">
      <c r="L594" s="16"/>
    </row>
    <row r="595">
      <c r="L595" s="16"/>
    </row>
    <row r="596">
      <c r="L596" s="16"/>
    </row>
    <row r="597">
      <c r="L597" s="16"/>
    </row>
    <row r="598">
      <c r="L598" s="16"/>
    </row>
    <row r="599">
      <c r="L599" s="16"/>
    </row>
    <row r="600">
      <c r="L600" s="16"/>
    </row>
    <row r="601">
      <c r="L601" s="16"/>
    </row>
    <row r="602">
      <c r="L602" s="16"/>
    </row>
    <row r="603">
      <c r="L603" s="16"/>
    </row>
    <row r="604">
      <c r="L604" s="16"/>
    </row>
    <row r="605">
      <c r="L605" s="16"/>
    </row>
    <row r="606">
      <c r="L606" s="16"/>
    </row>
    <row r="607">
      <c r="L607" s="16"/>
    </row>
    <row r="608">
      <c r="L608" s="16"/>
    </row>
    <row r="609">
      <c r="L609" s="16"/>
    </row>
    <row r="610">
      <c r="L610" s="16"/>
    </row>
    <row r="611">
      <c r="L611" s="16"/>
    </row>
    <row r="612">
      <c r="L612" s="16"/>
    </row>
    <row r="613">
      <c r="L613" s="16"/>
    </row>
    <row r="614">
      <c r="L614" s="16"/>
    </row>
    <row r="615">
      <c r="L615" s="16"/>
    </row>
    <row r="616">
      <c r="L616" s="16"/>
    </row>
    <row r="617">
      <c r="L617" s="16"/>
    </row>
    <row r="618">
      <c r="L618" s="16"/>
    </row>
    <row r="619">
      <c r="L619" s="16"/>
    </row>
    <row r="620">
      <c r="L620" s="16"/>
    </row>
    <row r="621">
      <c r="L621" s="16"/>
    </row>
    <row r="622">
      <c r="L622" s="16"/>
    </row>
    <row r="623">
      <c r="L623" s="16"/>
    </row>
    <row r="624">
      <c r="L624" s="16"/>
    </row>
    <row r="625">
      <c r="L625" s="16"/>
    </row>
    <row r="626">
      <c r="L626" s="16"/>
    </row>
    <row r="627">
      <c r="L627" s="16"/>
    </row>
    <row r="628">
      <c r="L628" s="16"/>
    </row>
    <row r="629">
      <c r="L629" s="16"/>
    </row>
    <row r="630">
      <c r="L630" s="16"/>
    </row>
    <row r="631">
      <c r="L631" s="16"/>
    </row>
    <row r="632">
      <c r="L632" s="16"/>
    </row>
    <row r="633">
      <c r="L633" s="16"/>
    </row>
    <row r="634">
      <c r="L634" s="16"/>
    </row>
    <row r="635">
      <c r="L635" s="16"/>
    </row>
    <row r="636">
      <c r="L636" s="16"/>
    </row>
    <row r="637">
      <c r="L637" s="16"/>
    </row>
    <row r="638">
      <c r="L638" s="16"/>
    </row>
    <row r="639">
      <c r="L639" s="16"/>
    </row>
    <row r="640">
      <c r="L640" s="16"/>
    </row>
    <row r="641">
      <c r="L641" s="16"/>
    </row>
    <row r="642">
      <c r="L642" s="16"/>
    </row>
    <row r="643">
      <c r="L643" s="16"/>
    </row>
    <row r="644">
      <c r="L644" s="16"/>
    </row>
    <row r="645">
      <c r="L645" s="16"/>
    </row>
    <row r="646">
      <c r="L646" s="16"/>
    </row>
    <row r="647">
      <c r="L647" s="16"/>
    </row>
    <row r="648">
      <c r="L648" s="16"/>
    </row>
    <row r="649">
      <c r="L649" s="16"/>
    </row>
    <row r="650">
      <c r="L650" s="16"/>
    </row>
    <row r="651">
      <c r="L651" s="16"/>
    </row>
    <row r="652">
      <c r="L652" s="16"/>
    </row>
    <row r="653">
      <c r="L653" s="16"/>
    </row>
    <row r="654">
      <c r="L654" s="16"/>
    </row>
    <row r="655">
      <c r="L655" s="16"/>
    </row>
    <row r="656">
      <c r="L656" s="16"/>
    </row>
    <row r="657">
      <c r="L657" s="16"/>
    </row>
    <row r="658">
      <c r="L658" s="16"/>
    </row>
    <row r="659">
      <c r="L659" s="16"/>
    </row>
    <row r="660">
      <c r="L660" s="16"/>
    </row>
    <row r="661">
      <c r="L661" s="16"/>
    </row>
    <row r="662">
      <c r="L662" s="16"/>
    </row>
    <row r="663">
      <c r="L663" s="16"/>
    </row>
    <row r="664">
      <c r="L664" s="16"/>
    </row>
    <row r="665">
      <c r="L665" s="16"/>
    </row>
    <row r="666">
      <c r="L666" s="16"/>
    </row>
    <row r="667">
      <c r="L667" s="16"/>
    </row>
    <row r="668">
      <c r="L668" s="16"/>
    </row>
    <row r="669">
      <c r="L669" s="16"/>
    </row>
    <row r="670">
      <c r="L670" s="16"/>
    </row>
    <row r="671">
      <c r="L671" s="16"/>
    </row>
    <row r="672">
      <c r="L672" s="16"/>
    </row>
    <row r="673">
      <c r="L673" s="16"/>
    </row>
    <row r="674">
      <c r="L674" s="16"/>
    </row>
    <row r="675">
      <c r="L675" s="16"/>
    </row>
    <row r="676">
      <c r="L676" s="16"/>
    </row>
    <row r="677">
      <c r="L677" s="16"/>
    </row>
    <row r="678">
      <c r="L678" s="16"/>
    </row>
    <row r="679">
      <c r="L679" s="16"/>
    </row>
    <row r="680">
      <c r="L680" s="16"/>
    </row>
    <row r="681">
      <c r="L681" s="16"/>
    </row>
    <row r="682">
      <c r="L682" s="16"/>
    </row>
    <row r="683">
      <c r="L683" s="16"/>
    </row>
    <row r="684">
      <c r="L684" s="16"/>
    </row>
    <row r="685">
      <c r="L685" s="16"/>
    </row>
    <row r="686">
      <c r="L686" s="16"/>
    </row>
    <row r="687">
      <c r="L687" s="16"/>
    </row>
    <row r="688">
      <c r="L688" s="16"/>
    </row>
    <row r="689">
      <c r="L689" s="16"/>
    </row>
    <row r="690">
      <c r="L690" s="16"/>
    </row>
    <row r="691">
      <c r="L691" s="16"/>
    </row>
    <row r="692">
      <c r="L692" s="16"/>
    </row>
    <row r="693">
      <c r="L693" s="16"/>
    </row>
    <row r="694">
      <c r="L694" s="16"/>
    </row>
    <row r="695">
      <c r="L695" s="16"/>
    </row>
    <row r="696">
      <c r="L696" s="16"/>
    </row>
    <row r="697">
      <c r="L697" s="16"/>
    </row>
    <row r="698">
      <c r="L698" s="16"/>
    </row>
    <row r="699">
      <c r="L699" s="16"/>
    </row>
    <row r="700">
      <c r="L700" s="16"/>
    </row>
    <row r="701">
      <c r="L701" s="16"/>
    </row>
    <row r="702">
      <c r="L702" s="16"/>
    </row>
    <row r="703">
      <c r="L703" s="16"/>
    </row>
    <row r="704">
      <c r="L704" s="16"/>
    </row>
    <row r="705">
      <c r="L705" s="16"/>
    </row>
    <row r="706">
      <c r="L706" s="16"/>
    </row>
    <row r="707">
      <c r="L707" s="16"/>
    </row>
    <row r="708">
      <c r="L708" s="16"/>
    </row>
    <row r="709">
      <c r="L709" s="16"/>
    </row>
    <row r="710">
      <c r="L710" s="16"/>
    </row>
    <row r="711">
      <c r="L711" s="16"/>
    </row>
    <row r="712">
      <c r="L712" s="16"/>
    </row>
    <row r="713">
      <c r="L713" s="16"/>
    </row>
    <row r="714">
      <c r="L714" s="16"/>
    </row>
    <row r="715">
      <c r="L715" s="16"/>
    </row>
    <row r="716">
      <c r="L716" s="16"/>
    </row>
    <row r="717">
      <c r="L717" s="16"/>
    </row>
    <row r="718">
      <c r="L718" s="16"/>
    </row>
    <row r="719">
      <c r="L719" s="16"/>
    </row>
    <row r="720">
      <c r="L720" s="16"/>
    </row>
    <row r="721">
      <c r="L721" s="16"/>
    </row>
    <row r="722">
      <c r="L722" s="16"/>
    </row>
    <row r="723">
      <c r="L723" s="16"/>
    </row>
    <row r="724">
      <c r="L724" s="16"/>
    </row>
    <row r="725">
      <c r="L725" s="16"/>
    </row>
    <row r="726">
      <c r="L726" s="16"/>
    </row>
    <row r="727">
      <c r="L727" s="16"/>
    </row>
    <row r="728">
      <c r="L728" s="16"/>
    </row>
    <row r="729">
      <c r="L729" s="16"/>
    </row>
    <row r="730">
      <c r="L730" s="16"/>
    </row>
    <row r="731">
      <c r="L731" s="16"/>
    </row>
    <row r="732">
      <c r="L732" s="16"/>
    </row>
    <row r="733">
      <c r="L733" s="16"/>
    </row>
    <row r="734">
      <c r="L734" s="16"/>
    </row>
    <row r="735">
      <c r="L735" s="16"/>
    </row>
    <row r="736">
      <c r="L736" s="16"/>
    </row>
    <row r="737">
      <c r="L737" s="16"/>
    </row>
    <row r="738">
      <c r="L738" s="16"/>
    </row>
    <row r="739">
      <c r="L739" s="16"/>
    </row>
    <row r="740">
      <c r="L740" s="16"/>
    </row>
    <row r="741">
      <c r="L741" s="16"/>
    </row>
    <row r="742">
      <c r="L742" s="16"/>
    </row>
    <row r="743">
      <c r="L743" s="16"/>
    </row>
    <row r="744">
      <c r="L744" s="16"/>
    </row>
    <row r="745">
      <c r="L745" s="16"/>
    </row>
    <row r="746">
      <c r="L746" s="16"/>
    </row>
    <row r="747">
      <c r="L747" s="16"/>
    </row>
    <row r="748">
      <c r="L748" s="16"/>
    </row>
    <row r="749">
      <c r="L749" s="16"/>
    </row>
    <row r="750">
      <c r="L750" s="16"/>
    </row>
    <row r="751">
      <c r="L751" s="16"/>
    </row>
    <row r="752">
      <c r="L752" s="16"/>
    </row>
    <row r="753">
      <c r="L753" s="16"/>
    </row>
    <row r="754">
      <c r="L754" s="16"/>
    </row>
    <row r="755">
      <c r="L755" s="16"/>
    </row>
    <row r="756">
      <c r="L756" s="16"/>
    </row>
    <row r="757">
      <c r="L757" s="16"/>
    </row>
    <row r="758">
      <c r="L758" s="16"/>
    </row>
    <row r="759">
      <c r="L759" s="16"/>
    </row>
    <row r="760">
      <c r="L760" s="16"/>
    </row>
    <row r="761">
      <c r="L761" s="16"/>
    </row>
    <row r="762">
      <c r="L762" s="16"/>
    </row>
    <row r="763">
      <c r="L763" s="16"/>
    </row>
    <row r="764">
      <c r="L764" s="16"/>
    </row>
    <row r="765">
      <c r="L765" s="16"/>
    </row>
    <row r="766">
      <c r="L766" s="16"/>
    </row>
    <row r="767">
      <c r="L767" s="16"/>
    </row>
    <row r="768">
      <c r="L768" s="16"/>
    </row>
    <row r="769">
      <c r="L769" s="16"/>
    </row>
    <row r="770">
      <c r="L770" s="16"/>
    </row>
    <row r="771">
      <c r="L771" s="16"/>
    </row>
    <row r="772">
      <c r="L772" s="16"/>
    </row>
    <row r="773">
      <c r="L773" s="16"/>
    </row>
    <row r="774">
      <c r="L774" s="16"/>
    </row>
    <row r="775">
      <c r="L775" s="16"/>
    </row>
    <row r="776">
      <c r="L776" s="16"/>
    </row>
    <row r="777">
      <c r="L777" s="16"/>
    </row>
    <row r="778">
      <c r="L778" s="16"/>
    </row>
    <row r="779">
      <c r="L779" s="16"/>
    </row>
    <row r="780">
      <c r="L780" s="16"/>
    </row>
    <row r="781">
      <c r="L781" s="16"/>
    </row>
    <row r="782">
      <c r="L782" s="16"/>
    </row>
    <row r="783">
      <c r="L783" s="16"/>
    </row>
    <row r="784">
      <c r="L784" s="16"/>
    </row>
    <row r="785">
      <c r="L785" s="16"/>
    </row>
    <row r="786">
      <c r="L786" s="16"/>
    </row>
    <row r="787">
      <c r="L787" s="16"/>
    </row>
    <row r="788">
      <c r="L788" s="16"/>
    </row>
    <row r="789">
      <c r="L789" s="16"/>
    </row>
    <row r="790">
      <c r="L790" s="16"/>
    </row>
    <row r="791">
      <c r="L791" s="16"/>
    </row>
    <row r="792">
      <c r="L792" s="16"/>
    </row>
    <row r="793">
      <c r="L793" s="16"/>
    </row>
    <row r="794">
      <c r="L794" s="16"/>
    </row>
    <row r="795">
      <c r="L795" s="16"/>
    </row>
    <row r="796">
      <c r="L796" s="16"/>
    </row>
    <row r="797">
      <c r="L797" s="16"/>
    </row>
    <row r="798">
      <c r="L798" s="16"/>
    </row>
    <row r="799">
      <c r="L799" s="16"/>
    </row>
    <row r="800">
      <c r="L800" s="16"/>
    </row>
    <row r="801">
      <c r="L801" s="16"/>
    </row>
    <row r="802">
      <c r="L802" s="16"/>
    </row>
    <row r="803">
      <c r="L803" s="16"/>
    </row>
    <row r="804">
      <c r="L804" s="16"/>
    </row>
    <row r="805">
      <c r="L805" s="16"/>
    </row>
    <row r="806">
      <c r="L806" s="16"/>
    </row>
    <row r="807">
      <c r="L807" s="16"/>
    </row>
    <row r="808">
      <c r="L808" s="16"/>
    </row>
    <row r="809">
      <c r="L809" s="16"/>
    </row>
    <row r="810">
      <c r="L810" s="16"/>
    </row>
    <row r="811">
      <c r="L811" s="16"/>
    </row>
    <row r="812">
      <c r="L812" s="16"/>
    </row>
    <row r="813">
      <c r="L813" s="16"/>
    </row>
    <row r="814">
      <c r="L814" s="16"/>
    </row>
    <row r="815">
      <c r="L815" s="16"/>
    </row>
    <row r="816">
      <c r="L816" s="16"/>
    </row>
    <row r="817">
      <c r="L817" s="16"/>
    </row>
    <row r="818">
      <c r="L818" s="16"/>
    </row>
    <row r="819">
      <c r="L819" s="16"/>
    </row>
    <row r="820">
      <c r="L820" s="16"/>
    </row>
    <row r="821">
      <c r="L821" s="16"/>
    </row>
    <row r="822">
      <c r="L822" s="16"/>
    </row>
    <row r="823">
      <c r="L823" s="16"/>
    </row>
    <row r="824">
      <c r="L824" s="16"/>
    </row>
    <row r="825">
      <c r="L825" s="16"/>
    </row>
    <row r="826">
      <c r="L826" s="16"/>
    </row>
    <row r="827">
      <c r="L827" s="16"/>
    </row>
    <row r="828">
      <c r="L828" s="16"/>
    </row>
    <row r="829">
      <c r="L829" s="16"/>
    </row>
    <row r="830">
      <c r="L830" s="16"/>
    </row>
    <row r="831">
      <c r="L831" s="16"/>
    </row>
    <row r="832">
      <c r="L832" s="16"/>
    </row>
    <row r="833">
      <c r="L833" s="16"/>
    </row>
    <row r="834">
      <c r="L834" s="16"/>
    </row>
    <row r="835">
      <c r="L835" s="16"/>
    </row>
    <row r="836">
      <c r="L836" s="16"/>
    </row>
    <row r="837">
      <c r="L837" s="16"/>
    </row>
    <row r="838">
      <c r="L838" s="16"/>
    </row>
    <row r="839">
      <c r="L839" s="16"/>
    </row>
    <row r="840">
      <c r="L840" s="16"/>
    </row>
    <row r="841">
      <c r="L841" s="16"/>
    </row>
    <row r="842">
      <c r="L842" s="16"/>
    </row>
    <row r="843">
      <c r="L843" s="16"/>
    </row>
    <row r="844">
      <c r="L844" s="16"/>
    </row>
    <row r="845">
      <c r="L845" s="16"/>
    </row>
    <row r="846">
      <c r="L846" s="16"/>
    </row>
    <row r="847">
      <c r="L847" s="16"/>
    </row>
    <row r="848">
      <c r="L848" s="16"/>
    </row>
    <row r="849">
      <c r="L849" s="16"/>
    </row>
    <row r="850">
      <c r="L850" s="16"/>
    </row>
    <row r="851">
      <c r="L851" s="16"/>
    </row>
    <row r="852">
      <c r="L852" s="16"/>
    </row>
    <row r="853">
      <c r="L853" s="16"/>
    </row>
    <row r="854">
      <c r="L854" s="16"/>
    </row>
    <row r="855">
      <c r="L855" s="16"/>
    </row>
    <row r="856">
      <c r="L856" s="16"/>
    </row>
    <row r="857">
      <c r="L857" s="16"/>
    </row>
    <row r="858">
      <c r="L858" s="16"/>
    </row>
    <row r="859">
      <c r="L859" s="16"/>
    </row>
    <row r="860">
      <c r="L860" s="16"/>
    </row>
    <row r="861">
      <c r="L861" s="16"/>
    </row>
    <row r="862">
      <c r="L862" s="16"/>
    </row>
    <row r="863">
      <c r="L863" s="16"/>
    </row>
    <row r="864">
      <c r="L864" s="16"/>
    </row>
    <row r="865">
      <c r="L865" s="16"/>
    </row>
    <row r="866">
      <c r="L866" s="16"/>
    </row>
    <row r="867">
      <c r="L867" s="16"/>
    </row>
    <row r="868">
      <c r="L868" s="16"/>
    </row>
    <row r="869">
      <c r="L869" s="16"/>
    </row>
    <row r="870">
      <c r="L870" s="16"/>
    </row>
    <row r="871">
      <c r="L871" s="16"/>
    </row>
    <row r="872">
      <c r="L872" s="16"/>
    </row>
    <row r="873">
      <c r="L873" s="16"/>
    </row>
    <row r="874">
      <c r="L874" s="16"/>
    </row>
    <row r="875">
      <c r="L875" s="16"/>
    </row>
    <row r="876">
      <c r="L876" s="16"/>
    </row>
    <row r="877">
      <c r="L877" s="16"/>
    </row>
    <row r="878">
      <c r="L878" s="16"/>
    </row>
    <row r="879">
      <c r="L879" s="16"/>
    </row>
    <row r="880">
      <c r="L880" s="16"/>
    </row>
    <row r="881">
      <c r="L881" s="16"/>
    </row>
    <row r="882">
      <c r="L882" s="16"/>
    </row>
    <row r="883">
      <c r="L883" s="16"/>
    </row>
    <row r="884">
      <c r="L884" s="16"/>
    </row>
    <row r="885">
      <c r="L885" s="16"/>
    </row>
    <row r="886">
      <c r="L886" s="16"/>
    </row>
    <row r="887">
      <c r="L887" s="16"/>
    </row>
    <row r="888">
      <c r="L888" s="16"/>
    </row>
    <row r="889">
      <c r="L889" s="16"/>
    </row>
    <row r="890">
      <c r="L890" s="16"/>
    </row>
    <row r="891">
      <c r="L891" s="16"/>
    </row>
    <row r="892">
      <c r="L892" s="16"/>
    </row>
    <row r="893">
      <c r="L893" s="16"/>
    </row>
    <row r="894">
      <c r="L894" s="16"/>
    </row>
    <row r="895">
      <c r="L895" s="16"/>
    </row>
    <row r="896">
      <c r="L896" s="16"/>
    </row>
    <row r="897">
      <c r="L897" s="16"/>
    </row>
    <row r="898">
      <c r="L898" s="16"/>
    </row>
    <row r="899">
      <c r="L899" s="16"/>
    </row>
    <row r="900">
      <c r="L900" s="16"/>
    </row>
    <row r="901">
      <c r="L901" s="16"/>
    </row>
    <row r="902">
      <c r="L902" s="16"/>
    </row>
    <row r="903">
      <c r="L903" s="16"/>
    </row>
    <row r="904">
      <c r="L904" s="16"/>
    </row>
    <row r="905">
      <c r="L905" s="16"/>
    </row>
    <row r="906">
      <c r="L906" s="16"/>
    </row>
    <row r="907">
      <c r="L907" s="16"/>
    </row>
    <row r="908">
      <c r="L908" s="16"/>
    </row>
    <row r="909">
      <c r="L909" s="16"/>
    </row>
    <row r="910">
      <c r="L910" s="16"/>
    </row>
    <row r="911">
      <c r="L911" s="16"/>
    </row>
    <row r="912">
      <c r="L912" s="16"/>
    </row>
    <row r="913">
      <c r="L913" s="16"/>
    </row>
    <row r="914">
      <c r="L914" s="16"/>
    </row>
    <row r="915">
      <c r="L915" s="16"/>
    </row>
    <row r="916">
      <c r="L916" s="16"/>
    </row>
    <row r="917">
      <c r="L917" s="16"/>
    </row>
    <row r="918">
      <c r="L918" s="16"/>
    </row>
    <row r="919">
      <c r="L919" s="16"/>
    </row>
    <row r="920">
      <c r="L920" s="16"/>
    </row>
    <row r="921">
      <c r="L921" s="16"/>
    </row>
    <row r="922">
      <c r="L922" s="16"/>
    </row>
    <row r="923">
      <c r="L923" s="16"/>
    </row>
    <row r="924">
      <c r="L924" s="16"/>
    </row>
    <row r="925">
      <c r="L925" s="16"/>
    </row>
    <row r="926">
      <c r="L926" s="16"/>
    </row>
    <row r="927">
      <c r="L927" s="16"/>
    </row>
    <row r="928">
      <c r="L928" s="16"/>
    </row>
    <row r="929">
      <c r="L929" s="16"/>
    </row>
    <row r="930">
      <c r="L930" s="16"/>
    </row>
    <row r="931">
      <c r="L931" s="16"/>
    </row>
    <row r="932">
      <c r="L932" s="16"/>
    </row>
    <row r="933">
      <c r="L933" s="16"/>
    </row>
    <row r="934">
      <c r="L934" s="16"/>
    </row>
    <row r="935">
      <c r="L935" s="16"/>
    </row>
    <row r="936">
      <c r="L936" s="16"/>
    </row>
    <row r="937">
      <c r="L937" s="16"/>
    </row>
    <row r="938">
      <c r="L938" s="16"/>
    </row>
    <row r="939">
      <c r="L939" s="16"/>
    </row>
    <row r="940">
      <c r="L940" s="16"/>
    </row>
    <row r="941">
      <c r="L941" s="16"/>
    </row>
    <row r="942">
      <c r="L942" s="16"/>
    </row>
    <row r="943">
      <c r="L943" s="16"/>
    </row>
    <row r="944">
      <c r="L944" s="16"/>
    </row>
    <row r="945">
      <c r="L945" s="16"/>
    </row>
    <row r="946">
      <c r="L946" s="16"/>
    </row>
    <row r="947">
      <c r="L947" s="16"/>
    </row>
    <row r="948">
      <c r="L948" s="16"/>
    </row>
    <row r="949">
      <c r="L949" s="16"/>
    </row>
    <row r="950">
      <c r="L950" s="16"/>
    </row>
    <row r="951">
      <c r="L951" s="16"/>
    </row>
    <row r="952">
      <c r="L952" s="16"/>
    </row>
    <row r="953">
      <c r="L953" s="16"/>
    </row>
    <row r="954">
      <c r="L954" s="16"/>
    </row>
    <row r="955">
      <c r="L955" s="16"/>
    </row>
    <row r="956">
      <c r="L956" s="16"/>
    </row>
    <row r="957">
      <c r="L957" s="16"/>
    </row>
    <row r="958">
      <c r="L958" s="16"/>
    </row>
    <row r="959">
      <c r="L959" s="16"/>
    </row>
    <row r="960">
      <c r="L960" s="16"/>
    </row>
    <row r="961">
      <c r="L961" s="16"/>
    </row>
    <row r="962">
      <c r="L962" s="16"/>
    </row>
    <row r="963">
      <c r="L963" s="16"/>
    </row>
    <row r="964">
      <c r="L964" s="16"/>
    </row>
    <row r="965">
      <c r="L965" s="16"/>
    </row>
    <row r="966">
      <c r="L966" s="16"/>
    </row>
    <row r="967">
      <c r="L967" s="16"/>
    </row>
    <row r="968">
      <c r="L968" s="16"/>
    </row>
    <row r="969">
      <c r="L969" s="16"/>
    </row>
    <row r="970">
      <c r="L970" s="16"/>
    </row>
    <row r="971">
      <c r="L971" s="16"/>
    </row>
    <row r="972">
      <c r="L972" s="16"/>
    </row>
    <row r="973">
      <c r="L973" s="16"/>
    </row>
    <row r="974">
      <c r="L974" s="16"/>
    </row>
    <row r="975">
      <c r="L975" s="16"/>
    </row>
    <row r="976">
      <c r="L976" s="16"/>
    </row>
    <row r="977">
      <c r="L977" s="16"/>
    </row>
    <row r="978">
      <c r="L978" s="16"/>
    </row>
    <row r="979">
      <c r="L979" s="16"/>
    </row>
    <row r="980">
      <c r="L980" s="16"/>
    </row>
    <row r="981">
      <c r="L981" s="16"/>
    </row>
    <row r="982">
      <c r="L982" s="16"/>
    </row>
    <row r="983">
      <c r="L983" s="16"/>
    </row>
    <row r="984">
      <c r="L984" s="16"/>
    </row>
    <row r="985">
      <c r="L985" s="16"/>
    </row>
    <row r="986">
      <c r="L986" s="16"/>
    </row>
    <row r="987">
      <c r="L987" s="16"/>
    </row>
    <row r="988">
      <c r="L988" s="16"/>
    </row>
    <row r="989">
      <c r="L989" s="16"/>
    </row>
    <row r="990">
      <c r="L990" s="16"/>
    </row>
    <row r="991">
      <c r="L991" s="16"/>
    </row>
    <row r="992">
      <c r="L992" s="16"/>
    </row>
    <row r="993">
      <c r="L993" s="16"/>
    </row>
    <row r="994">
      <c r="L994" s="16"/>
    </row>
    <row r="995">
      <c r="L995" s="16"/>
    </row>
    <row r="996">
      <c r="L996" s="16"/>
    </row>
    <row r="997">
      <c r="L997" s="16"/>
    </row>
    <row r="998">
      <c r="L998" s="16"/>
    </row>
    <row r="999">
      <c r="L999" s="16"/>
    </row>
    <row r="1000">
      <c r="L1000" s="16"/>
    </row>
    <row r="1001">
      <c r="L1001" s="16"/>
    </row>
    <row r="1002">
      <c r="L1002" s="16"/>
    </row>
  </sheetData>
  <autoFilter ref="$A$3:$Z$203">
    <sortState ref="A3:Z203">
      <sortCondition ref="A3:A203"/>
      <sortCondition descending="1" ref="L3:L203"/>
      <sortCondition descending="1" ref="E3:E203"/>
    </sortState>
  </autoFilter>
  <conditionalFormatting sqref="L4:L203">
    <cfRule type="cellIs" dxfId="0" priority="1" operator="greaterThanOrEqual">
      <formula>"0%"</formula>
    </cfRule>
  </conditionalFormatting>
  <conditionalFormatting sqref="Q4:T203">
    <cfRule type="cellIs" dxfId="0" priority="2" operator="greaterThan">
      <formula>0</formula>
    </cfRule>
  </conditionalFormatting>
  <hyperlinks>
    <hyperlink r:id="rId1" ref="A3"/>
    <hyperlink r:id="rId2" ref="B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8.86"/>
    <col customWidth="1" min="3" max="3" width="19.14"/>
    <col customWidth="1" min="5" max="5" width="10.14"/>
    <col customWidth="1" min="6" max="6" width="9.14"/>
    <col customWidth="1" hidden="1" min="7" max="11" width="9.14"/>
    <col customWidth="1" min="12" max="12" width="8.14"/>
    <col customWidth="1" min="13" max="14" width="8.57"/>
    <col customWidth="1" min="15" max="16" width="8.29"/>
    <col customWidth="1" min="17" max="18" width="10.0"/>
    <col customWidth="1" min="19" max="20" width="9.86"/>
  </cols>
  <sheetData>
    <row r="1">
      <c r="A1" s="21">
        <v>0.0</v>
      </c>
      <c r="B1" s="22" t="s">
        <v>755</v>
      </c>
      <c r="C1" s="22"/>
      <c r="D1" s="22" t="s">
        <v>755</v>
      </c>
      <c r="E1" s="23"/>
      <c r="F1" s="17">
        <f>IFERROR(__xludf.DUMMYFUNCTION("GOOGLEFINANCE(""INDEXNSE:""&amp;D1)"),15205.45)</f>
        <v>15205.45</v>
      </c>
      <c r="G1" s="17">
        <f>IFERROR(__xludf.DUMMYFUNCTION("GOOGLEFINANCE(""INDEXNSE:""&amp;D1,""closeyest"")"),14990.55)</f>
        <v>14990.55</v>
      </c>
      <c r="H1" s="17">
        <f>IFERROR(__xludf.DUMMYFUNCTION("INDEX(GOOGLEFINANCE(""INDEXNSE:""&amp;D1,""PRICE"",TODAY()-7),2,2)"),15027.25)</f>
        <v>15027.25</v>
      </c>
      <c r="I1" s="17">
        <f>IFERROR(__xludf.DUMMYFUNCTION("INDEX(GOOGLEFINANCE(""INDEXNSE:""&amp;D1,""PRICE"",TODAY()-14),2,2)"),14852.2)</f>
        <v>14852.2</v>
      </c>
      <c r="J1" s="17">
        <f>IFERROR(__xludf.DUMMYFUNCTION("INDEX(GOOGLEFINANCE(""INDEXNSE:""&amp;D1,""PRICE"",TODAY()-28),2,2)"),14192.5)</f>
        <v>14192.5</v>
      </c>
      <c r="K1" s="17">
        <f>IFERROR(__xludf.DUMMYFUNCTION("INDEX(GOOGLEFINANCE(""INDEXNSE:""&amp;D1,""PRICE"",TODAY()-84),2,2)"),13494.45)</f>
        <v>13494.45</v>
      </c>
      <c r="L1" s="16">
        <f>F1/G1-1</f>
        <v>0.01433569816</v>
      </c>
      <c r="M1" s="16">
        <f>F1/H1-1</f>
        <v>0.01185845714</v>
      </c>
      <c r="N1" s="16">
        <f>F1/I1-1</f>
        <v>0.02378435518</v>
      </c>
      <c r="O1" s="16">
        <f>F1/J1-1</f>
        <v>0.07137220363</v>
      </c>
      <c r="P1" s="16">
        <f>F1/K1-1</f>
        <v>0.1267928667</v>
      </c>
    </row>
    <row r="2">
      <c r="A2" s="3"/>
      <c r="B2" s="3"/>
      <c r="C2" s="3"/>
      <c r="D2" s="3"/>
      <c r="E2" s="24"/>
      <c r="F2" s="25"/>
      <c r="G2" s="25"/>
      <c r="H2" s="25"/>
      <c r="I2" s="25"/>
      <c r="J2" s="25"/>
      <c r="K2" s="25"/>
      <c r="L2" s="26"/>
      <c r="M2" s="26"/>
      <c r="N2" s="26"/>
      <c r="O2" s="26"/>
      <c r="P2" s="26"/>
      <c r="Q2" s="27"/>
      <c r="R2" s="27"/>
      <c r="S2" s="27"/>
      <c r="T2" s="27"/>
      <c r="U2" s="4"/>
      <c r="V2" s="4"/>
      <c r="W2" s="4"/>
      <c r="X2" s="4"/>
    </row>
    <row r="3">
      <c r="A3" s="28" t="s">
        <v>3</v>
      </c>
      <c r="B3" s="28" t="s">
        <v>4</v>
      </c>
      <c r="C3" s="28" t="s">
        <v>506</v>
      </c>
      <c r="D3" s="28" t="s">
        <v>507</v>
      </c>
      <c r="E3" s="24" t="s">
        <v>508</v>
      </c>
      <c r="F3" s="25" t="s">
        <v>5</v>
      </c>
      <c r="G3" s="25" t="s">
        <v>12</v>
      </c>
      <c r="H3" s="25" t="s">
        <v>509</v>
      </c>
      <c r="I3" s="25" t="s">
        <v>14</v>
      </c>
      <c r="J3" s="25" t="s">
        <v>510</v>
      </c>
      <c r="K3" s="25" t="s">
        <v>511</v>
      </c>
      <c r="L3" s="26" t="s">
        <v>512</v>
      </c>
      <c r="M3" s="26" t="s">
        <v>513</v>
      </c>
      <c r="N3" s="26" t="s">
        <v>514</v>
      </c>
      <c r="O3" s="26" t="s">
        <v>515</v>
      </c>
      <c r="P3" s="26" t="s">
        <v>516</v>
      </c>
      <c r="Q3" s="25" t="s">
        <v>517</v>
      </c>
      <c r="R3" s="25" t="s">
        <v>518</v>
      </c>
      <c r="S3" s="25" t="s">
        <v>519</v>
      </c>
      <c r="T3" s="25" t="s">
        <v>520</v>
      </c>
      <c r="U3" s="29" t="s">
        <v>509</v>
      </c>
      <c r="V3" s="29" t="s">
        <v>14</v>
      </c>
      <c r="W3" s="29" t="s">
        <v>510</v>
      </c>
      <c r="X3" s="29" t="s">
        <v>511</v>
      </c>
      <c r="Y3" s="17"/>
      <c r="Z3" s="17"/>
    </row>
    <row r="4">
      <c r="A4" s="1">
        <v>1.0</v>
      </c>
      <c r="B4" s="22" t="s">
        <v>521</v>
      </c>
      <c r="C4" s="22" t="s">
        <v>522</v>
      </c>
      <c r="D4" s="22" t="s">
        <v>9</v>
      </c>
      <c r="E4" s="23">
        <f>IFERROR(__xludf.DUMMYFUNCTION("GOOGLEFINANCE(""NSE:""&amp;D4,""marketcap"")/10000000"),1655705.3186651)</f>
        <v>1655705.319</v>
      </c>
      <c r="F4" s="17">
        <f>IFERROR(__xludf.DUMMYFUNCTION("GOOGLEFINANCE(""NSE:""&amp;D4)"),2488.1)</f>
        <v>2488.1</v>
      </c>
      <c r="G4" s="17">
        <f>IFERROR(__xludf.DUMMYFUNCTION("GOOGLEFINANCE(""NSE:""&amp;D4,""closeyest"")"),2430.5)</f>
        <v>2430.5</v>
      </c>
      <c r="H4" s="17">
        <f>IFERROR(__xludf.DUMMYFUNCTION("INDEX(GOOGLEFINANCE(""NSE:""&amp;D4,""PRICE"",TODAY()-7),2,2)"),2390.55)</f>
        <v>2390.55</v>
      </c>
      <c r="I4" s="17">
        <f>IFERROR(__xludf.DUMMYFUNCTION("INDEX(GOOGLEFINANCE(""NSE:""&amp;D4,""PRICE"",TODAY()-14),2,2)"),2371.55)</f>
        <v>2371.55</v>
      </c>
      <c r="J4" s="17">
        <f>IFERROR(__xludf.DUMMYFUNCTION("INDEX(GOOGLEFINANCE(""NSE:""&amp;D4,""PRICE"",TODAY()-28),2,2)"),2227.4)</f>
        <v>2227.4</v>
      </c>
      <c r="K4" s="17">
        <f>IFERROR(__xludf.DUMMYFUNCTION("INDEX(GOOGLEFINANCE(""NSE:""&amp;D4,""PRICE"",TODAY()-84),2,2)"),2129.05)</f>
        <v>2129.05</v>
      </c>
      <c r="L4" s="16">
        <f t="shared" ref="L4:L504" si="1">F4/G4-1</f>
        <v>0.0236988274</v>
      </c>
      <c r="M4" s="16">
        <f t="shared" ref="M4:M504" si="2">F4/H4-1</f>
        <v>0.04080650896</v>
      </c>
      <c r="N4" s="16">
        <f t="shared" ref="N4:N504" si="3">F4/I4-1</f>
        <v>0.0491450739</v>
      </c>
      <c r="O4" s="16">
        <f t="shared" ref="O4:O504" si="4">F4/J4-1</f>
        <v>0.1170422915</v>
      </c>
      <c r="P4" s="16">
        <f t="shared" ref="P4:P504" si="5">F4/K4-1</f>
        <v>0.1686432916</v>
      </c>
      <c r="Q4" s="30">
        <f t="shared" ref="Q4:Q504" si="6">M4-$M$1</f>
        <v>0.02894805183</v>
      </c>
      <c r="R4" s="30">
        <f t="shared" ref="R4:R504" si="7">N4-$N$1</f>
        <v>0.02536071872</v>
      </c>
      <c r="S4" s="30">
        <f t="shared" ref="S4:S504" si="8">O4-$O$1</f>
        <v>0.04567008783</v>
      </c>
      <c r="T4" s="30">
        <f t="shared" ref="T4:T504" si="9">P4-$P$1</f>
        <v>0.04185042491</v>
      </c>
    </row>
    <row r="5">
      <c r="A5" s="1">
        <v>2.0</v>
      </c>
      <c r="B5" s="22" t="s">
        <v>523</v>
      </c>
      <c r="C5" s="22" t="s">
        <v>524</v>
      </c>
      <c r="D5" s="22" t="s">
        <v>24</v>
      </c>
      <c r="E5" s="23">
        <f>IFERROR(__xludf.DUMMYFUNCTION("GOOGLEFINANCE(""NSE:""&amp;D5,""marketcap"")/10000000"),1430311.3731375)</f>
        <v>1430311.373</v>
      </c>
      <c r="F5" s="17">
        <f>IFERROR(__xludf.DUMMYFUNCTION("GOOGLEFINANCE(""NSE:""&amp;D5)"),3872.0)</f>
        <v>3872</v>
      </c>
      <c r="G5" s="17">
        <f>IFERROR(__xludf.DUMMYFUNCTION("GOOGLEFINANCE(""NSE:""&amp;D5,""closeyest"")"),3862.15)</f>
        <v>3862.15</v>
      </c>
      <c r="H5" s="17">
        <f>IFERROR(__xludf.DUMMYFUNCTION("INDEX(GOOGLEFINANCE(""NSE:""&amp;D5,""PRICE"",TODAY()-7),2,2)"),3827.85)</f>
        <v>3827.85</v>
      </c>
      <c r="I5" s="17">
        <f>IFERROR(__xludf.DUMMYFUNCTION("INDEX(GOOGLEFINANCE(""NSE:""&amp;D5,""PRICE"",TODAY()-14),2,2)"),3845.35)</f>
        <v>3845.35</v>
      </c>
      <c r="J5" s="17">
        <f>IFERROR(__xludf.DUMMYFUNCTION("INDEX(GOOGLEFINANCE(""NSE:""&amp;D5,""PRICE"",TODAY()-28),2,2)"),3720.15)</f>
        <v>3720.15</v>
      </c>
      <c r="K5" s="17">
        <f>IFERROR(__xludf.DUMMYFUNCTION("INDEX(GOOGLEFINANCE(""NSE:""&amp;D5,""PRICE"",TODAY()-84),2,2)"),3325.45)</f>
        <v>3325.45</v>
      </c>
      <c r="L5" s="16">
        <f t="shared" si="1"/>
        <v>0.002550392916</v>
      </c>
      <c r="M5" s="16">
        <f t="shared" si="2"/>
        <v>0.01153388978</v>
      </c>
      <c r="N5" s="16">
        <f t="shared" si="3"/>
        <v>0.006930448464</v>
      </c>
      <c r="O5" s="16">
        <f t="shared" si="4"/>
        <v>0.04081824658</v>
      </c>
      <c r="P5" s="16">
        <f t="shared" si="5"/>
        <v>0.1643536965</v>
      </c>
      <c r="Q5" s="30">
        <f t="shared" si="6"/>
        <v>-0.0003245673547</v>
      </c>
      <c r="R5" s="30">
        <f t="shared" si="7"/>
        <v>-0.01685390672</v>
      </c>
      <c r="S5" s="30">
        <f t="shared" si="8"/>
        <v>-0.03055395705</v>
      </c>
      <c r="T5" s="30">
        <f t="shared" si="9"/>
        <v>0.0375608298</v>
      </c>
    </row>
    <row r="6">
      <c r="A6" s="1">
        <v>3.0</v>
      </c>
      <c r="B6" s="22" t="s">
        <v>525</v>
      </c>
      <c r="C6" s="22" t="s">
        <v>526</v>
      </c>
      <c r="D6" s="22" t="s">
        <v>30</v>
      </c>
      <c r="E6" s="23">
        <f>IFERROR(__xludf.DUMMYFUNCTION("GOOGLEFINANCE(""NSE:""&amp;D6,""marketcap"")/10000000"),653713.9090734)</f>
        <v>653713.9091</v>
      </c>
      <c r="F6" s="17">
        <f>IFERROR(__xludf.DUMMYFUNCTION("GOOGLEFINANCE(""NSE:""&amp;D6)"),2782.0)</f>
        <v>2782</v>
      </c>
      <c r="G6" s="17">
        <f>IFERROR(__xludf.DUMMYFUNCTION("GOOGLEFINANCE(""NSE:""&amp;D6,""closeyest"")"),2784.5)</f>
        <v>2784.5</v>
      </c>
      <c r="H6" s="17">
        <f>IFERROR(__xludf.DUMMYFUNCTION("INDEX(GOOGLEFINANCE(""NSE:""&amp;D6,""PRICE"",TODAY()-7),2,2)"),2722.25)</f>
        <v>2722.25</v>
      </c>
      <c r="I6" s="17">
        <f>IFERROR(__xludf.DUMMYFUNCTION("INDEX(GOOGLEFINANCE(""NSE:""&amp;D6,""PRICE"",TODAY()-14),2,2)"),2786.35)</f>
        <v>2786.35</v>
      </c>
      <c r="J6" s="17">
        <f>IFERROR(__xludf.DUMMYFUNCTION("INDEX(GOOGLEFINANCE(""NSE:""&amp;D6,""PRICE"",TODAY()-28),2,2)"),2677.95)</f>
        <v>2677.95</v>
      </c>
      <c r="K6" s="17">
        <f>IFERROR(__xludf.DUMMYFUNCTION("INDEX(GOOGLEFINANCE(""NSE:""&amp;D6,""PRICE"",TODAY()-84),2,2)"),2487.3)</f>
        <v>2487.3</v>
      </c>
      <c r="L6" s="16">
        <f t="shared" si="1"/>
        <v>-0.000897827258</v>
      </c>
      <c r="M6" s="16">
        <f t="shared" si="2"/>
        <v>0.02194875562</v>
      </c>
      <c r="N6" s="16">
        <f t="shared" si="3"/>
        <v>-0.001561182192</v>
      </c>
      <c r="O6" s="16">
        <f t="shared" si="4"/>
        <v>0.03885434754</v>
      </c>
      <c r="P6" s="16">
        <f t="shared" si="5"/>
        <v>0.118481888</v>
      </c>
      <c r="Q6" s="30">
        <f t="shared" si="6"/>
        <v>0.01009029849</v>
      </c>
      <c r="R6" s="30">
        <f t="shared" si="7"/>
        <v>-0.02534553737</v>
      </c>
      <c r="S6" s="30">
        <f t="shared" si="8"/>
        <v>-0.03251785609</v>
      </c>
      <c r="T6" s="30">
        <f t="shared" si="9"/>
        <v>-0.008310978706</v>
      </c>
    </row>
    <row r="7">
      <c r="A7" s="1">
        <v>4.0</v>
      </c>
      <c r="B7" s="22" t="s">
        <v>527</v>
      </c>
      <c r="C7" s="22" t="s">
        <v>528</v>
      </c>
      <c r="D7" s="22" t="s">
        <v>32</v>
      </c>
      <c r="E7" s="23">
        <f>IFERROR(__xludf.DUMMYFUNCTION("GOOGLEFINANCE(""NSE:""&amp;D7,""marketcap"")/10000000"),509516.0668263)</f>
        <v>509516.0668</v>
      </c>
      <c r="F7" s="17">
        <f>IFERROR(__xludf.DUMMYFUNCTION("GOOGLEFINANCE(""NSE:""&amp;D7)"),2825.15)</f>
        <v>2825.15</v>
      </c>
      <c r="G7" s="17">
        <f>IFERROR(__xludf.DUMMYFUNCTION("GOOGLEFINANCE(""NSE:""&amp;D7,""closeyest"")"),2734.7)</f>
        <v>2734.7</v>
      </c>
      <c r="H7" s="17">
        <f>IFERROR(__xludf.DUMMYFUNCTION("INDEX(GOOGLEFINANCE(""NSE:""&amp;D7,""PRICE"",TODAY()-7),2,2)"),2825.65)</f>
        <v>2825.65</v>
      </c>
      <c r="I7" s="17">
        <f>IFERROR(__xludf.DUMMYFUNCTION("INDEX(GOOGLEFINANCE(""NSE:""&amp;D7,""PRICE"",TODAY()-14),2,2)"),2849.8)</f>
        <v>2849.8</v>
      </c>
      <c r="J7" s="17">
        <f>IFERROR(__xludf.DUMMYFUNCTION("INDEX(GOOGLEFINANCE(""NSE:""&amp;D7,""PRICE"",TODAY()-28),2,2)"),2718.2)</f>
        <v>2718.2</v>
      </c>
      <c r="K7" s="17">
        <f>IFERROR(__xludf.DUMMYFUNCTION("INDEX(GOOGLEFINANCE(""NSE:""&amp;D7,""PRICE"",TODAY()-84),2,2)"),2475.7)</f>
        <v>2475.7</v>
      </c>
      <c r="L7" s="16">
        <f t="shared" si="1"/>
        <v>0.03307492595</v>
      </c>
      <c r="M7" s="16">
        <f t="shared" si="2"/>
        <v>-0.0001769504362</v>
      </c>
      <c r="N7" s="16">
        <f t="shared" si="3"/>
        <v>-0.008649729806</v>
      </c>
      <c r="O7" s="16">
        <f t="shared" si="4"/>
        <v>0.03934589066</v>
      </c>
      <c r="P7" s="16">
        <f t="shared" si="5"/>
        <v>0.1411519974</v>
      </c>
      <c r="Q7" s="30">
        <f t="shared" si="6"/>
        <v>-0.01203540757</v>
      </c>
      <c r="R7" s="30">
        <f t="shared" si="7"/>
        <v>-0.03243408499</v>
      </c>
      <c r="S7" s="30">
        <f t="shared" si="8"/>
        <v>-0.03202631297</v>
      </c>
      <c r="T7" s="30">
        <f t="shared" si="9"/>
        <v>0.01435913072</v>
      </c>
    </row>
    <row r="8">
      <c r="A8" s="1">
        <v>5.0</v>
      </c>
      <c r="B8" s="22" t="s">
        <v>529</v>
      </c>
      <c r="C8" s="22" t="s">
        <v>528</v>
      </c>
      <c r="D8" s="22" t="s">
        <v>36</v>
      </c>
      <c r="E8" s="23">
        <f>IFERROR(__xludf.DUMMYFUNCTION("GOOGLEFINANCE(""NSE:""&amp;D8,""marketcap"")/10000000"),476076.6988323)</f>
        <v>476076.6988</v>
      </c>
      <c r="F8" s="17">
        <f>IFERROR(__xludf.DUMMYFUNCTION("GOOGLEFINANCE(""NSE:""&amp;D8)"),7890.05)</f>
        <v>7890.05</v>
      </c>
      <c r="G8" s="17">
        <f>IFERROR(__xludf.DUMMYFUNCTION("GOOGLEFINANCE(""NSE:""&amp;D8,""closeyest"")"),7793.65)</f>
        <v>7793.65</v>
      </c>
      <c r="H8" s="17">
        <f>IFERROR(__xludf.DUMMYFUNCTION("INDEX(GOOGLEFINANCE(""NSE:""&amp;D8,""PRICE"",TODAY()-7),2,2)"),7428.8)</f>
        <v>7428.8</v>
      </c>
      <c r="I8" s="17">
        <f>IFERROR(__xludf.DUMMYFUNCTION("INDEX(GOOGLEFINANCE(""NSE:""&amp;D8,""PRICE"",TODAY()-14),2,2)"),7445.55)</f>
        <v>7445.55</v>
      </c>
      <c r="J8" s="17">
        <f>IFERROR(__xludf.DUMMYFUNCTION("INDEX(GOOGLEFINANCE(""NSE:""&amp;D8,""PRICE"",TODAY()-28),2,2)"),6966.6)</f>
        <v>6966.6</v>
      </c>
      <c r="K8" s="17">
        <f>IFERROR(__xludf.DUMMYFUNCTION("INDEX(GOOGLEFINANCE(""NSE:""&amp;D8,""PRICE"",TODAY()-84),2,2)"),5997.75)</f>
        <v>5997.75</v>
      </c>
      <c r="L8" s="16">
        <f t="shared" si="1"/>
        <v>0.01236904403</v>
      </c>
      <c r="M8" s="16">
        <f t="shared" si="2"/>
        <v>0.06208943571</v>
      </c>
      <c r="N8" s="16">
        <f t="shared" si="3"/>
        <v>0.05970008932</v>
      </c>
      <c r="O8" s="16">
        <f t="shared" si="4"/>
        <v>0.1325539</v>
      </c>
      <c r="P8" s="16">
        <f t="shared" si="5"/>
        <v>0.3155016465</v>
      </c>
      <c r="Q8" s="30">
        <f t="shared" si="6"/>
        <v>0.05023097857</v>
      </c>
      <c r="R8" s="30">
        <f t="shared" si="7"/>
        <v>0.03591573414</v>
      </c>
      <c r="S8" s="30">
        <f t="shared" si="8"/>
        <v>0.06118169641</v>
      </c>
      <c r="T8" s="30">
        <f t="shared" si="9"/>
        <v>0.1887087798</v>
      </c>
    </row>
    <row r="9">
      <c r="A9" s="1">
        <v>6.0</v>
      </c>
      <c r="B9" s="22" t="s">
        <v>530</v>
      </c>
      <c r="C9" s="22" t="s">
        <v>531</v>
      </c>
      <c r="D9" s="22" t="s">
        <v>44</v>
      </c>
      <c r="E9" s="23">
        <f>IFERROR(__xludf.DUMMYFUNCTION("GOOGLEFINANCE(""NSE:""&amp;D9,""marketcap"")/10000000"),398540.9631592)</f>
        <v>398540.9632</v>
      </c>
      <c r="F9" s="17">
        <f>IFERROR(__xludf.DUMMYFUNCTION("GOOGLEFINANCE(""NSE:""&amp;D9)"),726.95)</f>
        <v>726.95</v>
      </c>
      <c r="G9" s="17">
        <f>IFERROR(__xludf.DUMMYFUNCTION("GOOGLEFINANCE(""NSE:""&amp;D9,""closeyest"")"),726.75)</f>
        <v>726.75</v>
      </c>
      <c r="H9" s="17">
        <f>IFERROR(__xludf.DUMMYFUNCTION("INDEX(GOOGLEFINANCE(""NSE:""&amp;D9,""PRICE"",TODAY()-7),2,2)"),728.15)</f>
        <v>728.15</v>
      </c>
      <c r="I9" s="17">
        <f>IFERROR(__xludf.DUMMYFUNCTION("INDEX(GOOGLEFINANCE(""NSE:""&amp;D9,""PRICE"",TODAY()-14),2,2)"),693.3)</f>
        <v>693.3</v>
      </c>
      <c r="J9" s="17">
        <f>IFERROR(__xludf.DUMMYFUNCTION("INDEX(GOOGLEFINANCE(""NSE:""&amp;D9,""PRICE"",TODAY()-28),2,2)"),595.15)</f>
        <v>595.15</v>
      </c>
      <c r="K9" s="17">
        <f>IFERROR(__xludf.DUMMYFUNCTION("INDEX(GOOGLEFINANCE(""NSE:""&amp;D9,""PRICE"",TODAY()-84),2,2)"),525.0)</f>
        <v>525</v>
      </c>
      <c r="L9" s="16">
        <f t="shared" si="1"/>
        <v>0.0002751977984</v>
      </c>
      <c r="M9" s="16">
        <f t="shared" si="2"/>
        <v>-0.001648012085</v>
      </c>
      <c r="N9" s="16">
        <f t="shared" si="3"/>
        <v>0.04853598731</v>
      </c>
      <c r="O9" s="16">
        <f t="shared" si="4"/>
        <v>0.2214567756</v>
      </c>
      <c r="P9" s="16">
        <f t="shared" si="5"/>
        <v>0.3846666667</v>
      </c>
      <c r="Q9" s="30">
        <f t="shared" si="6"/>
        <v>-0.01350646922</v>
      </c>
      <c r="R9" s="30">
        <f t="shared" si="7"/>
        <v>0.02475163213</v>
      </c>
      <c r="S9" s="30">
        <f t="shared" si="8"/>
        <v>0.150084572</v>
      </c>
      <c r="T9" s="30">
        <f t="shared" si="9"/>
        <v>0.2578738</v>
      </c>
    </row>
    <row r="10">
      <c r="A10" s="1">
        <v>7.0</v>
      </c>
      <c r="B10" s="22" t="s">
        <v>532</v>
      </c>
      <c r="C10" s="22" t="s">
        <v>528</v>
      </c>
      <c r="D10" s="22" t="s">
        <v>42</v>
      </c>
      <c r="E10" s="23">
        <f>IFERROR(__xludf.DUMMYFUNCTION("GOOGLEFINANCE(""NSE:""&amp;D10,""marketcap"")/10000000"),401938.0815719)</f>
        <v>401938.0816</v>
      </c>
      <c r="F10" s="17">
        <f>IFERROR(__xludf.DUMMYFUNCTION("GOOGLEFINANCE(""NSE:""&amp;D10)"),2024.05)</f>
        <v>2024.05</v>
      </c>
      <c r="G10" s="17">
        <f>IFERROR(__xludf.DUMMYFUNCTION("GOOGLEFINANCE(""NSE:""&amp;D10,""closeyest"")"),1985.55)</f>
        <v>1985.55</v>
      </c>
      <c r="H10" s="17">
        <f>IFERROR(__xludf.DUMMYFUNCTION("INDEX(GOOGLEFINANCE(""NSE:""&amp;D10,""PRICE"",TODAY()-7),2,2)"),2007.95)</f>
        <v>2007.95</v>
      </c>
      <c r="I10" s="17">
        <f>IFERROR(__xludf.DUMMYFUNCTION("INDEX(GOOGLEFINANCE(""NSE:""&amp;D10,""PRICE"",TODAY()-14),2,2)"),1840.05)</f>
        <v>1840.05</v>
      </c>
      <c r="J10" s="17">
        <f>IFERROR(__xludf.DUMMYFUNCTION("INDEX(GOOGLEFINANCE(""NSE:""&amp;D10,""PRICE"",TODAY()-28),2,2)"),1713.55)</f>
        <v>1713.55</v>
      </c>
      <c r="K10" s="17">
        <f>IFERROR(__xludf.DUMMYFUNCTION("INDEX(GOOGLEFINANCE(""NSE:""&amp;D10,""PRICE"",TODAY()-84),2,2)"),1715.15)</f>
        <v>1715.15</v>
      </c>
      <c r="L10" s="16">
        <f t="shared" si="1"/>
        <v>0.01939009342</v>
      </c>
      <c r="M10" s="16">
        <f t="shared" si="2"/>
        <v>0.008018127941</v>
      </c>
      <c r="N10" s="16">
        <f t="shared" si="3"/>
        <v>0.09999728268</v>
      </c>
      <c r="O10" s="16">
        <f t="shared" si="4"/>
        <v>0.1812027662</v>
      </c>
      <c r="P10" s="16">
        <f t="shared" si="5"/>
        <v>0.1801008658</v>
      </c>
      <c r="Q10" s="30">
        <f t="shared" si="6"/>
        <v>-0.003840329195</v>
      </c>
      <c r="R10" s="30">
        <f t="shared" si="7"/>
        <v>0.0762129275</v>
      </c>
      <c r="S10" s="30">
        <f t="shared" si="8"/>
        <v>0.1098305626</v>
      </c>
      <c r="T10" s="30">
        <f t="shared" si="9"/>
        <v>0.05330799912</v>
      </c>
    </row>
    <row r="11">
      <c r="A11" s="1">
        <v>8.0</v>
      </c>
      <c r="B11" s="22" t="s">
        <v>533</v>
      </c>
      <c r="C11" s="22" t="s">
        <v>528</v>
      </c>
      <c r="D11" s="22" t="s">
        <v>38</v>
      </c>
      <c r="E11" s="23">
        <f>IFERROR(__xludf.DUMMYFUNCTION("GOOGLEFINANCE(""NSE:""&amp;D11,""marketcap"")/10000000"),401291.3530894)</f>
        <v>401291.3531</v>
      </c>
      <c r="F11" s="17">
        <f>IFERROR(__xludf.DUMMYFUNCTION("GOOGLEFINANCE(""NSE:""&amp;D11)"),450.0)</f>
        <v>450</v>
      </c>
      <c r="G11" s="17">
        <f>IFERROR(__xludf.DUMMYFUNCTION("GOOGLEFINANCE(""NSE:""&amp;D11,""closeyest"")"),438.85)</f>
        <v>438.85</v>
      </c>
      <c r="H11" s="17">
        <f>IFERROR(__xludf.DUMMYFUNCTION("INDEX(GOOGLEFINANCE(""NSE:""&amp;D11,""PRICE"",TODAY()-7),2,2)"),454.1)</f>
        <v>454.1</v>
      </c>
      <c r="I11" s="17">
        <f>IFERROR(__xludf.DUMMYFUNCTION("INDEX(GOOGLEFINANCE(""NSE:""&amp;D11,""PRICE"",TODAY()-14),2,2)"),432.85)</f>
        <v>432.85</v>
      </c>
      <c r="J11" s="17">
        <f>IFERROR(__xludf.DUMMYFUNCTION("INDEX(GOOGLEFINANCE(""NSE:""&amp;D11,""PRICE"",TODAY()-28),2,2)"),412.45)</f>
        <v>412.45</v>
      </c>
      <c r="K11" s="17">
        <f>IFERROR(__xludf.DUMMYFUNCTION("INDEX(GOOGLEFINANCE(""NSE:""&amp;D11,""PRICE"",TODAY()-84),2,2)"),424.4)</f>
        <v>424.4</v>
      </c>
      <c r="L11" s="16">
        <f t="shared" si="1"/>
        <v>0.02540731457</v>
      </c>
      <c r="M11" s="16">
        <f t="shared" si="2"/>
        <v>-0.009028848271</v>
      </c>
      <c r="N11" s="16">
        <f t="shared" si="3"/>
        <v>0.03962111586</v>
      </c>
      <c r="O11" s="16">
        <f t="shared" si="4"/>
        <v>0.09104133834</v>
      </c>
      <c r="P11" s="16">
        <f t="shared" si="5"/>
        <v>0.0603204524</v>
      </c>
      <c r="Q11" s="30">
        <f t="shared" si="6"/>
        <v>-0.02088730541</v>
      </c>
      <c r="R11" s="30">
        <f t="shared" si="7"/>
        <v>0.01583676068</v>
      </c>
      <c r="S11" s="30">
        <f t="shared" si="8"/>
        <v>0.01966913472</v>
      </c>
      <c r="T11" s="30">
        <f t="shared" si="9"/>
        <v>-0.06647241429</v>
      </c>
    </row>
    <row r="12">
      <c r="A12" s="1">
        <v>9.0</v>
      </c>
      <c r="B12" s="22" t="s">
        <v>535</v>
      </c>
      <c r="C12" s="22" t="s">
        <v>524</v>
      </c>
      <c r="D12" s="22" t="s">
        <v>46</v>
      </c>
      <c r="E12" s="23">
        <f>IFERROR(__xludf.DUMMYFUNCTION("GOOGLEFINANCE(""NSE:""&amp;D12,""marketcap"")/10000000"),360499.7683995)</f>
        <v>360499.7684</v>
      </c>
      <c r="F12" s="17">
        <f>IFERROR(__xludf.DUMMYFUNCTION("GOOGLEFINANCE(""NSE:""&amp;D12)"),1327.0)</f>
        <v>1327</v>
      </c>
      <c r="G12" s="17">
        <f>IFERROR(__xludf.DUMMYFUNCTION("GOOGLEFINANCE(""NSE:""&amp;D12,""closeyest"")"),1315.5)</f>
        <v>1315.5</v>
      </c>
      <c r="H12" s="17">
        <f>IFERROR(__xludf.DUMMYFUNCTION("INDEX(GOOGLEFINANCE(""NSE:""&amp;D12,""PRICE"",TODAY()-7),2,2)"),1263.3)</f>
        <v>1263.3</v>
      </c>
      <c r="I12" s="17">
        <f>IFERROR(__xludf.DUMMYFUNCTION("INDEX(GOOGLEFINANCE(""NSE:""&amp;D12,""PRICE"",TODAY()-14),2,2)"),1208.4)</f>
        <v>1208.4</v>
      </c>
      <c r="J12" s="17">
        <f>IFERROR(__xludf.DUMMYFUNCTION("INDEX(GOOGLEFINANCE(""NSE:""&amp;D12,""PRICE"",TODAY()-28),2,2)"),1162.95)</f>
        <v>1162.95</v>
      </c>
      <c r="K12" s="17">
        <f>IFERROR(__xludf.DUMMYFUNCTION("INDEX(GOOGLEFINANCE(""NSE:""&amp;D12,""PRICE"",TODAY()-84),2,2)"),984.65)</f>
        <v>984.65</v>
      </c>
      <c r="L12" s="16">
        <f t="shared" si="1"/>
        <v>0.008741923223</v>
      </c>
      <c r="M12" s="16">
        <f t="shared" si="2"/>
        <v>0.05042349402</v>
      </c>
      <c r="N12" s="16">
        <f t="shared" si="3"/>
        <v>0.09814630917</v>
      </c>
      <c r="O12" s="16">
        <f t="shared" si="4"/>
        <v>0.1410636743</v>
      </c>
      <c r="P12" s="16">
        <f t="shared" si="5"/>
        <v>0.3476869954</v>
      </c>
      <c r="Q12" s="30">
        <f t="shared" si="6"/>
        <v>0.03856503689</v>
      </c>
      <c r="R12" s="30">
        <f t="shared" si="7"/>
        <v>0.07436195399</v>
      </c>
      <c r="S12" s="30">
        <f t="shared" si="8"/>
        <v>0.06969147065</v>
      </c>
      <c r="T12" s="30">
        <f t="shared" si="9"/>
        <v>0.2208941287</v>
      </c>
    </row>
    <row r="13">
      <c r="A13" s="1">
        <v>10.0</v>
      </c>
      <c r="B13" s="22" t="s">
        <v>536</v>
      </c>
      <c r="C13" s="22" t="s">
        <v>526</v>
      </c>
      <c r="D13" s="22" t="s">
        <v>48</v>
      </c>
      <c r="E13" s="23">
        <f>IFERROR(__xludf.DUMMYFUNCTION("GOOGLEFINANCE(""NSE:""&amp;D13,""marketcap"")/10000000"),318708.7923473)</f>
        <v>318708.7923</v>
      </c>
      <c r="F13" s="17">
        <f>IFERROR(__xludf.DUMMYFUNCTION("GOOGLEFINANCE(""NSE:""&amp;D13)"),3326.0)</f>
        <v>3326</v>
      </c>
      <c r="G13" s="17">
        <f>IFERROR(__xludf.DUMMYFUNCTION("GOOGLEFINANCE(""NSE:""&amp;D13,""closeyest"")"),3317.5)</f>
        <v>3317.5</v>
      </c>
      <c r="H13" s="17">
        <f>IFERROR(__xludf.DUMMYFUNCTION("INDEX(GOOGLEFINANCE(""NSE:""&amp;D13,""PRICE"",TODAY()-7),2,2)"),3303.05)</f>
        <v>3303.05</v>
      </c>
      <c r="I13" s="17">
        <f>IFERROR(__xludf.DUMMYFUNCTION("INDEX(GOOGLEFINANCE(""NSE:""&amp;D13,""PRICE"",TODAY()-14),2,2)"),3367.05)</f>
        <v>3367.05</v>
      </c>
      <c r="J13" s="17">
        <f>IFERROR(__xludf.DUMMYFUNCTION("INDEX(GOOGLEFINANCE(""NSE:""&amp;D13,""PRICE"",TODAY()-28),2,2)"),3036.8)</f>
        <v>3036.8</v>
      </c>
      <c r="K13" s="17">
        <f>IFERROR(__xludf.DUMMYFUNCTION("INDEX(GOOGLEFINANCE(""NSE:""&amp;D13,""PRICE"",TODAY()-84),2,2)"),3005.0)</f>
        <v>3005</v>
      </c>
      <c r="L13" s="16">
        <f t="shared" si="1"/>
        <v>0.002562170309</v>
      </c>
      <c r="M13" s="16">
        <f t="shared" si="2"/>
        <v>0.006948123704</v>
      </c>
      <c r="N13" s="16">
        <f t="shared" si="3"/>
        <v>-0.01219168115</v>
      </c>
      <c r="O13" s="16">
        <f t="shared" si="4"/>
        <v>0.09523182297</v>
      </c>
      <c r="P13" s="16">
        <f t="shared" si="5"/>
        <v>0.1068219634</v>
      </c>
      <c r="Q13" s="30">
        <f t="shared" si="6"/>
        <v>-0.004910333432</v>
      </c>
      <c r="R13" s="30">
        <f t="shared" si="7"/>
        <v>-0.03597603632</v>
      </c>
      <c r="S13" s="30">
        <f t="shared" si="8"/>
        <v>0.02385961934</v>
      </c>
      <c r="T13" s="30">
        <f t="shared" si="9"/>
        <v>-0.0199709033</v>
      </c>
    </row>
    <row r="14">
      <c r="A14" s="1">
        <v>11.0</v>
      </c>
      <c r="B14" s="22" t="s">
        <v>537</v>
      </c>
      <c r="C14" s="22" t="s">
        <v>526</v>
      </c>
      <c r="D14" s="22" t="s">
        <v>51</v>
      </c>
      <c r="E14" s="23">
        <f>IFERROR(__xludf.DUMMYFUNCTION("GOOGLEFINANCE(""NSE:""&amp;D14,""marketcap"")/10000000"),298706.3612787)</f>
        <v>298706.3613</v>
      </c>
      <c r="F14" s="17">
        <f>IFERROR(__xludf.DUMMYFUNCTION("GOOGLEFINANCE(""NSE:""&amp;D14)"),242.35)</f>
        <v>242.35</v>
      </c>
      <c r="G14" s="17">
        <f>IFERROR(__xludf.DUMMYFUNCTION("GOOGLEFINANCE(""NSE:""&amp;D14,""closeyest"")"),243.5)</f>
        <v>243.5</v>
      </c>
      <c r="H14" s="17">
        <f>IFERROR(__xludf.DUMMYFUNCTION("INDEX(GOOGLEFINANCE(""NSE:""&amp;D14,""PRICE"",TODAY()-7),2,2)"),231.15)</f>
        <v>231.15</v>
      </c>
      <c r="I14" s="17">
        <f>IFERROR(__xludf.DUMMYFUNCTION("INDEX(GOOGLEFINANCE(""NSE:""&amp;D14,""PRICE"",TODAY()-14),2,2)"),214.15)</f>
        <v>214.15</v>
      </c>
      <c r="J14" s="17">
        <f>IFERROR(__xludf.DUMMYFUNCTION("INDEX(GOOGLEFINANCE(""NSE:""&amp;D14,""PRICE"",TODAY()-28),2,2)"),205.9)</f>
        <v>205.9</v>
      </c>
      <c r="K14" s="17">
        <f>IFERROR(__xludf.DUMMYFUNCTION("INDEX(GOOGLEFINANCE(""NSE:""&amp;D14,""PRICE"",TODAY()-84),2,2)"),202.4)</f>
        <v>202.4</v>
      </c>
      <c r="L14" s="16">
        <f t="shared" si="1"/>
        <v>-0.004722792608</v>
      </c>
      <c r="M14" s="16">
        <f t="shared" si="2"/>
        <v>0.04845338525</v>
      </c>
      <c r="N14" s="16">
        <f t="shared" si="3"/>
        <v>0.1316833995</v>
      </c>
      <c r="O14" s="16">
        <f t="shared" si="4"/>
        <v>0.1770276833</v>
      </c>
      <c r="P14" s="16">
        <f t="shared" si="5"/>
        <v>0.1973814229</v>
      </c>
      <c r="Q14" s="30">
        <f t="shared" si="6"/>
        <v>0.03659492811</v>
      </c>
      <c r="R14" s="30">
        <f t="shared" si="7"/>
        <v>0.1078990443</v>
      </c>
      <c r="S14" s="30">
        <f t="shared" si="8"/>
        <v>0.1056554797</v>
      </c>
      <c r="T14" s="30">
        <f t="shared" si="9"/>
        <v>0.07058855623</v>
      </c>
    </row>
    <row r="15">
      <c r="A15" s="1">
        <v>12.0</v>
      </c>
      <c r="B15" s="22" t="s">
        <v>596</v>
      </c>
      <c r="C15" s="22" t="s">
        <v>590</v>
      </c>
      <c r="D15" s="22" t="s">
        <v>53</v>
      </c>
      <c r="E15" s="23">
        <f>IFERROR(__xludf.DUMMYFUNCTION("GOOGLEFINANCE(""NSE:""&amp;D15,""marketcap"")/10000000"),285370.5897664)</f>
        <v>285370.5898</v>
      </c>
      <c r="F15" s="17">
        <f>IFERROR(__xludf.DUMMYFUNCTION("GOOGLEFINANCE(""NSE:""&amp;D15)"),4408.55)</f>
        <v>4408.55</v>
      </c>
      <c r="G15" s="17">
        <f>IFERROR(__xludf.DUMMYFUNCTION("GOOGLEFINANCE(""NSE:""&amp;D15,""closeyest"")"),4378.65)</f>
        <v>4378.65</v>
      </c>
      <c r="H15" s="17">
        <f>IFERROR(__xludf.DUMMYFUNCTION("INDEX(GOOGLEFINANCE(""NSE:""&amp;D15,""PRICE"",TODAY()-7),2,2)"),4239.65)</f>
        <v>4239.65</v>
      </c>
      <c r="I15" s="17">
        <f>IFERROR(__xludf.DUMMYFUNCTION("INDEX(GOOGLEFINANCE(""NSE:""&amp;D15,""PRICE"",TODAY()-14),2,2)"),3961.85)</f>
        <v>3961.85</v>
      </c>
      <c r="J15" s="17">
        <f>IFERROR(__xludf.DUMMYFUNCTION("INDEX(GOOGLEFINANCE(""NSE:""&amp;D15,""PRICE"",TODAY()-28),2,2)"),3833.05)</f>
        <v>3833.05</v>
      </c>
      <c r="K15" s="17">
        <f>IFERROR(__xludf.DUMMYFUNCTION("INDEX(GOOGLEFINANCE(""NSE:""&amp;D15,""PRICE"",TODAY()-84),2,2)"),3314.3)</f>
        <v>3314.3</v>
      </c>
      <c r="L15" s="16">
        <f t="shared" si="1"/>
        <v>0.00682858872</v>
      </c>
      <c r="M15" s="16">
        <f t="shared" si="2"/>
        <v>0.03983819419</v>
      </c>
      <c r="N15" s="16">
        <f t="shared" si="3"/>
        <v>0.1127503565</v>
      </c>
      <c r="O15" s="16">
        <f t="shared" si="4"/>
        <v>0.1501415322</v>
      </c>
      <c r="P15" s="16">
        <f t="shared" si="5"/>
        <v>0.3301602148</v>
      </c>
      <c r="Q15" s="30">
        <f t="shared" si="6"/>
        <v>0.02797973705</v>
      </c>
      <c r="R15" s="30">
        <f t="shared" si="7"/>
        <v>0.08896600135</v>
      </c>
      <c r="S15" s="30">
        <f t="shared" si="8"/>
        <v>0.07876932857</v>
      </c>
      <c r="T15" s="30">
        <f t="shared" si="9"/>
        <v>0.2033673481</v>
      </c>
    </row>
    <row r="16">
      <c r="A16" s="1">
        <v>13.0</v>
      </c>
      <c r="B16" s="22" t="s">
        <v>538</v>
      </c>
      <c r="C16" s="22" t="s">
        <v>528</v>
      </c>
      <c r="D16" s="22" t="s">
        <v>50</v>
      </c>
      <c r="E16" s="23">
        <f>IFERROR(__xludf.DUMMYFUNCTION("GOOGLEFINANCE(""NSE:""&amp;D16,""marketcap"")/10000000"),294144.3113936)</f>
        <v>294144.3114</v>
      </c>
      <c r="F16" s="17">
        <f>IFERROR(__xludf.DUMMYFUNCTION("GOOGLEFINANCE(""NSE:""&amp;D16)"),18430.0)</f>
        <v>18430</v>
      </c>
      <c r="G16" s="17">
        <f>IFERROR(__xludf.DUMMYFUNCTION("GOOGLEFINANCE(""NSE:""&amp;D16,""closeyest"")"),17614.75)</f>
        <v>17614.75</v>
      </c>
      <c r="H16" s="17">
        <f>IFERROR(__xludf.DUMMYFUNCTION("INDEX(GOOGLEFINANCE(""NSE:""&amp;D16,""PRICE"",TODAY()-7),2,2)"),16840.2)</f>
        <v>16840.2</v>
      </c>
      <c r="I16" s="17">
        <f>IFERROR(__xludf.DUMMYFUNCTION("INDEX(GOOGLEFINANCE(""NSE:""&amp;D16,""PRICE"",TODAY()-14),2,2)"),16938.2)</f>
        <v>16938.2</v>
      </c>
      <c r="J16" s="17">
        <f>IFERROR(__xludf.DUMMYFUNCTION("INDEX(GOOGLEFINANCE(""NSE:""&amp;D16,""PRICE"",TODAY()-28),2,2)"),16195.6)</f>
        <v>16195.6</v>
      </c>
      <c r="K16" s="17">
        <f>IFERROR(__xludf.DUMMYFUNCTION("INDEX(GOOGLEFINANCE(""NSE:""&amp;D16,""PRICE"",TODAY()-84),2,2)"),11750.45)</f>
        <v>11750.45</v>
      </c>
      <c r="L16" s="16">
        <f t="shared" si="1"/>
        <v>0.04628223506</v>
      </c>
      <c r="M16" s="16">
        <f t="shared" si="2"/>
        <v>0.09440505457</v>
      </c>
      <c r="N16" s="16">
        <f t="shared" si="3"/>
        <v>0.08807311285</v>
      </c>
      <c r="O16" s="16">
        <f t="shared" si="4"/>
        <v>0.1379633975</v>
      </c>
      <c r="P16" s="16">
        <f t="shared" si="5"/>
        <v>0.56845057</v>
      </c>
      <c r="Q16" s="30">
        <f t="shared" si="6"/>
        <v>0.08254659744</v>
      </c>
      <c r="R16" s="30">
        <f t="shared" si="7"/>
        <v>0.06428875767</v>
      </c>
      <c r="S16" s="30">
        <f t="shared" si="8"/>
        <v>0.06659119384</v>
      </c>
      <c r="T16" s="30">
        <f t="shared" si="9"/>
        <v>0.4416577033</v>
      </c>
    </row>
    <row r="17">
      <c r="A17" s="1">
        <v>14.0</v>
      </c>
      <c r="B17" s="22" t="s">
        <v>539</v>
      </c>
      <c r="C17" s="22" t="s">
        <v>528</v>
      </c>
      <c r="D17" s="22" t="s">
        <v>55</v>
      </c>
      <c r="E17" s="23">
        <f>IFERROR(__xludf.DUMMYFUNCTION("GOOGLEFINANCE(""NSE:""&amp;D17,""marketcap"")/10000000"),249162.2785767)</f>
        <v>249162.2786</v>
      </c>
      <c r="F17" s="17">
        <f>IFERROR(__xludf.DUMMYFUNCTION("GOOGLEFINANCE(""NSE:""&amp;D17)"),813.0)</f>
        <v>813</v>
      </c>
      <c r="G17" s="17">
        <f>IFERROR(__xludf.DUMMYFUNCTION("GOOGLEFINANCE(""NSE:""&amp;D17,""closeyest"")"),788.35)</f>
        <v>788.35</v>
      </c>
      <c r="H17" s="17">
        <f>IFERROR(__xludf.DUMMYFUNCTION("INDEX(GOOGLEFINANCE(""NSE:""&amp;D17,""PRICE"",TODAY()-7),2,2)"),807.35)</f>
        <v>807.35</v>
      </c>
      <c r="I17" s="17">
        <f>IFERROR(__xludf.DUMMYFUNCTION("INDEX(GOOGLEFINANCE(""NSE:""&amp;D17,""PRICE"",TODAY()-14),2,2)"),788.35)</f>
        <v>788.35</v>
      </c>
      <c r="J17" s="17">
        <f>IFERROR(__xludf.DUMMYFUNCTION("INDEX(GOOGLEFINANCE(""NSE:""&amp;D17,""PRICE"",TODAY()-28),2,2)"),752.4)</f>
        <v>752.4</v>
      </c>
      <c r="K17" s="17">
        <f>IFERROR(__xludf.DUMMYFUNCTION("INDEX(GOOGLEFINANCE(""NSE:""&amp;D17,""PRICE"",TODAY()-84),2,2)"),750.65)</f>
        <v>750.65</v>
      </c>
      <c r="L17" s="16">
        <f t="shared" si="1"/>
        <v>0.03126783789</v>
      </c>
      <c r="M17" s="16">
        <f t="shared" si="2"/>
        <v>0.006998204001</v>
      </c>
      <c r="N17" s="16">
        <f t="shared" si="3"/>
        <v>0.03126783789</v>
      </c>
      <c r="O17" s="16">
        <f t="shared" si="4"/>
        <v>0.08054226475</v>
      </c>
      <c r="P17" s="16">
        <f t="shared" si="5"/>
        <v>0.08306134683</v>
      </c>
      <c r="Q17" s="30">
        <f t="shared" si="6"/>
        <v>-0.004860253135</v>
      </c>
      <c r="R17" s="30">
        <f t="shared" si="7"/>
        <v>0.00748348271</v>
      </c>
      <c r="S17" s="30">
        <f t="shared" si="8"/>
        <v>0.009170061124</v>
      </c>
      <c r="T17" s="30">
        <f t="shared" si="9"/>
        <v>-0.04373151986</v>
      </c>
    </row>
    <row r="18">
      <c r="A18" s="1">
        <v>15.0</v>
      </c>
      <c r="B18" s="22" t="s">
        <v>540</v>
      </c>
      <c r="C18" s="22" t="s">
        <v>541</v>
      </c>
      <c r="D18" s="22" t="s">
        <v>57</v>
      </c>
      <c r="E18" s="23">
        <f>IFERROR(__xludf.DUMMYFUNCTION("GOOGLEFINANCE(""NSE:""&amp;D18,""marketcap"")/10000000"),249029.265)</f>
        <v>249029.265</v>
      </c>
      <c r="F18" s="17">
        <f>IFERROR(__xludf.DUMMYFUNCTION("GOOGLEFINANCE(""NSE:""&amp;D18)"),1774.55)</f>
        <v>1774.55</v>
      </c>
      <c r="G18" s="17">
        <f>IFERROR(__xludf.DUMMYFUNCTION("GOOGLEFINANCE(""NSE:""&amp;D18,""closeyest"")"),1710.9)</f>
        <v>1710.9</v>
      </c>
      <c r="H18" s="17">
        <f>IFERROR(__xludf.DUMMYFUNCTION("INDEX(GOOGLEFINANCE(""NSE:""&amp;D18,""PRICE"",TODAY()-7),2,2)"),1716.2)</f>
        <v>1716.2</v>
      </c>
      <c r="I18" s="17">
        <f>IFERROR(__xludf.DUMMYFUNCTION("INDEX(GOOGLEFINANCE(""NSE:""&amp;D18,""PRICE"",TODAY()-14),2,2)"),1671.7)</f>
        <v>1671.7</v>
      </c>
      <c r="J18" s="17">
        <f>IFERROR(__xludf.DUMMYFUNCTION("INDEX(GOOGLEFINANCE(""NSE:""&amp;D18,""PRICE"",TODAY()-28),2,2)"),1638.1)</f>
        <v>1638.1</v>
      </c>
      <c r="K18" s="17">
        <f>IFERROR(__xludf.DUMMYFUNCTION("INDEX(GOOGLEFINANCE(""NSE:""&amp;D18,""PRICE"",TODAY()-84),2,2)"),1485.65)</f>
        <v>1485.65</v>
      </c>
      <c r="L18" s="16">
        <f t="shared" si="1"/>
        <v>0.03720264188</v>
      </c>
      <c r="M18" s="16">
        <f t="shared" si="2"/>
        <v>0.03399953385</v>
      </c>
      <c r="N18" s="16">
        <f t="shared" si="3"/>
        <v>0.06152419693</v>
      </c>
      <c r="O18" s="16">
        <f t="shared" si="4"/>
        <v>0.08329772297</v>
      </c>
      <c r="P18" s="16">
        <f t="shared" si="5"/>
        <v>0.1944603372</v>
      </c>
      <c r="Q18" s="30">
        <f t="shared" si="6"/>
        <v>0.02214107672</v>
      </c>
      <c r="R18" s="30">
        <f t="shared" si="7"/>
        <v>0.03773984175</v>
      </c>
      <c r="S18" s="30">
        <f t="shared" si="8"/>
        <v>0.01192551934</v>
      </c>
      <c r="T18" s="30">
        <f t="shared" si="9"/>
        <v>0.06766747053</v>
      </c>
    </row>
    <row r="19">
      <c r="A19" s="1">
        <v>16.0</v>
      </c>
      <c r="B19" s="22" t="s">
        <v>542</v>
      </c>
      <c r="C19" s="22" t="s">
        <v>543</v>
      </c>
      <c r="D19" s="22" t="s">
        <v>59</v>
      </c>
      <c r="E19" s="23">
        <f>IFERROR(__xludf.DUMMYFUNCTION("GOOGLEFINANCE(""NSE:""&amp;D19,""marketcap"")/10000000"),220045.44996)</f>
        <v>220045.45</v>
      </c>
      <c r="F19" s="17">
        <f>IFERROR(__xludf.DUMMYFUNCTION("GOOGLEFINANCE(""NSE:""&amp;D19)"),7628.0)</f>
        <v>7628</v>
      </c>
      <c r="G19" s="17">
        <f>IFERROR(__xludf.DUMMYFUNCTION("GOOGLEFINANCE(""NSE:""&amp;D19,""closeyest"")"),7625.6)</f>
        <v>7625.6</v>
      </c>
      <c r="H19" s="17">
        <f>IFERROR(__xludf.DUMMYFUNCTION("INDEX(GOOGLEFINANCE(""NSE:""&amp;D19,""PRICE"",TODAY()-7),2,2)"),7711.85)</f>
        <v>7711.85</v>
      </c>
      <c r="I19" s="17">
        <f>IFERROR(__xludf.DUMMYFUNCTION("INDEX(GOOGLEFINANCE(""NSE:""&amp;D19,""PRICE"",TODAY()-14),2,2)"),7944.45)</f>
        <v>7944.45</v>
      </c>
      <c r="J19" s="17">
        <f>IFERROR(__xludf.DUMMYFUNCTION("INDEX(GOOGLEFINANCE(""NSE:""&amp;D19,""PRICE"",TODAY()-28),2,2)"),7565.6)</f>
        <v>7565.6</v>
      </c>
      <c r="K19" s="17">
        <f>IFERROR(__xludf.DUMMYFUNCTION("INDEX(GOOGLEFINANCE(""NSE:""&amp;D19,""PRICE"",TODAY()-84),2,2)"),6719.9)</f>
        <v>6719.9</v>
      </c>
      <c r="L19" s="16">
        <f t="shared" si="1"/>
        <v>0.0003147293328</v>
      </c>
      <c r="M19" s="16">
        <f t="shared" si="2"/>
        <v>-0.01087287745</v>
      </c>
      <c r="N19" s="16">
        <f t="shared" si="3"/>
        <v>-0.03983283928</v>
      </c>
      <c r="O19" s="16">
        <f t="shared" si="4"/>
        <v>0.008247858729</v>
      </c>
      <c r="P19" s="16">
        <f t="shared" si="5"/>
        <v>0.1351359395</v>
      </c>
      <c r="Q19" s="30">
        <f t="shared" si="6"/>
        <v>-0.02273133459</v>
      </c>
      <c r="R19" s="30">
        <f t="shared" si="7"/>
        <v>-0.06361719446</v>
      </c>
      <c r="S19" s="30">
        <f t="shared" si="8"/>
        <v>-0.0631243449</v>
      </c>
      <c r="T19" s="30">
        <f t="shared" si="9"/>
        <v>0.008343072826</v>
      </c>
    </row>
    <row r="20">
      <c r="A20" s="1">
        <v>17.0</v>
      </c>
      <c r="B20" s="22" t="s">
        <v>544</v>
      </c>
      <c r="C20" s="22" t="s">
        <v>545</v>
      </c>
      <c r="D20" s="22" t="s">
        <v>61</v>
      </c>
      <c r="E20" s="23">
        <f>IFERROR(__xludf.DUMMYFUNCTION("GOOGLEFINANCE(""NSE:""&amp;D20,""marketcap"")/10000000"),206723.7284232)</f>
        <v>206723.7284</v>
      </c>
      <c r="F20" s="17">
        <f>IFERROR(__xludf.DUMMYFUNCTION("GOOGLEFINANCE(""NSE:""&amp;D20)"),6843.0)</f>
        <v>6843</v>
      </c>
      <c r="G20" s="17">
        <f>IFERROR(__xludf.DUMMYFUNCTION("GOOGLEFINANCE(""NSE:""&amp;D20,""closeyest"")"),6831.0)</f>
        <v>6831</v>
      </c>
      <c r="H20" s="17">
        <f>IFERROR(__xludf.DUMMYFUNCTION("INDEX(GOOGLEFINANCE(""NSE:""&amp;D20,""PRICE"",TODAY()-7),2,2)"),7014.45)</f>
        <v>7014.45</v>
      </c>
      <c r="I20" s="17">
        <f>IFERROR(__xludf.DUMMYFUNCTION("INDEX(GOOGLEFINANCE(""NSE:""&amp;D20,""PRICE"",TODAY()-14),2,2)"),6873.7)</f>
        <v>6873.7</v>
      </c>
      <c r="J20" s="17">
        <f>IFERROR(__xludf.DUMMYFUNCTION("INDEX(GOOGLEFINANCE(""NSE:""&amp;D20,""PRICE"",TODAY()-28),2,2)"),6624.85)</f>
        <v>6624.85</v>
      </c>
      <c r="K20" s="17">
        <f>IFERROR(__xludf.DUMMYFUNCTION("INDEX(GOOGLEFINANCE(""NSE:""&amp;D20,""PRICE"",TODAY()-84),2,2)"),7573.85)</f>
        <v>7573.85</v>
      </c>
      <c r="L20" s="16">
        <f t="shared" si="1"/>
        <v>0.001756697409</v>
      </c>
      <c r="M20" s="16">
        <f t="shared" si="2"/>
        <v>-0.02444240104</v>
      </c>
      <c r="N20" s="16">
        <f t="shared" si="3"/>
        <v>-0.004466299082</v>
      </c>
      <c r="O20" s="16">
        <f t="shared" si="4"/>
        <v>0.03292904745</v>
      </c>
      <c r="P20" s="16">
        <f t="shared" si="5"/>
        <v>-0.09649649782</v>
      </c>
      <c r="Q20" s="30">
        <f t="shared" si="6"/>
        <v>-0.03630085818</v>
      </c>
      <c r="R20" s="30">
        <f t="shared" si="7"/>
        <v>-0.02825065426</v>
      </c>
      <c r="S20" s="30">
        <f t="shared" si="8"/>
        <v>-0.03844315618</v>
      </c>
      <c r="T20" s="30">
        <f t="shared" si="9"/>
        <v>-0.2232893645</v>
      </c>
    </row>
    <row r="21">
      <c r="A21" s="1">
        <v>18.0</v>
      </c>
      <c r="B21" s="22" t="s">
        <v>546</v>
      </c>
      <c r="C21" s="22" t="s">
        <v>526</v>
      </c>
      <c r="D21" s="22" t="s">
        <v>63</v>
      </c>
      <c r="E21" s="23">
        <f>IFERROR(__xludf.DUMMYFUNCTION("GOOGLEFINANCE(""NSE:""&amp;D21,""marketcap"")/10000000"),191327.354768)</f>
        <v>191327.3548</v>
      </c>
      <c r="F21" s="17">
        <f>IFERROR(__xludf.DUMMYFUNCTION("GOOGLEFINANCE(""NSE:""&amp;D21)"),19844.0)</f>
        <v>19844</v>
      </c>
      <c r="G21" s="17">
        <f>IFERROR(__xludf.DUMMYFUNCTION("GOOGLEFINANCE(""NSE:""&amp;D21,""closeyest"")"),19925.2)</f>
        <v>19925.2</v>
      </c>
      <c r="H21" s="17">
        <f>IFERROR(__xludf.DUMMYFUNCTION("INDEX(GOOGLEFINANCE(""NSE:""&amp;D21,""PRICE"",TODAY()-7),2,2)"),20175.7)</f>
        <v>20175.7</v>
      </c>
      <c r="I21" s="17">
        <f>IFERROR(__xludf.DUMMYFUNCTION("INDEX(GOOGLEFINANCE(""NSE:""&amp;D21,""PRICE"",TODAY()-14),2,2)"),20452.25)</f>
        <v>20452.25</v>
      </c>
      <c r="J21" s="17">
        <f>IFERROR(__xludf.DUMMYFUNCTION("INDEX(GOOGLEFINANCE(""NSE:""&amp;D21,""PRICE"",TODAY()-28),2,2)"),19957.35)</f>
        <v>19957.35</v>
      </c>
      <c r="K21" s="17">
        <f>IFERROR(__xludf.DUMMYFUNCTION("INDEX(GOOGLEFINANCE(""NSE:""&amp;D21,""PRICE"",TODAY()-84),2,2)"),17602.0)</f>
        <v>17602</v>
      </c>
      <c r="L21" s="16">
        <f t="shared" si="1"/>
        <v>-0.004075241403</v>
      </c>
      <c r="M21" s="16">
        <f t="shared" si="2"/>
        <v>-0.0164405696</v>
      </c>
      <c r="N21" s="16">
        <f t="shared" si="3"/>
        <v>-0.02974000416</v>
      </c>
      <c r="O21" s="16">
        <f t="shared" si="4"/>
        <v>-0.005679611772</v>
      </c>
      <c r="P21" s="16">
        <f t="shared" si="5"/>
        <v>0.1273718896</v>
      </c>
      <c r="Q21" s="30">
        <f t="shared" si="6"/>
        <v>-0.02829902673</v>
      </c>
      <c r="R21" s="30">
        <f t="shared" si="7"/>
        <v>-0.05352435934</v>
      </c>
      <c r="S21" s="30">
        <f t="shared" si="8"/>
        <v>-0.0770518154</v>
      </c>
      <c r="T21" s="30">
        <f t="shared" si="9"/>
        <v>0.000579022861</v>
      </c>
    </row>
    <row r="22">
      <c r="A22" s="1">
        <v>19.0</v>
      </c>
      <c r="B22" s="22" t="s">
        <v>547</v>
      </c>
      <c r="C22" s="22" t="s">
        <v>526</v>
      </c>
      <c r="D22" s="22" t="s">
        <v>71</v>
      </c>
      <c r="E22" s="23">
        <f>IFERROR(__xludf.DUMMYFUNCTION("GOOGLEFINANCE(""NSE:""&amp;D22,""marketcap"")/10000000"),186763.36944)</f>
        <v>186763.3694</v>
      </c>
      <c r="F22" s="17">
        <f>IFERROR(__xludf.DUMMYFUNCTION("GOOGLEFINANCE(""NSE:""&amp;D22)"),2106.0)</f>
        <v>2106</v>
      </c>
      <c r="G22" s="17">
        <f>IFERROR(__xludf.DUMMYFUNCTION("GOOGLEFINANCE(""NSE:""&amp;D22,""closeyest"")"),2081.05)</f>
        <v>2081.05</v>
      </c>
      <c r="H22" s="17">
        <f>IFERROR(__xludf.DUMMYFUNCTION("INDEX(GOOGLEFINANCE(""NSE:""&amp;D22,""PRICE"",TODAY()-7),2,2)"),2095.6)</f>
        <v>2095.6</v>
      </c>
      <c r="I22" s="17">
        <f>IFERROR(__xludf.DUMMYFUNCTION("INDEX(GOOGLEFINANCE(""NSE:""&amp;D22,""PRICE"",TODAY()-14),2,2)"),2030.65)</f>
        <v>2030.65</v>
      </c>
      <c r="J22" s="17">
        <f>IFERROR(__xludf.DUMMYFUNCTION("INDEX(GOOGLEFINANCE(""NSE:""&amp;D22,""PRICE"",TODAY()-28),2,2)"),1822.55)</f>
        <v>1822.55</v>
      </c>
      <c r="K22" s="17">
        <f>IFERROR(__xludf.DUMMYFUNCTION("INDEX(GOOGLEFINANCE(""NSE:""&amp;D22,""PRICE"",TODAY()-84),2,2)"),1754.75)</f>
        <v>1754.75</v>
      </c>
      <c r="L22" s="16">
        <f t="shared" si="1"/>
        <v>0.0119891401</v>
      </c>
      <c r="M22" s="16">
        <f t="shared" si="2"/>
        <v>0.004962779156</v>
      </c>
      <c r="N22" s="16">
        <f t="shared" si="3"/>
        <v>0.03710634526</v>
      </c>
      <c r="O22" s="16">
        <f t="shared" si="4"/>
        <v>0.1555238539</v>
      </c>
      <c r="P22" s="16">
        <f t="shared" si="5"/>
        <v>0.2001709645</v>
      </c>
      <c r="Q22" s="30">
        <f t="shared" si="6"/>
        <v>-0.00689567798</v>
      </c>
      <c r="R22" s="30">
        <f t="shared" si="7"/>
        <v>0.01332199008</v>
      </c>
      <c r="S22" s="30">
        <f t="shared" si="8"/>
        <v>0.08415165031</v>
      </c>
      <c r="T22" s="30">
        <f t="shared" si="9"/>
        <v>0.07337809783</v>
      </c>
    </row>
    <row r="23">
      <c r="A23" s="1">
        <v>20.0</v>
      </c>
      <c r="B23" s="22" t="s">
        <v>548</v>
      </c>
      <c r="C23" s="22" t="s">
        <v>549</v>
      </c>
      <c r="D23" s="22" t="s">
        <v>65</v>
      </c>
      <c r="E23" s="23">
        <f>IFERROR(__xludf.DUMMYFUNCTION("GOOGLEFINANCE(""NSE:""&amp;D23,""marketcap"")/10000000"),184508.8615)</f>
        <v>184508.8615</v>
      </c>
      <c r="F23" s="17">
        <f>IFERROR(__xludf.DUMMYFUNCTION("GOOGLEFINANCE(""NSE:""&amp;D23)"),769.0)</f>
        <v>769</v>
      </c>
      <c r="G23" s="17">
        <f>IFERROR(__xludf.DUMMYFUNCTION("GOOGLEFINANCE(""NSE:""&amp;D23,""closeyest"")"),770.1)</f>
        <v>770.1</v>
      </c>
      <c r="H23" s="17">
        <f>IFERROR(__xludf.DUMMYFUNCTION("INDEX(GOOGLEFINANCE(""NSE:""&amp;D23,""PRICE"",TODAY()-7),2,2)"),769.9)</f>
        <v>769.9</v>
      </c>
      <c r="I23" s="17">
        <f>IFERROR(__xludf.DUMMYFUNCTION("INDEX(GOOGLEFINANCE(""NSE:""&amp;D23,""PRICE"",TODAY()-14),2,2)"),780.3)</f>
        <v>780.3</v>
      </c>
      <c r="J23" s="17">
        <f>IFERROR(__xludf.DUMMYFUNCTION("INDEX(GOOGLEFINANCE(""NSE:""&amp;D23,""PRICE"",TODAY()-28),2,2)"),771.8)</f>
        <v>771.8</v>
      </c>
      <c r="K23" s="17">
        <f>IFERROR(__xludf.DUMMYFUNCTION("INDEX(GOOGLEFINANCE(""NSE:""&amp;D23,""PRICE"",TODAY()-84),2,2)"),681.25)</f>
        <v>681.25</v>
      </c>
      <c r="L23" s="16">
        <f t="shared" si="1"/>
        <v>-0.001428385924</v>
      </c>
      <c r="M23" s="16">
        <f t="shared" si="2"/>
        <v>-0.001168982985</v>
      </c>
      <c r="N23" s="16">
        <f t="shared" si="3"/>
        <v>-0.01448160964</v>
      </c>
      <c r="O23" s="16">
        <f t="shared" si="4"/>
        <v>-0.003627882871</v>
      </c>
      <c r="P23" s="16">
        <f t="shared" si="5"/>
        <v>0.1288073394</v>
      </c>
      <c r="Q23" s="30">
        <f t="shared" si="6"/>
        <v>-0.01302744012</v>
      </c>
      <c r="R23" s="30">
        <f t="shared" si="7"/>
        <v>-0.03826596482</v>
      </c>
      <c r="S23" s="30">
        <f t="shared" si="8"/>
        <v>-0.0750000865</v>
      </c>
      <c r="T23" s="30">
        <f t="shared" si="9"/>
        <v>0.002014472752</v>
      </c>
    </row>
    <row r="24">
      <c r="A24" s="1">
        <v>21.0</v>
      </c>
      <c r="B24" s="22" t="s">
        <v>601</v>
      </c>
      <c r="C24" s="22" t="s">
        <v>560</v>
      </c>
      <c r="D24" s="22" t="s">
        <v>69</v>
      </c>
      <c r="E24" s="23">
        <f>IFERROR(__xludf.DUMMYFUNCTION("GOOGLEFINANCE(""NSE:""&amp;D24,""marketcap"")/10000000"),179435.9807493)</f>
        <v>179435.9807</v>
      </c>
      <c r="F24" s="17">
        <f>IFERROR(__xludf.DUMMYFUNCTION("GOOGLEFINANCE(""NSE:""&amp;D24)"),1136.7)</f>
        <v>1136.7</v>
      </c>
      <c r="G24" s="17">
        <f>IFERROR(__xludf.DUMMYFUNCTION("GOOGLEFINANCE(""NSE:""&amp;D24,""closeyest"")"),1141.55)</f>
        <v>1141.55</v>
      </c>
      <c r="H24" s="17">
        <f>IFERROR(__xludf.DUMMYFUNCTION("INDEX(GOOGLEFINANCE(""NSE:""&amp;D24,""PRICE"",TODAY()-7),2,2)"),1153.25)</f>
        <v>1153.25</v>
      </c>
      <c r="I24" s="17">
        <f>IFERROR(__xludf.DUMMYFUNCTION("INDEX(GOOGLEFINANCE(""NSE:""&amp;D24,""PRICE"",TODAY()-14),2,2)"),1185.2)</f>
        <v>1185.2</v>
      </c>
      <c r="J24" s="17">
        <f>IFERROR(__xludf.DUMMYFUNCTION("INDEX(GOOGLEFINANCE(""NSE:""&amp;D24,""PRICE"",TODAY()-28),2,2)"),1049.1)</f>
        <v>1049.1</v>
      </c>
      <c r="K24" s="17">
        <f>IFERROR(__xludf.DUMMYFUNCTION("INDEX(GOOGLEFINANCE(""NSE:""&amp;D24,""PRICE"",TODAY()-84),2,2)"),1015.3)</f>
        <v>1015.3</v>
      </c>
      <c r="L24" s="16">
        <f t="shared" si="1"/>
        <v>-0.004248609347</v>
      </c>
      <c r="M24" s="16">
        <f t="shared" si="2"/>
        <v>-0.01435074789</v>
      </c>
      <c r="N24" s="16">
        <f t="shared" si="3"/>
        <v>-0.04092136348</v>
      </c>
      <c r="O24" s="16">
        <f t="shared" si="4"/>
        <v>0.08350014298</v>
      </c>
      <c r="P24" s="16">
        <f t="shared" si="5"/>
        <v>0.1195705703</v>
      </c>
      <c r="Q24" s="30">
        <f t="shared" si="6"/>
        <v>-0.02620920502</v>
      </c>
      <c r="R24" s="30">
        <f t="shared" si="7"/>
        <v>-0.06470571866</v>
      </c>
      <c r="S24" s="30">
        <f t="shared" si="8"/>
        <v>0.01212793935</v>
      </c>
      <c r="T24" s="30">
        <f t="shared" si="9"/>
        <v>-0.007222296422</v>
      </c>
    </row>
    <row r="25">
      <c r="A25" s="1">
        <v>22.0</v>
      </c>
      <c r="B25" s="22" t="s">
        <v>593</v>
      </c>
      <c r="C25" s="22" t="s">
        <v>560</v>
      </c>
      <c r="D25" s="22" t="s">
        <v>77</v>
      </c>
      <c r="E25" s="23">
        <f>IFERROR(__xludf.DUMMYFUNCTION("GOOGLEFINANCE(""NSE:""&amp;D25,""marketcap"")/10000000"),170558.9560656)</f>
        <v>170558.9561</v>
      </c>
      <c r="F25" s="17">
        <f>IFERROR(__xludf.DUMMYFUNCTION("GOOGLEFINANCE(""NSE:""&amp;D25)"),1539.2)</f>
        <v>1539.2</v>
      </c>
      <c r="G25" s="17">
        <f>IFERROR(__xludf.DUMMYFUNCTION("GOOGLEFINANCE(""NSE:""&amp;D25,""closeyest"")"),1560.8)</f>
        <v>1560.8</v>
      </c>
      <c r="H25" s="17">
        <f>IFERROR(__xludf.DUMMYFUNCTION("INDEX(GOOGLEFINANCE(""NSE:""&amp;D25,""PRICE"",TODAY()-7),2,2)"),1820.35)</f>
        <v>1820.35</v>
      </c>
      <c r="I25" s="17">
        <f>IFERROR(__xludf.DUMMYFUNCTION("INDEX(GOOGLEFINANCE(""NSE:""&amp;D25,""PRICE"",TODAY()-14),2,2)"),1871.4)</f>
        <v>1871.4</v>
      </c>
      <c r="J25" s="17">
        <f>IFERROR(__xludf.DUMMYFUNCTION("INDEX(GOOGLEFINANCE(""NSE:""&amp;D25,""PRICE"",TODAY()-28),2,2)"),1433.7)</f>
        <v>1433.7</v>
      </c>
      <c r="K25" s="17">
        <f>IFERROR(__xludf.DUMMYFUNCTION("INDEX(GOOGLEFINANCE(""NSE:""&amp;D25,""PRICE"",TODAY()-84),2,2)"),956.2)</f>
        <v>956.2</v>
      </c>
      <c r="L25" s="16">
        <f t="shared" si="1"/>
        <v>-0.01383905689</v>
      </c>
      <c r="M25" s="16">
        <f t="shared" si="2"/>
        <v>-0.1544483204</v>
      </c>
      <c r="N25" s="16">
        <f t="shared" si="3"/>
        <v>-0.1775141605</v>
      </c>
      <c r="O25" s="16">
        <f t="shared" si="4"/>
        <v>0.07358582688</v>
      </c>
      <c r="P25" s="16">
        <f t="shared" si="5"/>
        <v>0.6097050826</v>
      </c>
      <c r="Q25" s="30">
        <f t="shared" si="6"/>
        <v>-0.1663067775</v>
      </c>
      <c r="R25" s="30">
        <f t="shared" si="7"/>
        <v>-0.2012985157</v>
      </c>
      <c r="S25" s="30">
        <f t="shared" si="8"/>
        <v>0.002213623253</v>
      </c>
      <c r="T25" s="30">
        <f t="shared" si="9"/>
        <v>0.4829122159</v>
      </c>
    </row>
    <row r="26">
      <c r="A26" s="1">
        <v>23.0</v>
      </c>
      <c r="B26" s="22" t="s">
        <v>550</v>
      </c>
      <c r="C26" s="22" t="s">
        <v>522</v>
      </c>
      <c r="D26" s="22" t="s">
        <v>81</v>
      </c>
      <c r="E26" s="23">
        <f>IFERROR(__xludf.DUMMYFUNCTION("GOOGLEFINANCE(""NSE:""&amp;D26,""marketcap"")/10000000"),173547.505834)</f>
        <v>173547.5058</v>
      </c>
      <c r="F26" s="17">
        <f>IFERROR(__xludf.DUMMYFUNCTION("GOOGLEFINANCE(""NSE:""&amp;D26)"),137.75)</f>
        <v>137.75</v>
      </c>
      <c r="G26" s="17">
        <f>IFERROR(__xludf.DUMMYFUNCTION("GOOGLEFINANCE(""NSE:""&amp;D26,""closeyest"")"),133.65)</f>
        <v>133.65</v>
      </c>
      <c r="H26" s="17">
        <f>IFERROR(__xludf.DUMMYFUNCTION("INDEX(GOOGLEFINANCE(""NSE:""&amp;D26,""PRICE"",TODAY()-7),2,2)"),127.75)</f>
        <v>127.75</v>
      </c>
      <c r="I26" s="17">
        <f>IFERROR(__xludf.DUMMYFUNCTION("INDEX(GOOGLEFINANCE(""NSE:""&amp;D26,""PRICE"",TODAY()-14),2,2)"),123.05)</f>
        <v>123.05</v>
      </c>
      <c r="J26" s="17">
        <f>IFERROR(__xludf.DUMMYFUNCTION("INDEX(GOOGLEFINANCE(""NSE:""&amp;D26,""PRICE"",TODAY()-28),2,2)"),116.65)</f>
        <v>116.65</v>
      </c>
      <c r="K26" s="17">
        <f>IFERROR(__xludf.DUMMYFUNCTION("INDEX(GOOGLEFINANCE(""NSE:""&amp;D26,""PRICE"",TODAY()-84),2,2)"),118.45)</f>
        <v>118.45</v>
      </c>
      <c r="L26" s="16">
        <f t="shared" si="1"/>
        <v>0.03067714179</v>
      </c>
      <c r="M26" s="16">
        <f t="shared" si="2"/>
        <v>0.0782778865</v>
      </c>
      <c r="N26" s="16">
        <f t="shared" si="3"/>
        <v>0.1194636327</v>
      </c>
      <c r="O26" s="16">
        <f t="shared" si="4"/>
        <v>0.1808829833</v>
      </c>
      <c r="P26" s="16">
        <f t="shared" si="5"/>
        <v>0.1629379485</v>
      </c>
      <c r="Q26" s="30">
        <f t="shared" si="6"/>
        <v>0.06641942936</v>
      </c>
      <c r="R26" s="30">
        <f t="shared" si="7"/>
        <v>0.09567927749</v>
      </c>
      <c r="S26" s="30">
        <f t="shared" si="8"/>
        <v>0.1095107797</v>
      </c>
      <c r="T26" s="30">
        <f t="shared" si="9"/>
        <v>0.0361450818</v>
      </c>
    </row>
    <row r="27">
      <c r="A27" s="1">
        <v>24.0</v>
      </c>
      <c r="B27" s="22" t="s">
        <v>551</v>
      </c>
      <c r="C27" s="22" t="s">
        <v>552</v>
      </c>
      <c r="D27" s="22" t="s">
        <v>75</v>
      </c>
      <c r="E27" s="23">
        <f>IFERROR(__xludf.DUMMYFUNCTION("GOOGLEFINANCE(""NSE:""&amp;D27,""marketcap"")/10000000"),162328.4167213)</f>
        <v>162328.4167</v>
      </c>
      <c r="F27" s="17">
        <f>IFERROR(__xludf.DUMMYFUNCTION("GOOGLEFINANCE(""NSE:""&amp;D27)"),674.3)</f>
        <v>674.3</v>
      </c>
      <c r="G27" s="17">
        <f>IFERROR(__xludf.DUMMYFUNCTION("GOOGLEFINANCE(""NSE:""&amp;D27,""closeyest"")"),678.55)</f>
        <v>678.55</v>
      </c>
      <c r="H27" s="17">
        <f>IFERROR(__xludf.DUMMYFUNCTION("INDEX(GOOGLEFINANCE(""NSE:""&amp;D27,""PRICE"",TODAY()-7),2,2)"),682.3)</f>
        <v>682.3</v>
      </c>
      <c r="I27" s="17">
        <f>IFERROR(__xludf.DUMMYFUNCTION("INDEX(GOOGLEFINANCE(""NSE:""&amp;D27,""PRICE"",TODAY()-14),2,2)"),694.4)</f>
        <v>694.4</v>
      </c>
      <c r="J27" s="17">
        <f>IFERROR(__xludf.DUMMYFUNCTION("INDEX(GOOGLEFINANCE(""NSE:""&amp;D27,""PRICE"",TODAY()-28),2,2)"),677.5)</f>
        <v>677.5</v>
      </c>
      <c r="K27" s="17">
        <f>IFERROR(__xludf.DUMMYFUNCTION("INDEX(GOOGLEFINANCE(""NSE:""&amp;D27,""PRICE"",TODAY()-84),2,2)"),671.3)</f>
        <v>671.3</v>
      </c>
      <c r="L27" s="16">
        <f t="shared" si="1"/>
        <v>-0.006263355685</v>
      </c>
      <c r="M27" s="16">
        <f t="shared" si="2"/>
        <v>-0.01172504763</v>
      </c>
      <c r="N27" s="16">
        <f t="shared" si="3"/>
        <v>-0.02894585253</v>
      </c>
      <c r="O27" s="16">
        <f t="shared" si="4"/>
        <v>-0.004723247232</v>
      </c>
      <c r="P27" s="16">
        <f t="shared" si="5"/>
        <v>0.004468940861</v>
      </c>
      <c r="Q27" s="30">
        <f t="shared" si="6"/>
        <v>-0.02358350477</v>
      </c>
      <c r="R27" s="30">
        <f t="shared" si="7"/>
        <v>-0.05273020771</v>
      </c>
      <c r="S27" s="30">
        <f t="shared" si="8"/>
        <v>-0.07609545086</v>
      </c>
      <c r="T27" s="30">
        <f t="shared" si="9"/>
        <v>-0.1223239258</v>
      </c>
    </row>
    <row r="28">
      <c r="A28" s="1">
        <v>25.0</v>
      </c>
      <c r="B28" s="22" t="s">
        <v>638</v>
      </c>
      <c r="C28" s="22" t="s">
        <v>552</v>
      </c>
      <c r="D28" s="22" t="s">
        <v>73</v>
      </c>
      <c r="E28" s="23">
        <f>IFERROR(__xludf.DUMMYFUNCTION("GOOGLEFINANCE(""NSE:""&amp;D28,""marketcap"")/10000000"),162156.5988943)</f>
        <v>162156.5989</v>
      </c>
      <c r="F28" s="17">
        <f>IFERROR(__xludf.DUMMYFUNCTION("GOOGLEFINANCE(""NSE:""&amp;D28)"),1475.6)</f>
        <v>1475.6</v>
      </c>
      <c r="G28" s="17">
        <f>IFERROR(__xludf.DUMMYFUNCTION("GOOGLEFINANCE(""NSE:""&amp;D28,""closeyest"")"),1437.75)</f>
        <v>1437.75</v>
      </c>
      <c r="H28" s="17">
        <f>IFERROR(__xludf.DUMMYFUNCTION("INDEX(GOOGLEFINANCE(""NSE:""&amp;D28,""PRICE"",TODAY()-7),2,2)"),1480.25)</f>
        <v>1480.25</v>
      </c>
      <c r="I28" s="17">
        <f>IFERROR(__xludf.DUMMYFUNCTION("INDEX(GOOGLEFINANCE(""NSE:""&amp;D28,""PRICE"",TODAY()-14),2,2)"),1532.45)</f>
        <v>1532.45</v>
      </c>
      <c r="J28" s="17">
        <f>IFERROR(__xludf.DUMMYFUNCTION("INDEX(GOOGLEFINANCE(""NSE:""&amp;D28,""PRICE"",TODAY()-28),2,2)"),1506.05)</f>
        <v>1506.05</v>
      </c>
      <c r="K28" s="17">
        <f>IFERROR(__xludf.DUMMYFUNCTION("INDEX(GOOGLEFINANCE(""NSE:""&amp;D28,""PRICE"",TODAY()-84),2,2)"),1422.05)</f>
        <v>1422.05</v>
      </c>
      <c r="L28" s="16">
        <f t="shared" si="1"/>
        <v>0.02632585637</v>
      </c>
      <c r="M28" s="16">
        <f t="shared" si="2"/>
        <v>-0.003141361257</v>
      </c>
      <c r="N28" s="16">
        <f t="shared" si="3"/>
        <v>-0.03709745832</v>
      </c>
      <c r="O28" s="16">
        <f t="shared" si="4"/>
        <v>-0.02021845224</v>
      </c>
      <c r="P28" s="16">
        <f t="shared" si="5"/>
        <v>0.03765690377</v>
      </c>
      <c r="Q28" s="30">
        <f t="shared" si="6"/>
        <v>-0.01499981839</v>
      </c>
      <c r="R28" s="30">
        <f t="shared" si="7"/>
        <v>-0.0608818135</v>
      </c>
      <c r="S28" s="30">
        <f t="shared" si="8"/>
        <v>-0.09159065587</v>
      </c>
      <c r="T28" s="30">
        <f t="shared" si="9"/>
        <v>-0.08913596293</v>
      </c>
    </row>
    <row r="29">
      <c r="A29" s="1">
        <v>26.0</v>
      </c>
      <c r="B29" s="22" t="s">
        <v>553</v>
      </c>
      <c r="C29" s="22" t="s">
        <v>552</v>
      </c>
      <c r="D29" s="22" t="s">
        <v>67</v>
      </c>
      <c r="E29" s="23">
        <f>IFERROR(__xludf.DUMMYFUNCTION("GOOGLEFINANCE(""NSE:""&amp;D29,""marketcap"")/10000000"),158771.5852178)</f>
        <v>158771.5852</v>
      </c>
      <c r="F29" s="17">
        <f>IFERROR(__xludf.DUMMYFUNCTION("GOOGLEFINANCE(""NSE:""&amp;D29)"),1315.5)</f>
        <v>1315.5</v>
      </c>
      <c r="G29" s="17">
        <f>IFERROR(__xludf.DUMMYFUNCTION("GOOGLEFINANCE(""NSE:""&amp;D29,""closeyest"")"),1305.8)</f>
        <v>1305.8</v>
      </c>
      <c r="H29" s="17">
        <f>IFERROR(__xludf.DUMMYFUNCTION("INDEX(GOOGLEFINANCE(""NSE:""&amp;D29,""PRICE"",TODAY()-7),2,2)"),1385.9)</f>
        <v>1385.9</v>
      </c>
      <c r="I29" s="17">
        <f>IFERROR(__xludf.DUMMYFUNCTION("INDEX(GOOGLEFINANCE(""NSE:""&amp;D29,""PRICE"",TODAY()-14),2,2)"),1463.45)</f>
        <v>1463.45</v>
      </c>
      <c r="J29" s="17">
        <f>IFERROR(__xludf.DUMMYFUNCTION("INDEX(GOOGLEFINANCE(""NSE:""&amp;D29,""PRICE"",TODAY()-28),2,2)"),1384.15)</f>
        <v>1384.15</v>
      </c>
      <c r="K29" s="17">
        <f>IFERROR(__xludf.DUMMYFUNCTION("INDEX(GOOGLEFINANCE(""NSE:""&amp;D29,""PRICE"",TODAY()-84),2,2)"),1136.0)</f>
        <v>1136</v>
      </c>
      <c r="L29" s="16">
        <f t="shared" si="1"/>
        <v>0.007428396385</v>
      </c>
      <c r="M29" s="16">
        <f t="shared" si="2"/>
        <v>-0.05079731582</v>
      </c>
      <c r="N29" s="16">
        <f t="shared" si="3"/>
        <v>-0.1010967235</v>
      </c>
      <c r="O29" s="16">
        <f t="shared" si="4"/>
        <v>-0.04959722573</v>
      </c>
      <c r="P29" s="16">
        <f t="shared" si="5"/>
        <v>0.1580105634</v>
      </c>
      <c r="Q29" s="30">
        <f t="shared" si="6"/>
        <v>-0.06265577296</v>
      </c>
      <c r="R29" s="30">
        <f t="shared" si="7"/>
        <v>-0.1248810787</v>
      </c>
      <c r="S29" s="30">
        <f t="shared" si="8"/>
        <v>-0.1209694294</v>
      </c>
      <c r="T29" s="30">
        <f t="shared" si="9"/>
        <v>0.03121769668</v>
      </c>
    </row>
    <row r="30">
      <c r="A30" s="1">
        <v>27.0</v>
      </c>
      <c r="B30" s="22" t="s">
        <v>554</v>
      </c>
      <c r="C30" s="22" t="s">
        <v>555</v>
      </c>
      <c r="D30" s="22" t="s">
        <v>83</v>
      </c>
      <c r="E30" s="23">
        <f>IFERROR(__xludf.DUMMYFUNCTION("GOOGLEFINANCE(""NSE:""&amp;D30,""marketcap"")/10000000"),153989.0723071)</f>
        <v>153989.0723</v>
      </c>
      <c r="F30" s="17">
        <f>IFERROR(__xludf.DUMMYFUNCTION("GOOGLEFINANCE(""NSE:""&amp;D30)"),754.0)</f>
        <v>754</v>
      </c>
      <c r="G30" s="17">
        <f>IFERROR(__xludf.DUMMYFUNCTION("GOOGLEFINANCE(""NSE:""&amp;D30,""closeyest"")"),745.3)</f>
        <v>745.3</v>
      </c>
      <c r="H30" s="17">
        <f>IFERROR(__xludf.DUMMYFUNCTION("INDEX(GOOGLEFINANCE(""NSE:""&amp;D30,""PRICE"",TODAY()-7),2,2)"),767.1)</f>
        <v>767.1</v>
      </c>
      <c r="I30" s="17">
        <f>IFERROR(__xludf.DUMMYFUNCTION("INDEX(GOOGLEFINANCE(""NSE:""&amp;D30,""PRICE"",TODAY()-14),2,2)"),745.1)</f>
        <v>745.1</v>
      </c>
      <c r="J30" s="17">
        <f>IFERROR(__xludf.DUMMYFUNCTION("INDEX(GOOGLEFINANCE(""NSE:""&amp;D30,""PRICE"",TODAY()-28),2,2)"),727.0)</f>
        <v>727</v>
      </c>
      <c r="K30" s="17">
        <f>IFERROR(__xludf.DUMMYFUNCTION("INDEX(GOOGLEFINANCE(""NSE:""&amp;D30,""PRICE"",TODAY()-84),2,2)"),710.4)</f>
        <v>710.4</v>
      </c>
      <c r="L30" s="16">
        <f t="shared" si="1"/>
        <v>0.01167315175</v>
      </c>
      <c r="M30" s="16">
        <f t="shared" si="2"/>
        <v>-0.01707730413</v>
      </c>
      <c r="N30" s="16">
        <f t="shared" si="3"/>
        <v>0.01194470541</v>
      </c>
      <c r="O30" s="16">
        <f t="shared" si="4"/>
        <v>0.0371389271</v>
      </c>
      <c r="P30" s="16">
        <f t="shared" si="5"/>
        <v>0.06137387387</v>
      </c>
      <c r="Q30" s="30">
        <f t="shared" si="6"/>
        <v>-0.02893576127</v>
      </c>
      <c r="R30" s="30">
        <f t="shared" si="7"/>
        <v>-0.01183964977</v>
      </c>
      <c r="S30" s="30">
        <f t="shared" si="8"/>
        <v>-0.03423327653</v>
      </c>
      <c r="T30" s="30">
        <f t="shared" si="9"/>
        <v>-0.06541899282</v>
      </c>
    </row>
    <row r="31">
      <c r="A31" s="1">
        <v>28.0</v>
      </c>
      <c r="B31" s="22" t="s">
        <v>641</v>
      </c>
      <c r="C31" s="22" t="s">
        <v>522</v>
      </c>
      <c r="D31" s="22" t="s">
        <v>79</v>
      </c>
      <c r="E31" s="23">
        <f>IFERROR(__xludf.DUMMYFUNCTION("GOOGLEFINANCE(""NSE:""&amp;D31,""marketcap"")/10000000"),153973.4)</f>
        <v>153973.4</v>
      </c>
      <c r="F31" s="17">
        <f>IFERROR(__xludf.DUMMYFUNCTION("GOOGLEFINANCE(""NSE:""&amp;D31)"),1400.0)</f>
        <v>1400</v>
      </c>
      <c r="G31" s="17">
        <f>IFERROR(__xludf.DUMMYFUNCTION("GOOGLEFINANCE(""NSE:""&amp;D31,""closeyest"")"),1378.7)</f>
        <v>1378.7</v>
      </c>
      <c r="H31" s="17">
        <f>IFERROR(__xludf.DUMMYFUNCTION("INDEX(GOOGLEFINANCE(""NSE:""&amp;D31,""PRICE"",TODAY()-7),2,2)"),1408.4)</f>
        <v>1408.4</v>
      </c>
      <c r="I31" s="17">
        <f>IFERROR(__xludf.DUMMYFUNCTION("INDEX(GOOGLEFINANCE(""NSE:""&amp;D31,""PRICE"",TODAY()-14),2,2)"),1375.65)</f>
        <v>1375.65</v>
      </c>
      <c r="J31" s="17">
        <f>IFERROR(__xludf.DUMMYFUNCTION("INDEX(GOOGLEFINANCE(""NSE:""&amp;D31,""PRICE"",TODAY()-28),2,2)"),1320.7)</f>
        <v>1320.7</v>
      </c>
      <c r="K31" s="17">
        <f>IFERROR(__xludf.DUMMYFUNCTION("INDEX(GOOGLEFINANCE(""NSE:""&amp;D31,""PRICE"",TODAY()-84),2,2)"),920.5)</f>
        <v>920.5</v>
      </c>
      <c r="L31" s="16">
        <f t="shared" si="1"/>
        <v>0.01544933633</v>
      </c>
      <c r="M31" s="16">
        <f t="shared" si="2"/>
        <v>-0.005964214712</v>
      </c>
      <c r="N31" s="16">
        <f t="shared" si="3"/>
        <v>0.01770072329</v>
      </c>
      <c r="O31" s="16">
        <f t="shared" si="4"/>
        <v>0.06004391611</v>
      </c>
      <c r="P31" s="16">
        <f t="shared" si="5"/>
        <v>0.5209125475</v>
      </c>
      <c r="Q31" s="30">
        <f t="shared" si="6"/>
        <v>-0.01782267185</v>
      </c>
      <c r="R31" s="30">
        <f t="shared" si="7"/>
        <v>-0.006083631885</v>
      </c>
      <c r="S31" s="30">
        <f t="shared" si="8"/>
        <v>-0.01132828752</v>
      </c>
      <c r="T31" s="30">
        <f t="shared" si="9"/>
        <v>0.3941196808</v>
      </c>
    </row>
    <row r="32">
      <c r="A32" s="1">
        <v>29.0</v>
      </c>
      <c r="B32" s="22" t="s">
        <v>556</v>
      </c>
      <c r="C32" s="22" t="s">
        <v>528</v>
      </c>
      <c r="D32" s="22" t="s">
        <v>85</v>
      </c>
      <c r="E32" s="23">
        <f>IFERROR(__xludf.DUMMYFUNCTION("GOOGLEFINANCE(""NSE:""&amp;D32,""marketcap"")/10000000"),146607.8008886)</f>
        <v>146607.8009</v>
      </c>
      <c r="F32" s="17">
        <f>IFERROR(__xludf.DUMMYFUNCTION("GOOGLEFINANCE(""NSE:""&amp;D32)"),725.15)</f>
        <v>725.15</v>
      </c>
      <c r="G32" s="17">
        <f>IFERROR(__xludf.DUMMYFUNCTION("GOOGLEFINANCE(""NSE:""&amp;D32,""closeyest"")"),733.05)</f>
        <v>733.05</v>
      </c>
      <c r="H32" s="17">
        <f>IFERROR(__xludf.DUMMYFUNCTION("INDEX(GOOGLEFINANCE(""NSE:""&amp;D32,""PRICE"",TODAY()-7),2,2)"),747.75)</f>
        <v>747.75</v>
      </c>
      <c r="I32" s="17">
        <f>IFERROR(__xludf.DUMMYFUNCTION("INDEX(GOOGLEFINANCE(""NSE:""&amp;D32,""PRICE"",TODAY()-14),2,2)"),734.9)</f>
        <v>734.9</v>
      </c>
      <c r="J32" s="17">
        <f>IFERROR(__xludf.DUMMYFUNCTION("INDEX(GOOGLEFINANCE(""NSE:""&amp;D32,""PRICE"",TODAY()-28),2,2)"),704.1)</f>
        <v>704.1</v>
      </c>
      <c r="K32" s="17">
        <f>IFERROR(__xludf.DUMMYFUNCTION("INDEX(GOOGLEFINANCE(""NSE:""&amp;D32,""PRICE"",TODAY()-84),2,2)"),687.5)</f>
        <v>687.5</v>
      </c>
      <c r="L32" s="16">
        <f t="shared" si="1"/>
        <v>-0.01077689107</v>
      </c>
      <c r="M32" s="16">
        <f t="shared" si="2"/>
        <v>-0.03022400535</v>
      </c>
      <c r="N32" s="16">
        <f t="shared" si="3"/>
        <v>-0.01326711117</v>
      </c>
      <c r="O32" s="16">
        <f t="shared" si="4"/>
        <v>0.02989632155</v>
      </c>
      <c r="P32" s="16">
        <f t="shared" si="5"/>
        <v>0.05476363636</v>
      </c>
      <c r="Q32" s="30">
        <f t="shared" si="6"/>
        <v>-0.04208246249</v>
      </c>
      <c r="R32" s="30">
        <f t="shared" si="7"/>
        <v>-0.03705146635</v>
      </c>
      <c r="S32" s="30">
        <f t="shared" si="8"/>
        <v>-0.04147588208</v>
      </c>
      <c r="T32" s="30">
        <f t="shared" si="9"/>
        <v>-0.07202923033</v>
      </c>
    </row>
    <row r="33">
      <c r="A33" s="1">
        <v>30.0</v>
      </c>
      <c r="B33" s="22" t="s">
        <v>557</v>
      </c>
      <c r="C33" s="22" t="s">
        <v>524</v>
      </c>
      <c r="D33" s="22" t="s">
        <v>87</v>
      </c>
      <c r="E33" s="23">
        <f>IFERROR(__xludf.DUMMYFUNCTION("GOOGLEFINANCE(""NSE:""&amp;D33,""marketcap"")/10000000"),147670.63738)</f>
        <v>147670.6374</v>
      </c>
      <c r="F33" s="17">
        <f>IFERROR(__xludf.DUMMYFUNCTION("GOOGLEFINANCE(""NSE:""&amp;D33)"),1523.0)</f>
        <v>1523</v>
      </c>
      <c r="G33" s="17">
        <f>IFERROR(__xludf.DUMMYFUNCTION("GOOGLEFINANCE(""NSE:""&amp;D33,""closeyest"")"),1513.6)</f>
        <v>1513.6</v>
      </c>
      <c r="H33" s="17">
        <f>IFERROR(__xludf.DUMMYFUNCTION("INDEX(GOOGLEFINANCE(""NSE:""&amp;D33,""PRICE"",TODAY()-7),2,2)"),1451.55)</f>
        <v>1451.55</v>
      </c>
      <c r="I33" s="17">
        <f>IFERROR(__xludf.DUMMYFUNCTION("INDEX(GOOGLEFINANCE(""NSE:""&amp;D33,""PRICE"",TODAY()-14),2,2)"),1429.5)</f>
        <v>1429.5</v>
      </c>
      <c r="J33" s="17">
        <f>IFERROR(__xludf.DUMMYFUNCTION("INDEX(GOOGLEFINANCE(""NSE:""&amp;D33,""PRICE"",TODAY()-28),2,2)"),1445.4)</f>
        <v>1445.4</v>
      </c>
      <c r="K33" s="17">
        <f>IFERROR(__xludf.DUMMYFUNCTION("INDEX(GOOGLEFINANCE(""NSE:""&amp;D33,""PRICE"",TODAY()-84),2,2)"),1089.4)</f>
        <v>1089.4</v>
      </c>
      <c r="L33" s="16">
        <f t="shared" si="1"/>
        <v>0.006210359408</v>
      </c>
      <c r="M33" s="16">
        <f t="shared" si="2"/>
        <v>0.04922324412</v>
      </c>
      <c r="N33" s="16">
        <f t="shared" si="3"/>
        <v>0.06540748513</v>
      </c>
      <c r="O33" s="16">
        <f t="shared" si="4"/>
        <v>0.05368756054</v>
      </c>
      <c r="P33" s="16">
        <f t="shared" si="5"/>
        <v>0.3980172572</v>
      </c>
      <c r="Q33" s="30">
        <f t="shared" si="6"/>
        <v>0.03736478698</v>
      </c>
      <c r="R33" s="30">
        <f t="shared" si="7"/>
        <v>0.04162312995</v>
      </c>
      <c r="S33" s="30">
        <f t="shared" si="8"/>
        <v>-0.01768464309</v>
      </c>
      <c r="T33" s="30">
        <f t="shared" si="9"/>
        <v>0.2712243905</v>
      </c>
    </row>
    <row r="34">
      <c r="A34" s="1">
        <v>31.0</v>
      </c>
      <c r="B34" s="22" t="s">
        <v>558</v>
      </c>
      <c r="C34" s="22" t="s">
        <v>549</v>
      </c>
      <c r="D34" s="22" t="s">
        <v>91</v>
      </c>
      <c r="E34" s="23">
        <f>IFERROR(__xludf.DUMMYFUNCTION("GOOGLEFINANCE(""NSE:""&amp;D34,""marketcap"")/10000000"),138407.3905447)</f>
        <v>138407.3905</v>
      </c>
      <c r="F34" s="17">
        <f>IFERROR(__xludf.DUMMYFUNCTION("GOOGLEFINANCE(""NSE:""&amp;D34)"),5219.5)</f>
        <v>5219.5</v>
      </c>
      <c r="G34" s="17">
        <f>IFERROR(__xludf.DUMMYFUNCTION("GOOGLEFINANCE(""NSE:""&amp;D34,""closeyest"")"),5139.9)</f>
        <v>5139.9</v>
      </c>
      <c r="H34" s="17">
        <f>IFERROR(__xludf.DUMMYFUNCTION("INDEX(GOOGLEFINANCE(""NSE:""&amp;D34,""PRICE"",TODAY()-7),2,2)"),5122.8)</f>
        <v>5122.8</v>
      </c>
      <c r="I34" s="17">
        <f>IFERROR(__xludf.DUMMYFUNCTION("INDEX(GOOGLEFINANCE(""NSE:""&amp;D34,""PRICE"",TODAY()-14),2,2)"),5085.2)</f>
        <v>5085.2</v>
      </c>
      <c r="J34" s="17">
        <f>IFERROR(__xludf.DUMMYFUNCTION("INDEX(GOOGLEFINANCE(""NSE:""&amp;D34,""PRICE"",TODAY()-28),2,2)"),4910.7)</f>
        <v>4910.7</v>
      </c>
      <c r="K34" s="17">
        <f>IFERROR(__xludf.DUMMYFUNCTION("INDEX(GOOGLEFINANCE(""NSE:""&amp;D34,""PRICE"",TODAY()-84),2,2)"),4519.65)</f>
        <v>4519.65</v>
      </c>
      <c r="L34" s="16">
        <f t="shared" si="1"/>
        <v>0.01548668262</v>
      </c>
      <c r="M34" s="16">
        <f t="shared" si="2"/>
        <v>0.01887639572</v>
      </c>
      <c r="N34" s="16">
        <f t="shared" si="3"/>
        <v>0.02640997404</v>
      </c>
      <c r="O34" s="16">
        <f t="shared" si="4"/>
        <v>0.06288309202</v>
      </c>
      <c r="P34" s="16">
        <f t="shared" si="5"/>
        <v>0.1548460611</v>
      </c>
      <c r="Q34" s="30">
        <f t="shared" si="6"/>
        <v>0.007017938585</v>
      </c>
      <c r="R34" s="30">
        <f t="shared" si="7"/>
        <v>0.002625618863</v>
      </c>
      <c r="S34" s="30">
        <f t="shared" si="8"/>
        <v>-0.008489111605</v>
      </c>
      <c r="T34" s="30">
        <f t="shared" si="9"/>
        <v>0.02805319439</v>
      </c>
    </row>
    <row r="35">
      <c r="A35" s="1">
        <v>32.0</v>
      </c>
      <c r="B35" s="22" t="s">
        <v>642</v>
      </c>
      <c r="C35" s="22" t="s">
        <v>552</v>
      </c>
      <c r="D35" s="22" t="s">
        <v>89</v>
      </c>
      <c r="E35" s="23">
        <f>IFERROR(__xludf.DUMMYFUNCTION("GOOGLEFINANCE(""NSE:""&amp;D35,""marketcap"")/10000000"),136565.2568586)</f>
        <v>136565.2569</v>
      </c>
      <c r="F35" s="17">
        <f>IFERROR(__xludf.DUMMYFUNCTION("GOOGLEFINANCE(""NSE:""&amp;D35)"),323.2)</f>
        <v>323.2</v>
      </c>
      <c r="G35" s="17">
        <f>IFERROR(__xludf.DUMMYFUNCTION("GOOGLEFINANCE(""NSE:""&amp;D35,""closeyest"")"),317.8)</f>
        <v>317.8</v>
      </c>
      <c r="H35" s="17">
        <f>IFERROR(__xludf.DUMMYFUNCTION("INDEX(GOOGLEFINANCE(""NSE:""&amp;D35,""PRICE"",TODAY()-7),2,2)"),334.75)</f>
        <v>334.75</v>
      </c>
      <c r="I35" s="17">
        <f>IFERROR(__xludf.DUMMYFUNCTION("INDEX(GOOGLEFINANCE(""NSE:""&amp;D35,""PRICE"",TODAY()-14),2,2)"),335.4)</f>
        <v>335.4</v>
      </c>
      <c r="J35" s="17">
        <f>IFERROR(__xludf.DUMMYFUNCTION("INDEX(GOOGLEFINANCE(""NSE:""&amp;D35,""PRICE"",TODAY()-28),2,2)"),318.2)</f>
        <v>318.2</v>
      </c>
      <c r="K35" s="17">
        <f>IFERROR(__xludf.DUMMYFUNCTION("INDEX(GOOGLEFINANCE(""NSE:""&amp;D35,""PRICE"",TODAY()-84),2,2)"),339.5)</f>
        <v>339.5</v>
      </c>
      <c r="L35" s="16">
        <f t="shared" si="1"/>
        <v>0.01699181875</v>
      </c>
      <c r="M35" s="16">
        <f t="shared" si="2"/>
        <v>-0.03450336072</v>
      </c>
      <c r="N35" s="16">
        <f t="shared" si="3"/>
        <v>-0.03637447823</v>
      </c>
      <c r="O35" s="16">
        <f t="shared" si="4"/>
        <v>0.01571338781</v>
      </c>
      <c r="P35" s="16">
        <f t="shared" si="5"/>
        <v>-0.04801178203</v>
      </c>
      <c r="Q35" s="30">
        <f t="shared" si="6"/>
        <v>-0.04636181785</v>
      </c>
      <c r="R35" s="30">
        <f t="shared" si="7"/>
        <v>-0.06015883341</v>
      </c>
      <c r="S35" s="30">
        <f t="shared" si="8"/>
        <v>-0.05565881582</v>
      </c>
      <c r="T35" s="30">
        <f t="shared" si="9"/>
        <v>-0.1748046487</v>
      </c>
    </row>
    <row r="36">
      <c r="A36" s="1">
        <v>33.0</v>
      </c>
      <c r="B36" s="22" t="s">
        <v>559</v>
      </c>
      <c r="C36" s="22" t="s">
        <v>560</v>
      </c>
      <c r="D36" s="22" t="s">
        <v>93</v>
      </c>
      <c r="E36" s="23">
        <f>IFERROR(__xludf.DUMMYFUNCTION("GOOGLEFINANCE(""NSE:""&amp;D36,""marketcap"")/10000000"),124302.5346912)</f>
        <v>124302.5347</v>
      </c>
      <c r="F36" s="17">
        <f>IFERROR(__xludf.DUMMYFUNCTION("GOOGLEFINANCE(""NSE:""&amp;D36)"),178.2)</f>
        <v>178.2</v>
      </c>
      <c r="G36" s="17">
        <f>IFERROR(__xludf.DUMMYFUNCTION("GOOGLEFINANCE(""NSE:""&amp;D36,""closeyest"")"),176.75)</f>
        <v>176.75</v>
      </c>
      <c r="H36" s="17">
        <f>IFERROR(__xludf.DUMMYFUNCTION("INDEX(GOOGLEFINANCE(""NSE:""&amp;D36,""PRICE"",TODAY()-7),2,2)"),178.8)</f>
        <v>178.8</v>
      </c>
      <c r="I36" s="17">
        <f>IFERROR(__xludf.DUMMYFUNCTION("INDEX(GOOGLEFINANCE(""NSE:""&amp;D36,""PRICE"",TODAY()-14),2,2)"),173.9)</f>
        <v>173.9</v>
      </c>
      <c r="J36" s="17">
        <f>IFERROR(__xludf.DUMMYFUNCTION("INDEX(GOOGLEFINANCE(""NSE:""&amp;D36,""PRICE"",TODAY()-28),2,2)"),174.35)</f>
        <v>174.35</v>
      </c>
      <c r="K36" s="17">
        <f>IFERROR(__xludf.DUMMYFUNCTION("INDEX(GOOGLEFINANCE(""NSE:""&amp;D36,""PRICE"",TODAY()-84),2,2)"),170.96)</f>
        <v>170.96</v>
      </c>
      <c r="L36" s="16">
        <f t="shared" si="1"/>
        <v>0.008203677511</v>
      </c>
      <c r="M36" s="16">
        <f t="shared" si="2"/>
        <v>-0.003355704698</v>
      </c>
      <c r="N36" s="16">
        <f t="shared" si="3"/>
        <v>0.02472685451</v>
      </c>
      <c r="O36" s="16">
        <f t="shared" si="4"/>
        <v>0.02208201893</v>
      </c>
      <c r="P36" s="16">
        <f t="shared" si="5"/>
        <v>0.04234908751</v>
      </c>
      <c r="Q36" s="30">
        <f t="shared" si="6"/>
        <v>-0.01521416183</v>
      </c>
      <c r="R36" s="30">
        <f t="shared" si="7"/>
        <v>0.0009424993344</v>
      </c>
      <c r="S36" s="30">
        <f t="shared" si="8"/>
        <v>-0.0492901847</v>
      </c>
      <c r="T36" s="30">
        <f t="shared" si="9"/>
        <v>-0.08444377919</v>
      </c>
    </row>
    <row r="37">
      <c r="A37" s="1">
        <v>34.0</v>
      </c>
      <c r="B37" s="22" t="s">
        <v>602</v>
      </c>
      <c r="C37" s="22" t="s">
        <v>603</v>
      </c>
      <c r="D37" s="22" t="s">
        <v>97</v>
      </c>
      <c r="E37" s="23">
        <f>IFERROR(__xludf.DUMMYFUNCTION("GOOGLEFINANCE(""NSE:""&amp;D37,""marketcap"")/10000000"),123532.09154)</f>
        <v>123532.0915</v>
      </c>
      <c r="F37" s="17">
        <f>IFERROR(__xludf.DUMMYFUNCTION("GOOGLEFINANCE(""NSE:""&amp;D37)"),2431.0)</f>
        <v>2431</v>
      </c>
      <c r="G37" s="17">
        <f>IFERROR(__xludf.DUMMYFUNCTION("GOOGLEFINANCE(""NSE:""&amp;D37,""closeyest"")"),2418.0)</f>
        <v>2418</v>
      </c>
      <c r="H37" s="17">
        <f>IFERROR(__xludf.DUMMYFUNCTION("INDEX(GOOGLEFINANCE(""NSE:""&amp;D37,""PRICE"",TODAY()-7),2,2)"),2368.45)</f>
        <v>2368.45</v>
      </c>
      <c r="I37" s="17">
        <f>IFERROR(__xludf.DUMMYFUNCTION("INDEX(GOOGLEFINANCE(""NSE:""&amp;D37,""PRICE"",TODAY()-14),2,2)"),2397.0)</f>
        <v>2397</v>
      </c>
      <c r="J37" s="17">
        <f>IFERROR(__xludf.DUMMYFUNCTION("INDEX(GOOGLEFINANCE(""NSE:""&amp;D37,""PRICE"",TODAY()-28),2,2)"),2225.2)</f>
        <v>2225.2</v>
      </c>
      <c r="K37" s="17">
        <f>IFERROR(__xludf.DUMMYFUNCTION("INDEX(GOOGLEFINANCE(""NSE:""&amp;D37,""PRICE"",TODAY()-84),2,2)"),2178.85)</f>
        <v>2178.85</v>
      </c>
      <c r="L37" s="16">
        <f t="shared" si="1"/>
        <v>0.005376344086</v>
      </c>
      <c r="M37" s="16">
        <f t="shared" si="2"/>
        <v>0.02640967722</v>
      </c>
      <c r="N37" s="16">
        <f t="shared" si="3"/>
        <v>0.01418439716</v>
      </c>
      <c r="O37" s="16">
        <f t="shared" si="4"/>
        <v>0.09248606867</v>
      </c>
      <c r="P37" s="16">
        <f t="shared" si="5"/>
        <v>0.1157261858</v>
      </c>
      <c r="Q37" s="30">
        <f t="shared" si="6"/>
        <v>0.01455122008</v>
      </c>
      <c r="R37" s="30">
        <f t="shared" si="7"/>
        <v>-0.009599958017</v>
      </c>
      <c r="S37" s="30">
        <f t="shared" si="8"/>
        <v>0.02111386504</v>
      </c>
      <c r="T37" s="30">
        <f t="shared" si="9"/>
        <v>-0.01106668087</v>
      </c>
    </row>
    <row r="38">
      <c r="A38" s="1">
        <v>35.0</v>
      </c>
      <c r="B38" s="22" t="s">
        <v>561</v>
      </c>
      <c r="C38" s="22" t="s">
        <v>560</v>
      </c>
      <c r="D38" s="22" t="s">
        <v>98</v>
      </c>
      <c r="E38" s="23">
        <f>IFERROR(__xludf.DUMMYFUNCTION("GOOGLEFINANCE(""NSE:""&amp;D38,""marketcap"")/10000000"),122324.2114398)</f>
        <v>122324.2114</v>
      </c>
      <c r="F38" s="17">
        <f>IFERROR(__xludf.DUMMYFUNCTION("GOOGLEFINANCE(""NSE:""&amp;D38)"),126.15)</f>
        <v>126.15</v>
      </c>
      <c r="G38" s="17">
        <f>IFERROR(__xludf.DUMMYFUNCTION("GOOGLEFINANCE(""NSE:""&amp;D38,""closeyest"")"),124.4)</f>
        <v>124.4</v>
      </c>
      <c r="H38" s="17">
        <f>IFERROR(__xludf.DUMMYFUNCTION("INDEX(GOOGLEFINANCE(""NSE:""&amp;D38,""PRICE"",TODAY()-7),2,2)"),123.75)</f>
        <v>123.75</v>
      </c>
      <c r="I38" s="17">
        <f>IFERROR(__xludf.DUMMYFUNCTION("INDEX(GOOGLEFINANCE(""NSE:""&amp;D38,""PRICE"",TODAY()-14),2,2)"),115.0)</f>
        <v>115</v>
      </c>
      <c r="J38" s="17">
        <f>IFERROR(__xludf.DUMMYFUNCTION("INDEX(GOOGLEFINANCE(""NSE:""&amp;D38,""PRICE"",TODAY()-28),2,2)"),113.4)</f>
        <v>113.4</v>
      </c>
      <c r="K38" s="17">
        <f>IFERROR(__xludf.DUMMYFUNCTION("INDEX(GOOGLEFINANCE(""NSE:""&amp;D38,""PRICE"",TODAY()-84),2,2)"),117.5)</f>
        <v>117.5</v>
      </c>
      <c r="L38" s="16">
        <f t="shared" si="1"/>
        <v>0.01406752412</v>
      </c>
      <c r="M38" s="16">
        <f t="shared" si="2"/>
        <v>0.01939393939</v>
      </c>
      <c r="N38" s="16">
        <f t="shared" si="3"/>
        <v>0.09695652174</v>
      </c>
      <c r="O38" s="16">
        <f t="shared" si="4"/>
        <v>0.1124338624</v>
      </c>
      <c r="P38" s="16">
        <f t="shared" si="5"/>
        <v>0.07361702128</v>
      </c>
      <c r="Q38" s="30">
        <f t="shared" si="6"/>
        <v>0.007535482258</v>
      </c>
      <c r="R38" s="30">
        <f t="shared" si="7"/>
        <v>0.07317216656</v>
      </c>
      <c r="S38" s="30">
        <f t="shared" si="8"/>
        <v>0.04106165881</v>
      </c>
      <c r="T38" s="30">
        <f t="shared" si="9"/>
        <v>-0.05317584542</v>
      </c>
    </row>
    <row r="39">
      <c r="A39" s="1">
        <v>36.0</v>
      </c>
      <c r="B39" s="22" t="s">
        <v>562</v>
      </c>
      <c r="C39" s="22" t="s">
        <v>528</v>
      </c>
      <c r="D39" s="22" t="s">
        <v>95</v>
      </c>
      <c r="E39" s="23">
        <f>IFERROR(__xludf.DUMMYFUNCTION("GOOGLEFINANCE(""NSE:""&amp;D39,""marketcap"")/10000000"),121593.87955)</f>
        <v>121593.8796</v>
      </c>
      <c r="F39" s="17">
        <f>IFERROR(__xludf.DUMMYFUNCTION("GOOGLEFINANCE(""NSE:""&amp;D39)"),1219.0)</f>
        <v>1219</v>
      </c>
      <c r="G39" s="17">
        <f>IFERROR(__xludf.DUMMYFUNCTION("GOOGLEFINANCE(""NSE:""&amp;D39,""closeyest"")"),1191.3)</f>
        <v>1191.3</v>
      </c>
      <c r="H39" s="17">
        <f>IFERROR(__xludf.DUMMYFUNCTION("INDEX(GOOGLEFINANCE(""NSE:""&amp;D39,""PRICE"",TODAY()-7),2,2)"),1198.8)</f>
        <v>1198.8</v>
      </c>
      <c r="I39" s="17">
        <f>IFERROR(__xludf.DUMMYFUNCTION("INDEX(GOOGLEFINANCE(""NSE:""&amp;D39,""PRICE"",TODAY()-14),2,2)"),1165.15)</f>
        <v>1165.15</v>
      </c>
      <c r="J39" s="17">
        <f>IFERROR(__xludf.DUMMYFUNCTION("INDEX(GOOGLEFINANCE(""NSE:""&amp;D39,""PRICE"",TODAY()-28),2,2)"),1184.05)</f>
        <v>1184.05</v>
      </c>
      <c r="K39" s="17">
        <f>IFERROR(__xludf.DUMMYFUNCTION("INDEX(GOOGLEFINANCE(""NSE:""&amp;D39,""PRICE"",TODAY()-84),2,2)"),1007.2)</f>
        <v>1007.2</v>
      </c>
      <c r="L39" s="16">
        <f t="shared" si="1"/>
        <v>0.02325190968</v>
      </c>
      <c r="M39" s="16">
        <f t="shared" si="2"/>
        <v>0.01685018352</v>
      </c>
      <c r="N39" s="16">
        <f t="shared" si="3"/>
        <v>0.04621722525</v>
      </c>
      <c r="O39" s="16">
        <f t="shared" si="4"/>
        <v>0.02951733457</v>
      </c>
      <c r="P39" s="16">
        <f t="shared" si="5"/>
        <v>0.2102859412</v>
      </c>
      <c r="Q39" s="30">
        <f t="shared" si="6"/>
        <v>0.004991726381</v>
      </c>
      <c r="R39" s="30">
        <f t="shared" si="7"/>
        <v>0.02243287007</v>
      </c>
      <c r="S39" s="30">
        <f t="shared" si="8"/>
        <v>-0.04185486906</v>
      </c>
      <c r="T39" s="30">
        <f t="shared" si="9"/>
        <v>0.08349307453</v>
      </c>
    </row>
    <row r="40">
      <c r="A40" s="1">
        <v>37.0</v>
      </c>
      <c r="B40" s="22" t="s">
        <v>609</v>
      </c>
      <c r="C40" s="22" t="s">
        <v>526</v>
      </c>
      <c r="D40" s="22" t="s">
        <v>104</v>
      </c>
      <c r="E40" s="23">
        <f>IFERROR(__xludf.DUMMYFUNCTION("GOOGLEFINANCE(""NSE:""&amp;D40,""marketcap"")/10000000"),114583.4424)</f>
        <v>114583.4424</v>
      </c>
      <c r="F40" s="17">
        <f>IFERROR(__xludf.DUMMYFUNCTION("GOOGLEFINANCE(""NSE:""&amp;D40)"),649.0)</f>
        <v>649</v>
      </c>
      <c r="G40" s="17">
        <f>IFERROR(__xludf.DUMMYFUNCTION("GOOGLEFINANCE(""NSE:""&amp;D40,""closeyest"")"),648.4)</f>
        <v>648.4</v>
      </c>
      <c r="H40" s="17">
        <f>IFERROR(__xludf.DUMMYFUNCTION("INDEX(GOOGLEFINANCE(""NSE:""&amp;D40,""PRICE"",TODAY()-7),2,2)"),653.95)</f>
        <v>653.95</v>
      </c>
      <c r="I40" s="17">
        <f>IFERROR(__xludf.DUMMYFUNCTION("INDEX(GOOGLEFINANCE(""NSE:""&amp;D40,""PRICE"",TODAY()-14),2,2)"),640.2)</f>
        <v>640.2</v>
      </c>
      <c r="J40" s="17">
        <f>IFERROR(__xludf.DUMMYFUNCTION("INDEX(GOOGLEFINANCE(""NSE:""&amp;D40,""PRICE"",TODAY()-28),2,2)"),608.75)</f>
        <v>608.75</v>
      </c>
      <c r="K40" s="17">
        <f>IFERROR(__xludf.DUMMYFUNCTION("INDEX(GOOGLEFINANCE(""NSE:""&amp;D40,""PRICE"",TODAY()-84),2,2)"),590.45)</f>
        <v>590.45</v>
      </c>
      <c r="L40" s="16">
        <f t="shared" si="1"/>
        <v>0.0009253547193</v>
      </c>
      <c r="M40" s="16">
        <f t="shared" si="2"/>
        <v>-0.007569386039</v>
      </c>
      <c r="N40" s="16">
        <f t="shared" si="3"/>
        <v>0.01374570447</v>
      </c>
      <c r="O40" s="16">
        <f t="shared" si="4"/>
        <v>0.06611909651</v>
      </c>
      <c r="P40" s="16">
        <f t="shared" si="5"/>
        <v>0.09916165636</v>
      </c>
      <c r="Q40" s="30">
        <f t="shared" si="6"/>
        <v>-0.01942784317</v>
      </c>
      <c r="R40" s="30">
        <f t="shared" si="7"/>
        <v>-0.01003865071</v>
      </c>
      <c r="S40" s="30">
        <f t="shared" si="8"/>
        <v>-0.005253107119</v>
      </c>
      <c r="T40" s="30">
        <f t="shared" si="9"/>
        <v>-0.02763121033</v>
      </c>
    </row>
    <row r="41">
      <c r="A41" s="1">
        <v>38.0</v>
      </c>
      <c r="B41" s="22" t="s">
        <v>563</v>
      </c>
      <c r="C41" s="22" t="s">
        <v>522</v>
      </c>
      <c r="D41" s="22" t="s">
        <v>116</v>
      </c>
      <c r="E41" s="23">
        <f>IFERROR(__xludf.DUMMYFUNCTION("GOOGLEFINANCE(""NSE:""&amp;D41,""marketcap"")/10000000"),111039.967147)</f>
        <v>111039.9671</v>
      </c>
      <c r="F41" s="17">
        <f>IFERROR(__xludf.DUMMYFUNCTION("GOOGLEFINANCE(""NSE:""&amp;D41)"),117.85)</f>
        <v>117.85</v>
      </c>
      <c r="G41" s="17">
        <f>IFERROR(__xludf.DUMMYFUNCTION("GOOGLEFINANCE(""NSE:""&amp;D41,""closeyest"")"),116.45)</f>
        <v>116.45</v>
      </c>
      <c r="H41" s="17">
        <f>IFERROR(__xludf.DUMMYFUNCTION("INDEX(GOOGLEFINANCE(""NSE:""&amp;D41,""PRICE"",TODAY()-7),2,2)"),118.25)</f>
        <v>118.25</v>
      </c>
      <c r="I41" s="17">
        <f>IFERROR(__xludf.DUMMYFUNCTION("INDEX(GOOGLEFINANCE(""NSE:""&amp;D41,""PRICE"",TODAY()-14),2,2)"),114.0)</f>
        <v>114</v>
      </c>
      <c r="J41" s="17">
        <f>IFERROR(__xludf.DUMMYFUNCTION("INDEX(GOOGLEFINANCE(""NSE:""&amp;D41,""PRICE"",TODAY()-28),2,2)"),105.95)</f>
        <v>105.95</v>
      </c>
      <c r="K41" s="17">
        <f>IFERROR(__xludf.DUMMYFUNCTION("INDEX(GOOGLEFINANCE(""NSE:""&amp;D41,""PRICE"",TODAY()-84),2,2)"),108.45)</f>
        <v>108.45</v>
      </c>
      <c r="L41" s="16">
        <f t="shared" si="1"/>
        <v>0.01202232718</v>
      </c>
      <c r="M41" s="16">
        <f t="shared" si="2"/>
        <v>-0.003382663848</v>
      </c>
      <c r="N41" s="16">
        <f t="shared" si="3"/>
        <v>0.03377192982</v>
      </c>
      <c r="O41" s="16">
        <f t="shared" si="4"/>
        <v>0.1123171307</v>
      </c>
      <c r="P41" s="16">
        <f t="shared" si="5"/>
        <v>0.08667588751</v>
      </c>
      <c r="Q41" s="30">
        <f t="shared" si="6"/>
        <v>-0.01524112098</v>
      </c>
      <c r="R41" s="30">
        <f t="shared" si="7"/>
        <v>0.009987574645</v>
      </c>
      <c r="S41" s="30">
        <f t="shared" si="8"/>
        <v>0.04094492709</v>
      </c>
      <c r="T41" s="30">
        <f t="shared" si="9"/>
        <v>-0.04011697919</v>
      </c>
    </row>
    <row r="42">
      <c r="A42" s="1">
        <v>39.0</v>
      </c>
      <c r="B42" s="22" t="s">
        <v>564</v>
      </c>
      <c r="C42" s="22" t="s">
        <v>545</v>
      </c>
      <c r="D42" s="22" t="s">
        <v>106</v>
      </c>
      <c r="E42" s="23">
        <f>IFERROR(__xludf.DUMMYFUNCTION("GOOGLEFINANCE(""NSE:""&amp;D42,""marketcap"")/10000000"),109814.7765)</f>
        <v>109814.7765</v>
      </c>
      <c r="F42" s="17">
        <f>IFERROR(__xludf.DUMMYFUNCTION("GOOGLEFINANCE(""NSE:""&amp;D42)"),3795.0)</f>
        <v>3795</v>
      </c>
      <c r="G42" s="17">
        <f>IFERROR(__xludf.DUMMYFUNCTION("GOOGLEFINANCE(""NSE:""&amp;D42,""closeyest"")"),3757.15)</f>
        <v>3757.15</v>
      </c>
      <c r="H42" s="17">
        <f>IFERROR(__xludf.DUMMYFUNCTION("INDEX(GOOGLEFINANCE(""NSE:""&amp;D42,""PRICE"",TODAY()-7),2,2)"),3822.2)</f>
        <v>3822.2</v>
      </c>
      <c r="I42" s="17">
        <f>IFERROR(__xludf.DUMMYFUNCTION("INDEX(GOOGLEFINANCE(""NSE:""&amp;D42,""PRICE"",TODAY()-14),2,2)"),3699.55)</f>
        <v>3699.55</v>
      </c>
      <c r="J42" s="17">
        <f>IFERROR(__xludf.DUMMYFUNCTION("INDEX(GOOGLEFINANCE(""NSE:""&amp;D42,""PRICE"",TODAY()-28),2,2)"),3699.45)</f>
        <v>3699.45</v>
      </c>
      <c r="K42" s="17">
        <f>IFERROR(__xludf.DUMMYFUNCTION("INDEX(GOOGLEFINANCE(""NSE:""&amp;D42,""PRICE"",TODAY()-84),2,2)"),4175.35)</f>
        <v>4175.35</v>
      </c>
      <c r="L42" s="16">
        <f t="shared" si="1"/>
        <v>0.01007412533</v>
      </c>
      <c r="M42" s="16">
        <f t="shared" si="2"/>
        <v>-0.007116320444</v>
      </c>
      <c r="N42" s="16">
        <f t="shared" si="3"/>
        <v>0.02580043519</v>
      </c>
      <c r="O42" s="16">
        <f t="shared" si="4"/>
        <v>0.02582816365</v>
      </c>
      <c r="P42" s="16">
        <f t="shared" si="5"/>
        <v>-0.09109415977</v>
      </c>
      <c r="Q42" s="30">
        <f t="shared" si="6"/>
        <v>-0.01897477758</v>
      </c>
      <c r="R42" s="30">
        <f t="shared" si="7"/>
        <v>0.002016080008</v>
      </c>
      <c r="S42" s="30">
        <f t="shared" si="8"/>
        <v>-0.04554403998</v>
      </c>
      <c r="T42" s="30">
        <f t="shared" si="9"/>
        <v>-0.2178870265</v>
      </c>
    </row>
    <row r="43">
      <c r="A43" s="1">
        <v>40.0</v>
      </c>
      <c r="B43" s="22" t="s">
        <v>629</v>
      </c>
      <c r="C43" s="22" t="s">
        <v>526</v>
      </c>
      <c r="D43" s="22" t="s">
        <v>100</v>
      </c>
      <c r="E43" s="23">
        <f>IFERROR(__xludf.DUMMYFUNCTION("GOOGLEFINANCE(""NSE:""&amp;D43,""marketcap"")/10000000"),108185.0494)</f>
        <v>108185.0494</v>
      </c>
      <c r="F43" s="17">
        <f>IFERROR(__xludf.DUMMYFUNCTION("GOOGLEFINANCE(""NSE:""&amp;D43)"),1058.0)</f>
        <v>1058</v>
      </c>
      <c r="G43" s="17">
        <f>IFERROR(__xludf.DUMMYFUNCTION("GOOGLEFINANCE(""NSE:""&amp;D43,""closeyest"")"),1054.45)</f>
        <v>1054.45</v>
      </c>
      <c r="H43" s="17">
        <f>IFERROR(__xludf.DUMMYFUNCTION("INDEX(GOOGLEFINANCE(""NSE:""&amp;D43,""PRICE"",TODAY()-7),2,2)"),1090.6)</f>
        <v>1090.6</v>
      </c>
      <c r="I43" s="17">
        <f>IFERROR(__xludf.DUMMYFUNCTION("INDEX(GOOGLEFINANCE(""NSE:""&amp;D43,""PRICE"",TODAY()-14),2,2)"),1121.25)</f>
        <v>1121.25</v>
      </c>
      <c r="J43" s="17">
        <f>IFERROR(__xludf.DUMMYFUNCTION("INDEX(GOOGLEFINANCE(""NSE:""&amp;D43,""PRICE"",TODAY()-28),2,2)"),1054.05)</f>
        <v>1054.05</v>
      </c>
      <c r="K43" s="17">
        <f>IFERROR(__xludf.DUMMYFUNCTION("INDEX(GOOGLEFINANCE(""NSE:""&amp;D43,""PRICE"",TODAY()-84),2,2)"),891.25)</f>
        <v>891.25</v>
      </c>
      <c r="L43" s="16">
        <f t="shared" si="1"/>
        <v>0.003366684053</v>
      </c>
      <c r="M43" s="16">
        <f t="shared" si="2"/>
        <v>-0.02989180268</v>
      </c>
      <c r="N43" s="16">
        <f t="shared" si="3"/>
        <v>-0.05641025641</v>
      </c>
      <c r="O43" s="16">
        <f t="shared" si="4"/>
        <v>0.003747450311</v>
      </c>
      <c r="P43" s="16">
        <f t="shared" si="5"/>
        <v>0.1870967742</v>
      </c>
      <c r="Q43" s="30">
        <f t="shared" si="6"/>
        <v>-0.04175025981</v>
      </c>
      <c r="R43" s="30">
        <f t="shared" si="7"/>
        <v>-0.08019461159</v>
      </c>
      <c r="S43" s="30">
        <f t="shared" si="8"/>
        <v>-0.06762475332</v>
      </c>
      <c r="T43" s="30">
        <f t="shared" si="9"/>
        <v>0.0603039075</v>
      </c>
    </row>
    <row r="44">
      <c r="A44" s="1">
        <v>41.0</v>
      </c>
      <c r="B44" s="22" t="s">
        <v>565</v>
      </c>
      <c r="C44" s="22" t="s">
        <v>543</v>
      </c>
      <c r="D44" s="22" t="s">
        <v>122</v>
      </c>
      <c r="E44" s="23">
        <f>IFERROR(__xludf.DUMMYFUNCTION("GOOGLEFINANCE(""NSE:""&amp;D44,""marketcap"")/10000000"),108100.6941888)</f>
        <v>108100.6942</v>
      </c>
      <c r="F44" s="17">
        <f>IFERROR(__xludf.DUMMYFUNCTION("GOOGLEFINANCE(""NSE:""&amp;D44)"),29900.0)</f>
        <v>29900</v>
      </c>
      <c r="G44" s="17">
        <f>IFERROR(__xludf.DUMMYFUNCTION("GOOGLEFINANCE(""NSE:""&amp;D44,""closeyest"")"),29792.5)</f>
        <v>29792.5</v>
      </c>
      <c r="H44" s="17">
        <f>IFERROR(__xludf.DUMMYFUNCTION("INDEX(GOOGLEFINANCE(""NSE:""&amp;D44,""PRICE"",TODAY()-7),2,2)"),30559.45)</f>
        <v>30559.45</v>
      </c>
      <c r="I44" s="17">
        <f>IFERROR(__xludf.DUMMYFUNCTION("INDEX(GOOGLEFINANCE(""NSE:""&amp;D44,""PRICE"",TODAY()-14),2,2)"),30663.35)</f>
        <v>30663.35</v>
      </c>
      <c r="J44" s="17">
        <f>IFERROR(__xludf.DUMMYFUNCTION("INDEX(GOOGLEFINANCE(""NSE:""&amp;D44,""PRICE"",TODAY()-28),2,2)"),26897.75)</f>
        <v>26897.75</v>
      </c>
      <c r="K44" s="17">
        <f>IFERROR(__xludf.DUMMYFUNCTION("INDEX(GOOGLEFINANCE(""NSE:""&amp;D44,""PRICE"",TODAY()-84),2,2)"),27014.9)</f>
        <v>27014.9</v>
      </c>
      <c r="L44" s="16">
        <f t="shared" si="1"/>
        <v>0.003608290677</v>
      </c>
      <c r="M44" s="16">
        <f t="shared" si="2"/>
        <v>-0.02157924963</v>
      </c>
      <c r="N44" s="16">
        <f t="shared" si="3"/>
        <v>-0.02489454022</v>
      </c>
      <c r="O44" s="16">
        <f t="shared" si="4"/>
        <v>0.1116171427</v>
      </c>
      <c r="P44" s="16">
        <f t="shared" si="5"/>
        <v>0.1067966196</v>
      </c>
      <c r="Q44" s="30">
        <f t="shared" si="6"/>
        <v>-0.03343770676</v>
      </c>
      <c r="R44" s="30">
        <f t="shared" si="7"/>
        <v>-0.0486788954</v>
      </c>
      <c r="S44" s="30">
        <f t="shared" si="8"/>
        <v>0.04024493907</v>
      </c>
      <c r="T44" s="30">
        <f t="shared" si="9"/>
        <v>-0.01999624705</v>
      </c>
    </row>
    <row r="45">
      <c r="A45" s="1">
        <v>42.0</v>
      </c>
      <c r="B45" s="22" t="s">
        <v>566</v>
      </c>
      <c r="C45" s="22" t="s">
        <v>552</v>
      </c>
      <c r="D45" s="22" t="s">
        <v>118</v>
      </c>
      <c r="E45" s="23">
        <f>IFERROR(__xludf.DUMMYFUNCTION("GOOGLEFINANCE(""NSE:""&amp;D45,""marketcap"")/10000000"),108210.7423078)</f>
        <v>108210.7423</v>
      </c>
      <c r="F45" s="17">
        <f>IFERROR(__xludf.DUMMYFUNCTION("GOOGLEFINANCE(""NSE:""&amp;D45)"),483.8)</f>
        <v>483.8</v>
      </c>
      <c r="G45" s="17">
        <f>IFERROR(__xludf.DUMMYFUNCTION("GOOGLEFINANCE(""NSE:""&amp;D45,""closeyest"")"),463.0)</f>
        <v>463</v>
      </c>
      <c r="H45" s="17">
        <f>IFERROR(__xludf.DUMMYFUNCTION("INDEX(GOOGLEFINANCE(""NSE:""&amp;D45,""PRICE"",TODAY()-7),2,2)"),473.05)</f>
        <v>473.05</v>
      </c>
      <c r="I45" s="17">
        <f>IFERROR(__xludf.DUMMYFUNCTION("INDEX(GOOGLEFINANCE(""NSE:""&amp;D45,""PRICE"",TODAY()-14),2,2)"),478.35)</f>
        <v>478.35</v>
      </c>
      <c r="J45" s="17">
        <f>IFERROR(__xludf.DUMMYFUNCTION("INDEX(GOOGLEFINANCE(""NSE:""&amp;D45,""PRICE"",TODAY()-28),2,2)"),437.9)</f>
        <v>437.9</v>
      </c>
      <c r="K45" s="17">
        <f>IFERROR(__xludf.DUMMYFUNCTION("INDEX(GOOGLEFINANCE(""NSE:""&amp;D45,""PRICE"",TODAY()-84),2,2)"),376.05)</f>
        <v>376.05</v>
      </c>
      <c r="L45" s="16">
        <f t="shared" si="1"/>
        <v>0.04492440605</v>
      </c>
      <c r="M45" s="16">
        <f t="shared" si="2"/>
        <v>0.02272487052</v>
      </c>
      <c r="N45" s="16">
        <f t="shared" si="3"/>
        <v>0.01139333124</v>
      </c>
      <c r="O45" s="16">
        <f t="shared" si="4"/>
        <v>0.1048184517</v>
      </c>
      <c r="P45" s="16">
        <f t="shared" si="5"/>
        <v>0.2865310464</v>
      </c>
      <c r="Q45" s="30">
        <f t="shared" si="6"/>
        <v>0.01086641338</v>
      </c>
      <c r="R45" s="30">
        <f t="shared" si="7"/>
        <v>-0.01239102394</v>
      </c>
      <c r="S45" s="30">
        <f t="shared" si="8"/>
        <v>0.03344624807</v>
      </c>
      <c r="T45" s="30">
        <f t="shared" si="9"/>
        <v>0.1597381797</v>
      </c>
    </row>
    <row r="46">
      <c r="A46" s="1">
        <v>43.0</v>
      </c>
      <c r="B46" s="22" t="s">
        <v>567</v>
      </c>
      <c r="C46" s="22" t="s">
        <v>543</v>
      </c>
      <c r="D46" s="22" t="s">
        <v>124</v>
      </c>
      <c r="E46" s="23">
        <f>IFERROR(__xludf.DUMMYFUNCTION("GOOGLEFINANCE(""NSE:""&amp;D46,""marketcap"")/10000000"),105601.13722)</f>
        <v>105601.1372</v>
      </c>
      <c r="F46" s="17">
        <f>IFERROR(__xludf.DUMMYFUNCTION("GOOGLEFINANCE(""NSE:""&amp;D46)"),1608.05)</f>
        <v>1608.05</v>
      </c>
      <c r="G46" s="17">
        <f>IFERROR(__xludf.DUMMYFUNCTION("GOOGLEFINANCE(""NSE:""&amp;D46,""closeyest"")"),1574.65)</f>
        <v>1574.65</v>
      </c>
      <c r="H46" s="17">
        <f>IFERROR(__xludf.DUMMYFUNCTION("INDEX(GOOGLEFINANCE(""NSE:""&amp;D46,""PRICE"",TODAY()-7),2,2)"),1568.8)</f>
        <v>1568.8</v>
      </c>
      <c r="I46" s="17">
        <f>IFERROR(__xludf.DUMMYFUNCTION("INDEX(GOOGLEFINANCE(""NSE:""&amp;D46,""PRICE"",TODAY()-14),2,2)"),1606.35)</f>
        <v>1606.35</v>
      </c>
      <c r="J46" s="17">
        <f>IFERROR(__xludf.DUMMYFUNCTION("INDEX(GOOGLEFINANCE(""NSE:""&amp;D46,""PRICE"",TODAY()-28),2,2)"),1458.3)</f>
        <v>1458.3</v>
      </c>
      <c r="K46" s="17">
        <f>IFERROR(__xludf.DUMMYFUNCTION("INDEX(GOOGLEFINANCE(""NSE:""&amp;D46,""PRICE"",TODAY()-84),2,2)"),1489.75)</f>
        <v>1489.75</v>
      </c>
      <c r="L46" s="16">
        <f t="shared" si="1"/>
        <v>0.02121106278</v>
      </c>
      <c r="M46" s="16">
        <f t="shared" si="2"/>
        <v>0.0250191229</v>
      </c>
      <c r="N46" s="16">
        <f t="shared" si="3"/>
        <v>0.001058299872</v>
      </c>
      <c r="O46" s="16">
        <f t="shared" si="4"/>
        <v>0.1026880614</v>
      </c>
      <c r="P46" s="16">
        <f t="shared" si="5"/>
        <v>0.07940929686</v>
      </c>
      <c r="Q46" s="30">
        <f t="shared" si="6"/>
        <v>0.01316066576</v>
      </c>
      <c r="R46" s="30">
        <f t="shared" si="7"/>
        <v>-0.02272605531</v>
      </c>
      <c r="S46" s="30">
        <f t="shared" si="8"/>
        <v>0.03131585781</v>
      </c>
      <c r="T46" s="30">
        <f t="shared" si="9"/>
        <v>-0.04738356984</v>
      </c>
    </row>
    <row r="47">
      <c r="A47" s="1">
        <v>44.0</v>
      </c>
      <c r="B47" s="22" t="s">
        <v>594</v>
      </c>
      <c r="C47" s="22" t="s">
        <v>524</v>
      </c>
      <c r="D47" s="22" t="s">
        <v>130</v>
      </c>
      <c r="E47" s="23">
        <f>IFERROR(__xludf.DUMMYFUNCTION("GOOGLEFINANCE(""NSE:""&amp;D47,""marketcap"")/10000000"),106680.8442)</f>
        <v>106680.8442</v>
      </c>
      <c r="F47" s="17">
        <f>IFERROR(__xludf.DUMMYFUNCTION("GOOGLEFINANCE(""NSE:""&amp;D47)"),6090.0)</f>
        <v>6090</v>
      </c>
      <c r="G47" s="17">
        <f>IFERROR(__xludf.DUMMYFUNCTION("GOOGLEFINANCE(""NSE:""&amp;D47,""closeyest"")"),5848.3)</f>
        <v>5848.3</v>
      </c>
      <c r="H47" s="17">
        <f>IFERROR(__xludf.DUMMYFUNCTION("INDEX(GOOGLEFINANCE(""NSE:""&amp;D47,""PRICE"",TODAY()-7),2,2)"),5715.25)</f>
        <v>5715.25</v>
      </c>
      <c r="I47" s="17">
        <f>IFERROR(__xludf.DUMMYFUNCTION("INDEX(GOOGLEFINANCE(""NSE:""&amp;D47,""PRICE"",TODAY()-14),2,2)"),5488.95)</f>
        <v>5488.95</v>
      </c>
      <c r="J47" s="17">
        <f>IFERROR(__xludf.DUMMYFUNCTION("INDEX(GOOGLEFINANCE(""NSE:""&amp;D47,""PRICE"",TODAY()-28),2,2)"),5233.6)</f>
        <v>5233.6</v>
      </c>
      <c r="K47" s="17">
        <f>IFERROR(__xludf.DUMMYFUNCTION("INDEX(GOOGLEFINANCE(""NSE:""&amp;D47,""PRICE"",TODAY()-84),2,2)"),4042.85)</f>
        <v>4042.85</v>
      </c>
      <c r="L47" s="16">
        <f t="shared" si="1"/>
        <v>0.04132824923</v>
      </c>
      <c r="M47" s="16">
        <f t="shared" si="2"/>
        <v>0.06557018503</v>
      </c>
      <c r="N47" s="16">
        <f t="shared" si="3"/>
        <v>0.1095018173</v>
      </c>
      <c r="O47" s="16">
        <f t="shared" si="4"/>
        <v>0.163634974</v>
      </c>
      <c r="P47" s="16">
        <f t="shared" si="5"/>
        <v>0.5063630854</v>
      </c>
      <c r="Q47" s="30">
        <f t="shared" si="6"/>
        <v>0.0537117279</v>
      </c>
      <c r="R47" s="30">
        <f t="shared" si="7"/>
        <v>0.08571746211</v>
      </c>
      <c r="S47" s="30">
        <f t="shared" si="8"/>
        <v>0.09226277039</v>
      </c>
      <c r="T47" s="30">
        <f t="shared" si="9"/>
        <v>0.3795702188</v>
      </c>
    </row>
    <row r="48">
      <c r="A48" s="1">
        <v>45.0</v>
      </c>
      <c r="B48" s="22" t="s">
        <v>636</v>
      </c>
      <c r="C48" s="22" t="s">
        <v>528</v>
      </c>
      <c r="D48" s="22" t="s">
        <v>112</v>
      </c>
      <c r="E48" s="23">
        <f>IFERROR(__xludf.DUMMYFUNCTION("GOOGLEFINANCE(""NSE:""&amp;D48,""marketcap"")/10000000"),98867.1153855)</f>
        <v>98867.11539</v>
      </c>
      <c r="F48" s="17">
        <f>IFERROR(__xludf.DUMMYFUNCTION("GOOGLEFINANCE(""NSE:""&amp;D48)"),1044.0)</f>
        <v>1044</v>
      </c>
      <c r="G48" s="17">
        <f>IFERROR(__xludf.DUMMYFUNCTION("GOOGLEFINANCE(""NSE:""&amp;D48,""closeyest"")"),1062.55)</f>
        <v>1062.55</v>
      </c>
      <c r="H48" s="17">
        <f>IFERROR(__xludf.DUMMYFUNCTION("INDEX(GOOGLEFINANCE(""NSE:""&amp;D48,""PRICE"",TODAY()-7),2,2)"),1078.05)</f>
        <v>1078.05</v>
      </c>
      <c r="I48" s="17">
        <f>IFERROR(__xludf.DUMMYFUNCTION("INDEX(GOOGLEFINANCE(""NSE:""&amp;D48,""PRICE"",TODAY()-14),2,2)"),1085.95)</f>
        <v>1085.95</v>
      </c>
      <c r="J48" s="17">
        <f>IFERROR(__xludf.DUMMYFUNCTION("INDEX(GOOGLEFINANCE(""NSE:""&amp;D48,""PRICE"",TODAY()-28),2,2)"),1091.0)</f>
        <v>1091</v>
      </c>
      <c r="K48" s="17">
        <f>IFERROR(__xludf.DUMMYFUNCTION("INDEX(GOOGLEFINANCE(""NSE:""&amp;D48,""PRICE"",TODAY()-84),2,2)"),983.7)</f>
        <v>983.7</v>
      </c>
      <c r="L48" s="16">
        <f t="shared" si="1"/>
        <v>-0.01745800198</v>
      </c>
      <c r="M48" s="16">
        <f t="shared" si="2"/>
        <v>-0.0315848059</v>
      </c>
      <c r="N48" s="16">
        <f t="shared" si="3"/>
        <v>-0.03862977117</v>
      </c>
      <c r="O48" s="16">
        <f t="shared" si="4"/>
        <v>-0.04307974335</v>
      </c>
      <c r="P48" s="16">
        <f t="shared" si="5"/>
        <v>0.06129917658</v>
      </c>
      <c r="Q48" s="30">
        <f t="shared" si="6"/>
        <v>-0.04344326304</v>
      </c>
      <c r="R48" s="30">
        <f t="shared" si="7"/>
        <v>-0.06241412635</v>
      </c>
      <c r="S48" s="30">
        <f t="shared" si="8"/>
        <v>-0.114451947</v>
      </c>
      <c r="T48" s="30">
        <f t="shared" si="9"/>
        <v>-0.06549369012</v>
      </c>
    </row>
    <row r="49">
      <c r="A49" s="1">
        <v>46.0</v>
      </c>
      <c r="B49" s="22" t="s">
        <v>568</v>
      </c>
      <c r="C49" s="22" t="s">
        <v>552</v>
      </c>
      <c r="D49" s="22" t="s">
        <v>132</v>
      </c>
      <c r="E49" s="23">
        <f>IFERROR(__xludf.DUMMYFUNCTION("GOOGLEFINANCE(""NSE:""&amp;D49,""marketcap"")/10000000"),103102.4413207)</f>
        <v>103102.4413</v>
      </c>
      <c r="F49" s="17">
        <f>IFERROR(__xludf.DUMMYFUNCTION("GOOGLEFINANCE(""NSE:""&amp;D49)"),167.5)</f>
        <v>167.5</v>
      </c>
      <c r="G49" s="17">
        <f>IFERROR(__xludf.DUMMYFUNCTION("GOOGLEFINANCE(""NSE:""&amp;D49,""closeyest"")"),162.1)</f>
        <v>162.1</v>
      </c>
      <c r="H49" s="17">
        <f>IFERROR(__xludf.DUMMYFUNCTION("INDEX(GOOGLEFINANCE(""NSE:""&amp;D49,""PRICE"",TODAY()-7),2,2)"),156.7)</f>
        <v>156.7</v>
      </c>
      <c r="I49" s="17">
        <f>IFERROR(__xludf.DUMMYFUNCTION("INDEX(GOOGLEFINANCE(""NSE:""&amp;D49,""PRICE"",TODAY()-14),2,2)"),154.6)</f>
        <v>154.6</v>
      </c>
      <c r="J49" s="17">
        <f>IFERROR(__xludf.DUMMYFUNCTION("INDEX(GOOGLEFINANCE(""NSE:""&amp;D49,""PRICE"",TODAY()-28),2,2)"),138.55)</f>
        <v>138.55</v>
      </c>
      <c r="K49" s="17">
        <f>IFERROR(__xludf.DUMMYFUNCTION("INDEX(GOOGLEFINANCE(""NSE:""&amp;D49,""PRICE"",TODAY()-84),2,2)"),147.65)</f>
        <v>147.65</v>
      </c>
      <c r="L49" s="16">
        <f t="shared" si="1"/>
        <v>0.0333127699</v>
      </c>
      <c r="M49" s="16">
        <f t="shared" si="2"/>
        <v>0.06892150606</v>
      </c>
      <c r="N49" s="16">
        <f t="shared" si="3"/>
        <v>0.08344113842</v>
      </c>
      <c r="O49" s="16">
        <f t="shared" si="4"/>
        <v>0.2089498376</v>
      </c>
      <c r="P49" s="16">
        <f t="shared" si="5"/>
        <v>0.134439553</v>
      </c>
      <c r="Q49" s="30">
        <f t="shared" si="6"/>
        <v>0.05706304893</v>
      </c>
      <c r="R49" s="30">
        <f t="shared" si="7"/>
        <v>0.05965678324</v>
      </c>
      <c r="S49" s="30">
        <f t="shared" si="8"/>
        <v>0.137577634</v>
      </c>
      <c r="T49" s="30">
        <f t="shared" si="9"/>
        <v>0.0076466863</v>
      </c>
    </row>
    <row r="50">
      <c r="A50" s="1">
        <v>47.0</v>
      </c>
      <c r="B50" s="22" t="s">
        <v>612</v>
      </c>
      <c r="C50" s="22" t="s">
        <v>528</v>
      </c>
      <c r="D50" s="22" t="s">
        <v>128</v>
      </c>
      <c r="E50" s="23">
        <f>IFERROR(__xludf.DUMMYFUNCTION("GOOGLEFINANCE(""NSE:""&amp;D50,""marketcap"")/10000000"),98148.9419784)</f>
        <v>98148.94198</v>
      </c>
      <c r="F50" s="17">
        <f>IFERROR(__xludf.DUMMYFUNCTION("GOOGLEFINANCE(""NSE:""&amp;D50)"),684.7)</f>
        <v>684.7</v>
      </c>
      <c r="G50" s="17">
        <f>IFERROR(__xludf.DUMMYFUNCTION("GOOGLEFINANCE(""NSE:""&amp;D50,""closeyest"")"),687.85)</f>
        <v>687.85</v>
      </c>
      <c r="H50" s="17">
        <f>IFERROR(__xludf.DUMMYFUNCTION("INDEX(GOOGLEFINANCE(""NSE:""&amp;D50,""PRICE"",TODAY()-7),2,2)"),703.55)</f>
        <v>703.55</v>
      </c>
      <c r="I50" s="17">
        <f>IFERROR(__xludf.DUMMYFUNCTION("INDEX(GOOGLEFINANCE(""NSE:""&amp;D50,""PRICE"",TODAY()-14),2,2)"),693.4)</f>
        <v>693.4</v>
      </c>
      <c r="J50" s="17">
        <f>IFERROR(__xludf.DUMMYFUNCTION("INDEX(GOOGLEFINANCE(""NSE:""&amp;D50,""PRICE"",TODAY()-28),2,2)"),656.15)</f>
        <v>656.15</v>
      </c>
      <c r="K50" s="17">
        <f>IFERROR(__xludf.DUMMYFUNCTION("INDEX(GOOGLEFINANCE(""NSE:""&amp;D50,""PRICE"",TODAY()-84),2,2)"),619.4)</f>
        <v>619.4</v>
      </c>
      <c r="L50" s="16">
        <f t="shared" si="1"/>
        <v>-0.004579486807</v>
      </c>
      <c r="M50" s="16">
        <f t="shared" si="2"/>
        <v>-0.02679269419</v>
      </c>
      <c r="N50" s="16">
        <f t="shared" si="3"/>
        <v>-0.01254687049</v>
      </c>
      <c r="O50" s="16">
        <f t="shared" si="4"/>
        <v>0.04351139221</v>
      </c>
      <c r="P50" s="16">
        <f t="shared" si="5"/>
        <v>0.1054246045</v>
      </c>
      <c r="Q50" s="30">
        <f t="shared" si="6"/>
        <v>-0.03865115133</v>
      </c>
      <c r="R50" s="30">
        <f t="shared" si="7"/>
        <v>-0.03633122567</v>
      </c>
      <c r="S50" s="30">
        <f t="shared" si="8"/>
        <v>-0.02786081142</v>
      </c>
      <c r="T50" s="30">
        <f t="shared" si="9"/>
        <v>-0.02136826224</v>
      </c>
    </row>
    <row r="51">
      <c r="A51" s="1">
        <v>48.0</v>
      </c>
      <c r="B51" s="22" t="s">
        <v>569</v>
      </c>
      <c r="C51" s="22" t="s">
        <v>526</v>
      </c>
      <c r="D51" s="22" t="s">
        <v>126</v>
      </c>
      <c r="E51" s="23">
        <f>IFERROR(__xludf.DUMMYFUNCTION("GOOGLEFINANCE(""NSE:""&amp;D51,""marketcap"")/10000000"),97526.3286628)</f>
        <v>97526.32866</v>
      </c>
      <c r="F51" s="17">
        <f>IFERROR(__xludf.DUMMYFUNCTION("GOOGLEFINANCE(""NSE:""&amp;D51)"),4048.95)</f>
        <v>4048.95</v>
      </c>
      <c r="G51" s="17">
        <f>IFERROR(__xludf.DUMMYFUNCTION("GOOGLEFINANCE(""NSE:""&amp;D51,""closeyest"")"),4058.5)</f>
        <v>4058.5</v>
      </c>
      <c r="H51" s="17">
        <f>IFERROR(__xludf.DUMMYFUNCTION("INDEX(GOOGLEFINANCE(""NSE:""&amp;D51,""PRICE"",TODAY()-7),2,2)"),4051.85)</f>
        <v>4051.85</v>
      </c>
      <c r="I51" s="17">
        <f>IFERROR(__xludf.DUMMYFUNCTION("INDEX(GOOGLEFINANCE(""NSE:""&amp;D51,""PRICE"",TODAY()-14),2,2)"),4093.85)</f>
        <v>4093.85</v>
      </c>
      <c r="J51" s="17">
        <f>IFERROR(__xludf.DUMMYFUNCTION("INDEX(GOOGLEFINANCE(""NSE:""&amp;D51,""PRICE"",TODAY()-28),2,2)"),3941.55)</f>
        <v>3941.55</v>
      </c>
      <c r="K51" s="17">
        <f>IFERROR(__xludf.DUMMYFUNCTION("INDEX(GOOGLEFINANCE(""NSE:""&amp;D51,""PRICE"",TODAY()-84),2,2)"),3545.3)</f>
        <v>3545.3</v>
      </c>
      <c r="L51" s="16">
        <f t="shared" si="1"/>
        <v>-0.002353086116</v>
      </c>
      <c r="M51" s="16">
        <f t="shared" si="2"/>
        <v>-0.0007157224478</v>
      </c>
      <c r="N51" s="16">
        <f t="shared" si="3"/>
        <v>-0.01096767102</v>
      </c>
      <c r="O51" s="16">
        <f t="shared" si="4"/>
        <v>0.02724816379</v>
      </c>
      <c r="P51" s="16">
        <f t="shared" si="5"/>
        <v>0.1420613206</v>
      </c>
      <c r="Q51" s="30">
        <f t="shared" si="6"/>
        <v>-0.01257417958</v>
      </c>
      <c r="R51" s="30">
        <f t="shared" si="7"/>
        <v>-0.0347520262</v>
      </c>
      <c r="S51" s="30">
        <f t="shared" si="8"/>
        <v>-0.04412403984</v>
      </c>
      <c r="T51" s="30">
        <f t="shared" si="9"/>
        <v>0.01526845392</v>
      </c>
    </row>
    <row r="52">
      <c r="A52" s="1">
        <v>49.0</v>
      </c>
      <c r="B52" s="22" t="s">
        <v>570</v>
      </c>
      <c r="C52" s="22" t="s">
        <v>522</v>
      </c>
      <c r="D52" s="22" t="s">
        <v>114</v>
      </c>
      <c r="E52" s="23">
        <f>IFERROR(__xludf.DUMMYFUNCTION("GOOGLEFINANCE(""NSE:""&amp;D52,""marketcap"")/10000000"),92722.0684929)</f>
        <v>92722.06849</v>
      </c>
      <c r="F52" s="17">
        <f>IFERROR(__xludf.DUMMYFUNCTION("GOOGLEFINANCE(""NSE:""&amp;D52)"),419.55)</f>
        <v>419.55</v>
      </c>
      <c r="G52" s="17">
        <f>IFERROR(__xludf.DUMMYFUNCTION("GOOGLEFINANCE(""NSE:""&amp;D52,""closeyest"")"),420.15)</f>
        <v>420.15</v>
      </c>
      <c r="H52" s="17">
        <f>IFERROR(__xludf.DUMMYFUNCTION("INDEX(GOOGLEFINANCE(""NSE:""&amp;D52,""PRICE"",TODAY()-7),2,2)"),436.25)</f>
        <v>436.25</v>
      </c>
      <c r="I52" s="17">
        <f>IFERROR(__xludf.DUMMYFUNCTION("INDEX(GOOGLEFINANCE(""NSE:""&amp;D52,""PRICE"",TODAY()-14),2,2)"),498.1)</f>
        <v>498.1</v>
      </c>
      <c r="J52" s="17">
        <f>IFERROR(__xludf.DUMMYFUNCTION("INDEX(GOOGLEFINANCE(""NSE:""&amp;D52,""PRICE"",TODAY()-28),2,2)"),471.3)</f>
        <v>471.3</v>
      </c>
      <c r="K52" s="17">
        <f>IFERROR(__xludf.DUMMYFUNCTION("INDEX(GOOGLEFINANCE(""NSE:""&amp;D52,""PRICE"",TODAY()-84),2,2)"),462.75)</f>
        <v>462.75</v>
      </c>
      <c r="L52" s="16">
        <f t="shared" si="1"/>
        <v>-0.001428061407</v>
      </c>
      <c r="M52" s="16">
        <f t="shared" si="2"/>
        <v>-0.03828080229</v>
      </c>
      <c r="N52" s="16">
        <f t="shared" si="3"/>
        <v>-0.1576992572</v>
      </c>
      <c r="O52" s="16">
        <f t="shared" si="4"/>
        <v>-0.1098026735</v>
      </c>
      <c r="P52" s="16">
        <f t="shared" si="5"/>
        <v>-0.09335494327</v>
      </c>
      <c r="Q52" s="30">
        <f t="shared" si="6"/>
        <v>-0.05013925943</v>
      </c>
      <c r="R52" s="30">
        <f t="shared" si="7"/>
        <v>-0.1814836124</v>
      </c>
      <c r="S52" s="30">
        <f t="shared" si="8"/>
        <v>-0.1811748771</v>
      </c>
      <c r="T52" s="30">
        <f t="shared" si="9"/>
        <v>-0.22014781</v>
      </c>
    </row>
    <row r="53">
      <c r="A53" s="1">
        <v>50.0</v>
      </c>
      <c r="B53" s="22" t="s">
        <v>588</v>
      </c>
      <c r="C53" s="22" t="s">
        <v>541</v>
      </c>
      <c r="D53" s="22" t="s">
        <v>141</v>
      </c>
      <c r="E53" s="23">
        <f>IFERROR(__xludf.DUMMYFUNCTION("GOOGLEFINANCE(""NSE:""&amp;D53,""marketcap"")/10000000"),99480.0957361)</f>
        <v>99480.09574</v>
      </c>
      <c r="F53" s="17">
        <f>IFERROR(__xludf.DUMMYFUNCTION("GOOGLEFINANCE(""NSE:""&amp;D53)"),402.9)</f>
        <v>402.9</v>
      </c>
      <c r="G53" s="17">
        <f>IFERROR(__xludf.DUMMYFUNCTION("GOOGLEFINANCE(""NSE:""&amp;D53,""closeyest"")"),369.05)</f>
        <v>369.05</v>
      </c>
      <c r="H53" s="17">
        <f>IFERROR(__xludf.DUMMYFUNCTION("INDEX(GOOGLEFINANCE(""NSE:""&amp;D53,""PRICE"",TODAY()-7),2,2)"),334.75)</f>
        <v>334.75</v>
      </c>
      <c r="I53" s="17">
        <f>IFERROR(__xludf.DUMMYFUNCTION("INDEX(GOOGLEFINANCE(""NSE:""&amp;D53,""PRICE"",TODAY()-14),2,2)"),339.65)</f>
        <v>339.65</v>
      </c>
      <c r="J53" s="17">
        <f>IFERROR(__xludf.DUMMYFUNCTION("INDEX(GOOGLEFINANCE(""NSE:""&amp;D53,""PRICE"",TODAY()-28),2,2)"),311.8)</f>
        <v>311.8</v>
      </c>
      <c r="K53" s="17">
        <f>IFERROR(__xludf.DUMMYFUNCTION("INDEX(GOOGLEFINANCE(""NSE:""&amp;D53,""PRICE"",TODAY()-84),2,2)"),283.85)</f>
        <v>283.85</v>
      </c>
      <c r="L53" s="16">
        <f t="shared" si="1"/>
        <v>0.09172198889</v>
      </c>
      <c r="M53" s="16">
        <f t="shared" si="2"/>
        <v>0.2035847647</v>
      </c>
      <c r="N53" s="16">
        <f t="shared" si="3"/>
        <v>0.18622111</v>
      </c>
      <c r="O53" s="16">
        <f t="shared" si="4"/>
        <v>0.2921744708</v>
      </c>
      <c r="P53" s="16">
        <f t="shared" si="5"/>
        <v>0.4194116611</v>
      </c>
      <c r="Q53" s="30">
        <f t="shared" si="6"/>
        <v>0.1917263076</v>
      </c>
      <c r="R53" s="30">
        <f t="shared" si="7"/>
        <v>0.1624367548</v>
      </c>
      <c r="S53" s="30">
        <f t="shared" si="8"/>
        <v>0.2208022672</v>
      </c>
      <c r="T53" s="30">
        <f t="shared" si="9"/>
        <v>0.2926187944</v>
      </c>
    </row>
    <row r="54">
      <c r="A54" s="1">
        <v>51.0</v>
      </c>
      <c r="B54" s="22" t="s">
        <v>571</v>
      </c>
      <c r="C54" s="22" t="s">
        <v>545</v>
      </c>
      <c r="D54" s="22" t="s">
        <v>120</v>
      </c>
      <c r="E54" s="23">
        <f>IFERROR(__xludf.DUMMYFUNCTION("GOOGLEFINANCE(""NSE:""&amp;D54,""marketcap"")/10000000"),90538.3257945)</f>
        <v>90538.32579</v>
      </c>
      <c r="F54" s="17">
        <f>IFERROR(__xludf.DUMMYFUNCTION("GOOGLEFINANCE(""NSE:""&amp;D54)"),758.1)</f>
        <v>758.1</v>
      </c>
      <c r="G54" s="17">
        <f>IFERROR(__xludf.DUMMYFUNCTION("GOOGLEFINANCE(""NSE:""&amp;D54,""closeyest"")"),752.5)</f>
        <v>752.5</v>
      </c>
      <c r="H54" s="17">
        <f>IFERROR(__xludf.DUMMYFUNCTION("INDEX(GOOGLEFINANCE(""NSE:""&amp;D54,""PRICE"",TODAY()-7),2,2)"),754.15)</f>
        <v>754.15</v>
      </c>
      <c r="I54" s="17">
        <f>IFERROR(__xludf.DUMMYFUNCTION("INDEX(GOOGLEFINANCE(""NSE:""&amp;D54,""PRICE"",TODAY()-14),2,2)"),745.55)</f>
        <v>745.55</v>
      </c>
      <c r="J54" s="17">
        <f>IFERROR(__xludf.DUMMYFUNCTION("INDEX(GOOGLEFINANCE(""NSE:""&amp;D54,""PRICE"",TODAY()-28),2,2)"),775.15)</f>
        <v>775.15</v>
      </c>
      <c r="K54" s="17">
        <f>IFERROR(__xludf.DUMMYFUNCTION("INDEX(GOOGLEFINANCE(""NSE:""&amp;D54,""PRICE"",TODAY()-84),2,2)"),782.6)</f>
        <v>782.6</v>
      </c>
      <c r="L54" s="16">
        <f t="shared" si="1"/>
        <v>0.007441860465</v>
      </c>
      <c r="M54" s="16">
        <f t="shared" si="2"/>
        <v>0.005237684811</v>
      </c>
      <c r="N54" s="16">
        <f t="shared" si="3"/>
        <v>0.01683321038</v>
      </c>
      <c r="O54" s="16">
        <f t="shared" si="4"/>
        <v>-0.02199574276</v>
      </c>
      <c r="P54" s="16">
        <f t="shared" si="5"/>
        <v>-0.0313059034</v>
      </c>
      <c r="Q54" s="30">
        <f t="shared" si="6"/>
        <v>-0.006620772325</v>
      </c>
      <c r="R54" s="30">
        <f t="shared" si="7"/>
        <v>-0.006951144798</v>
      </c>
      <c r="S54" s="30">
        <f t="shared" si="8"/>
        <v>-0.09336794639</v>
      </c>
      <c r="T54" s="30">
        <f t="shared" si="9"/>
        <v>-0.1580987701</v>
      </c>
    </row>
    <row r="55">
      <c r="A55" s="1">
        <v>52.0</v>
      </c>
      <c r="B55" s="22" t="s">
        <v>591</v>
      </c>
      <c r="C55" s="22" t="s">
        <v>526</v>
      </c>
      <c r="D55" s="22" t="s">
        <v>140</v>
      </c>
      <c r="E55" s="23">
        <f>IFERROR(__xludf.DUMMYFUNCTION("GOOGLEFINANCE(""NSE:""&amp;D55,""marketcap"")/10000000"),89867.5281432)</f>
        <v>89867.52814</v>
      </c>
      <c r="F55" s="17">
        <f>IFERROR(__xludf.DUMMYFUNCTION("GOOGLEFINANCE(""NSE:""&amp;D55)"),1435.65)</f>
        <v>1435.65</v>
      </c>
      <c r="G55" s="17">
        <f>IFERROR(__xludf.DUMMYFUNCTION("GOOGLEFINANCE(""NSE:""&amp;D55,""closeyest"")"),1420.45)</f>
        <v>1420.45</v>
      </c>
      <c r="H55" s="17">
        <f>IFERROR(__xludf.DUMMYFUNCTION("INDEX(GOOGLEFINANCE(""NSE:""&amp;D55,""PRICE"",TODAY()-7),2,2)"),1471.9)</f>
        <v>1471.9</v>
      </c>
      <c r="I55" s="17">
        <f>IFERROR(__xludf.DUMMYFUNCTION("INDEX(GOOGLEFINANCE(""NSE:""&amp;D55,""PRICE"",TODAY()-14),2,2)"),1450.1)</f>
        <v>1450.1</v>
      </c>
      <c r="J55" s="17">
        <f>IFERROR(__xludf.DUMMYFUNCTION("INDEX(GOOGLEFINANCE(""NSE:""&amp;D55,""PRICE"",TODAY()-28),2,2)"),1235.0)</f>
        <v>1235</v>
      </c>
      <c r="K55" s="17">
        <f>IFERROR(__xludf.DUMMYFUNCTION("INDEX(GOOGLEFINANCE(""NSE:""&amp;D55,""PRICE"",TODAY()-84),2,2)"),985.55)</f>
        <v>985.55</v>
      </c>
      <c r="L55" s="16">
        <f t="shared" si="1"/>
        <v>0.01070083424</v>
      </c>
      <c r="M55" s="16">
        <f t="shared" si="2"/>
        <v>-0.0246280318</v>
      </c>
      <c r="N55" s="16">
        <f t="shared" si="3"/>
        <v>-0.009964830012</v>
      </c>
      <c r="O55" s="16">
        <f t="shared" si="4"/>
        <v>0.1624696356</v>
      </c>
      <c r="P55" s="16">
        <f t="shared" si="5"/>
        <v>0.456699305</v>
      </c>
      <c r="Q55" s="30">
        <f t="shared" si="6"/>
        <v>-0.03648648893</v>
      </c>
      <c r="R55" s="30">
        <f t="shared" si="7"/>
        <v>-0.03374918519</v>
      </c>
      <c r="S55" s="30">
        <f t="shared" si="8"/>
        <v>0.091097432</v>
      </c>
      <c r="T55" s="30">
        <f t="shared" si="9"/>
        <v>0.3299064383</v>
      </c>
    </row>
    <row r="56">
      <c r="A56" s="1">
        <v>53.0</v>
      </c>
      <c r="B56" s="22" t="s">
        <v>572</v>
      </c>
      <c r="C56" s="22" t="s">
        <v>528</v>
      </c>
      <c r="D56" s="22" t="s">
        <v>149</v>
      </c>
      <c r="E56" s="23">
        <f>IFERROR(__xludf.DUMMYFUNCTION("GOOGLEFINANCE(""NSE:""&amp;D56,""marketcap"")/10000000"),90533.90502)</f>
        <v>90533.90502</v>
      </c>
      <c r="F56" s="17">
        <f>IFERROR(__xludf.DUMMYFUNCTION("GOOGLEFINANCE(""NSE:""&amp;D56)"),1172.0)</f>
        <v>1172</v>
      </c>
      <c r="G56" s="17">
        <f>IFERROR(__xludf.DUMMYFUNCTION("GOOGLEFINANCE(""NSE:""&amp;D56,""closeyest"")"),1141.4)</f>
        <v>1141.4</v>
      </c>
      <c r="H56" s="17">
        <f>IFERROR(__xludf.DUMMYFUNCTION("INDEX(GOOGLEFINANCE(""NSE:""&amp;D56,""PRICE"",TODAY()-7),2,2)"),1130.0)</f>
        <v>1130</v>
      </c>
      <c r="I56" s="17">
        <f>IFERROR(__xludf.DUMMYFUNCTION("INDEX(GOOGLEFINANCE(""NSE:""&amp;D56,""PRICE"",TODAY()-14),2,2)"),996.3)</f>
        <v>996.3</v>
      </c>
      <c r="J56" s="17">
        <f>IFERROR(__xludf.DUMMYFUNCTION("INDEX(GOOGLEFINANCE(""NSE:""&amp;D56,""PRICE"",TODAY()-28),2,2)"),990.2)</f>
        <v>990.2</v>
      </c>
      <c r="K56" s="17">
        <f>IFERROR(__xludf.DUMMYFUNCTION("INDEX(GOOGLEFINANCE(""NSE:""&amp;D56,""PRICE"",TODAY()-84),2,2)"),1009.65)</f>
        <v>1009.65</v>
      </c>
      <c r="L56" s="16">
        <f t="shared" si="1"/>
        <v>0.02680918171</v>
      </c>
      <c r="M56" s="16">
        <f t="shared" si="2"/>
        <v>0.03716814159</v>
      </c>
      <c r="N56" s="16">
        <f t="shared" si="3"/>
        <v>0.1763525043</v>
      </c>
      <c r="O56" s="16">
        <f t="shared" si="4"/>
        <v>0.1835992729</v>
      </c>
      <c r="P56" s="16">
        <f t="shared" si="5"/>
        <v>0.1607982964</v>
      </c>
      <c r="Q56" s="30">
        <f t="shared" si="6"/>
        <v>0.02530968446</v>
      </c>
      <c r="R56" s="30">
        <f t="shared" si="7"/>
        <v>0.1525681491</v>
      </c>
      <c r="S56" s="30">
        <f t="shared" si="8"/>
        <v>0.1122270692</v>
      </c>
      <c r="T56" s="30">
        <f t="shared" si="9"/>
        <v>0.03400542974</v>
      </c>
    </row>
    <row r="57">
      <c r="A57" s="1">
        <v>54.0</v>
      </c>
      <c r="B57" s="22" t="s">
        <v>589</v>
      </c>
      <c r="C57" s="22" t="s">
        <v>590</v>
      </c>
      <c r="D57" s="22" t="s">
        <v>145</v>
      </c>
      <c r="E57" s="23">
        <f>IFERROR(__xludf.DUMMYFUNCTION("GOOGLEFINANCE(""NSE:""&amp;D57,""marketcap"")/10000000"),87755.67034)</f>
        <v>87755.67034</v>
      </c>
      <c r="F57" s="17">
        <f>IFERROR(__xludf.DUMMYFUNCTION("GOOGLEFINANCE(""NSE:""&amp;D57)"),6826.0)</f>
        <v>6826</v>
      </c>
      <c r="G57" s="17">
        <f>IFERROR(__xludf.DUMMYFUNCTION("GOOGLEFINANCE(""NSE:""&amp;D57,""closeyest"")"),6797.65)</f>
        <v>6797.65</v>
      </c>
      <c r="H57" s="17">
        <f>IFERROR(__xludf.DUMMYFUNCTION("INDEX(GOOGLEFINANCE(""NSE:""&amp;D57,""PRICE"",TODAY()-7),2,2)"),6614.7)</f>
        <v>6614.7</v>
      </c>
      <c r="I57" s="17">
        <f>IFERROR(__xludf.DUMMYFUNCTION("INDEX(GOOGLEFINANCE(""NSE:""&amp;D57,""PRICE"",TODAY()-14),2,2)"),6604.35)</f>
        <v>6604.35</v>
      </c>
      <c r="J57" s="17">
        <f>IFERROR(__xludf.DUMMYFUNCTION("INDEX(GOOGLEFINANCE(""NSE:""&amp;D57,""PRICE"",TODAY()-28),2,2)"),5895.65)</f>
        <v>5895.65</v>
      </c>
      <c r="K57" s="17">
        <f>IFERROR(__xludf.DUMMYFUNCTION("INDEX(GOOGLEFINANCE(""NSE:""&amp;D57,""PRICE"",TODAY()-84),2,2)"),5365.1)</f>
        <v>5365.1</v>
      </c>
      <c r="L57" s="16">
        <f t="shared" si="1"/>
        <v>0.004170558943</v>
      </c>
      <c r="M57" s="16">
        <f t="shared" si="2"/>
        <v>0.03194400351</v>
      </c>
      <c r="N57" s="16">
        <f t="shared" si="3"/>
        <v>0.03356121344</v>
      </c>
      <c r="O57" s="16">
        <f t="shared" si="4"/>
        <v>0.1578027868</v>
      </c>
      <c r="P57" s="16">
        <f t="shared" si="5"/>
        <v>0.2722968817</v>
      </c>
      <c r="Q57" s="30">
        <f t="shared" si="6"/>
        <v>0.02008554637</v>
      </c>
      <c r="R57" s="30">
        <f t="shared" si="7"/>
        <v>0.009776858263</v>
      </c>
      <c r="S57" s="30">
        <f t="shared" si="8"/>
        <v>0.08643058317</v>
      </c>
      <c r="T57" s="30">
        <f t="shared" si="9"/>
        <v>0.145504015</v>
      </c>
    </row>
    <row r="58">
      <c r="A58" s="1">
        <v>55.0</v>
      </c>
      <c r="B58" s="22" t="s">
        <v>586</v>
      </c>
      <c r="C58" s="22" t="s">
        <v>555</v>
      </c>
      <c r="D58" s="22" t="s">
        <v>155</v>
      </c>
      <c r="E58" s="23">
        <f>IFERROR(__xludf.DUMMYFUNCTION("GOOGLEFINANCE(""NSE:""&amp;D58,""marketcap"")/10000000"),85313.8492781)</f>
        <v>85313.84928</v>
      </c>
      <c r="F58" s="17">
        <f>IFERROR(__xludf.DUMMYFUNCTION("GOOGLEFINANCE(""NSE:""&amp;D58)"),2215.1)</f>
        <v>2215.1</v>
      </c>
      <c r="G58" s="17">
        <f>IFERROR(__xludf.DUMMYFUNCTION("GOOGLEFINANCE(""NSE:""&amp;D58,""closeyest"")"),2188.3)</f>
        <v>2188.3</v>
      </c>
      <c r="H58" s="17">
        <f>IFERROR(__xludf.DUMMYFUNCTION("INDEX(GOOGLEFINANCE(""NSE:""&amp;D58,""PRICE"",TODAY()-7),2,2)"),2196.05)</f>
        <v>2196.05</v>
      </c>
      <c r="I58" s="17">
        <f>IFERROR(__xludf.DUMMYFUNCTION("INDEX(GOOGLEFINANCE(""NSE:""&amp;D58,""PRICE"",TODAY()-14),2,2)"),1897.7)</f>
        <v>1897.7</v>
      </c>
      <c r="J58" s="17">
        <f>IFERROR(__xludf.DUMMYFUNCTION("INDEX(GOOGLEFINANCE(""NSE:""&amp;D58,""PRICE"",TODAY()-28),2,2)"),1776.85)</f>
        <v>1776.85</v>
      </c>
      <c r="K58" s="17">
        <f>IFERROR(__xludf.DUMMYFUNCTION("INDEX(GOOGLEFINANCE(""NSE:""&amp;D58,""PRICE"",TODAY()-84),2,2)"),1719.95)</f>
        <v>1719.95</v>
      </c>
      <c r="L58" s="16">
        <f t="shared" si="1"/>
        <v>0.01224694969</v>
      </c>
      <c r="M58" s="16">
        <f t="shared" si="2"/>
        <v>0.008674665877</v>
      </c>
      <c r="N58" s="16">
        <f t="shared" si="3"/>
        <v>0.1672550983</v>
      </c>
      <c r="O58" s="16">
        <f t="shared" si="4"/>
        <v>0.2466443425</v>
      </c>
      <c r="P58" s="16">
        <f t="shared" si="5"/>
        <v>0.2878862758</v>
      </c>
      <c r="Q58" s="30">
        <f t="shared" si="6"/>
        <v>-0.003183791259</v>
      </c>
      <c r="R58" s="30">
        <f t="shared" si="7"/>
        <v>0.1434707431</v>
      </c>
      <c r="S58" s="30">
        <f t="shared" si="8"/>
        <v>0.1752721389</v>
      </c>
      <c r="T58" s="30">
        <f t="shared" si="9"/>
        <v>0.1610934091</v>
      </c>
    </row>
    <row r="59">
      <c r="A59" s="1">
        <v>56.0</v>
      </c>
      <c r="B59" s="22" t="s">
        <v>613</v>
      </c>
      <c r="C59" s="22" t="s">
        <v>543</v>
      </c>
      <c r="D59" s="22" t="s">
        <v>134</v>
      </c>
      <c r="E59" s="23">
        <f>IFERROR(__xludf.DUMMYFUNCTION("GOOGLEFINANCE(""NSE:""&amp;D59,""marketcap"")/10000000"),83307.262703)</f>
        <v>83307.2627</v>
      </c>
      <c r="F59" s="17">
        <f>IFERROR(__xludf.DUMMYFUNCTION("GOOGLEFINANCE(""NSE:""&amp;D59)"),418.55)</f>
        <v>418.55</v>
      </c>
      <c r="G59" s="17">
        <f>IFERROR(__xludf.DUMMYFUNCTION("GOOGLEFINANCE(""NSE:""&amp;D59,""closeyest"")"),419.5)</f>
        <v>419.5</v>
      </c>
      <c r="H59" s="17">
        <f>IFERROR(__xludf.DUMMYFUNCTION("INDEX(GOOGLEFINANCE(""NSE:""&amp;D59,""PRICE"",TODAY()-7),2,2)"),419.8)</f>
        <v>419.8</v>
      </c>
      <c r="I59" s="17">
        <f>IFERROR(__xludf.DUMMYFUNCTION("INDEX(GOOGLEFINANCE(""NSE:""&amp;D59,""PRICE"",TODAY()-14),2,2)"),436.25)</f>
        <v>436.25</v>
      </c>
      <c r="J59" s="17">
        <f>IFERROR(__xludf.DUMMYFUNCTION("INDEX(GOOGLEFINANCE(""NSE:""&amp;D59,""PRICE"",TODAY()-28),2,2)"),410.05)</f>
        <v>410.05</v>
      </c>
      <c r="K59" s="17">
        <f>IFERROR(__xludf.DUMMYFUNCTION("INDEX(GOOGLEFINANCE(""NSE:""&amp;D59,""PRICE"",TODAY()-84),2,2)"),339.25)</f>
        <v>339.25</v>
      </c>
      <c r="L59" s="16">
        <f t="shared" si="1"/>
        <v>-0.002264600715</v>
      </c>
      <c r="M59" s="16">
        <f t="shared" si="2"/>
        <v>-0.002977608385</v>
      </c>
      <c r="N59" s="16">
        <f t="shared" si="3"/>
        <v>-0.0405730659</v>
      </c>
      <c r="O59" s="16">
        <f t="shared" si="4"/>
        <v>0.02072917937</v>
      </c>
      <c r="P59" s="16">
        <f t="shared" si="5"/>
        <v>0.2337509211</v>
      </c>
      <c r="Q59" s="30">
        <f t="shared" si="6"/>
        <v>-0.01483606552</v>
      </c>
      <c r="R59" s="30">
        <f t="shared" si="7"/>
        <v>-0.06435742108</v>
      </c>
      <c r="S59" s="30">
        <f t="shared" si="8"/>
        <v>-0.05064302426</v>
      </c>
      <c r="T59" s="30">
        <f t="shared" si="9"/>
        <v>0.1069580545</v>
      </c>
    </row>
    <row r="60">
      <c r="A60" s="1">
        <v>57.0</v>
      </c>
      <c r="B60" s="22" t="s">
        <v>624</v>
      </c>
      <c r="C60" s="22" t="s">
        <v>526</v>
      </c>
      <c r="D60" s="22" t="s">
        <v>143</v>
      </c>
      <c r="E60" s="23">
        <f>IFERROR(__xludf.DUMMYFUNCTION("GOOGLEFINANCE(""NSE:""&amp;D60,""marketcap"")/10000000"),79840.44078)</f>
        <v>79840.44078</v>
      </c>
      <c r="F60" s="17">
        <f>IFERROR(__xludf.DUMMYFUNCTION("GOOGLEFINANCE(""NSE:""&amp;D60)"),822.0)</f>
        <v>822</v>
      </c>
      <c r="G60" s="17">
        <f>IFERROR(__xludf.DUMMYFUNCTION("GOOGLEFINANCE(""NSE:""&amp;D60,""closeyest"")"),812.0)</f>
        <v>812</v>
      </c>
      <c r="H60" s="17">
        <f>IFERROR(__xludf.DUMMYFUNCTION("INDEX(GOOGLEFINANCE(""NSE:""&amp;D60,""PRICE"",TODAY()-7),2,2)"),818.75)</f>
        <v>818.75</v>
      </c>
      <c r="I60" s="17">
        <f>IFERROR(__xludf.DUMMYFUNCTION("INDEX(GOOGLEFINANCE(""NSE:""&amp;D60,""PRICE"",TODAY()-14),2,2)"),839.3)</f>
        <v>839.3</v>
      </c>
      <c r="J60" s="17">
        <f>IFERROR(__xludf.DUMMYFUNCTION("INDEX(GOOGLEFINANCE(""NSE:""&amp;D60,""PRICE"",TODAY()-28),2,2)"),785.85)</f>
        <v>785.85</v>
      </c>
      <c r="K60" s="17">
        <f>IFERROR(__xludf.DUMMYFUNCTION("INDEX(GOOGLEFINANCE(""NSE:""&amp;D60,""PRICE"",TODAY()-84),2,2)"),806.9)</f>
        <v>806.9</v>
      </c>
      <c r="L60" s="16">
        <f t="shared" si="1"/>
        <v>0.01231527094</v>
      </c>
      <c r="M60" s="16">
        <f t="shared" si="2"/>
        <v>0.003969465649</v>
      </c>
      <c r="N60" s="16">
        <f t="shared" si="3"/>
        <v>-0.02061241511</v>
      </c>
      <c r="O60" s="16">
        <f t="shared" si="4"/>
        <v>0.04600114526</v>
      </c>
      <c r="P60" s="16">
        <f t="shared" si="5"/>
        <v>0.01871359524</v>
      </c>
      <c r="Q60" s="30">
        <f t="shared" si="6"/>
        <v>-0.007888991487</v>
      </c>
      <c r="R60" s="30">
        <f t="shared" si="7"/>
        <v>-0.04439677029</v>
      </c>
      <c r="S60" s="30">
        <f t="shared" si="8"/>
        <v>-0.02537105837</v>
      </c>
      <c r="T60" s="30">
        <f t="shared" si="9"/>
        <v>-0.1080792715</v>
      </c>
    </row>
    <row r="61">
      <c r="A61" s="1">
        <v>58.0</v>
      </c>
      <c r="B61" s="22" t="s">
        <v>573</v>
      </c>
      <c r="C61" s="22" t="s">
        <v>526</v>
      </c>
      <c r="D61" s="22" t="s">
        <v>138</v>
      </c>
      <c r="E61" s="23">
        <f>IFERROR(__xludf.DUMMYFUNCTION("GOOGLEFINANCE(""NSE:""&amp;D61,""marketcap"")/10000000"),78327.6196645)</f>
        <v>78327.61966</v>
      </c>
      <c r="F61" s="17">
        <f>IFERROR(__xludf.DUMMYFUNCTION("GOOGLEFINANCE(""NSE:""&amp;D61)"),850.0)</f>
        <v>850</v>
      </c>
      <c r="G61" s="17">
        <f>IFERROR(__xludf.DUMMYFUNCTION("GOOGLEFINANCE(""NSE:""&amp;D61,""closeyest"")"),854.15)</f>
        <v>854.15</v>
      </c>
      <c r="H61" s="17">
        <f>IFERROR(__xludf.DUMMYFUNCTION("INDEX(GOOGLEFINANCE(""NSE:""&amp;D61,""PRICE"",TODAY()-7),2,2)"),874.15)</f>
        <v>874.15</v>
      </c>
      <c r="I61" s="17">
        <f>IFERROR(__xludf.DUMMYFUNCTION("INDEX(GOOGLEFINANCE(""NSE:""&amp;D61,""PRICE"",TODAY()-14),2,2)"),882.1)</f>
        <v>882.1</v>
      </c>
      <c r="J61" s="17">
        <f>IFERROR(__xludf.DUMMYFUNCTION("INDEX(GOOGLEFINANCE(""NSE:""&amp;D61,""PRICE"",TODAY()-28),2,2)"),847.95)</f>
        <v>847.95</v>
      </c>
      <c r="K61" s="17">
        <f>IFERROR(__xludf.DUMMYFUNCTION("INDEX(GOOGLEFINANCE(""NSE:""&amp;D61,""PRICE"",TODAY()-84),2,2)"),763.6)</f>
        <v>763.6</v>
      </c>
      <c r="L61" s="16">
        <f t="shared" si="1"/>
        <v>-0.004858631388</v>
      </c>
      <c r="M61" s="16">
        <f t="shared" si="2"/>
        <v>-0.0276268375</v>
      </c>
      <c r="N61" s="16">
        <f t="shared" si="3"/>
        <v>-0.03639043192</v>
      </c>
      <c r="O61" s="16">
        <f t="shared" si="4"/>
        <v>0.002417595377</v>
      </c>
      <c r="P61" s="16">
        <f t="shared" si="5"/>
        <v>0.1131482452</v>
      </c>
      <c r="Q61" s="30">
        <f t="shared" si="6"/>
        <v>-0.03948529464</v>
      </c>
      <c r="R61" s="30">
        <f t="shared" si="7"/>
        <v>-0.0601747871</v>
      </c>
      <c r="S61" s="30">
        <f t="shared" si="8"/>
        <v>-0.06895460825</v>
      </c>
      <c r="T61" s="30">
        <f t="shared" si="9"/>
        <v>-0.01364462154</v>
      </c>
    </row>
    <row r="62">
      <c r="A62" s="1">
        <v>59.0</v>
      </c>
      <c r="B62" s="22" t="s">
        <v>574</v>
      </c>
      <c r="C62" s="22" t="s">
        <v>549</v>
      </c>
      <c r="D62" s="22" t="s">
        <v>151</v>
      </c>
      <c r="E62" s="23">
        <f>IFERROR(__xludf.DUMMYFUNCTION("GOOGLEFINANCE(""NSE:""&amp;D62,""marketcap"")/10000000"),78092.1762537)</f>
        <v>78092.17625</v>
      </c>
      <c r="F62" s="17">
        <f>IFERROR(__xludf.DUMMYFUNCTION("GOOGLEFINANCE(""NSE:""&amp;D62)"),969.0)</f>
        <v>969</v>
      </c>
      <c r="G62" s="17">
        <f>IFERROR(__xludf.DUMMYFUNCTION("GOOGLEFINANCE(""NSE:""&amp;D62,""closeyest"")"),963.5)</f>
        <v>963.5</v>
      </c>
      <c r="H62" s="17">
        <f>IFERROR(__xludf.DUMMYFUNCTION("INDEX(GOOGLEFINANCE(""NSE:""&amp;D62,""PRICE"",TODAY()-7),2,2)"),954.05)</f>
        <v>954.05</v>
      </c>
      <c r="I62" s="17">
        <f>IFERROR(__xludf.DUMMYFUNCTION("INDEX(GOOGLEFINANCE(""NSE:""&amp;D62,""PRICE"",TODAY()-14),2,2)"),950.45)</f>
        <v>950.45</v>
      </c>
      <c r="J62" s="17">
        <f>IFERROR(__xludf.DUMMYFUNCTION("INDEX(GOOGLEFINANCE(""NSE:""&amp;D62,""PRICE"",TODAY()-28),2,2)"),923.9)</f>
        <v>923.9</v>
      </c>
      <c r="K62" s="17">
        <f>IFERROR(__xludf.DUMMYFUNCTION("INDEX(GOOGLEFINANCE(""NSE:""&amp;D62,""PRICE"",TODAY()-84),2,2)"),979.2)</f>
        <v>979.2</v>
      </c>
      <c r="L62" s="16">
        <f t="shared" si="1"/>
        <v>0.005708354956</v>
      </c>
      <c r="M62" s="16">
        <f t="shared" si="2"/>
        <v>0.01567003826</v>
      </c>
      <c r="N62" s="16">
        <f t="shared" si="3"/>
        <v>0.01951707086</v>
      </c>
      <c r="O62" s="16">
        <f t="shared" si="4"/>
        <v>0.0488148068</v>
      </c>
      <c r="P62" s="16">
        <f t="shared" si="5"/>
        <v>-0.01041666667</v>
      </c>
      <c r="Q62" s="30">
        <f t="shared" si="6"/>
        <v>0.003811581122</v>
      </c>
      <c r="R62" s="30">
        <f t="shared" si="7"/>
        <v>-0.004267284319</v>
      </c>
      <c r="S62" s="30">
        <f t="shared" si="8"/>
        <v>-0.02255739683</v>
      </c>
      <c r="T62" s="30">
        <f t="shared" si="9"/>
        <v>-0.1372095334</v>
      </c>
    </row>
    <row r="63">
      <c r="A63" s="1">
        <v>60.0</v>
      </c>
      <c r="B63" s="22" t="s">
        <v>575</v>
      </c>
      <c r="C63" s="22" t="s">
        <v>545</v>
      </c>
      <c r="D63" s="22" t="s">
        <v>157</v>
      </c>
      <c r="E63" s="23">
        <f>IFERROR(__xludf.DUMMYFUNCTION("GOOGLEFINANCE(""NSE:""&amp;D63,""marketcap"")/10000000"),78125.36592)</f>
        <v>78125.36592</v>
      </c>
      <c r="F63" s="17">
        <f>IFERROR(__xludf.DUMMYFUNCTION("GOOGLEFINANCE(""NSE:""&amp;D63)"),2858.7)</f>
        <v>2858.7</v>
      </c>
      <c r="G63" s="17">
        <f>IFERROR(__xludf.DUMMYFUNCTION("GOOGLEFINANCE(""NSE:""&amp;D63,""closeyest"")"),2842.85)</f>
        <v>2842.85</v>
      </c>
      <c r="H63" s="17">
        <f>IFERROR(__xludf.DUMMYFUNCTION("INDEX(GOOGLEFINANCE(""NSE:""&amp;D63,""PRICE"",TODAY()-7),2,2)"),2898.55)</f>
        <v>2898.55</v>
      </c>
      <c r="I63" s="17">
        <f>IFERROR(__xludf.DUMMYFUNCTION("INDEX(GOOGLEFINANCE(""NSE:""&amp;D63,""PRICE"",TODAY()-14),2,2)"),2805.0)</f>
        <v>2805</v>
      </c>
      <c r="J63" s="17">
        <f>IFERROR(__xludf.DUMMYFUNCTION("INDEX(GOOGLEFINANCE(""NSE:""&amp;D63,""PRICE"",TODAY()-28),2,2)"),2576.1)</f>
        <v>2576.1</v>
      </c>
      <c r="K63" s="17">
        <f>IFERROR(__xludf.DUMMYFUNCTION("INDEX(GOOGLEFINANCE(""NSE:""&amp;D63,""PRICE"",TODAY()-84),2,2)"),2661.0)</f>
        <v>2661</v>
      </c>
      <c r="L63" s="16">
        <f t="shared" si="1"/>
        <v>0.005575390893</v>
      </c>
      <c r="M63" s="16">
        <f t="shared" si="2"/>
        <v>-0.01374825344</v>
      </c>
      <c r="N63" s="16">
        <f t="shared" si="3"/>
        <v>0.01914438503</v>
      </c>
      <c r="O63" s="16">
        <f t="shared" si="4"/>
        <v>0.1097007104</v>
      </c>
      <c r="P63" s="16">
        <f t="shared" si="5"/>
        <v>0.07429537768</v>
      </c>
      <c r="Q63" s="30">
        <f t="shared" si="6"/>
        <v>-0.02560671057</v>
      </c>
      <c r="R63" s="30">
        <f t="shared" si="7"/>
        <v>-0.004639970153</v>
      </c>
      <c r="S63" s="30">
        <f t="shared" si="8"/>
        <v>0.03832850675</v>
      </c>
      <c r="T63" s="30">
        <f t="shared" si="9"/>
        <v>-0.05249748902</v>
      </c>
    </row>
    <row r="64">
      <c r="A64" s="1">
        <v>61.0</v>
      </c>
      <c r="B64" s="22" t="s">
        <v>634</v>
      </c>
      <c r="C64" s="22" t="s">
        <v>635</v>
      </c>
      <c r="D64" s="22" t="s">
        <v>136</v>
      </c>
      <c r="E64" s="23">
        <f>IFERROR(__xludf.DUMMYFUNCTION("GOOGLEFINANCE(""NSE:""&amp;D64,""marketcap"")/10000000"),77100.0233)</f>
        <v>77100.0233</v>
      </c>
      <c r="F64" s="17">
        <f>IFERROR(__xludf.DUMMYFUNCTION("GOOGLEFINANCE(""NSE:""&amp;D64)"),2165.0)</f>
        <v>2165</v>
      </c>
      <c r="G64" s="17">
        <f>IFERROR(__xludf.DUMMYFUNCTION("GOOGLEFINANCE(""NSE:""&amp;D64,""closeyest"")"),2161.95)</f>
        <v>2161.95</v>
      </c>
      <c r="H64" s="17">
        <f>IFERROR(__xludf.DUMMYFUNCTION("INDEX(GOOGLEFINANCE(""NSE:""&amp;D64,""PRICE"",TODAY()-7),2,2)"),2180.55)</f>
        <v>2180.55</v>
      </c>
      <c r="I64" s="17">
        <f>IFERROR(__xludf.DUMMYFUNCTION("INDEX(GOOGLEFINANCE(""NSE:""&amp;D64,""PRICE"",TODAY()-14),2,2)"),2208.55)</f>
        <v>2208.55</v>
      </c>
      <c r="J64" s="17">
        <f>IFERROR(__xludf.DUMMYFUNCTION("INDEX(GOOGLEFINANCE(""NSE:""&amp;D64,""PRICE"",TODAY()-28),2,2)"),2222.2)</f>
        <v>2222.2</v>
      </c>
      <c r="K64" s="17">
        <f>IFERROR(__xludf.DUMMYFUNCTION("INDEX(GOOGLEFINANCE(""NSE:""&amp;D64,""PRICE"",TODAY()-84),2,2)"),2019.8)</f>
        <v>2019.8</v>
      </c>
      <c r="L64" s="16">
        <f t="shared" si="1"/>
        <v>0.001410763431</v>
      </c>
      <c r="M64" s="16">
        <f t="shared" si="2"/>
        <v>-0.00713122836</v>
      </c>
      <c r="N64" s="16">
        <f t="shared" si="3"/>
        <v>-0.01971882004</v>
      </c>
      <c r="O64" s="16">
        <f t="shared" si="4"/>
        <v>-0.0257402574</v>
      </c>
      <c r="P64" s="16">
        <f t="shared" si="5"/>
        <v>0.07188830577</v>
      </c>
      <c r="Q64" s="30">
        <f t="shared" si="6"/>
        <v>-0.0189896855</v>
      </c>
      <c r="R64" s="30">
        <f t="shared" si="7"/>
        <v>-0.04350317522</v>
      </c>
      <c r="S64" s="30">
        <f t="shared" si="8"/>
        <v>-0.09711246103</v>
      </c>
      <c r="T64" s="30">
        <f t="shared" si="9"/>
        <v>-0.05490456092</v>
      </c>
    </row>
    <row r="65">
      <c r="A65" s="1">
        <v>62.0</v>
      </c>
      <c r="B65" s="22" t="s">
        <v>643</v>
      </c>
      <c r="C65" s="22" t="s">
        <v>524</v>
      </c>
      <c r="D65" s="22" t="s">
        <v>175</v>
      </c>
      <c r="E65" s="23">
        <f>IFERROR(__xludf.DUMMYFUNCTION("GOOGLEFINANCE(""NSE:""&amp;D65,""marketcap"")/10000000"),75023.4963578)</f>
        <v>75023.49636</v>
      </c>
      <c r="F65" s="17">
        <f>IFERROR(__xludf.DUMMYFUNCTION("GOOGLEFINANCE(""NSE:""&amp;D65)"),4570.0)</f>
        <v>4570</v>
      </c>
      <c r="G65" s="17">
        <f>IFERROR(__xludf.DUMMYFUNCTION("GOOGLEFINANCE(""NSE:""&amp;D65,""closeyest"")"),4523.0)</f>
        <v>4523</v>
      </c>
      <c r="H65" s="17">
        <f>IFERROR(__xludf.DUMMYFUNCTION("INDEX(GOOGLEFINANCE(""NSE:""&amp;D65,""PRICE"",TODAY()-7),2,2)"),4184.2)</f>
        <v>4184.2</v>
      </c>
      <c r="I65" s="17">
        <f>IFERROR(__xludf.DUMMYFUNCTION("INDEX(GOOGLEFINANCE(""NSE:""&amp;D65,""PRICE"",TODAY()-14),2,2)"),3935.05)</f>
        <v>3935.05</v>
      </c>
      <c r="J65" s="17">
        <f>IFERROR(__xludf.DUMMYFUNCTION("INDEX(GOOGLEFINANCE(""NSE:""&amp;D65,""PRICE"",TODAY()-28),2,2)"),3643.05)</f>
        <v>3643.05</v>
      </c>
      <c r="K65" s="17">
        <f>IFERROR(__xludf.DUMMYFUNCTION("INDEX(GOOGLEFINANCE(""NSE:""&amp;D65,""PRICE"",TODAY()-84),2,2)"),2583.1)</f>
        <v>2583.1</v>
      </c>
      <c r="L65" s="16">
        <f t="shared" si="1"/>
        <v>0.01039133319</v>
      </c>
      <c r="M65" s="16">
        <f t="shared" si="2"/>
        <v>0.09220400554</v>
      </c>
      <c r="N65" s="16">
        <f t="shared" si="3"/>
        <v>0.1613575431</v>
      </c>
      <c r="O65" s="16">
        <f t="shared" si="4"/>
        <v>0.2544433922</v>
      </c>
      <c r="P65" s="16">
        <f t="shared" si="5"/>
        <v>0.7691920561</v>
      </c>
      <c r="Q65" s="30">
        <f t="shared" si="6"/>
        <v>0.08034554841</v>
      </c>
      <c r="R65" s="30">
        <f t="shared" si="7"/>
        <v>0.1375731879</v>
      </c>
      <c r="S65" s="30">
        <f t="shared" si="8"/>
        <v>0.1830711886</v>
      </c>
      <c r="T65" s="30">
        <f t="shared" si="9"/>
        <v>0.6423991894</v>
      </c>
    </row>
    <row r="66">
      <c r="A66" s="1">
        <v>63.0</v>
      </c>
      <c r="B66" s="22" t="s">
        <v>600</v>
      </c>
      <c r="C66" s="22" t="s">
        <v>528</v>
      </c>
      <c r="D66" s="22" t="s">
        <v>153</v>
      </c>
      <c r="E66" s="23">
        <f>IFERROR(__xludf.DUMMYFUNCTION("GOOGLEFINANCE(""NSE:""&amp;D66,""marketcap"")/10000000"),71748.19195)</f>
        <v>71748.19195</v>
      </c>
      <c r="F66" s="17">
        <f>IFERROR(__xludf.DUMMYFUNCTION("GOOGLEFINANCE(""NSE:""&amp;D66)"),1571.0)</f>
        <v>1571</v>
      </c>
      <c r="G66" s="17">
        <f>IFERROR(__xludf.DUMMYFUNCTION("GOOGLEFINANCE(""NSE:""&amp;D66,""closeyest"")"),1627.7)</f>
        <v>1627.7</v>
      </c>
      <c r="H66" s="17">
        <f>IFERROR(__xludf.DUMMYFUNCTION("INDEX(GOOGLEFINANCE(""NSE:""&amp;D66,""PRICE"",TODAY()-7),2,2)"),1603.95)</f>
        <v>1603.95</v>
      </c>
      <c r="I66" s="17">
        <f>IFERROR(__xludf.DUMMYFUNCTION("INDEX(GOOGLEFINANCE(""NSE:""&amp;D66,""PRICE"",TODAY()-14),2,2)"),1636.85)</f>
        <v>1636.85</v>
      </c>
      <c r="J66" s="17">
        <f>IFERROR(__xludf.DUMMYFUNCTION("INDEX(GOOGLEFINANCE(""NSE:""&amp;D66,""PRICE"",TODAY()-28),2,2)"),1557.7)</f>
        <v>1557.7</v>
      </c>
      <c r="K66" s="17">
        <f>IFERROR(__xludf.DUMMYFUNCTION("INDEX(GOOGLEFINANCE(""NSE:""&amp;D66,""PRICE"",TODAY()-84),2,2)"),1553.45)</f>
        <v>1553.45</v>
      </c>
      <c r="L66" s="16">
        <f t="shared" si="1"/>
        <v>-0.03483442895</v>
      </c>
      <c r="M66" s="16">
        <f t="shared" si="2"/>
        <v>-0.02054303438</v>
      </c>
      <c r="N66" s="16">
        <f t="shared" si="3"/>
        <v>-0.0402297095</v>
      </c>
      <c r="O66" s="16">
        <f t="shared" si="4"/>
        <v>0.008538229441</v>
      </c>
      <c r="P66" s="16">
        <f t="shared" si="5"/>
        <v>0.01129743474</v>
      </c>
      <c r="Q66" s="30">
        <f t="shared" si="6"/>
        <v>-0.03240149152</v>
      </c>
      <c r="R66" s="30">
        <f t="shared" si="7"/>
        <v>-0.06401406468</v>
      </c>
      <c r="S66" s="30">
        <f t="shared" si="8"/>
        <v>-0.06283397419</v>
      </c>
      <c r="T66" s="30">
        <f t="shared" si="9"/>
        <v>-0.115495432</v>
      </c>
    </row>
    <row r="67">
      <c r="A67" s="1">
        <v>64.0</v>
      </c>
      <c r="B67" s="22" t="s">
        <v>585</v>
      </c>
      <c r="C67" s="22" t="s">
        <v>531</v>
      </c>
      <c r="D67" s="22" t="s">
        <v>177</v>
      </c>
      <c r="E67" s="23">
        <f>IFERROR(__xludf.DUMMYFUNCTION("GOOGLEFINANCE(""NSE:""&amp;D67,""marketcap"")/10000000"),75272.0320022)</f>
        <v>75272.032</v>
      </c>
      <c r="F67" s="17">
        <f>IFERROR(__xludf.DUMMYFUNCTION("GOOGLEFINANCE(""NSE:""&amp;D67)"),278.9)</f>
        <v>278.9</v>
      </c>
      <c r="G67" s="17">
        <f>IFERROR(__xludf.DUMMYFUNCTION("GOOGLEFINANCE(""NSE:""&amp;D67,""closeyest"")"),273.35)</f>
        <v>273.35</v>
      </c>
      <c r="H67" s="17">
        <f>IFERROR(__xludf.DUMMYFUNCTION("INDEX(GOOGLEFINANCE(""NSE:""&amp;D67,""PRICE"",TODAY()-7),2,2)"),268.75)</f>
        <v>268.75</v>
      </c>
      <c r="I67" s="17">
        <f>IFERROR(__xludf.DUMMYFUNCTION("INDEX(GOOGLEFINANCE(""NSE:""&amp;D67,""PRICE"",TODAY()-14),2,2)"),238.85)</f>
        <v>238.85</v>
      </c>
      <c r="J67" s="17">
        <f>IFERROR(__xludf.DUMMYFUNCTION("INDEX(GOOGLEFINANCE(""NSE:""&amp;D67,""PRICE"",TODAY()-28),2,2)"),216.3)</f>
        <v>216.3</v>
      </c>
      <c r="K67" s="17">
        <f>IFERROR(__xludf.DUMMYFUNCTION("INDEX(GOOGLEFINANCE(""NSE:""&amp;D67,""PRICE"",TODAY()-84),2,2)"),234.55)</f>
        <v>234.55</v>
      </c>
      <c r="L67" s="16">
        <f t="shared" si="1"/>
        <v>0.02030364002</v>
      </c>
      <c r="M67" s="16">
        <f t="shared" si="2"/>
        <v>0.03776744186</v>
      </c>
      <c r="N67" s="16">
        <f t="shared" si="3"/>
        <v>0.1676784593</v>
      </c>
      <c r="O67" s="16">
        <f t="shared" si="4"/>
        <v>0.2894128525</v>
      </c>
      <c r="P67" s="16">
        <f t="shared" si="5"/>
        <v>0.1890854828</v>
      </c>
      <c r="Q67" s="30">
        <f t="shared" si="6"/>
        <v>0.02590898472</v>
      </c>
      <c r="R67" s="30">
        <f t="shared" si="7"/>
        <v>0.1438941041</v>
      </c>
      <c r="S67" s="30">
        <f t="shared" si="8"/>
        <v>0.2180406489</v>
      </c>
      <c r="T67" s="30">
        <f t="shared" si="9"/>
        <v>0.06229261614</v>
      </c>
    </row>
    <row r="68">
      <c r="A68" s="1">
        <v>65.0</v>
      </c>
      <c r="B68" s="22" t="s">
        <v>604</v>
      </c>
      <c r="C68" s="22" t="s">
        <v>526</v>
      </c>
      <c r="D68" s="22" t="s">
        <v>163</v>
      </c>
      <c r="E68" s="23">
        <f>IFERROR(__xludf.DUMMYFUNCTION("GOOGLEFINANCE(""NSE:""&amp;D68,""marketcap"")/10000000"),73150.3349663)</f>
        <v>73150.33497</v>
      </c>
      <c r="F68" s="17">
        <f>IFERROR(__xludf.DUMMYFUNCTION("GOOGLEFINANCE(""NSE:""&amp;D68)"),568.75)</f>
        <v>568.75</v>
      </c>
      <c r="G68" s="17">
        <f>IFERROR(__xludf.DUMMYFUNCTION("GOOGLEFINANCE(""NSE:""&amp;D68,""closeyest"")"),565.2)</f>
        <v>565.2</v>
      </c>
      <c r="H68" s="17">
        <f>IFERROR(__xludf.DUMMYFUNCTION("INDEX(GOOGLEFINANCE(""NSE:""&amp;D68,""PRICE"",TODAY()-7),2,2)"),560.1)</f>
        <v>560.1</v>
      </c>
      <c r="I68" s="17">
        <f>IFERROR(__xludf.DUMMYFUNCTION("INDEX(GOOGLEFINANCE(""NSE:""&amp;D68,""PRICE"",TODAY()-14),2,2)"),575.6)</f>
        <v>575.6</v>
      </c>
      <c r="J68" s="17">
        <f>IFERROR(__xludf.DUMMYFUNCTION("INDEX(GOOGLEFINANCE(""NSE:""&amp;D68,""PRICE"",TODAY()-28),2,2)"),524.95)</f>
        <v>524.95</v>
      </c>
      <c r="K68" s="17">
        <f>IFERROR(__xludf.DUMMYFUNCTION("INDEX(GOOGLEFINANCE(""NSE:""&amp;D68,""PRICE"",TODAY()-84),2,2)"),519.85)</f>
        <v>519.85</v>
      </c>
      <c r="L68" s="16">
        <f t="shared" si="1"/>
        <v>0.006280962491</v>
      </c>
      <c r="M68" s="16">
        <f t="shared" si="2"/>
        <v>0.01544367077</v>
      </c>
      <c r="N68" s="16">
        <f t="shared" si="3"/>
        <v>-0.01190062543</v>
      </c>
      <c r="O68" s="16">
        <f t="shared" si="4"/>
        <v>0.08343651776</v>
      </c>
      <c r="P68" s="16">
        <f t="shared" si="5"/>
        <v>0.09406559584</v>
      </c>
      <c r="Q68" s="30">
        <f t="shared" si="6"/>
        <v>0.003585213637</v>
      </c>
      <c r="R68" s="30">
        <f t="shared" si="7"/>
        <v>-0.03568498061</v>
      </c>
      <c r="S68" s="30">
        <f t="shared" si="8"/>
        <v>0.01206431413</v>
      </c>
      <c r="T68" s="30">
        <f t="shared" si="9"/>
        <v>-0.03272727085</v>
      </c>
    </row>
    <row r="69">
      <c r="A69" s="1">
        <v>66.0</v>
      </c>
      <c r="B69" s="22" t="s">
        <v>617</v>
      </c>
      <c r="C69" s="22" t="s">
        <v>618</v>
      </c>
      <c r="D69" s="22" t="s">
        <v>161</v>
      </c>
      <c r="E69" s="23">
        <f>IFERROR(__xludf.DUMMYFUNCTION("GOOGLEFINANCE(""NSE:""&amp;D69,""marketcap"")/10000000"),73649.3067)</f>
        <v>73649.3067</v>
      </c>
      <c r="F69" s="17">
        <f>IFERROR(__xludf.DUMMYFUNCTION("GOOGLEFINANCE(""NSE:""&amp;D69)"),5129.0)</f>
        <v>5129</v>
      </c>
      <c r="G69" s="17">
        <f>IFERROR(__xludf.DUMMYFUNCTION("GOOGLEFINANCE(""NSE:""&amp;D69,""closeyest"")"),4904.9)</f>
        <v>4904.9</v>
      </c>
      <c r="H69" s="17">
        <f>IFERROR(__xludf.DUMMYFUNCTION("INDEX(GOOGLEFINANCE(""NSE:""&amp;D69,""PRICE"",TODAY()-7),2,2)"),4908.25)</f>
        <v>4908.25</v>
      </c>
      <c r="I69" s="17">
        <f>IFERROR(__xludf.DUMMYFUNCTION("INDEX(GOOGLEFINANCE(""NSE:""&amp;D69,""PRICE"",TODAY()-14),2,2)"),4745.85)</f>
        <v>4745.85</v>
      </c>
      <c r="J69" s="17">
        <f>IFERROR(__xludf.DUMMYFUNCTION("INDEX(GOOGLEFINANCE(""NSE:""&amp;D69,""PRICE"",TODAY()-28),2,2)"),4765.1)</f>
        <v>4765.1</v>
      </c>
      <c r="K69" s="17">
        <f>IFERROR(__xludf.DUMMYFUNCTION("INDEX(GOOGLEFINANCE(""NSE:""&amp;D69,""PRICE"",TODAY()-84),2,2)"),3733.2)</f>
        <v>3733.2</v>
      </c>
      <c r="L69" s="16">
        <f t="shared" si="1"/>
        <v>0.04568900487</v>
      </c>
      <c r="M69" s="16">
        <f t="shared" si="2"/>
        <v>0.04497529669</v>
      </c>
      <c r="N69" s="16">
        <f t="shared" si="3"/>
        <v>0.08073369365</v>
      </c>
      <c r="O69" s="16">
        <f t="shared" si="4"/>
        <v>0.07636775723</v>
      </c>
      <c r="P69" s="16">
        <f t="shared" si="5"/>
        <v>0.3738883532</v>
      </c>
      <c r="Q69" s="30">
        <f t="shared" si="6"/>
        <v>0.03311683956</v>
      </c>
      <c r="R69" s="30">
        <f t="shared" si="7"/>
        <v>0.05694933847</v>
      </c>
      <c r="S69" s="30">
        <f t="shared" si="8"/>
        <v>0.004995553606</v>
      </c>
      <c r="T69" s="30">
        <f t="shared" si="9"/>
        <v>0.2470954865</v>
      </c>
    </row>
    <row r="70">
      <c r="A70" s="1">
        <v>67.0</v>
      </c>
      <c r="B70" s="22" t="s">
        <v>606</v>
      </c>
      <c r="C70" s="22" t="s">
        <v>528</v>
      </c>
      <c r="D70" s="22" t="s">
        <v>165</v>
      </c>
      <c r="E70" s="23">
        <f>IFERROR(__xludf.DUMMYFUNCTION("GOOGLEFINANCE(""NSE:""&amp;D70,""marketcap"")/10000000"),69056.951375)</f>
        <v>69056.95138</v>
      </c>
      <c r="F70" s="17">
        <f>IFERROR(__xludf.DUMMYFUNCTION("GOOGLEFINANCE(""NSE:""&amp;D70)"),3228.0)</f>
        <v>3228</v>
      </c>
      <c r="G70" s="17">
        <f>IFERROR(__xludf.DUMMYFUNCTION("GOOGLEFINANCE(""NSE:""&amp;D70,""closeyest"")"),3213.1)</f>
        <v>3213.1</v>
      </c>
      <c r="H70" s="17">
        <f>IFERROR(__xludf.DUMMYFUNCTION("INDEX(GOOGLEFINANCE(""NSE:""&amp;D70,""PRICE"",TODAY()-7),2,2)"),3268.8)</f>
        <v>3268.8</v>
      </c>
      <c r="I70" s="17">
        <f>IFERROR(__xludf.DUMMYFUNCTION("INDEX(GOOGLEFINANCE(""NSE:""&amp;D70,""PRICE"",TODAY()-14),2,2)"),3302.05)</f>
        <v>3302.05</v>
      </c>
      <c r="J70" s="17">
        <f>IFERROR(__xludf.DUMMYFUNCTION("INDEX(GOOGLEFINANCE(""NSE:""&amp;D70,""PRICE"",TODAY()-28),2,2)"),3030.3)</f>
        <v>3030.3</v>
      </c>
      <c r="K70" s="17">
        <f>IFERROR(__xludf.DUMMYFUNCTION("INDEX(GOOGLEFINANCE(""NSE:""&amp;D70,""PRICE"",TODAY()-84),2,2)"),2875.6)</f>
        <v>2875.6</v>
      </c>
      <c r="L70" s="16">
        <f t="shared" si="1"/>
        <v>0.004637266192</v>
      </c>
      <c r="M70" s="16">
        <f t="shared" si="2"/>
        <v>-0.01248164464</v>
      </c>
      <c r="N70" s="16">
        <f t="shared" si="3"/>
        <v>-0.02242546297</v>
      </c>
      <c r="O70" s="16">
        <f t="shared" si="4"/>
        <v>0.06524106524</v>
      </c>
      <c r="P70" s="16">
        <f t="shared" si="5"/>
        <v>0.1225483377</v>
      </c>
      <c r="Q70" s="30">
        <f t="shared" si="6"/>
        <v>-0.02434010178</v>
      </c>
      <c r="R70" s="30">
        <f t="shared" si="7"/>
        <v>-0.04620981815</v>
      </c>
      <c r="S70" s="30">
        <f t="shared" si="8"/>
        <v>-0.006131138388</v>
      </c>
      <c r="T70" s="30">
        <f t="shared" si="9"/>
        <v>-0.004244528959</v>
      </c>
    </row>
    <row r="71">
      <c r="A71" s="1">
        <v>68.0</v>
      </c>
      <c r="B71" s="22" t="s">
        <v>614</v>
      </c>
      <c r="C71" s="22" t="s">
        <v>522</v>
      </c>
      <c r="D71" s="22" t="s">
        <v>167</v>
      </c>
      <c r="E71" s="23">
        <f>IFERROR(__xludf.DUMMYFUNCTION("GOOGLEFINANCE(""NSE:""&amp;D71,""marketcap"")/10000000"),67825.6575025)</f>
        <v>67825.6575</v>
      </c>
      <c r="F71" s="17">
        <f>IFERROR(__xludf.DUMMYFUNCTION("GOOGLEFINANCE(""NSE:""&amp;D71)"),153.15)</f>
        <v>153.15</v>
      </c>
      <c r="G71" s="17">
        <f>IFERROR(__xludf.DUMMYFUNCTION("GOOGLEFINANCE(""NSE:""&amp;D71,""closeyest"")"),150.0)</f>
        <v>150</v>
      </c>
      <c r="H71" s="17">
        <f>IFERROR(__xludf.DUMMYFUNCTION("INDEX(GOOGLEFINANCE(""NSE:""&amp;D71,""PRICE"",TODAY()-7),2,2)"),154.1)</f>
        <v>154.1</v>
      </c>
      <c r="I71" s="17">
        <f>IFERROR(__xludf.DUMMYFUNCTION("INDEX(GOOGLEFINANCE(""NSE:""&amp;D71,""PRICE"",TODAY()-14),2,2)"),145.9)</f>
        <v>145.9</v>
      </c>
      <c r="J71" s="17">
        <f>IFERROR(__xludf.DUMMYFUNCTION("INDEX(GOOGLEFINANCE(""NSE:""&amp;D71,""PRICE"",TODAY()-28),2,2)"),143.5)</f>
        <v>143.5</v>
      </c>
      <c r="K71" s="17">
        <f>IFERROR(__xludf.DUMMYFUNCTION("INDEX(GOOGLEFINANCE(""NSE:""&amp;D71,""PRICE"",TODAY()-84),2,2)"),151.3)</f>
        <v>151.3</v>
      </c>
      <c r="L71" s="16">
        <f t="shared" si="1"/>
        <v>0.021</v>
      </c>
      <c r="M71" s="16">
        <f t="shared" si="2"/>
        <v>-0.006164828034</v>
      </c>
      <c r="N71" s="16">
        <f t="shared" si="3"/>
        <v>0.04969156957</v>
      </c>
      <c r="O71" s="16">
        <f t="shared" si="4"/>
        <v>0.06724738676</v>
      </c>
      <c r="P71" s="16">
        <f t="shared" si="5"/>
        <v>0.01222736286</v>
      </c>
      <c r="Q71" s="30">
        <f t="shared" si="6"/>
        <v>-0.01802328517</v>
      </c>
      <c r="R71" s="30">
        <f t="shared" si="7"/>
        <v>0.02590721439</v>
      </c>
      <c r="S71" s="30">
        <f t="shared" si="8"/>
        <v>-0.004124816869</v>
      </c>
      <c r="T71" s="30">
        <f t="shared" si="9"/>
        <v>-0.1145655038</v>
      </c>
    </row>
    <row r="72">
      <c r="A72" s="1">
        <v>69.0</v>
      </c>
      <c r="B72" s="22" t="s">
        <v>644</v>
      </c>
      <c r="C72" s="22" t="s">
        <v>603</v>
      </c>
      <c r="D72" s="22" t="s">
        <v>178</v>
      </c>
      <c r="E72" s="23">
        <f>IFERROR(__xludf.DUMMYFUNCTION("GOOGLEFINANCE(""NSE:""&amp;D72,""marketcap"")/10000000"),65148.5829648)</f>
        <v>65148.58296</v>
      </c>
      <c r="F72" s="17">
        <f>IFERROR(__xludf.DUMMYFUNCTION("GOOGLEFINANCE(""NSE:""&amp;D72)"),11004.0)</f>
        <v>11004</v>
      </c>
      <c r="G72" s="17">
        <f>IFERROR(__xludf.DUMMYFUNCTION("GOOGLEFINANCE(""NSE:""&amp;D72,""closeyest"")"),10730.7)</f>
        <v>10730.7</v>
      </c>
      <c r="H72" s="17">
        <f>IFERROR(__xludf.DUMMYFUNCTION("INDEX(GOOGLEFINANCE(""NSE:""&amp;D72,""PRICE"",TODAY()-7),2,2)"),11099.05)</f>
        <v>11099.05</v>
      </c>
      <c r="I72" s="17">
        <f>IFERROR(__xludf.DUMMYFUNCTION("INDEX(GOOGLEFINANCE(""NSE:""&amp;D72,""PRICE"",TODAY()-14),2,2)"),10685.5)</f>
        <v>10685.5</v>
      </c>
      <c r="J72" s="17">
        <f>IFERROR(__xludf.DUMMYFUNCTION("INDEX(GOOGLEFINANCE(""NSE:""&amp;D72,""PRICE"",TODAY()-28),2,2)"),9423.55)</f>
        <v>9423.55</v>
      </c>
      <c r="K72" s="17">
        <f>IFERROR(__xludf.DUMMYFUNCTION("INDEX(GOOGLEFINANCE(""NSE:""&amp;D72,""PRICE"",TODAY()-84),2,2)"),7496.0)</f>
        <v>7496</v>
      </c>
      <c r="L72" s="16">
        <f t="shared" si="1"/>
        <v>0.02546898152</v>
      </c>
      <c r="M72" s="16">
        <f t="shared" si="2"/>
        <v>-0.008563796001</v>
      </c>
      <c r="N72" s="16">
        <f t="shared" si="3"/>
        <v>0.02980674746</v>
      </c>
      <c r="O72" s="16">
        <f t="shared" si="4"/>
        <v>0.1677128046</v>
      </c>
      <c r="P72" s="16">
        <f t="shared" si="5"/>
        <v>0.4679829242</v>
      </c>
      <c r="Q72" s="30">
        <f t="shared" si="6"/>
        <v>-0.02042225314</v>
      </c>
      <c r="R72" s="30">
        <f t="shared" si="7"/>
        <v>0.006022392282</v>
      </c>
      <c r="S72" s="30">
        <f t="shared" si="8"/>
        <v>0.09634060099</v>
      </c>
      <c r="T72" s="30">
        <f t="shared" si="9"/>
        <v>0.3411900575</v>
      </c>
    </row>
    <row r="73">
      <c r="A73" s="1">
        <v>70.0</v>
      </c>
      <c r="B73" s="22" t="s">
        <v>633</v>
      </c>
      <c r="C73" s="22" t="s">
        <v>549</v>
      </c>
      <c r="D73" s="22" t="s">
        <v>169</v>
      </c>
      <c r="E73" s="23">
        <f>IFERROR(__xludf.DUMMYFUNCTION("GOOGLEFINANCE(""NSE:""&amp;D73,""marketcap"")/10000000"),64085.31642)</f>
        <v>64085.31642</v>
      </c>
      <c r="F73" s="17">
        <f>IFERROR(__xludf.DUMMYFUNCTION("GOOGLEFINANCE(""NSE:""&amp;D73)"),3902.0)</f>
        <v>3902</v>
      </c>
      <c r="G73" s="17">
        <f>IFERROR(__xludf.DUMMYFUNCTION("GOOGLEFINANCE(""NSE:""&amp;D73,""closeyest"")"),3877.15)</f>
        <v>3877.15</v>
      </c>
      <c r="H73" s="17">
        <f>IFERROR(__xludf.DUMMYFUNCTION("INDEX(GOOGLEFINANCE(""NSE:""&amp;D73,""PRICE"",TODAY()-7),2,2)"),3962.9)</f>
        <v>3962.9</v>
      </c>
      <c r="I73" s="17">
        <f>IFERROR(__xludf.DUMMYFUNCTION("INDEX(GOOGLEFINANCE(""NSE:""&amp;D73,""PRICE"",TODAY()-14),2,2)"),3810.0)</f>
        <v>3810</v>
      </c>
      <c r="J73" s="17">
        <f>IFERROR(__xludf.DUMMYFUNCTION("INDEX(GOOGLEFINANCE(""NSE:""&amp;D73,""PRICE"",TODAY()-28),2,2)"),3930.25)</f>
        <v>3930.25</v>
      </c>
      <c r="K73" s="17">
        <f>IFERROR(__xludf.DUMMYFUNCTION("INDEX(GOOGLEFINANCE(""NSE:""&amp;D73,""PRICE"",TODAY()-84),2,2)"),3462.6)</f>
        <v>3462.6</v>
      </c>
      <c r="L73" s="16">
        <f t="shared" si="1"/>
        <v>0.006409347072</v>
      </c>
      <c r="M73" s="16">
        <f t="shared" si="2"/>
        <v>-0.01536753388</v>
      </c>
      <c r="N73" s="16">
        <f t="shared" si="3"/>
        <v>0.02414698163</v>
      </c>
      <c r="O73" s="16">
        <f t="shared" si="4"/>
        <v>-0.007187837924</v>
      </c>
      <c r="P73" s="16">
        <f t="shared" si="5"/>
        <v>0.1268988621</v>
      </c>
      <c r="Q73" s="30">
        <f t="shared" si="6"/>
        <v>-0.02722599101</v>
      </c>
      <c r="R73" s="30">
        <f t="shared" si="7"/>
        <v>0.0003626264476</v>
      </c>
      <c r="S73" s="30">
        <f t="shared" si="8"/>
        <v>-0.07856004155</v>
      </c>
      <c r="T73" s="30">
        <f t="shared" si="9"/>
        <v>0.0001059954297</v>
      </c>
    </row>
    <row r="74">
      <c r="A74" s="1">
        <v>71.0</v>
      </c>
      <c r="B74" s="22" t="s">
        <v>625</v>
      </c>
      <c r="C74" s="22" t="s">
        <v>528</v>
      </c>
      <c r="D74" s="22" t="s">
        <v>171</v>
      </c>
      <c r="E74" s="23">
        <f>IFERROR(__xludf.DUMMYFUNCTION("GOOGLEFINANCE(""NSE:""&amp;D74,""marketcap"")/10000000"),65911.1071523)</f>
        <v>65911.10715</v>
      </c>
      <c r="F74" s="17">
        <f>IFERROR(__xludf.DUMMYFUNCTION("GOOGLEFINANCE(""NSE:""&amp;D74)"),2781.0)</f>
        <v>2781</v>
      </c>
      <c r="G74" s="17">
        <f>IFERROR(__xludf.DUMMYFUNCTION("GOOGLEFINANCE(""NSE:""&amp;D74,""closeyest"")"),2638.1)</f>
        <v>2638.1</v>
      </c>
      <c r="H74" s="17">
        <f>IFERROR(__xludf.DUMMYFUNCTION("INDEX(GOOGLEFINANCE(""NSE:""&amp;D74,""PRICE"",TODAY()-7),2,2)"),2634.7)</f>
        <v>2634.7</v>
      </c>
      <c r="I74" s="17">
        <f>IFERROR(__xludf.DUMMYFUNCTION("INDEX(GOOGLEFINANCE(""NSE:""&amp;D74,""PRICE"",TODAY()-14),2,2)"),2570.6)</f>
        <v>2570.6</v>
      </c>
      <c r="J74" s="17">
        <f>IFERROR(__xludf.DUMMYFUNCTION("INDEX(GOOGLEFINANCE(""NSE:""&amp;D74,""PRICE"",TODAY()-28),2,2)"),2571.1)</f>
        <v>2571.1</v>
      </c>
      <c r="K74" s="17">
        <f>IFERROR(__xludf.DUMMYFUNCTION("INDEX(GOOGLEFINANCE(""NSE:""&amp;D74,""PRICE"",TODAY()-84),2,2)"),2404.75)</f>
        <v>2404.75</v>
      </c>
      <c r="L74" s="16">
        <f t="shared" si="1"/>
        <v>0.05416777226</v>
      </c>
      <c r="M74" s="16">
        <f t="shared" si="2"/>
        <v>0.05552814362</v>
      </c>
      <c r="N74" s="16">
        <f t="shared" si="3"/>
        <v>0.08184859566</v>
      </c>
      <c r="O74" s="16">
        <f t="shared" si="4"/>
        <v>0.08163820933</v>
      </c>
      <c r="P74" s="16">
        <f t="shared" si="5"/>
        <v>0.1564611706</v>
      </c>
      <c r="Q74" s="30">
        <f t="shared" si="6"/>
        <v>0.04366968649</v>
      </c>
      <c r="R74" s="30">
        <f t="shared" si="7"/>
        <v>0.05806424048</v>
      </c>
      <c r="S74" s="30">
        <f t="shared" si="8"/>
        <v>0.0102660057</v>
      </c>
      <c r="T74" s="30">
        <f t="shared" si="9"/>
        <v>0.0296683039</v>
      </c>
    </row>
    <row r="75">
      <c r="A75" s="1">
        <v>72.0</v>
      </c>
      <c r="B75" s="22" t="s">
        <v>622</v>
      </c>
      <c r="C75" s="22" t="s">
        <v>528</v>
      </c>
      <c r="D75" s="22" t="s">
        <v>173</v>
      </c>
      <c r="E75" s="23">
        <f>IFERROR(__xludf.DUMMYFUNCTION("GOOGLEFINANCE(""NSE:""&amp;D75,""marketcap"")/10000000"),61106.6161064)</f>
        <v>61106.61611</v>
      </c>
      <c r="F75" s="17">
        <f>IFERROR(__xludf.DUMMYFUNCTION("GOOGLEFINANCE(""NSE:""&amp;D75)"),1522.2)</f>
        <v>1522.2</v>
      </c>
      <c r="G75" s="17">
        <f>IFERROR(__xludf.DUMMYFUNCTION("GOOGLEFINANCE(""NSE:""&amp;D75,""closeyest"")"),1543.5)</f>
        <v>1543.5</v>
      </c>
      <c r="H75" s="17">
        <f>IFERROR(__xludf.DUMMYFUNCTION("INDEX(GOOGLEFINANCE(""NSE:""&amp;D75,""PRICE"",TODAY()-7),2,2)"),1513.5)</f>
        <v>1513.5</v>
      </c>
      <c r="I75" s="17">
        <f>IFERROR(__xludf.DUMMYFUNCTION("INDEX(GOOGLEFINANCE(""NSE:""&amp;D75,""PRICE"",TODAY()-14),2,2)"),1544.55)</f>
        <v>1544.55</v>
      </c>
      <c r="J75" s="17">
        <f>IFERROR(__xludf.DUMMYFUNCTION("INDEX(GOOGLEFINANCE(""NSE:""&amp;D75,""PRICE"",TODAY()-28),2,2)"),1491.7)</f>
        <v>1491.7</v>
      </c>
      <c r="K75" s="17">
        <f>IFERROR(__xludf.DUMMYFUNCTION("INDEX(GOOGLEFINANCE(""NSE:""&amp;D75,""PRICE"",TODAY()-84),2,2)"),1477.4)</f>
        <v>1477.4</v>
      </c>
      <c r="L75" s="16">
        <f t="shared" si="1"/>
        <v>-0.01379980564</v>
      </c>
      <c r="M75" s="16">
        <f t="shared" si="2"/>
        <v>0.00574826561</v>
      </c>
      <c r="N75" s="16">
        <f t="shared" si="3"/>
        <v>-0.01447023405</v>
      </c>
      <c r="O75" s="16">
        <f t="shared" si="4"/>
        <v>0.02044647047</v>
      </c>
      <c r="P75" s="16">
        <f t="shared" si="5"/>
        <v>0.03032354136</v>
      </c>
      <c r="Q75" s="30">
        <f t="shared" si="6"/>
        <v>-0.006110191527</v>
      </c>
      <c r="R75" s="30">
        <f t="shared" si="7"/>
        <v>-0.03825458923</v>
      </c>
      <c r="S75" s="30">
        <f t="shared" si="8"/>
        <v>-0.05092573316</v>
      </c>
      <c r="T75" s="30">
        <f t="shared" si="9"/>
        <v>-0.09646932534</v>
      </c>
    </row>
    <row r="76">
      <c r="A76" s="1">
        <v>73.0</v>
      </c>
      <c r="B76" s="22" t="s">
        <v>645</v>
      </c>
      <c r="C76" s="22" t="s">
        <v>524</v>
      </c>
      <c r="D76" s="22" t="s">
        <v>185</v>
      </c>
      <c r="E76" s="23">
        <f>IFERROR(__xludf.DUMMYFUNCTION("GOOGLEFINANCE(""NSE:""&amp;D76,""marketcap"")/10000000"),62743.892)</f>
        <v>62743.892</v>
      </c>
      <c r="F76" s="17">
        <f>IFERROR(__xludf.DUMMYFUNCTION("GOOGLEFINANCE(""NSE:""&amp;D76)"),3350.0)</f>
        <v>3350</v>
      </c>
      <c r="G76" s="17">
        <f>IFERROR(__xludf.DUMMYFUNCTION("GOOGLEFINANCE(""NSE:""&amp;D76,""closeyest"")"),3251.05)</f>
        <v>3251.05</v>
      </c>
      <c r="H76" s="17">
        <f>IFERROR(__xludf.DUMMYFUNCTION("INDEX(GOOGLEFINANCE(""NSE:""&amp;D76,""PRICE"",TODAY()-7),2,2)"),3194.1)</f>
        <v>3194.1</v>
      </c>
      <c r="I76" s="17" t="str">
        <f>IFERROR(__xludf.DUMMYFUNCTION("INDEX(GOOGLEFINANCE(""NSE:""&amp;D76,""PRICE"",TODAY()-14),2,2)"),"#N/A")</f>
        <v>#N/A</v>
      </c>
      <c r="J76" s="17">
        <f>IFERROR(__xludf.DUMMYFUNCTION("INDEX(GOOGLEFINANCE(""NSE:""&amp;D76,""PRICE"",TODAY()-28),2,2)"),2894.8)</f>
        <v>2894.8</v>
      </c>
      <c r="K76" s="17">
        <f>IFERROR(__xludf.DUMMYFUNCTION("INDEX(GOOGLEFINANCE(""NSE:""&amp;D76,""PRICE"",TODAY()-84),2,2)"),2154.95)</f>
        <v>2154.95</v>
      </c>
      <c r="L76" s="16">
        <f t="shared" si="1"/>
        <v>0.03043632057</v>
      </c>
      <c r="M76" s="16">
        <f t="shared" si="2"/>
        <v>0.04880874112</v>
      </c>
      <c r="N76" s="16" t="str">
        <f t="shared" si="3"/>
        <v>#N/A</v>
      </c>
      <c r="O76" s="16">
        <f t="shared" si="4"/>
        <v>0.1572474782</v>
      </c>
      <c r="P76" s="16">
        <f t="shared" si="5"/>
        <v>0.5545604306</v>
      </c>
      <c r="Q76" s="30">
        <f t="shared" si="6"/>
        <v>0.03695028398</v>
      </c>
      <c r="R76" s="32" t="str">
        <f t="shared" si="7"/>
        <v>#N/A</v>
      </c>
      <c r="S76" s="30">
        <f t="shared" si="8"/>
        <v>0.08587527461</v>
      </c>
      <c r="T76" s="30">
        <f t="shared" si="9"/>
        <v>0.4277675639</v>
      </c>
    </row>
    <row r="77">
      <c r="A77" s="1">
        <v>74.0</v>
      </c>
      <c r="B77" s="22" t="s">
        <v>646</v>
      </c>
      <c r="C77" s="22" t="s">
        <v>555</v>
      </c>
      <c r="D77" s="22" t="s">
        <v>221</v>
      </c>
      <c r="E77" s="23">
        <f>IFERROR(__xludf.DUMMYFUNCTION("GOOGLEFINANCE(""NSE:""&amp;D77,""marketcap"")/10000000"),59097.5132992)</f>
        <v>59097.5133</v>
      </c>
      <c r="F77" s="17">
        <f>IFERROR(__xludf.DUMMYFUNCTION("GOOGLEFINANCE(""NSE:""&amp;D77)"),3708.0)</f>
        <v>3708</v>
      </c>
      <c r="G77" s="17">
        <f>IFERROR(__xludf.DUMMYFUNCTION("GOOGLEFINANCE(""NSE:""&amp;D77,""closeyest"")"),3671.3)</f>
        <v>3671.3</v>
      </c>
      <c r="H77" s="17">
        <f>IFERROR(__xludf.DUMMYFUNCTION("INDEX(GOOGLEFINANCE(""NSE:""&amp;D77,""PRICE"",TODAY()-7),2,2)"),3863.4)</f>
        <v>3863.4</v>
      </c>
      <c r="I77" s="17">
        <f>IFERROR(__xludf.DUMMYFUNCTION("INDEX(GOOGLEFINANCE(""NSE:""&amp;D77,""PRICE"",TODAY()-14),2,2)"),3435.75)</f>
        <v>3435.75</v>
      </c>
      <c r="J77" s="17">
        <f>IFERROR(__xludf.DUMMYFUNCTION("INDEX(GOOGLEFINANCE(""NSE:""&amp;D77,""PRICE"",TODAY()-28),2,2)"),2648.7)</f>
        <v>2648.7</v>
      </c>
      <c r="K77" s="17">
        <f>IFERROR(__xludf.DUMMYFUNCTION("INDEX(GOOGLEFINANCE(""NSE:""&amp;D77,""PRICE"",TODAY()-84),2,2)"),2060.55)</f>
        <v>2060.55</v>
      </c>
      <c r="L77" s="16">
        <f t="shared" si="1"/>
        <v>0.00999645902</v>
      </c>
      <c r="M77" s="16">
        <f t="shared" si="2"/>
        <v>-0.04022363721</v>
      </c>
      <c r="N77" s="16">
        <f t="shared" si="3"/>
        <v>0.07924034054</v>
      </c>
      <c r="O77" s="16">
        <f t="shared" si="4"/>
        <v>0.3999320421</v>
      </c>
      <c r="P77" s="16">
        <f t="shared" si="5"/>
        <v>0.7995195458</v>
      </c>
      <c r="Q77" s="30">
        <f t="shared" si="6"/>
        <v>-0.05208209435</v>
      </c>
      <c r="R77" s="30">
        <f t="shared" si="7"/>
        <v>0.05545598536</v>
      </c>
      <c r="S77" s="30">
        <f t="shared" si="8"/>
        <v>0.3285598385</v>
      </c>
      <c r="T77" s="30">
        <f t="shared" si="9"/>
        <v>0.6727266791</v>
      </c>
    </row>
    <row r="78">
      <c r="A78" s="1">
        <v>75.0</v>
      </c>
      <c r="B78" s="22" t="s">
        <v>623</v>
      </c>
      <c r="C78" s="22" t="s">
        <v>549</v>
      </c>
      <c r="D78" s="22" t="s">
        <v>180</v>
      </c>
      <c r="E78" s="23">
        <f>IFERROR(__xludf.DUMMYFUNCTION("GOOGLEFINANCE(""NSE:""&amp;D78,""marketcap"")/10000000"),58104.5313823)</f>
        <v>58104.53138</v>
      </c>
      <c r="F78" s="17">
        <f>IFERROR(__xludf.DUMMYFUNCTION("GOOGLEFINANCE(""NSE:""&amp;D78)"),567.0)</f>
        <v>567</v>
      </c>
      <c r="G78" s="17">
        <f>IFERROR(__xludf.DUMMYFUNCTION("GOOGLEFINANCE(""NSE:""&amp;D78,""closeyest"")"),561.15)</f>
        <v>561.15</v>
      </c>
      <c r="H78" s="17">
        <f>IFERROR(__xludf.DUMMYFUNCTION("INDEX(GOOGLEFINANCE(""NSE:""&amp;D78,""PRICE"",TODAY()-7),2,2)"),557.2)</f>
        <v>557.2</v>
      </c>
      <c r="I78" s="17">
        <f>IFERROR(__xludf.DUMMYFUNCTION("INDEX(GOOGLEFINANCE(""NSE:""&amp;D78,""PRICE"",TODAY()-14),2,2)"),555.55)</f>
        <v>555.55</v>
      </c>
      <c r="J78" s="17">
        <f>IFERROR(__xludf.DUMMYFUNCTION("INDEX(GOOGLEFINANCE(""NSE:""&amp;D78,""PRICE"",TODAY()-28),2,2)"),550.55)</f>
        <v>550.55</v>
      </c>
      <c r="K78" s="17">
        <f>IFERROR(__xludf.DUMMYFUNCTION("INDEX(GOOGLEFINANCE(""NSE:""&amp;D78,""PRICE"",TODAY()-84),2,2)"),639.35)</f>
        <v>639.35</v>
      </c>
      <c r="L78" s="16">
        <f t="shared" si="1"/>
        <v>0.01042502005</v>
      </c>
      <c r="M78" s="16">
        <f t="shared" si="2"/>
        <v>0.0175879397</v>
      </c>
      <c r="N78" s="16">
        <f t="shared" si="3"/>
        <v>0.0206102061</v>
      </c>
      <c r="O78" s="16">
        <f t="shared" si="4"/>
        <v>0.0298792117</v>
      </c>
      <c r="P78" s="16">
        <f t="shared" si="5"/>
        <v>-0.113161805</v>
      </c>
      <c r="Q78" s="30">
        <f t="shared" si="6"/>
        <v>0.005729482562</v>
      </c>
      <c r="R78" s="30">
        <f t="shared" si="7"/>
        <v>-0.003174149078</v>
      </c>
      <c r="S78" s="30">
        <f t="shared" si="8"/>
        <v>-0.04149299193</v>
      </c>
      <c r="T78" s="30">
        <f t="shared" si="9"/>
        <v>-0.2399546717</v>
      </c>
    </row>
    <row r="79">
      <c r="A79" s="1">
        <v>76.0</v>
      </c>
      <c r="B79" s="22" t="s">
        <v>576</v>
      </c>
      <c r="C79" s="22" t="s">
        <v>545</v>
      </c>
      <c r="D79" s="22" t="s">
        <v>183</v>
      </c>
      <c r="E79" s="23">
        <f>IFERROR(__xludf.DUMMYFUNCTION("GOOGLEFINANCE(""NSE:""&amp;D79,""marketcap"")/10000000"),56996.28357)</f>
        <v>56996.28357</v>
      </c>
      <c r="F79" s="17">
        <f>IFERROR(__xludf.DUMMYFUNCTION("GOOGLEFINANCE(""NSE:""&amp;D79)"),2852.0)</f>
        <v>2852</v>
      </c>
      <c r="G79" s="17">
        <f>IFERROR(__xludf.DUMMYFUNCTION("GOOGLEFINANCE(""NSE:""&amp;D79,""closeyest"")"),2847.2)</f>
        <v>2847.2</v>
      </c>
      <c r="H79" s="17">
        <f>IFERROR(__xludf.DUMMYFUNCTION("INDEX(GOOGLEFINANCE(""NSE:""&amp;D79,""PRICE"",TODAY()-7),2,2)"),2932.1)</f>
        <v>2932.1</v>
      </c>
      <c r="I79" s="17">
        <f>IFERROR(__xludf.DUMMYFUNCTION("INDEX(GOOGLEFINANCE(""NSE:""&amp;D79,""PRICE"",TODAY()-14),2,2)"),2789.8)</f>
        <v>2789.8</v>
      </c>
      <c r="J79" s="17">
        <f>IFERROR(__xludf.DUMMYFUNCTION("INDEX(GOOGLEFINANCE(""NSE:""&amp;D79,""PRICE"",TODAY()-28),2,2)"),2674.05)</f>
        <v>2674.05</v>
      </c>
      <c r="K79" s="17">
        <f>IFERROR(__xludf.DUMMYFUNCTION("INDEX(GOOGLEFINANCE(""NSE:""&amp;D79,""PRICE"",TODAY()-84),2,2)"),2919.85)</f>
        <v>2919.85</v>
      </c>
      <c r="L79" s="16">
        <f t="shared" si="1"/>
        <v>0.001685866817</v>
      </c>
      <c r="M79" s="16">
        <f t="shared" si="2"/>
        <v>-0.02731830429</v>
      </c>
      <c r="N79" s="16">
        <f t="shared" si="3"/>
        <v>0.02229550505</v>
      </c>
      <c r="O79" s="16">
        <f t="shared" si="4"/>
        <v>0.066546998</v>
      </c>
      <c r="P79" s="16">
        <f t="shared" si="5"/>
        <v>-0.02323749508</v>
      </c>
      <c r="Q79" s="30">
        <f t="shared" si="6"/>
        <v>-0.03917676142</v>
      </c>
      <c r="R79" s="30">
        <f t="shared" si="7"/>
        <v>-0.001488850126</v>
      </c>
      <c r="S79" s="30">
        <f t="shared" si="8"/>
        <v>-0.004825205629</v>
      </c>
      <c r="T79" s="30">
        <f t="shared" si="9"/>
        <v>-0.1500303618</v>
      </c>
    </row>
    <row r="80">
      <c r="A80" s="1">
        <v>77.0</v>
      </c>
      <c r="B80" s="22" t="s">
        <v>598</v>
      </c>
      <c r="C80" s="22" t="s">
        <v>526</v>
      </c>
      <c r="D80" s="22" t="s">
        <v>191</v>
      </c>
      <c r="E80" s="23">
        <f>IFERROR(__xludf.DUMMYFUNCTION("GOOGLEFINANCE(""NSE:""&amp;D80,""marketcap"")/10000000"),60248.0387241)</f>
        <v>60248.03872</v>
      </c>
      <c r="F80" s="17">
        <f>IFERROR(__xludf.DUMMYFUNCTION("GOOGLEFINANCE(""NSE:""&amp;D80)"),828.0)</f>
        <v>828</v>
      </c>
      <c r="G80" s="17">
        <f>IFERROR(__xludf.DUMMYFUNCTION("GOOGLEFINANCE(""NSE:""&amp;D80,""closeyest"")"),773.5)</f>
        <v>773.5</v>
      </c>
      <c r="H80" s="17">
        <f>IFERROR(__xludf.DUMMYFUNCTION("INDEX(GOOGLEFINANCE(""NSE:""&amp;D80,""PRICE"",TODAY()-7),2,2)"),741.75)</f>
        <v>741.75</v>
      </c>
      <c r="I80" s="17">
        <f>IFERROR(__xludf.DUMMYFUNCTION("INDEX(GOOGLEFINANCE(""NSE:""&amp;D80,""PRICE"",TODAY()-14),2,2)"),754.6)</f>
        <v>754.6</v>
      </c>
      <c r="J80" s="17">
        <f>IFERROR(__xludf.DUMMYFUNCTION("INDEX(GOOGLEFINANCE(""NSE:""&amp;D80,""PRICE"",TODAY()-28),2,2)"),700.45)</f>
        <v>700.45</v>
      </c>
      <c r="K80" s="17">
        <f>IFERROR(__xludf.DUMMYFUNCTION("INDEX(GOOGLEFINANCE(""NSE:""&amp;D80,""PRICE"",TODAY()-84),2,2)"),662.45)</f>
        <v>662.45</v>
      </c>
      <c r="L80" s="16">
        <f t="shared" si="1"/>
        <v>0.07045895281</v>
      </c>
      <c r="M80" s="16">
        <f t="shared" si="2"/>
        <v>0.1162790698</v>
      </c>
      <c r="N80" s="16">
        <f t="shared" si="3"/>
        <v>0.09727007686</v>
      </c>
      <c r="O80" s="16">
        <f t="shared" si="4"/>
        <v>0.1820972232</v>
      </c>
      <c r="P80" s="16">
        <f t="shared" si="5"/>
        <v>0.2499056533</v>
      </c>
      <c r="Q80" s="30">
        <f t="shared" si="6"/>
        <v>0.1044206126</v>
      </c>
      <c r="R80" s="30">
        <f t="shared" si="7"/>
        <v>0.07348572168</v>
      </c>
      <c r="S80" s="30">
        <f t="shared" si="8"/>
        <v>0.1107250196</v>
      </c>
      <c r="T80" s="30">
        <f t="shared" si="9"/>
        <v>0.1231127866</v>
      </c>
    </row>
    <row r="81">
      <c r="A81" s="1">
        <v>78.0</v>
      </c>
      <c r="B81" s="22" t="s">
        <v>647</v>
      </c>
      <c r="C81" s="22" t="s">
        <v>560</v>
      </c>
      <c r="D81" s="22" t="s">
        <v>229</v>
      </c>
      <c r="E81" s="23">
        <f>IFERROR(__xludf.DUMMYFUNCTION("GOOGLEFINANCE(""NSE:""&amp;D81,""marketcap"")/10000000"),57193.5893556)</f>
        <v>57193.58936</v>
      </c>
      <c r="F81" s="17">
        <f>IFERROR(__xludf.DUMMYFUNCTION("GOOGLEFINANCE(""NSE:""&amp;D81)"),349.0)</f>
        <v>349</v>
      </c>
      <c r="G81" s="17">
        <f>IFERROR(__xludf.DUMMYFUNCTION("GOOGLEFINANCE(""NSE:""&amp;D81,""closeyest"")"),339.7)</f>
        <v>339.7</v>
      </c>
      <c r="H81" s="17">
        <f>IFERROR(__xludf.DUMMYFUNCTION("INDEX(GOOGLEFINANCE(""NSE:""&amp;D81,""PRICE"",TODAY()-7),2,2)"),323.45)</f>
        <v>323.45</v>
      </c>
      <c r="I81" s="17">
        <f>IFERROR(__xludf.DUMMYFUNCTION("INDEX(GOOGLEFINANCE(""NSE:""&amp;D81,""PRICE"",TODAY()-14),2,2)"),293.15)</f>
        <v>293.15</v>
      </c>
      <c r="J81" s="17">
        <f>IFERROR(__xludf.DUMMYFUNCTION("INDEX(GOOGLEFINANCE(""NSE:""&amp;D81,""PRICE"",TODAY()-28),2,2)"),249.2)</f>
        <v>249.2</v>
      </c>
      <c r="K81" s="17">
        <f>IFERROR(__xludf.DUMMYFUNCTION("INDEX(GOOGLEFINANCE(""NSE:""&amp;D81,""PRICE"",TODAY()-84),2,2)"),168.3)</f>
        <v>168.3</v>
      </c>
      <c r="L81" s="16">
        <f t="shared" si="1"/>
        <v>0.02737709744</v>
      </c>
      <c r="M81" s="16">
        <f t="shared" si="2"/>
        <v>0.07899211625</v>
      </c>
      <c r="N81" s="16">
        <f t="shared" si="3"/>
        <v>0.1905168003</v>
      </c>
      <c r="O81" s="16">
        <f t="shared" si="4"/>
        <v>0.4004815409</v>
      </c>
      <c r="P81" s="16">
        <f t="shared" si="5"/>
        <v>1.073677956</v>
      </c>
      <c r="Q81" s="30">
        <f t="shared" si="6"/>
        <v>0.06713365911</v>
      </c>
      <c r="R81" s="30">
        <f t="shared" si="7"/>
        <v>0.1667324451</v>
      </c>
      <c r="S81" s="30">
        <f t="shared" si="8"/>
        <v>0.3291093373</v>
      </c>
      <c r="T81" s="30">
        <f t="shared" si="9"/>
        <v>0.9468850893</v>
      </c>
    </row>
    <row r="82">
      <c r="A82" s="1">
        <v>79.0</v>
      </c>
      <c r="B82" s="22" t="s">
        <v>577</v>
      </c>
      <c r="C82" s="22" t="s">
        <v>578</v>
      </c>
      <c r="D82" s="22" t="s">
        <v>181</v>
      </c>
      <c r="E82" s="23">
        <f>IFERROR(__xludf.DUMMYFUNCTION("GOOGLEFINANCE(""NSE:""&amp;D82,""marketcap"")/10000000"),55553.8504648)</f>
        <v>55553.85046</v>
      </c>
      <c r="F82" s="17">
        <f>IFERROR(__xludf.DUMMYFUNCTION("GOOGLEFINANCE(""NSE:""&amp;D82)"),727.1)</f>
        <v>727.1</v>
      </c>
      <c r="G82" s="17">
        <f>IFERROR(__xludf.DUMMYFUNCTION("GOOGLEFINANCE(""NSE:""&amp;D82,""closeyest"")"),724.9)</f>
        <v>724.9</v>
      </c>
      <c r="H82" s="17">
        <f>IFERROR(__xludf.DUMMYFUNCTION("INDEX(GOOGLEFINANCE(""NSE:""&amp;D82,""PRICE"",TODAY()-7),2,2)"),742.35)</f>
        <v>742.35</v>
      </c>
      <c r="I82" s="17">
        <f>IFERROR(__xludf.DUMMYFUNCTION("INDEX(GOOGLEFINANCE(""NSE:""&amp;D82,""PRICE"",TODAY()-14),2,2)"),756.0)</f>
        <v>756</v>
      </c>
      <c r="J82" s="17">
        <f>IFERROR(__xludf.DUMMYFUNCTION("INDEX(GOOGLEFINANCE(""NSE:""&amp;D82,""PRICE"",TODAY()-28),2,2)"),729.25)</f>
        <v>729.25</v>
      </c>
      <c r="K82" s="17">
        <f>IFERROR(__xludf.DUMMYFUNCTION("INDEX(GOOGLEFINANCE(""NSE:""&amp;D82,""PRICE"",TODAY()-84),2,2)"),799.35)</f>
        <v>799.35</v>
      </c>
      <c r="L82" s="16">
        <f t="shared" si="1"/>
        <v>0.003034901366</v>
      </c>
      <c r="M82" s="16">
        <f t="shared" si="2"/>
        <v>-0.02054287061</v>
      </c>
      <c r="N82" s="16">
        <f t="shared" si="3"/>
        <v>-0.03822751323</v>
      </c>
      <c r="O82" s="16">
        <f t="shared" si="4"/>
        <v>-0.002948234487</v>
      </c>
      <c r="P82" s="16">
        <f t="shared" si="5"/>
        <v>-0.09038593858</v>
      </c>
      <c r="Q82" s="30">
        <f t="shared" si="6"/>
        <v>-0.03240132775</v>
      </c>
      <c r="R82" s="30">
        <f t="shared" si="7"/>
        <v>-0.06201186841</v>
      </c>
      <c r="S82" s="30">
        <f t="shared" si="8"/>
        <v>-0.07432043812</v>
      </c>
      <c r="T82" s="30">
        <f t="shared" si="9"/>
        <v>-0.2171788053</v>
      </c>
    </row>
    <row r="83">
      <c r="A83" s="1">
        <v>80.0</v>
      </c>
      <c r="B83" s="22" t="s">
        <v>648</v>
      </c>
      <c r="C83" s="22" t="s">
        <v>541</v>
      </c>
      <c r="D83" s="22" t="s">
        <v>231</v>
      </c>
      <c r="E83" s="23">
        <f>IFERROR(__xludf.DUMMYFUNCTION("GOOGLEFINANCE(""NSE:""&amp;D83,""marketcap"")/10000000"),60988.0081963)</f>
        <v>60988.0082</v>
      </c>
      <c r="F83" s="17">
        <f>IFERROR(__xludf.DUMMYFUNCTION("GOOGLEFINANCE(""NSE:""&amp;D83)"),2182.05)</f>
        <v>2182.05</v>
      </c>
      <c r="G83" s="17">
        <f>IFERROR(__xludf.DUMMYFUNCTION("GOOGLEFINANCE(""NSE:""&amp;D83,""closeyest"")"),1951.1)</f>
        <v>1951.1</v>
      </c>
      <c r="H83" s="17">
        <f>IFERROR(__xludf.DUMMYFUNCTION("INDEX(GOOGLEFINANCE(""NSE:""&amp;D83,""PRICE"",TODAY()-7),2,2)"),1629.55)</f>
        <v>1629.55</v>
      </c>
      <c r="I83" s="17">
        <f>IFERROR(__xludf.DUMMYFUNCTION("INDEX(GOOGLEFINANCE(""NSE:""&amp;D83,""PRICE"",TODAY()-14),2,2)"),1605.9)</f>
        <v>1605.9</v>
      </c>
      <c r="J83" s="17">
        <f>IFERROR(__xludf.DUMMYFUNCTION("INDEX(GOOGLEFINANCE(""NSE:""&amp;D83,""PRICE"",TODAY()-28),2,2)"),1473.7)</f>
        <v>1473.7</v>
      </c>
      <c r="K83" s="17">
        <f>IFERROR(__xludf.DUMMYFUNCTION("INDEX(GOOGLEFINANCE(""NSE:""&amp;D83,""PRICE"",TODAY()-84),2,2)"),1388.4)</f>
        <v>1388.4</v>
      </c>
      <c r="L83" s="16">
        <f t="shared" si="1"/>
        <v>0.1183691251</v>
      </c>
      <c r="M83" s="16">
        <f t="shared" si="2"/>
        <v>0.3390506582</v>
      </c>
      <c r="N83" s="16">
        <f t="shared" si="3"/>
        <v>0.3587707827</v>
      </c>
      <c r="O83" s="16">
        <f t="shared" si="4"/>
        <v>0.4806609215</v>
      </c>
      <c r="P83" s="16">
        <f t="shared" si="5"/>
        <v>0.5716292135</v>
      </c>
      <c r="Q83" s="30">
        <f t="shared" si="6"/>
        <v>0.327192201</v>
      </c>
      <c r="R83" s="30">
        <f t="shared" si="7"/>
        <v>0.3349864276</v>
      </c>
      <c r="S83" s="30">
        <f t="shared" si="8"/>
        <v>0.4092887179</v>
      </c>
      <c r="T83" s="30">
        <f t="shared" si="9"/>
        <v>0.4448363468</v>
      </c>
    </row>
    <row r="84">
      <c r="A84" s="1">
        <v>81.0</v>
      </c>
      <c r="B84" s="22" t="s">
        <v>608</v>
      </c>
      <c r="C84" s="22" t="s">
        <v>590</v>
      </c>
      <c r="D84" s="22" t="s">
        <v>189</v>
      </c>
      <c r="E84" s="23">
        <f>IFERROR(__xludf.DUMMYFUNCTION("GOOGLEFINANCE(""NSE:""&amp;D84,""marketcap"")/10000000"),54981.09914)</f>
        <v>54981.09914</v>
      </c>
      <c r="F84" s="17">
        <f>IFERROR(__xludf.DUMMYFUNCTION("GOOGLEFINANCE(""NSE:""&amp;D84)"),4170.1)</f>
        <v>4170.1</v>
      </c>
      <c r="G84" s="17">
        <f>IFERROR(__xludf.DUMMYFUNCTION("GOOGLEFINANCE(""NSE:""&amp;D84,""closeyest"")"),4109.2)</f>
        <v>4109.2</v>
      </c>
      <c r="H84" s="17">
        <f>IFERROR(__xludf.DUMMYFUNCTION("INDEX(GOOGLEFINANCE(""NSE:""&amp;D84,""PRICE"",TODAY()-7),2,2)"),4102.8)</f>
        <v>4102.8</v>
      </c>
      <c r="I84" s="17">
        <f>IFERROR(__xludf.DUMMYFUNCTION("INDEX(GOOGLEFINANCE(""NSE:""&amp;D84,""PRICE"",TODAY()-14),2,2)"),4135.2)</f>
        <v>4135.2</v>
      </c>
      <c r="J84" s="17">
        <f>IFERROR(__xludf.DUMMYFUNCTION("INDEX(GOOGLEFINANCE(""NSE:""&amp;D84,""PRICE"",TODAY()-28),2,2)"),3812.35)</f>
        <v>3812.35</v>
      </c>
      <c r="K84" s="17">
        <f>IFERROR(__xludf.DUMMYFUNCTION("INDEX(GOOGLEFINANCE(""NSE:""&amp;D84,""PRICE"",TODAY()-84),2,2)"),3145.75)</f>
        <v>3145.75</v>
      </c>
      <c r="L84" s="16">
        <f t="shared" si="1"/>
        <v>0.014820403</v>
      </c>
      <c r="M84" s="16">
        <f t="shared" si="2"/>
        <v>0.0164034318</v>
      </c>
      <c r="N84" s="16">
        <f t="shared" si="3"/>
        <v>0.008439736893</v>
      </c>
      <c r="O84" s="16">
        <f t="shared" si="4"/>
        <v>0.09383975763</v>
      </c>
      <c r="P84" s="16">
        <f t="shared" si="5"/>
        <v>0.325629818</v>
      </c>
      <c r="Q84" s="30">
        <f t="shared" si="6"/>
        <v>0.004544974666</v>
      </c>
      <c r="R84" s="30">
        <f t="shared" si="7"/>
        <v>-0.01534461829</v>
      </c>
      <c r="S84" s="30">
        <f t="shared" si="8"/>
        <v>0.022467554</v>
      </c>
      <c r="T84" s="30">
        <f t="shared" si="9"/>
        <v>0.1988369513</v>
      </c>
    </row>
    <row r="85">
      <c r="A85" s="1">
        <v>82.0</v>
      </c>
      <c r="B85" s="22" t="s">
        <v>592</v>
      </c>
      <c r="C85" s="22" t="s">
        <v>528</v>
      </c>
      <c r="D85" s="22" t="s">
        <v>199</v>
      </c>
      <c r="E85" s="23">
        <f>IFERROR(__xludf.DUMMYFUNCTION("GOOGLEFINANCE(""NSE:""&amp;D85,""marketcap"")/10000000"),54817.576037)</f>
        <v>54817.57604</v>
      </c>
      <c r="F85" s="17">
        <f>IFERROR(__xludf.DUMMYFUNCTION("GOOGLEFINANCE(""NSE:""&amp;D85)"),4950.0)</f>
        <v>4950</v>
      </c>
      <c r="G85" s="17">
        <f>IFERROR(__xludf.DUMMYFUNCTION("GOOGLEFINANCE(""NSE:""&amp;D85,""closeyest"")"),4719.2)</f>
        <v>4719.2</v>
      </c>
      <c r="H85" s="17">
        <f>IFERROR(__xludf.DUMMYFUNCTION("INDEX(GOOGLEFINANCE(""NSE:""&amp;D85,""PRICE"",TODAY()-7),2,2)"),4398.85)</f>
        <v>4398.85</v>
      </c>
      <c r="I85" s="17">
        <f>IFERROR(__xludf.DUMMYFUNCTION("INDEX(GOOGLEFINANCE(""NSE:""&amp;D85,""PRICE"",TODAY()-14),2,2)"),4281.4)</f>
        <v>4281.4</v>
      </c>
      <c r="J85" s="17">
        <f>IFERROR(__xludf.DUMMYFUNCTION("INDEX(GOOGLEFINANCE(""NSE:""&amp;D85,""PRICE"",TODAY()-28),2,2)"),4194.95)</f>
        <v>4194.95</v>
      </c>
      <c r="K85" s="17">
        <f>IFERROR(__xludf.DUMMYFUNCTION("INDEX(GOOGLEFINANCE(""NSE:""&amp;D85,""PRICE"",TODAY()-84),2,2)"),3677.0)</f>
        <v>3677</v>
      </c>
      <c r="L85" s="16">
        <f t="shared" si="1"/>
        <v>0.04890659434</v>
      </c>
      <c r="M85" s="16">
        <f t="shared" si="2"/>
        <v>0.125294111</v>
      </c>
      <c r="N85" s="16">
        <f t="shared" si="3"/>
        <v>0.1561638716</v>
      </c>
      <c r="O85" s="16">
        <f t="shared" si="4"/>
        <v>0.1799902263</v>
      </c>
      <c r="P85" s="16">
        <f t="shared" si="5"/>
        <v>0.3462061463</v>
      </c>
      <c r="Q85" s="30">
        <f t="shared" si="6"/>
        <v>0.1134356538</v>
      </c>
      <c r="R85" s="30">
        <f t="shared" si="7"/>
        <v>0.1323795165</v>
      </c>
      <c r="S85" s="30">
        <f t="shared" si="8"/>
        <v>0.1086180227</v>
      </c>
      <c r="T85" s="30">
        <f t="shared" si="9"/>
        <v>0.2194132796</v>
      </c>
    </row>
    <row r="86">
      <c r="A86" s="1">
        <v>83.0</v>
      </c>
      <c r="B86" s="22" t="s">
        <v>630</v>
      </c>
      <c r="C86" s="22" t="s">
        <v>549</v>
      </c>
      <c r="D86" s="22" t="s">
        <v>187</v>
      </c>
      <c r="E86" s="23">
        <f>IFERROR(__xludf.DUMMYFUNCTION("GOOGLEFINANCE(""NSE:""&amp;D86,""marketcap"")/10000000"),52592.0557703)</f>
        <v>52592.05577</v>
      </c>
      <c r="F86" s="17">
        <f>IFERROR(__xludf.DUMMYFUNCTION("GOOGLEFINANCE(""NSE:""&amp;D86)"),3100.65)</f>
        <v>3100.65</v>
      </c>
      <c r="G86" s="17">
        <f>IFERROR(__xludf.DUMMYFUNCTION("GOOGLEFINANCE(""NSE:""&amp;D86,""closeyest"")"),3085.5)</f>
        <v>3085.5</v>
      </c>
      <c r="H86" s="17">
        <f>IFERROR(__xludf.DUMMYFUNCTION("INDEX(GOOGLEFINANCE(""NSE:""&amp;D86,""PRICE"",TODAY()-7),2,2)"),3097.2)</f>
        <v>3097.2</v>
      </c>
      <c r="I86" s="17">
        <f>IFERROR(__xludf.DUMMYFUNCTION("INDEX(GOOGLEFINANCE(""NSE:""&amp;D86,""PRICE"",TODAY()-14),2,2)"),3126.05)</f>
        <v>3126.05</v>
      </c>
      <c r="J86" s="17">
        <f>IFERROR(__xludf.DUMMYFUNCTION("INDEX(GOOGLEFINANCE(""NSE:""&amp;D86,""PRICE"",TODAY()-28),2,2)"),3046.9)</f>
        <v>3046.9</v>
      </c>
      <c r="K86" s="17">
        <f>IFERROR(__xludf.DUMMYFUNCTION("INDEX(GOOGLEFINANCE(""NSE:""&amp;D86,""PRICE"",TODAY()-84),2,2)"),2950.35)</f>
        <v>2950.35</v>
      </c>
      <c r="L86" s="16">
        <f t="shared" si="1"/>
        <v>0.004910063199</v>
      </c>
      <c r="M86" s="16">
        <f t="shared" si="2"/>
        <v>0.001113909337</v>
      </c>
      <c r="N86" s="16">
        <f t="shared" si="3"/>
        <v>-0.008125269909</v>
      </c>
      <c r="O86" s="16">
        <f t="shared" si="4"/>
        <v>0.0176408809</v>
      </c>
      <c r="P86" s="16">
        <f t="shared" si="5"/>
        <v>0.05094310844</v>
      </c>
      <c r="Q86" s="30">
        <f t="shared" si="6"/>
        <v>-0.0107445478</v>
      </c>
      <c r="R86" s="30">
        <f t="shared" si="7"/>
        <v>-0.03190962509</v>
      </c>
      <c r="S86" s="30">
        <f t="shared" si="8"/>
        <v>-0.05373132273</v>
      </c>
      <c r="T86" s="30">
        <f t="shared" si="9"/>
        <v>-0.07584975825</v>
      </c>
    </row>
    <row r="87">
      <c r="A87" s="1">
        <v>84.0</v>
      </c>
      <c r="B87" s="22" t="s">
        <v>649</v>
      </c>
      <c r="C87" s="22" t="s">
        <v>545</v>
      </c>
      <c r="D87" s="22" t="s">
        <v>217</v>
      </c>
      <c r="E87" s="23">
        <f>IFERROR(__xludf.DUMMYFUNCTION("GOOGLEFINANCE(""NSE:""&amp;D87,""marketcap"")/10000000"),51150.7371305)</f>
        <v>51150.73713</v>
      </c>
      <c r="F87" s="17">
        <f>IFERROR(__xludf.DUMMYFUNCTION("GOOGLEFINANCE(""NSE:""&amp;D87)"),2645.95)</f>
        <v>2645.95</v>
      </c>
      <c r="G87" s="17">
        <f>IFERROR(__xludf.DUMMYFUNCTION("GOOGLEFINANCE(""NSE:""&amp;D87,""closeyest"")"),2692.2)</f>
        <v>2692.2</v>
      </c>
      <c r="H87" s="17">
        <f>IFERROR(__xludf.DUMMYFUNCTION("INDEX(GOOGLEFINANCE(""NSE:""&amp;D87,""PRICE"",TODAY()-7),2,2)"),2490.1)</f>
        <v>2490.1</v>
      </c>
      <c r="I87" s="17">
        <f>IFERROR(__xludf.DUMMYFUNCTION("INDEX(GOOGLEFINANCE(""NSE:""&amp;D87,""PRICE"",TODAY()-14),2,2)"),2448.6)</f>
        <v>2448.6</v>
      </c>
      <c r="J87" s="17">
        <f>IFERROR(__xludf.DUMMYFUNCTION("INDEX(GOOGLEFINANCE(""NSE:""&amp;D87,""PRICE"",TODAY()-28),2,2)"),2290.85)</f>
        <v>2290.85</v>
      </c>
      <c r="K87" s="17">
        <f>IFERROR(__xludf.DUMMYFUNCTION("INDEX(GOOGLEFINANCE(""NSE:""&amp;D87,""PRICE"",TODAY()-84),2,2)"),2298.85)</f>
        <v>2298.85</v>
      </c>
      <c r="L87" s="16">
        <f t="shared" si="1"/>
        <v>-0.0171792586</v>
      </c>
      <c r="M87" s="16">
        <f t="shared" si="2"/>
        <v>0.06258784788</v>
      </c>
      <c r="N87" s="16">
        <f t="shared" si="3"/>
        <v>0.08059707588</v>
      </c>
      <c r="O87" s="16">
        <f t="shared" si="4"/>
        <v>0.1550079665</v>
      </c>
      <c r="P87" s="16">
        <f t="shared" si="5"/>
        <v>0.1509885377</v>
      </c>
      <c r="Q87" s="30">
        <f t="shared" si="6"/>
        <v>0.05072939074</v>
      </c>
      <c r="R87" s="30">
        <f t="shared" si="7"/>
        <v>0.0568127207</v>
      </c>
      <c r="S87" s="30">
        <f t="shared" si="8"/>
        <v>0.08363576285</v>
      </c>
      <c r="T87" s="30">
        <f t="shared" si="9"/>
        <v>0.02419567105</v>
      </c>
    </row>
    <row r="88">
      <c r="A88" s="1">
        <v>85.0</v>
      </c>
      <c r="B88" s="22" t="s">
        <v>650</v>
      </c>
      <c r="C88" s="22" t="s">
        <v>635</v>
      </c>
      <c r="D88" s="22" t="s">
        <v>214</v>
      </c>
      <c r="E88" s="23">
        <f>IFERROR(__xludf.DUMMYFUNCTION("GOOGLEFINANCE(""NSE:""&amp;D88,""marketcap"")/10000000"),50498.0412214)</f>
        <v>50498.04122</v>
      </c>
      <c r="F88" s="17">
        <f>IFERROR(__xludf.DUMMYFUNCTION("GOOGLEFINANCE(""NSE:""&amp;D88)"),207.4)</f>
        <v>207.4</v>
      </c>
      <c r="G88" s="17">
        <f>IFERROR(__xludf.DUMMYFUNCTION("GOOGLEFINANCE(""NSE:""&amp;D88,""closeyest"")"),205.95)</f>
        <v>205.95</v>
      </c>
      <c r="H88" s="17">
        <f>IFERROR(__xludf.DUMMYFUNCTION("INDEX(GOOGLEFINANCE(""NSE:""&amp;D88,""PRICE"",TODAY()-7),2,2)"),205.3)</f>
        <v>205.3</v>
      </c>
      <c r="I88" s="17">
        <f>IFERROR(__xludf.DUMMYFUNCTION("INDEX(GOOGLEFINANCE(""NSE:""&amp;D88,""PRICE"",TODAY()-14),2,2)"),196.5)</f>
        <v>196.5</v>
      </c>
      <c r="J88" s="17">
        <f>IFERROR(__xludf.DUMMYFUNCTION("INDEX(GOOGLEFINANCE(""NSE:""&amp;D88,""PRICE"",TODAY()-28),2,2)"),185.3)</f>
        <v>185.3</v>
      </c>
      <c r="K88" s="17">
        <f>IFERROR(__xludf.DUMMYFUNCTION("INDEX(GOOGLEFINANCE(""NSE:""&amp;D88,""PRICE"",TODAY()-84),2,2)"),180.65)</f>
        <v>180.65</v>
      </c>
      <c r="L88" s="16">
        <f t="shared" si="1"/>
        <v>0.007040543821</v>
      </c>
      <c r="M88" s="16">
        <f t="shared" si="2"/>
        <v>0.01022893327</v>
      </c>
      <c r="N88" s="16">
        <f t="shared" si="3"/>
        <v>0.05547073791</v>
      </c>
      <c r="O88" s="16">
        <f t="shared" si="4"/>
        <v>0.119266055</v>
      </c>
      <c r="P88" s="16">
        <f t="shared" si="5"/>
        <v>0.1480763908</v>
      </c>
      <c r="Q88" s="30">
        <f t="shared" si="6"/>
        <v>-0.001629523868</v>
      </c>
      <c r="R88" s="30">
        <f t="shared" si="7"/>
        <v>0.03168638273</v>
      </c>
      <c r="S88" s="30">
        <f t="shared" si="8"/>
        <v>0.04789385142</v>
      </c>
      <c r="T88" s="30">
        <f t="shared" si="9"/>
        <v>0.02128352411</v>
      </c>
    </row>
    <row r="89">
      <c r="A89" s="1">
        <v>86.0</v>
      </c>
      <c r="B89" s="22" t="s">
        <v>651</v>
      </c>
      <c r="C89" s="22" t="s">
        <v>578</v>
      </c>
      <c r="D89" s="22" t="s">
        <v>193</v>
      </c>
      <c r="E89" s="23">
        <f>IFERROR(__xludf.DUMMYFUNCTION("GOOGLEFINANCE(""NSE:""&amp;D89,""marketcap"")/10000000"),49568.30466)</f>
        <v>49568.30466</v>
      </c>
      <c r="F89" s="17">
        <f>IFERROR(__xludf.DUMMYFUNCTION("GOOGLEFINANCE(""NSE:""&amp;D89)"),3269.0)</f>
        <v>3269</v>
      </c>
      <c r="G89" s="17">
        <f>IFERROR(__xludf.DUMMYFUNCTION("GOOGLEFINANCE(""NSE:""&amp;D89,""closeyest"")"),3271.65)</f>
        <v>3271.65</v>
      </c>
      <c r="H89" s="17">
        <f>IFERROR(__xludf.DUMMYFUNCTION("INDEX(GOOGLEFINANCE(""NSE:""&amp;D89,""PRICE"",TODAY()-7),2,2)"),3464.25)</f>
        <v>3464.25</v>
      </c>
      <c r="I89" s="17">
        <f>IFERROR(__xludf.DUMMYFUNCTION("INDEX(GOOGLEFINANCE(""NSE:""&amp;D89,""PRICE"",TODAY()-14),2,2)"),3447.75)</f>
        <v>3447.75</v>
      </c>
      <c r="J89" s="17">
        <f>IFERROR(__xludf.DUMMYFUNCTION("INDEX(GOOGLEFINANCE(""NSE:""&amp;D89,""PRICE"",TODAY()-28),2,2)"),3193.3)</f>
        <v>3193.3</v>
      </c>
      <c r="K89" s="17" t="str">
        <f>IFERROR(__xludf.DUMMYFUNCTION("INDEX(GOOGLEFINANCE(""NSE:""&amp;D89,""PRICE"",TODAY()-84),2,2)"),"#N/A")</f>
        <v>#N/A</v>
      </c>
      <c r="L89" s="16">
        <f t="shared" si="1"/>
        <v>-0.0008099888435</v>
      </c>
      <c r="M89" s="16">
        <f t="shared" si="2"/>
        <v>-0.05636140579</v>
      </c>
      <c r="N89" s="16">
        <f t="shared" si="3"/>
        <v>-0.05184540642</v>
      </c>
      <c r="O89" s="16">
        <f t="shared" si="4"/>
        <v>0.0237058842</v>
      </c>
      <c r="P89" s="16" t="str">
        <f t="shared" si="5"/>
        <v>#N/A</v>
      </c>
      <c r="Q89" s="30">
        <f t="shared" si="6"/>
        <v>-0.06821986292</v>
      </c>
      <c r="R89" s="30">
        <f t="shared" si="7"/>
        <v>-0.0756297616</v>
      </c>
      <c r="S89" s="30">
        <f t="shared" si="8"/>
        <v>-0.04766631943</v>
      </c>
      <c r="T89" s="32" t="str">
        <f t="shared" si="9"/>
        <v>#N/A</v>
      </c>
    </row>
    <row r="90">
      <c r="A90" s="1">
        <v>87.0</v>
      </c>
      <c r="B90" s="22" t="s">
        <v>652</v>
      </c>
      <c r="C90" s="22" t="s">
        <v>524</v>
      </c>
      <c r="D90" s="22" t="s">
        <v>239</v>
      </c>
      <c r="E90" s="23">
        <f>IFERROR(__xludf.DUMMYFUNCTION("GOOGLEFINANCE(""NSE:""&amp;D90,""marketcap"")/10000000"),50168.9496318)</f>
        <v>50168.94963</v>
      </c>
      <c r="F90" s="17">
        <f>IFERROR(__xludf.DUMMYFUNCTION("GOOGLEFINANCE(""NSE:""&amp;D90)"),4780.05)</f>
        <v>4780.05</v>
      </c>
      <c r="G90" s="17">
        <f>IFERROR(__xludf.DUMMYFUNCTION("GOOGLEFINANCE(""NSE:""&amp;D90,""closeyest"")"),4682.3)</f>
        <v>4682.3</v>
      </c>
      <c r="H90" s="17">
        <f>IFERROR(__xludf.DUMMYFUNCTION("INDEX(GOOGLEFINANCE(""NSE:""&amp;D90,""PRICE"",TODAY()-7),2,2)"),4558.7)</f>
        <v>4558.7</v>
      </c>
      <c r="I90" s="17">
        <f>IFERROR(__xludf.DUMMYFUNCTION("INDEX(GOOGLEFINANCE(""NSE:""&amp;D90,""PRICE"",TODAY()-14),2,2)"),4373.25)</f>
        <v>4373.25</v>
      </c>
      <c r="J90" s="17">
        <f>IFERROR(__xludf.DUMMYFUNCTION("INDEX(GOOGLEFINANCE(""NSE:""&amp;D90,""PRICE"",TODAY()-28),2,2)"),3974.2)</f>
        <v>3974.2</v>
      </c>
      <c r="K90" s="17">
        <f>IFERROR(__xludf.DUMMYFUNCTION("INDEX(GOOGLEFINANCE(""NSE:""&amp;D90,""PRICE"",TODAY()-84),2,2)"),2877.2)</f>
        <v>2877.2</v>
      </c>
      <c r="L90" s="16">
        <f t="shared" si="1"/>
        <v>0.02087649232</v>
      </c>
      <c r="M90" s="16">
        <f t="shared" si="2"/>
        <v>0.04855550925</v>
      </c>
      <c r="N90" s="16">
        <f t="shared" si="3"/>
        <v>0.09302006517</v>
      </c>
      <c r="O90" s="16">
        <f t="shared" si="4"/>
        <v>0.2027703689</v>
      </c>
      <c r="P90" s="16">
        <f t="shared" si="5"/>
        <v>0.6613547894</v>
      </c>
      <c r="Q90" s="30">
        <f t="shared" si="6"/>
        <v>0.03669705211</v>
      </c>
      <c r="R90" s="30">
        <f t="shared" si="7"/>
        <v>0.06923570999</v>
      </c>
      <c r="S90" s="30">
        <f t="shared" si="8"/>
        <v>0.1313981653</v>
      </c>
      <c r="T90" s="30">
        <f t="shared" si="9"/>
        <v>0.5345619227</v>
      </c>
    </row>
    <row r="91">
      <c r="A91" s="1">
        <v>88.0</v>
      </c>
      <c r="B91" s="22" t="s">
        <v>653</v>
      </c>
      <c r="C91" s="22" t="s">
        <v>528</v>
      </c>
      <c r="D91" s="22" t="s">
        <v>210</v>
      </c>
      <c r="E91" s="23">
        <f>IFERROR(__xludf.DUMMYFUNCTION("GOOGLEFINANCE(""NSE:""&amp;D91,""marketcap"")/10000000"),48069.21668)</f>
        <v>48069.21668</v>
      </c>
      <c r="F91" s="17">
        <f>IFERROR(__xludf.DUMMYFUNCTION("GOOGLEFINANCE(""NSE:""&amp;D91)"),585.3)</f>
        <v>585.3</v>
      </c>
      <c r="G91" s="17">
        <f>IFERROR(__xludf.DUMMYFUNCTION("GOOGLEFINANCE(""NSE:""&amp;D91,""closeyest"")"),571.05)</f>
        <v>571.05</v>
      </c>
      <c r="H91" s="17">
        <f>IFERROR(__xludf.DUMMYFUNCTION("INDEX(GOOGLEFINANCE(""NSE:""&amp;D91,""PRICE"",TODAY()-7),2,2)"),606.85)</f>
        <v>606.85</v>
      </c>
      <c r="I91" s="17">
        <f>IFERROR(__xludf.DUMMYFUNCTION("INDEX(GOOGLEFINANCE(""NSE:""&amp;D91,""PRICE"",TODAY()-14),2,2)"),584.4)</f>
        <v>584.4</v>
      </c>
      <c r="J91" s="17">
        <f>IFERROR(__xludf.DUMMYFUNCTION("INDEX(GOOGLEFINANCE(""NSE:""&amp;D91,""PRICE"",TODAY()-28),2,2)"),524.8)</f>
        <v>524.8</v>
      </c>
      <c r="K91" s="17">
        <f>IFERROR(__xludf.DUMMYFUNCTION("INDEX(GOOGLEFINANCE(""NSE:""&amp;D91,""PRICE"",TODAY()-84),2,2)"),510.1)</f>
        <v>510.1</v>
      </c>
      <c r="L91" s="16">
        <f t="shared" si="1"/>
        <v>0.02495403205</v>
      </c>
      <c r="M91" s="16">
        <f t="shared" si="2"/>
        <v>-0.0355112466</v>
      </c>
      <c r="N91" s="16">
        <f t="shared" si="3"/>
        <v>0.001540041068</v>
      </c>
      <c r="O91" s="16">
        <f t="shared" si="4"/>
        <v>0.1152820122</v>
      </c>
      <c r="P91" s="16">
        <f t="shared" si="5"/>
        <v>0.1474220741</v>
      </c>
      <c r="Q91" s="30">
        <f t="shared" si="6"/>
        <v>-0.04736970374</v>
      </c>
      <c r="R91" s="30">
        <f t="shared" si="7"/>
        <v>-0.02224431411</v>
      </c>
      <c r="S91" s="30">
        <f t="shared" si="8"/>
        <v>0.04390980857</v>
      </c>
      <c r="T91" s="30">
        <f t="shared" si="9"/>
        <v>0.02062920741</v>
      </c>
    </row>
    <row r="92">
      <c r="A92" s="1">
        <v>89.0</v>
      </c>
      <c r="B92" s="22" t="s">
        <v>619</v>
      </c>
      <c r="C92" s="22" t="s">
        <v>526</v>
      </c>
      <c r="D92" s="22" t="s">
        <v>205</v>
      </c>
      <c r="E92" s="23">
        <f>IFERROR(__xludf.DUMMYFUNCTION("GOOGLEFINANCE(""NSE:""&amp;D92,""marketcap"")/10000000"),46357.1508675)</f>
        <v>46357.15087</v>
      </c>
      <c r="F92" s="17">
        <f>IFERROR(__xludf.DUMMYFUNCTION("GOOGLEFINANCE(""NSE:""&amp;D92)"),1703.4)</f>
        <v>1703.4</v>
      </c>
      <c r="G92" s="17">
        <f>IFERROR(__xludf.DUMMYFUNCTION("GOOGLEFINANCE(""NSE:""&amp;D92,""closeyest"")"),1720.4)</f>
        <v>1720.4</v>
      </c>
      <c r="H92" s="17">
        <f>IFERROR(__xludf.DUMMYFUNCTION("INDEX(GOOGLEFINANCE(""NSE:""&amp;D92,""PRICE"",TODAY()-7),2,2)"),1732.55)</f>
        <v>1732.55</v>
      </c>
      <c r="I92" s="17">
        <f>IFERROR(__xludf.DUMMYFUNCTION("INDEX(GOOGLEFINANCE(""NSE:""&amp;D92,""PRICE"",TODAY()-14),2,2)"),1723.3)</f>
        <v>1723.3</v>
      </c>
      <c r="J92" s="17">
        <f>IFERROR(__xludf.DUMMYFUNCTION("INDEX(GOOGLEFINANCE(""NSE:""&amp;D92,""PRICE"",TODAY()-28),2,2)"),1655.6)</f>
        <v>1655.6</v>
      </c>
      <c r="K92" s="17">
        <f>IFERROR(__xludf.DUMMYFUNCTION("INDEX(GOOGLEFINANCE(""NSE:""&amp;D92,""PRICE"",TODAY()-84),2,2)"),1689.55)</f>
        <v>1689.55</v>
      </c>
      <c r="L92" s="16">
        <f t="shared" si="1"/>
        <v>-0.009881422925</v>
      </c>
      <c r="M92" s="16">
        <f t="shared" si="2"/>
        <v>-0.01682491126</v>
      </c>
      <c r="N92" s="16">
        <f t="shared" si="3"/>
        <v>-0.01154761214</v>
      </c>
      <c r="O92" s="16">
        <f t="shared" si="4"/>
        <v>0.02887170814</v>
      </c>
      <c r="P92" s="16">
        <f t="shared" si="5"/>
        <v>0.008197449025</v>
      </c>
      <c r="Q92" s="30">
        <f t="shared" si="6"/>
        <v>-0.02868336839</v>
      </c>
      <c r="R92" s="30">
        <f t="shared" si="7"/>
        <v>-0.03533196732</v>
      </c>
      <c r="S92" s="30">
        <f t="shared" si="8"/>
        <v>-0.04250049549</v>
      </c>
      <c r="T92" s="30">
        <f t="shared" si="9"/>
        <v>-0.1185954177</v>
      </c>
    </row>
    <row r="93">
      <c r="A93" s="1">
        <v>90.0</v>
      </c>
      <c r="B93" s="22" t="s">
        <v>631</v>
      </c>
      <c r="C93" s="22" t="s">
        <v>549</v>
      </c>
      <c r="D93" s="22" t="s">
        <v>203</v>
      </c>
      <c r="E93" s="23">
        <f>IFERROR(__xludf.DUMMYFUNCTION("GOOGLEFINANCE(""NSE:""&amp;D93,""marketcap"")/10000000"),47377.6600124)</f>
        <v>47377.66001</v>
      </c>
      <c r="F93" s="17">
        <f>IFERROR(__xludf.DUMMYFUNCTION("GOOGLEFINANCE(""NSE:""&amp;D93)"),3957.0)</f>
        <v>3957</v>
      </c>
      <c r="G93" s="17">
        <f>IFERROR(__xludf.DUMMYFUNCTION("GOOGLEFINANCE(""NSE:""&amp;D93,""closeyest"")"),3894.6)</f>
        <v>3894.6</v>
      </c>
      <c r="H93" s="17">
        <f>IFERROR(__xludf.DUMMYFUNCTION("INDEX(GOOGLEFINANCE(""NSE:""&amp;D93,""PRICE"",TODAY()-7),2,2)"),3824.95)</f>
        <v>3824.95</v>
      </c>
      <c r="I93" s="17">
        <f>IFERROR(__xludf.DUMMYFUNCTION("INDEX(GOOGLEFINANCE(""NSE:""&amp;D93,""PRICE"",TODAY()-14),2,2)"),3823.85)</f>
        <v>3823.85</v>
      </c>
      <c r="J93" s="17">
        <f>IFERROR(__xludf.DUMMYFUNCTION("INDEX(GOOGLEFINANCE(""NSE:""&amp;D93,""PRICE"",TODAY()-28),2,2)"),3887.65)</f>
        <v>3887.65</v>
      </c>
      <c r="K93" s="17">
        <f>IFERROR(__xludf.DUMMYFUNCTION("INDEX(GOOGLEFINANCE(""NSE:""&amp;D93,""PRICE"",TODAY()-84),2,2)"),3194.5)</f>
        <v>3194.5</v>
      </c>
      <c r="L93" s="16">
        <f t="shared" si="1"/>
        <v>0.01602218456</v>
      </c>
      <c r="M93" s="16">
        <f t="shared" si="2"/>
        <v>0.0345233271</v>
      </c>
      <c r="N93" s="16">
        <f t="shared" si="3"/>
        <v>0.03482092655</v>
      </c>
      <c r="O93" s="16">
        <f t="shared" si="4"/>
        <v>0.01783853999</v>
      </c>
      <c r="P93" s="16">
        <f t="shared" si="5"/>
        <v>0.238691501</v>
      </c>
      <c r="Q93" s="30">
        <f t="shared" si="6"/>
        <v>0.02266486997</v>
      </c>
      <c r="R93" s="30">
        <f t="shared" si="7"/>
        <v>0.01103657137</v>
      </c>
      <c r="S93" s="30">
        <f t="shared" si="8"/>
        <v>-0.05353366364</v>
      </c>
      <c r="T93" s="30">
        <f t="shared" si="9"/>
        <v>0.1118986343</v>
      </c>
    </row>
    <row r="94">
      <c r="A94" s="1">
        <v>91.0</v>
      </c>
      <c r="B94" s="22" t="s">
        <v>654</v>
      </c>
      <c r="C94" s="22" t="s">
        <v>552</v>
      </c>
      <c r="D94" s="22" t="s">
        <v>195</v>
      </c>
      <c r="E94" s="23">
        <f>IFERROR(__xludf.DUMMYFUNCTION("GOOGLEFINANCE(""NSE:""&amp;D94,""marketcap"")/10000000"),45601.1368)</f>
        <v>45601.1368</v>
      </c>
      <c r="F94" s="17">
        <f>IFERROR(__xludf.DUMMYFUNCTION("GOOGLEFINANCE(""NSE:""&amp;D94)"),110.2)</f>
        <v>110.2</v>
      </c>
      <c r="G94" s="17">
        <f>IFERROR(__xludf.DUMMYFUNCTION("GOOGLEFINANCE(""NSE:""&amp;D94,""closeyest"")"),111.3)</f>
        <v>111.3</v>
      </c>
      <c r="H94" s="17">
        <f>IFERROR(__xludf.DUMMYFUNCTION("INDEX(GOOGLEFINANCE(""NSE:""&amp;D94,""PRICE"",TODAY()-7),2,2)"),115.15)</f>
        <v>115.15</v>
      </c>
      <c r="I94" s="17">
        <f>IFERROR(__xludf.DUMMYFUNCTION("INDEX(GOOGLEFINANCE(""NSE:""&amp;D94,""PRICE"",TODAY()-14),2,2)"),120.25)</f>
        <v>120.25</v>
      </c>
      <c r="J94" s="17">
        <f>IFERROR(__xludf.DUMMYFUNCTION("INDEX(GOOGLEFINANCE(""NSE:""&amp;D94,""PRICE"",TODAY()-28),2,2)"),118.25)</f>
        <v>118.25</v>
      </c>
      <c r="K94" s="17">
        <f>IFERROR(__xludf.DUMMYFUNCTION("INDEX(GOOGLEFINANCE(""NSE:""&amp;D94,""PRICE"",TODAY()-84),2,2)"),124.35)</f>
        <v>124.35</v>
      </c>
      <c r="L94" s="16">
        <f t="shared" si="1"/>
        <v>-0.009883198562</v>
      </c>
      <c r="M94" s="16">
        <f t="shared" si="2"/>
        <v>-0.04298740773</v>
      </c>
      <c r="N94" s="16">
        <f t="shared" si="3"/>
        <v>-0.08357588358</v>
      </c>
      <c r="O94" s="16">
        <f t="shared" si="4"/>
        <v>-0.06807610994</v>
      </c>
      <c r="P94" s="16">
        <f t="shared" si="5"/>
        <v>-0.1137917169</v>
      </c>
      <c r="Q94" s="30">
        <f t="shared" si="6"/>
        <v>-0.05484586487</v>
      </c>
      <c r="R94" s="30">
        <f t="shared" si="7"/>
        <v>-0.1073602388</v>
      </c>
      <c r="S94" s="30">
        <f t="shared" si="8"/>
        <v>-0.1394483136</v>
      </c>
      <c r="T94" s="30">
        <f t="shared" si="9"/>
        <v>-0.2405845836</v>
      </c>
    </row>
    <row r="95">
      <c r="A95" s="1">
        <v>92.0</v>
      </c>
      <c r="B95" s="22" t="s">
        <v>620</v>
      </c>
      <c r="C95" s="22" t="s">
        <v>526</v>
      </c>
      <c r="D95" s="22" t="s">
        <v>212</v>
      </c>
      <c r="E95" s="23">
        <f>IFERROR(__xludf.DUMMYFUNCTION("GOOGLEFINANCE(""NSE:""&amp;D95,""marketcap"")/10000000"),46502.26861)</f>
        <v>46502.26861</v>
      </c>
      <c r="F95" s="17">
        <f>IFERROR(__xludf.DUMMYFUNCTION("GOOGLEFINANCE(""NSE:""&amp;D95)"),14325.7)</f>
        <v>14325.7</v>
      </c>
      <c r="G95" s="17">
        <f>IFERROR(__xludf.DUMMYFUNCTION("GOOGLEFINANCE(""NSE:""&amp;D95,""closeyest"")"),14072.55)</f>
        <v>14072.55</v>
      </c>
      <c r="H95" s="17">
        <f>IFERROR(__xludf.DUMMYFUNCTION("INDEX(GOOGLEFINANCE(""NSE:""&amp;D95,""PRICE"",TODAY()-7),2,2)"),13923.2)</f>
        <v>13923.2</v>
      </c>
      <c r="I95" s="17">
        <f>IFERROR(__xludf.DUMMYFUNCTION("INDEX(GOOGLEFINANCE(""NSE:""&amp;D95,""PRICE"",TODAY()-14),2,2)"),14202.9)</f>
        <v>14202.9</v>
      </c>
      <c r="J95" s="17">
        <f>IFERROR(__xludf.DUMMYFUNCTION("INDEX(GOOGLEFINANCE(""NSE:""&amp;D95,""PRICE"",TODAY()-28),2,2)"),13737.2)</f>
        <v>13737.2</v>
      </c>
      <c r="K95" s="17">
        <f>IFERROR(__xludf.DUMMYFUNCTION("INDEX(GOOGLEFINANCE(""NSE:""&amp;D95,""PRICE"",TODAY()-84),2,2)"),13537.7)</f>
        <v>13537.7</v>
      </c>
      <c r="L95" s="16">
        <f t="shared" si="1"/>
        <v>0.0179889217</v>
      </c>
      <c r="M95" s="16">
        <f t="shared" si="2"/>
        <v>0.02890858423</v>
      </c>
      <c r="N95" s="16">
        <f t="shared" si="3"/>
        <v>0.008646121567</v>
      </c>
      <c r="O95" s="16">
        <f t="shared" si="4"/>
        <v>0.04283988003</v>
      </c>
      <c r="P95" s="16">
        <f t="shared" si="5"/>
        <v>0.05820781964</v>
      </c>
      <c r="Q95" s="30">
        <f t="shared" si="6"/>
        <v>0.0170501271</v>
      </c>
      <c r="R95" s="30">
        <f t="shared" si="7"/>
        <v>-0.01513823361</v>
      </c>
      <c r="S95" s="30">
        <f t="shared" si="8"/>
        <v>-0.02853232359</v>
      </c>
      <c r="T95" s="30">
        <f t="shared" si="9"/>
        <v>-0.06858504705</v>
      </c>
    </row>
    <row r="96">
      <c r="A96" s="1">
        <v>93.0</v>
      </c>
      <c r="B96" s="22" t="s">
        <v>610</v>
      </c>
      <c r="C96" s="22" t="s">
        <v>528</v>
      </c>
      <c r="D96" s="22" t="s">
        <v>207</v>
      </c>
      <c r="E96" s="23">
        <f>IFERROR(__xludf.DUMMYFUNCTION("GOOGLEFINANCE(""NSE:""&amp;D96,""marketcap"")/10000000"),46492.6252758)</f>
        <v>46492.62528</v>
      </c>
      <c r="F96" s="17">
        <f>IFERROR(__xludf.DUMMYFUNCTION("GOOGLEFINANCE(""NSE:""&amp;D96)"),288.4)</f>
        <v>288.4</v>
      </c>
      <c r="G96" s="17">
        <f>IFERROR(__xludf.DUMMYFUNCTION("GOOGLEFINANCE(""NSE:""&amp;D96,""closeyest"")"),284.0)</f>
        <v>284</v>
      </c>
      <c r="H96" s="17">
        <f>IFERROR(__xludf.DUMMYFUNCTION("INDEX(GOOGLEFINANCE(""NSE:""&amp;D96,""PRICE"",TODAY()-7),2,2)"),287.25)</f>
        <v>287.25</v>
      </c>
      <c r="I96" s="17">
        <f>IFERROR(__xludf.DUMMYFUNCTION("INDEX(GOOGLEFINANCE(""NSE:""&amp;D96,""PRICE"",TODAY()-14),2,2)"),283.95)</f>
        <v>283.95</v>
      </c>
      <c r="J96" s="17">
        <f>IFERROR(__xludf.DUMMYFUNCTION("INDEX(GOOGLEFINANCE(""NSE:""&amp;D96,""PRICE"",TODAY()-28),2,2)"),276.1)</f>
        <v>276.1</v>
      </c>
      <c r="K96" s="17">
        <f>IFERROR(__xludf.DUMMYFUNCTION("INDEX(GOOGLEFINANCE(""NSE:""&amp;D96,""PRICE"",TODAY()-84),2,2)"),321.65)</f>
        <v>321.65</v>
      </c>
      <c r="L96" s="16">
        <f t="shared" si="1"/>
        <v>0.01549295775</v>
      </c>
      <c r="M96" s="16">
        <f t="shared" si="2"/>
        <v>0.004003481288</v>
      </c>
      <c r="N96" s="16">
        <f t="shared" si="3"/>
        <v>0.0156717732</v>
      </c>
      <c r="O96" s="16">
        <f t="shared" si="4"/>
        <v>0.04454907642</v>
      </c>
      <c r="P96" s="16">
        <f t="shared" si="5"/>
        <v>-0.1033732318</v>
      </c>
      <c r="Q96" s="30">
        <f t="shared" si="6"/>
        <v>-0.007854975848</v>
      </c>
      <c r="R96" s="30">
        <f t="shared" si="7"/>
        <v>-0.00811258198</v>
      </c>
      <c r="S96" s="30">
        <f t="shared" si="8"/>
        <v>-0.02682312721</v>
      </c>
      <c r="T96" s="30">
        <f t="shared" si="9"/>
        <v>-0.2301660985</v>
      </c>
    </row>
    <row r="97">
      <c r="A97" s="1">
        <v>94.0</v>
      </c>
      <c r="B97" s="22" t="s">
        <v>597</v>
      </c>
      <c r="C97" s="22" t="s">
        <v>549</v>
      </c>
      <c r="D97" s="22" t="s">
        <v>247</v>
      </c>
      <c r="E97" s="23">
        <f>IFERROR(__xludf.DUMMYFUNCTION("GOOGLEFINANCE(""NSE:""&amp;D97,""marketcap"")/10000000"),45810.7883299)</f>
        <v>45810.78833</v>
      </c>
      <c r="F97" s="17">
        <f>IFERROR(__xludf.DUMMYFUNCTION("GOOGLEFINANCE(""NSE:""&amp;D97)"),21610.0)</f>
        <v>21610</v>
      </c>
      <c r="G97" s="17">
        <f>IFERROR(__xludf.DUMMYFUNCTION("GOOGLEFINANCE(""NSE:""&amp;D97,""closeyest"")"),21464.95)</f>
        <v>21464.95</v>
      </c>
      <c r="H97" s="17">
        <f>IFERROR(__xludf.DUMMYFUNCTION("INDEX(GOOGLEFINANCE(""NSE:""&amp;D97,""PRICE"",TODAY()-7),2,2)"),20480.6)</f>
        <v>20480.6</v>
      </c>
      <c r="I97" s="17">
        <f>IFERROR(__xludf.DUMMYFUNCTION("INDEX(GOOGLEFINANCE(""NSE:""&amp;D97,""PRICE"",TODAY()-14),2,2)"),21378.55)</f>
        <v>21378.55</v>
      </c>
      <c r="J97" s="17">
        <f>IFERROR(__xludf.DUMMYFUNCTION("INDEX(GOOGLEFINANCE(""NSE:""&amp;D97,""PRICE"",TODAY()-28),2,2)"),19028.8)</f>
        <v>19028.8</v>
      </c>
      <c r="K97" s="17">
        <f>IFERROR(__xludf.DUMMYFUNCTION("INDEX(GOOGLEFINANCE(""NSE:""&amp;D97,""PRICE"",TODAY()-84),2,2)"),16764.65)</f>
        <v>16764.65</v>
      </c>
      <c r="L97" s="16">
        <f t="shared" si="1"/>
        <v>0.00675752797</v>
      </c>
      <c r="M97" s="16">
        <f t="shared" si="2"/>
        <v>0.0551448688</v>
      </c>
      <c r="N97" s="16">
        <f t="shared" si="3"/>
        <v>0.01082627213</v>
      </c>
      <c r="O97" s="16">
        <f t="shared" si="4"/>
        <v>0.1356470193</v>
      </c>
      <c r="P97" s="16">
        <f t="shared" si="5"/>
        <v>0.2890218406</v>
      </c>
      <c r="Q97" s="30">
        <f t="shared" si="6"/>
        <v>0.04328641167</v>
      </c>
      <c r="R97" s="30">
        <f t="shared" si="7"/>
        <v>-0.01295808305</v>
      </c>
      <c r="S97" s="30">
        <f t="shared" si="8"/>
        <v>0.06427481563</v>
      </c>
      <c r="T97" s="30">
        <f t="shared" si="9"/>
        <v>0.1622289739</v>
      </c>
    </row>
    <row r="98">
      <c r="A98" s="1">
        <v>95.0</v>
      </c>
      <c r="B98" s="22" t="s">
        <v>655</v>
      </c>
      <c r="C98" s="22" t="s">
        <v>635</v>
      </c>
      <c r="D98" s="22" t="s">
        <v>201</v>
      </c>
      <c r="E98" s="23">
        <f>IFERROR(__xludf.DUMMYFUNCTION("GOOGLEFINANCE(""NSE:""&amp;D98,""marketcap"")/10000000"),45453.2784021)</f>
        <v>45453.2784</v>
      </c>
      <c r="F98" s="17">
        <f>IFERROR(__xludf.DUMMYFUNCTION("GOOGLEFINANCE(""NSE:""&amp;D98)"),1360.0)</f>
        <v>1360</v>
      </c>
      <c r="G98" s="17">
        <f>IFERROR(__xludf.DUMMYFUNCTION("GOOGLEFINANCE(""NSE:""&amp;D98,""closeyest"")"),1356.85)</f>
        <v>1356.85</v>
      </c>
      <c r="H98" s="17">
        <f>IFERROR(__xludf.DUMMYFUNCTION("INDEX(GOOGLEFINANCE(""NSE:""&amp;D98,""PRICE"",TODAY()-7),2,2)"),1430.6)</f>
        <v>1430.6</v>
      </c>
      <c r="I98" s="17">
        <f>IFERROR(__xludf.DUMMYFUNCTION("INDEX(GOOGLEFINANCE(""NSE:""&amp;D98,""PRICE"",TODAY()-14),2,2)"),1405.25)</f>
        <v>1405.25</v>
      </c>
      <c r="J98" s="17">
        <f>IFERROR(__xludf.DUMMYFUNCTION("INDEX(GOOGLEFINANCE(""NSE:""&amp;D98,""PRICE"",TODAY()-28),2,2)"),1381.4)</f>
        <v>1381.4</v>
      </c>
      <c r="K98" s="17">
        <f>IFERROR(__xludf.DUMMYFUNCTION("INDEX(GOOGLEFINANCE(""NSE:""&amp;D98,""PRICE"",TODAY()-84),2,2)"),1067.55)</f>
        <v>1067.55</v>
      </c>
      <c r="L98" s="16">
        <f t="shared" si="1"/>
        <v>0.002321553598</v>
      </c>
      <c r="M98" s="16">
        <f t="shared" si="2"/>
        <v>-0.04934992311</v>
      </c>
      <c r="N98" s="16">
        <f t="shared" si="3"/>
        <v>-0.03220067604</v>
      </c>
      <c r="O98" s="16">
        <f t="shared" si="4"/>
        <v>-0.01549153033</v>
      </c>
      <c r="P98" s="16">
        <f t="shared" si="5"/>
        <v>0.2739450143</v>
      </c>
      <c r="Q98" s="30">
        <f t="shared" si="6"/>
        <v>-0.06120838025</v>
      </c>
      <c r="R98" s="30">
        <f t="shared" si="7"/>
        <v>-0.05598503122</v>
      </c>
      <c r="S98" s="30">
        <f t="shared" si="8"/>
        <v>-0.08686373396</v>
      </c>
      <c r="T98" s="30">
        <f t="shared" si="9"/>
        <v>0.1471521476</v>
      </c>
    </row>
    <row r="99">
      <c r="A99" s="1">
        <v>96.0</v>
      </c>
      <c r="B99" s="22" t="s">
        <v>599</v>
      </c>
      <c r="C99" s="22" t="s">
        <v>545</v>
      </c>
      <c r="D99" s="22" t="s">
        <v>245</v>
      </c>
      <c r="E99" s="23">
        <f>IFERROR(__xludf.DUMMYFUNCTION("GOOGLEFINANCE(""NSE:""&amp;D99,""marketcap"")/10000000"),45403.229952)</f>
        <v>45403.22995</v>
      </c>
      <c r="F99" s="17">
        <f>IFERROR(__xludf.DUMMYFUNCTION("GOOGLEFINANCE(""NSE:""&amp;D99)"),15374.0)</f>
        <v>15374</v>
      </c>
      <c r="G99" s="17">
        <f>IFERROR(__xludf.DUMMYFUNCTION("GOOGLEFINANCE(""NSE:""&amp;D99,""closeyest"")"),15301.5)</f>
        <v>15301.5</v>
      </c>
      <c r="H99" s="17">
        <f>IFERROR(__xludf.DUMMYFUNCTION("INDEX(GOOGLEFINANCE(""NSE:""&amp;D99,""PRICE"",TODAY()-7),2,2)"),15076.0)</f>
        <v>15076</v>
      </c>
      <c r="I99" s="17">
        <f>IFERROR(__xludf.DUMMYFUNCTION("INDEX(GOOGLEFINANCE(""NSE:""&amp;D99,""PRICE"",TODAY()-14),2,2)"),14566.1)</f>
        <v>14566.1</v>
      </c>
      <c r="J99" s="17">
        <f>IFERROR(__xludf.DUMMYFUNCTION("INDEX(GOOGLEFINANCE(""NSE:""&amp;D99,""PRICE"",TODAY()-28),2,2)"),13642.75)</f>
        <v>13642.75</v>
      </c>
      <c r="K99" s="17">
        <f>IFERROR(__xludf.DUMMYFUNCTION("INDEX(GOOGLEFINANCE(""NSE:""&amp;D99,""PRICE"",TODAY()-84),2,2)"),15357.75)</f>
        <v>15357.75</v>
      </c>
      <c r="L99" s="16">
        <f t="shared" si="1"/>
        <v>0.004738097572</v>
      </c>
      <c r="M99" s="16">
        <f t="shared" si="2"/>
        <v>0.01976651632</v>
      </c>
      <c r="N99" s="16">
        <f t="shared" si="3"/>
        <v>0.05546440022</v>
      </c>
      <c r="O99" s="16">
        <f t="shared" si="4"/>
        <v>0.1268989023</v>
      </c>
      <c r="P99" s="16">
        <f t="shared" si="5"/>
        <v>0.001058097703</v>
      </c>
      <c r="Q99" s="30">
        <f t="shared" si="6"/>
        <v>0.007908059181</v>
      </c>
      <c r="R99" s="30">
        <f t="shared" si="7"/>
        <v>0.03168004504</v>
      </c>
      <c r="S99" s="30">
        <f t="shared" si="8"/>
        <v>0.05552669872</v>
      </c>
      <c r="T99" s="30">
        <f t="shared" si="9"/>
        <v>-0.125734769</v>
      </c>
    </row>
    <row r="100">
      <c r="A100" s="1">
        <v>97.0</v>
      </c>
      <c r="B100" s="22" t="s">
        <v>621</v>
      </c>
      <c r="C100" s="22" t="s">
        <v>543</v>
      </c>
      <c r="D100" s="22" t="s">
        <v>215</v>
      </c>
      <c r="E100" s="23">
        <f>IFERROR(__xludf.DUMMYFUNCTION("GOOGLEFINANCE(""NSE:""&amp;D100,""marketcap"")/10000000"),44148.77072)</f>
        <v>44148.77072</v>
      </c>
      <c r="F100" s="17">
        <f>IFERROR(__xludf.DUMMYFUNCTION("GOOGLEFINANCE(""NSE:""&amp;D100)"),2351.0)</f>
        <v>2351</v>
      </c>
      <c r="G100" s="17">
        <f>IFERROR(__xludf.DUMMYFUNCTION("GOOGLEFINANCE(""NSE:""&amp;D100,""closeyest"")"),2365.55)</f>
        <v>2365.55</v>
      </c>
      <c r="H100" s="17">
        <f>IFERROR(__xludf.DUMMYFUNCTION("INDEX(GOOGLEFINANCE(""NSE:""&amp;D100,""PRICE"",TODAY()-7),2,2)"),2394.85)</f>
        <v>2394.85</v>
      </c>
      <c r="I100" s="17">
        <f>IFERROR(__xludf.DUMMYFUNCTION("INDEX(GOOGLEFINANCE(""NSE:""&amp;D100,""PRICE"",TODAY()-14),2,2)"),2471.4)</f>
        <v>2471.4</v>
      </c>
      <c r="J100" s="17">
        <f>IFERROR(__xludf.DUMMYFUNCTION("INDEX(GOOGLEFINANCE(""NSE:""&amp;D100,""PRICE"",TODAY()-28),2,2)"),2348.1)</f>
        <v>2348.1</v>
      </c>
      <c r="K100" s="17">
        <f>IFERROR(__xludf.DUMMYFUNCTION("INDEX(GOOGLEFINANCE(""NSE:""&amp;D100,""PRICE"",TODAY()-84),2,2)"),1987.25)</f>
        <v>1987.25</v>
      </c>
      <c r="L100" s="16">
        <f t="shared" si="1"/>
        <v>-0.006150789457</v>
      </c>
      <c r="M100" s="16">
        <f t="shared" si="2"/>
        <v>-0.01831012381</v>
      </c>
      <c r="N100" s="16">
        <f t="shared" si="3"/>
        <v>-0.04871732621</v>
      </c>
      <c r="O100" s="16">
        <f t="shared" si="4"/>
        <v>0.001235041097</v>
      </c>
      <c r="P100" s="16">
        <f t="shared" si="5"/>
        <v>0.1830418921</v>
      </c>
      <c r="Q100" s="30">
        <f t="shared" si="6"/>
        <v>-0.03016858094</v>
      </c>
      <c r="R100" s="30">
        <f t="shared" si="7"/>
        <v>-0.07250168139</v>
      </c>
      <c r="S100" s="30">
        <f t="shared" si="8"/>
        <v>-0.07013716253</v>
      </c>
      <c r="T100" s="30">
        <f t="shared" si="9"/>
        <v>0.05624902536</v>
      </c>
    </row>
    <row r="101">
      <c r="A101" s="1">
        <v>98.0</v>
      </c>
      <c r="B101" s="22" t="s">
        <v>656</v>
      </c>
      <c r="C101" s="22" t="s">
        <v>560</v>
      </c>
      <c r="D101" s="22" t="s">
        <v>237</v>
      </c>
      <c r="E101" s="23">
        <f>IFERROR(__xludf.DUMMYFUNCTION("GOOGLEFINANCE(""NSE:""&amp;D101,""marketcap"")/10000000"),45901.0427847)</f>
        <v>45901.04278</v>
      </c>
      <c r="F101" s="17">
        <f>IFERROR(__xludf.DUMMYFUNCTION("GOOGLEFINANCE(""NSE:""&amp;D101)"),144.05)</f>
        <v>144.05</v>
      </c>
      <c r="G101" s="17">
        <f>IFERROR(__xludf.DUMMYFUNCTION("GOOGLEFINANCE(""NSE:""&amp;D101,""closeyest"")"),137.85)</f>
        <v>137.85</v>
      </c>
      <c r="H101" s="17">
        <f>IFERROR(__xludf.DUMMYFUNCTION("INDEX(GOOGLEFINANCE(""NSE:""&amp;D101,""PRICE"",TODAY()-7),2,2)"),137.9)</f>
        <v>137.9</v>
      </c>
      <c r="I101" s="17">
        <f>IFERROR(__xludf.DUMMYFUNCTION("INDEX(GOOGLEFINANCE(""NSE:""&amp;D101,""PRICE"",TODAY()-14),2,2)"),131.05)</f>
        <v>131.05</v>
      </c>
      <c r="J101" s="17">
        <f>IFERROR(__xludf.DUMMYFUNCTION("INDEX(GOOGLEFINANCE(""NSE:""&amp;D101,""PRICE"",TODAY()-28),2,2)"),127.25)</f>
        <v>127.25</v>
      </c>
      <c r="K101" s="17">
        <f>IFERROR(__xludf.DUMMYFUNCTION("INDEX(GOOGLEFINANCE(""NSE:""&amp;D101,""PRICE"",TODAY()-84),2,2)"),120.95)</f>
        <v>120.95</v>
      </c>
      <c r="L101" s="16">
        <f t="shared" si="1"/>
        <v>0.04497642365</v>
      </c>
      <c r="M101" s="16">
        <f t="shared" si="2"/>
        <v>0.04459753445</v>
      </c>
      <c r="N101" s="16">
        <f t="shared" si="3"/>
        <v>0.09919877909</v>
      </c>
      <c r="O101" s="16">
        <f t="shared" si="4"/>
        <v>0.1320235756</v>
      </c>
      <c r="P101" s="16">
        <f t="shared" si="5"/>
        <v>0.1909880116</v>
      </c>
      <c r="Q101" s="30">
        <f t="shared" si="6"/>
        <v>0.03273907731</v>
      </c>
      <c r="R101" s="30">
        <f t="shared" si="7"/>
        <v>0.07541442391</v>
      </c>
      <c r="S101" s="30">
        <f t="shared" si="8"/>
        <v>0.06065137201</v>
      </c>
      <c r="T101" s="30">
        <f t="shared" si="9"/>
        <v>0.06419514488</v>
      </c>
    </row>
    <row r="102">
      <c r="A102" s="1">
        <v>99.0</v>
      </c>
      <c r="B102" s="22" t="s">
        <v>607</v>
      </c>
      <c r="C102" s="22" t="s">
        <v>549</v>
      </c>
      <c r="D102" s="22" t="s">
        <v>223</v>
      </c>
      <c r="E102" s="23">
        <f>IFERROR(__xludf.DUMMYFUNCTION("GOOGLEFINANCE(""NSE:""&amp;D102,""marketcap"")/10000000"),43781.3290069)</f>
        <v>43781.32901</v>
      </c>
      <c r="F102" s="17">
        <f>IFERROR(__xludf.DUMMYFUNCTION("GOOGLEFINANCE(""NSE:""&amp;D102)"),367.05)</f>
        <v>367.05</v>
      </c>
      <c r="G102" s="17">
        <f>IFERROR(__xludf.DUMMYFUNCTION("GOOGLEFINANCE(""NSE:""&amp;D102,""closeyest"")"),367.55)</f>
        <v>367.55</v>
      </c>
      <c r="H102" s="17">
        <f>IFERROR(__xludf.DUMMYFUNCTION("INDEX(GOOGLEFINANCE(""NSE:""&amp;D102,""PRICE"",TODAY()-7),2,2)"),377.4)</f>
        <v>377.4</v>
      </c>
      <c r="I102" s="17">
        <f>IFERROR(__xludf.DUMMYFUNCTION("INDEX(GOOGLEFINANCE(""NSE:""&amp;D102,""PRICE"",TODAY()-14),2,2)"),353.6)</f>
        <v>353.6</v>
      </c>
      <c r="J102" s="17">
        <f>IFERROR(__xludf.DUMMYFUNCTION("INDEX(GOOGLEFINANCE(""NSE:""&amp;D102,""PRICE"",TODAY()-28),2,2)"),346.7)</f>
        <v>346.7</v>
      </c>
      <c r="K102" s="17">
        <f>IFERROR(__xludf.DUMMYFUNCTION("INDEX(GOOGLEFINANCE(""NSE:""&amp;D102,""PRICE"",TODAY()-84),2,2)"),408.05)</f>
        <v>408.05</v>
      </c>
      <c r="L102" s="16">
        <f t="shared" si="1"/>
        <v>-0.001360359135</v>
      </c>
      <c r="M102" s="16">
        <f t="shared" si="2"/>
        <v>-0.02742448331</v>
      </c>
      <c r="N102" s="16">
        <f t="shared" si="3"/>
        <v>0.03803733032</v>
      </c>
      <c r="O102" s="16">
        <f t="shared" si="4"/>
        <v>0.0586962792</v>
      </c>
      <c r="P102" s="16">
        <f t="shared" si="5"/>
        <v>-0.1004778826</v>
      </c>
      <c r="Q102" s="30">
        <f t="shared" si="6"/>
        <v>-0.03928294044</v>
      </c>
      <c r="R102" s="30">
        <f t="shared" si="7"/>
        <v>0.01425297514</v>
      </c>
      <c r="S102" s="30">
        <f t="shared" si="8"/>
        <v>-0.01267592442</v>
      </c>
      <c r="T102" s="30">
        <f t="shared" si="9"/>
        <v>-0.2272707493</v>
      </c>
    </row>
    <row r="103">
      <c r="A103" s="1">
        <v>100.0</v>
      </c>
      <c r="B103" s="22" t="s">
        <v>657</v>
      </c>
      <c r="C103" s="22" t="s">
        <v>522</v>
      </c>
      <c r="D103" s="22" t="s">
        <v>197</v>
      </c>
      <c r="E103" s="23">
        <f>IFERROR(__xludf.DUMMYFUNCTION("GOOGLEFINANCE(""NSE:""&amp;D103,""marketcap"")/10000000"),43165.3066375)</f>
        <v>43165.30664</v>
      </c>
      <c r="F103" s="17">
        <f>IFERROR(__xludf.DUMMYFUNCTION("GOOGLEFINANCE(""NSE:""&amp;D103)"),627.55)</f>
        <v>627.55</v>
      </c>
      <c r="G103" s="17">
        <f>IFERROR(__xludf.DUMMYFUNCTION("GOOGLEFINANCE(""NSE:""&amp;D103,""closeyest"")"),624.5)</f>
        <v>624.5</v>
      </c>
      <c r="H103" s="17">
        <f>IFERROR(__xludf.DUMMYFUNCTION("INDEX(GOOGLEFINANCE(""NSE:""&amp;D103,""PRICE"",TODAY()-7),2,2)"),663.25)</f>
        <v>663.25</v>
      </c>
      <c r="I103" s="17">
        <f>IFERROR(__xludf.DUMMYFUNCTION("INDEX(GOOGLEFINANCE(""NSE:""&amp;D103,""PRICE"",TODAY()-14),2,2)"),676.15)</f>
        <v>676.15</v>
      </c>
      <c r="J103" s="17">
        <f>IFERROR(__xludf.DUMMYFUNCTION("INDEX(GOOGLEFINANCE(""NSE:""&amp;D103,""PRICE"",TODAY()-28),2,2)"),710.8)</f>
        <v>710.8</v>
      </c>
      <c r="K103" s="17">
        <f>IFERROR(__xludf.DUMMYFUNCTION("INDEX(GOOGLEFINANCE(""NSE:""&amp;D103,""PRICE"",TODAY()-84),2,2)"),665.1)</f>
        <v>665.1</v>
      </c>
      <c r="L103" s="16">
        <f t="shared" si="1"/>
        <v>0.004883907126</v>
      </c>
      <c r="M103" s="16">
        <f t="shared" si="2"/>
        <v>-0.05382585752</v>
      </c>
      <c r="N103" s="16">
        <f t="shared" si="3"/>
        <v>-0.07187754197</v>
      </c>
      <c r="O103" s="16">
        <f t="shared" si="4"/>
        <v>-0.1171215532</v>
      </c>
      <c r="P103" s="16">
        <f t="shared" si="5"/>
        <v>-0.05645767554</v>
      </c>
      <c r="Q103" s="30">
        <f t="shared" si="6"/>
        <v>-0.06568431466</v>
      </c>
      <c r="R103" s="30">
        <f t="shared" si="7"/>
        <v>-0.09566189715</v>
      </c>
      <c r="S103" s="30">
        <f t="shared" si="8"/>
        <v>-0.1884937568</v>
      </c>
      <c r="T103" s="30">
        <f t="shared" si="9"/>
        <v>-0.1832505422</v>
      </c>
    </row>
    <row r="104">
      <c r="A104" s="1">
        <v>101.0</v>
      </c>
      <c r="B104" s="22" t="s">
        <v>595</v>
      </c>
      <c r="C104" s="22" t="s">
        <v>526</v>
      </c>
      <c r="D104" s="22" t="s">
        <v>263</v>
      </c>
      <c r="E104" s="23">
        <f>IFERROR(__xludf.DUMMYFUNCTION("GOOGLEFINANCE(""NSE:""&amp;D104,""marketcap"")/10000000"),43826.1747619)</f>
        <v>43826.17476</v>
      </c>
      <c r="F104" s="17">
        <f>IFERROR(__xludf.DUMMYFUNCTION("GOOGLEFINANCE(""NSE:""&amp;D104)"),1654.4)</f>
        <v>1654.4</v>
      </c>
      <c r="G104" s="17">
        <f>IFERROR(__xludf.DUMMYFUNCTION("GOOGLEFINANCE(""NSE:""&amp;D104,""closeyest"")"),1638.95)</f>
        <v>1638.95</v>
      </c>
      <c r="H104" s="17">
        <f>IFERROR(__xludf.DUMMYFUNCTION("INDEX(GOOGLEFINANCE(""NSE:""&amp;D104,""PRICE"",TODAY()-7),2,2)"),1594.65)</f>
        <v>1594.65</v>
      </c>
      <c r="I104" s="17">
        <f>IFERROR(__xludf.DUMMYFUNCTION("INDEX(GOOGLEFINANCE(""NSE:""&amp;D104,""PRICE"",TODAY()-14),2,2)"),1599.1)</f>
        <v>1599.1</v>
      </c>
      <c r="J104" s="17">
        <f>IFERROR(__xludf.DUMMYFUNCTION("INDEX(GOOGLEFINANCE(""NSE:""&amp;D104,""PRICE"",TODAY()-28),2,2)"),1448.6)</f>
        <v>1448.6</v>
      </c>
      <c r="K104" s="17">
        <f>IFERROR(__xludf.DUMMYFUNCTION("INDEX(GOOGLEFINANCE(""NSE:""&amp;D104,""PRICE"",TODAY()-84),2,2)"),1446.6)</f>
        <v>1446.6</v>
      </c>
      <c r="L104" s="16">
        <f t="shared" si="1"/>
        <v>0.009426767137</v>
      </c>
      <c r="M104" s="16">
        <f t="shared" si="2"/>
        <v>0.03746903709</v>
      </c>
      <c r="N104" s="16">
        <f t="shared" si="3"/>
        <v>0.03458195235</v>
      </c>
      <c r="O104" s="16">
        <f t="shared" si="4"/>
        <v>0.1420682038</v>
      </c>
      <c r="P104" s="16">
        <f t="shared" si="5"/>
        <v>0.1436471727</v>
      </c>
      <c r="Q104" s="30">
        <f t="shared" si="6"/>
        <v>0.02561057996</v>
      </c>
      <c r="R104" s="30">
        <f t="shared" si="7"/>
        <v>0.01079759717</v>
      </c>
      <c r="S104" s="30">
        <f t="shared" si="8"/>
        <v>0.07069600015</v>
      </c>
      <c r="T104" s="30">
        <f t="shared" si="9"/>
        <v>0.01685430598</v>
      </c>
    </row>
    <row r="105">
      <c r="A105" s="1">
        <v>102.0</v>
      </c>
      <c r="B105" s="22" t="s">
        <v>756</v>
      </c>
      <c r="C105" s="22" t="s">
        <v>635</v>
      </c>
      <c r="D105" s="22" t="s">
        <v>255</v>
      </c>
      <c r="E105" s="23">
        <f>IFERROR(__xludf.DUMMYFUNCTION("GOOGLEFINANCE(""NSE:""&amp;D105,""marketcap"")/10000000"),42358.1422518)</f>
        <v>42358.14225</v>
      </c>
      <c r="F105" s="17">
        <f>IFERROR(__xludf.DUMMYFUNCTION("GOOGLEFINANCE(""NSE:""&amp;D105)"),2109.0)</f>
        <v>2109</v>
      </c>
      <c r="G105" s="17">
        <f>IFERROR(__xludf.DUMMYFUNCTION("GOOGLEFINANCE(""NSE:""&amp;D105,""closeyest"")"),2130.0)</f>
        <v>2130</v>
      </c>
      <c r="H105" s="17">
        <f>IFERROR(__xludf.DUMMYFUNCTION("INDEX(GOOGLEFINANCE(""NSE:""&amp;D105,""PRICE"",TODAY()-7),2,2)"),2120.75)</f>
        <v>2120.75</v>
      </c>
      <c r="I105" s="17">
        <f>IFERROR(__xludf.DUMMYFUNCTION("INDEX(GOOGLEFINANCE(""NSE:""&amp;D105,""PRICE"",TODAY()-14),2,2)"),2135.6)</f>
        <v>2135.6</v>
      </c>
      <c r="J105" s="17">
        <f>IFERROR(__xludf.DUMMYFUNCTION("INDEX(GOOGLEFINANCE(""NSE:""&amp;D105,""PRICE"",TODAY()-28),2,2)"),1982.05)</f>
        <v>1982.05</v>
      </c>
      <c r="K105" s="17">
        <f>IFERROR(__xludf.DUMMYFUNCTION("INDEX(GOOGLEFINANCE(""NSE:""&amp;D105,""PRICE"",TODAY()-84),2,2)"),2040.8)</f>
        <v>2040.8</v>
      </c>
      <c r="L105" s="16">
        <f t="shared" si="1"/>
        <v>-0.00985915493</v>
      </c>
      <c r="M105" s="16">
        <f t="shared" si="2"/>
        <v>-0.00554049275</v>
      </c>
      <c r="N105" s="16">
        <f t="shared" si="3"/>
        <v>-0.01245551601</v>
      </c>
      <c r="O105" s="16">
        <f t="shared" si="4"/>
        <v>0.06404984738</v>
      </c>
      <c r="P105" s="16">
        <f t="shared" si="5"/>
        <v>0.03341826735</v>
      </c>
      <c r="Q105" s="30">
        <f t="shared" si="6"/>
        <v>-0.01739894989</v>
      </c>
      <c r="R105" s="30">
        <f t="shared" si="7"/>
        <v>-0.03623987119</v>
      </c>
      <c r="S105" s="30">
        <f t="shared" si="8"/>
        <v>-0.007322356248</v>
      </c>
      <c r="T105" s="30">
        <f t="shared" si="9"/>
        <v>-0.09337459935</v>
      </c>
    </row>
    <row r="106">
      <c r="A106" s="1">
        <v>103.0</v>
      </c>
      <c r="B106" s="22" t="s">
        <v>616</v>
      </c>
      <c r="C106" s="22" t="s">
        <v>549</v>
      </c>
      <c r="D106" s="22" t="s">
        <v>225</v>
      </c>
      <c r="E106" s="23">
        <f>IFERROR(__xludf.DUMMYFUNCTION("GOOGLEFINANCE(""NSE:""&amp;D106,""marketcap"")/10000000"),42987.4106733)</f>
        <v>42987.41067</v>
      </c>
      <c r="F106" s="17">
        <f>IFERROR(__xludf.DUMMYFUNCTION("GOOGLEFINANCE(""NSE:""&amp;D106)"),732.0)</f>
        <v>732</v>
      </c>
      <c r="G106" s="17">
        <f>IFERROR(__xludf.DUMMYFUNCTION("GOOGLEFINANCE(""NSE:""&amp;D106,""closeyest"")"),731.1)</f>
        <v>731.1</v>
      </c>
      <c r="H106" s="17">
        <f>IFERROR(__xludf.DUMMYFUNCTION("INDEX(GOOGLEFINANCE(""NSE:""&amp;D106,""PRICE"",TODAY()-7),2,2)"),746.2)</f>
        <v>746.2</v>
      </c>
      <c r="I106" s="17">
        <f>IFERROR(__xludf.DUMMYFUNCTION("INDEX(GOOGLEFINANCE(""NSE:""&amp;D106,""PRICE"",TODAY()-14),2,2)"),736.15)</f>
        <v>736.15</v>
      </c>
      <c r="J106" s="17">
        <f>IFERROR(__xludf.DUMMYFUNCTION("INDEX(GOOGLEFINANCE(""NSE:""&amp;D106,""PRICE"",TODAY()-28),2,2)"),710.0)</f>
        <v>710</v>
      </c>
      <c r="K106" s="17">
        <f>IFERROR(__xludf.DUMMYFUNCTION("INDEX(GOOGLEFINANCE(""NSE:""&amp;D106,""PRICE"",TODAY()-84),2,2)"),994.2)</f>
        <v>994.2</v>
      </c>
      <c r="L106" s="16">
        <f t="shared" si="1"/>
        <v>0.001231021748</v>
      </c>
      <c r="M106" s="16">
        <f t="shared" si="2"/>
        <v>-0.01902975074</v>
      </c>
      <c r="N106" s="16">
        <f t="shared" si="3"/>
        <v>-0.005637438022</v>
      </c>
      <c r="O106" s="16">
        <f t="shared" si="4"/>
        <v>0.03098591549</v>
      </c>
      <c r="P106" s="16">
        <f t="shared" si="5"/>
        <v>-0.2637296319</v>
      </c>
      <c r="Q106" s="30">
        <f t="shared" si="6"/>
        <v>-0.03088820787</v>
      </c>
      <c r="R106" s="30">
        <f t="shared" si="7"/>
        <v>-0.0294217932</v>
      </c>
      <c r="S106" s="30">
        <f t="shared" si="8"/>
        <v>-0.04038628814</v>
      </c>
      <c r="T106" s="30">
        <f t="shared" si="9"/>
        <v>-0.3905224986</v>
      </c>
    </row>
    <row r="107">
      <c r="A107" s="1">
        <v>104.0</v>
      </c>
      <c r="B107" s="22" t="s">
        <v>632</v>
      </c>
      <c r="C107" s="22" t="s">
        <v>549</v>
      </c>
      <c r="D107" s="22" t="s">
        <v>219</v>
      </c>
      <c r="E107" s="23">
        <f>IFERROR(__xludf.DUMMYFUNCTION("GOOGLEFINANCE(""NSE:""&amp;D107,""marketcap"")/10000000"),42709.9128088)</f>
        <v>42709.91281</v>
      </c>
      <c r="F107" s="17">
        <f>IFERROR(__xludf.DUMMYFUNCTION("GOOGLEFINANCE(""NSE:""&amp;D107)"),938.9)</f>
        <v>938.9</v>
      </c>
      <c r="G107" s="17">
        <f>IFERROR(__xludf.DUMMYFUNCTION("GOOGLEFINANCE(""NSE:""&amp;D107,""closeyest"")"),940.0)</f>
        <v>940</v>
      </c>
      <c r="H107" s="17">
        <f>IFERROR(__xludf.DUMMYFUNCTION("INDEX(GOOGLEFINANCE(""NSE:""&amp;D107,""PRICE"",TODAY()-7),2,2)"),950.95)</f>
        <v>950.95</v>
      </c>
      <c r="I107" s="17">
        <f>IFERROR(__xludf.DUMMYFUNCTION("INDEX(GOOGLEFINANCE(""NSE:""&amp;D107,""PRICE"",TODAY()-14),2,2)"),984.1)</f>
        <v>984.1</v>
      </c>
      <c r="J107" s="17">
        <f>IFERROR(__xludf.DUMMYFUNCTION("INDEX(GOOGLEFINANCE(""NSE:""&amp;D107,""PRICE"",TODAY()-28),2,2)"),940.1)</f>
        <v>940.1</v>
      </c>
      <c r="K107" s="17">
        <f>IFERROR(__xludf.DUMMYFUNCTION("INDEX(GOOGLEFINANCE(""NSE:""&amp;D107,""PRICE"",TODAY()-84),2,2)"),1160.5)</f>
        <v>1160.5</v>
      </c>
      <c r="L107" s="16">
        <f t="shared" si="1"/>
        <v>-0.001170212766</v>
      </c>
      <c r="M107" s="16">
        <f t="shared" si="2"/>
        <v>-0.01267153899</v>
      </c>
      <c r="N107" s="16">
        <f t="shared" si="3"/>
        <v>-0.04593029164</v>
      </c>
      <c r="O107" s="16">
        <f t="shared" si="4"/>
        <v>-0.001276459951</v>
      </c>
      <c r="P107" s="16">
        <f t="shared" si="5"/>
        <v>-0.1909521758</v>
      </c>
      <c r="Q107" s="30">
        <f t="shared" si="6"/>
        <v>-0.02452999612</v>
      </c>
      <c r="R107" s="30">
        <f t="shared" si="7"/>
        <v>-0.06971464682</v>
      </c>
      <c r="S107" s="30">
        <f t="shared" si="8"/>
        <v>-0.07264866358</v>
      </c>
      <c r="T107" s="30">
        <f t="shared" si="9"/>
        <v>-0.3177450425</v>
      </c>
    </row>
    <row r="108">
      <c r="A108" s="1">
        <v>105.0</v>
      </c>
      <c r="B108" s="22" t="s">
        <v>658</v>
      </c>
      <c r="C108" s="22" t="s">
        <v>555</v>
      </c>
      <c r="D108" s="22" t="s">
        <v>235</v>
      </c>
      <c r="E108" s="23">
        <f>IFERROR(__xludf.DUMMYFUNCTION("GOOGLEFINANCE(""NSE:""&amp;D108,""marketcap"")/10000000"),43360.3212483)</f>
        <v>43360.32125</v>
      </c>
      <c r="F108" s="17">
        <f>IFERROR(__xludf.DUMMYFUNCTION("GOOGLEFINANCE(""NSE:""&amp;D108)"),711.9)</f>
        <v>711.9</v>
      </c>
      <c r="G108" s="17">
        <f>IFERROR(__xludf.DUMMYFUNCTION("GOOGLEFINANCE(""NSE:""&amp;D108,""closeyest"")"),696.8)</f>
        <v>696.8</v>
      </c>
      <c r="H108" s="17">
        <f>IFERROR(__xludf.DUMMYFUNCTION("INDEX(GOOGLEFINANCE(""NSE:""&amp;D108,""PRICE"",TODAY()-7),2,2)"),723.65)</f>
        <v>723.65</v>
      </c>
      <c r="I108" s="17">
        <f>IFERROR(__xludf.DUMMYFUNCTION("INDEX(GOOGLEFINANCE(""NSE:""&amp;D108,""PRICE"",TODAY()-14),2,2)"),740.55)</f>
        <v>740.55</v>
      </c>
      <c r="J108" s="17">
        <f>IFERROR(__xludf.DUMMYFUNCTION("INDEX(GOOGLEFINANCE(""NSE:""&amp;D108,""PRICE"",TODAY()-28),2,2)"),653.35)</f>
        <v>653.35</v>
      </c>
      <c r="K108" s="17">
        <f>IFERROR(__xludf.DUMMYFUNCTION("INDEX(GOOGLEFINANCE(""NSE:""&amp;D108,""PRICE"",TODAY()-84),2,2)"),679.6)</f>
        <v>679.6</v>
      </c>
      <c r="L108" s="16">
        <f t="shared" si="1"/>
        <v>0.02167049369</v>
      </c>
      <c r="M108" s="16">
        <f t="shared" si="2"/>
        <v>-0.01623713121</v>
      </c>
      <c r="N108" s="16">
        <f t="shared" si="3"/>
        <v>-0.03868746202</v>
      </c>
      <c r="O108" s="16">
        <f t="shared" si="4"/>
        <v>0.08961506084</v>
      </c>
      <c r="P108" s="16">
        <f t="shared" si="5"/>
        <v>0.04752795762</v>
      </c>
      <c r="Q108" s="30">
        <f t="shared" si="6"/>
        <v>-0.02809558835</v>
      </c>
      <c r="R108" s="30">
        <f t="shared" si="7"/>
        <v>-0.0624718172</v>
      </c>
      <c r="S108" s="30">
        <f t="shared" si="8"/>
        <v>0.01824285721</v>
      </c>
      <c r="T108" s="30">
        <f t="shared" si="9"/>
        <v>-0.07926490907</v>
      </c>
    </row>
    <row r="109">
      <c r="A109" s="1">
        <v>106.0</v>
      </c>
      <c r="B109" s="22" t="s">
        <v>637</v>
      </c>
      <c r="C109" s="22" t="s">
        <v>552</v>
      </c>
      <c r="D109" s="22" t="s">
        <v>208</v>
      </c>
      <c r="E109" s="23">
        <f>IFERROR(__xludf.DUMMYFUNCTION("GOOGLEFINANCE(""NSE:""&amp;D109,""marketcap"")/10000000"),41878.3579513)</f>
        <v>41878.35795</v>
      </c>
      <c r="F109" s="17">
        <f>IFERROR(__xludf.DUMMYFUNCTION("GOOGLEFINANCE(""NSE:""&amp;D109)"),142.85)</f>
        <v>142.85</v>
      </c>
      <c r="G109" s="17">
        <f>IFERROR(__xludf.DUMMYFUNCTION("GOOGLEFINANCE(""NSE:""&amp;D109,""closeyest"")"),144.6)</f>
        <v>144.6</v>
      </c>
      <c r="H109" s="17">
        <f>IFERROR(__xludf.DUMMYFUNCTION("INDEX(GOOGLEFINANCE(""NSE:""&amp;D109,""PRICE"",TODAY()-7),2,2)"),147.4)</f>
        <v>147.4</v>
      </c>
      <c r="I109" s="17">
        <f>IFERROR(__xludf.DUMMYFUNCTION("INDEX(GOOGLEFINANCE(""NSE:""&amp;D109,""PRICE"",TODAY()-14),2,2)"),151.55)</f>
        <v>151.55</v>
      </c>
      <c r="J109" s="17">
        <f>IFERROR(__xludf.DUMMYFUNCTION("INDEX(GOOGLEFINANCE(""NSE:""&amp;D109,""PRICE"",TODAY()-28),2,2)"),152.2)</f>
        <v>152.2</v>
      </c>
      <c r="K109" s="17">
        <f>IFERROR(__xludf.DUMMYFUNCTION("INDEX(GOOGLEFINANCE(""NSE:""&amp;D109,""PRICE"",TODAY()-84),2,2)"),182.95)</f>
        <v>182.95</v>
      </c>
      <c r="L109" s="16">
        <f t="shared" si="1"/>
        <v>-0.01210235131</v>
      </c>
      <c r="M109" s="16">
        <f t="shared" si="2"/>
        <v>-0.03086838535</v>
      </c>
      <c r="N109" s="16">
        <f t="shared" si="3"/>
        <v>-0.05740679644</v>
      </c>
      <c r="O109" s="16">
        <f t="shared" si="4"/>
        <v>-0.06143232589</v>
      </c>
      <c r="P109" s="16">
        <f t="shared" si="5"/>
        <v>-0.2191855698</v>
      </c>
      <c r="Q109" s="30">
        <f t="shared" si="6"/>
        <v>-0.04272684248</v>
      </c>
      <c r="R109" s="30">
        <f t="shared" si="7"/>
        <v>-0.08119115162</v>
      </c>
      <c r="S109" s="30">
        <f t="shared" si="8"/>
        <v>-0.1328045295</v>
      </c>
      <c r="T109" s="30">
        <f t="shared" si="9"/>
        <v>-0.3459784365</v>
      </c>
    </row>
    <row r="110">
      <c r="A110" s="1">
        <v>107.0</v>
      </c>
      <c r="B110" s="22" t="s">
        <v>611</v>
      </c>
      <c r="C110" s="22" t="s">
        <v>528</v>
      </c>
      <c r="D110" s="22" t="s">
        <v>253</v>
      </c>
      <c r="E110" s="23">
        <f>IFERROR(__xludf.DUMMYFUNCTION("GOOGLEFINANCE(""NSE:""&amp;D110,""marketcap"")/10000000"),42392.3885)</f>
        <v>42392.3885</v>
      </c>
      <c r="F110" s="17">
        <f>IFERROR(__xludf.DUMMYFUNCTION("GOOGLEFINANCE(""NSE:""&amp;D110)"),38.45)</f>
        <v>38.45</v>
      </c>
      <c r="G110" s="17">
        <f>IFERROR(__xludf.DUMMYFUNCTION("GOOGLEFINANCE(""NSE:""&amp;D110,""closeyest"")"),38.15)</f>
        <v>38.15</v>
      </c>
      <c r="H110" s="17">
        <f>IFERROR(__xludf.DUMMYFUNCTION("INDEX(GOOGLEFINANCE(""NSE:""&amp;D110,""PRICE"",TODAY()-7),2,2)"),39.75)</f>
        <v>39.75</v>
      </c>
      <c r="I110" s="17">
        <f>IFERROR(__xludf.DUMMYFUNCTION("INDEX(GOOGLEFINANCE(""NSE:""&amp;D110,""PRICE"",TODAY()-14),2,2)"),37.6)</f>
        <v>37.6</v>
      </c>
      <c r="J110" s="17">
        <f>IFERROR(__xludf.DUMMYFUNCTION("INDEX(GOOGLEFINANCE(""NSE:""&amp;D110,""PRICE"",TODAY()-28),2,2)"),36.15)</f>
        <v>36.15</v>
      </c>
      <c r="K110" s="17">
        <f>IFERROR(__xludf.DUMMYFUNCTION("INDEX(GOOGLEFINANCE(""NSE:""&amp;D110,""PRICE"",TODAY()-84),2,2)"),42.1)</f>
        <v>42.1</v>
      </c>
      <c r="L110" s="16">
        <f t="shared" si="1"/>
        <v>0.007863695937</v>
      </c>
      <c r="M110" s="16">
        <f t="shared" si="2"/>
        <v>-0.03270440252</v>
      </c>
      <c r="N110" s="16">
        <f t="shared" si="3"/>
        <v>0.02260638298</v>
      </c>
      <c r="O110" s="16">
        <f t="shared" si="4"/>
        <v>0.06362378976</v>
      </c>
      <c r="P110" s="16">
        <f t="shared" si="5"/>
        <v>-0.08669833729</v>
      </c>
      <c r="Q110" s="30">
        <f t="shared" si="6"/>
        <v>-0.04456285965</v>
      </c>
      <c r="R110" s="30">
        <f t="shared" si="7"/>
        <v>-0.001177972201</v>
      </c>
      <c r="S110" s="30">
        <f t="shared" si="8"/>
        <v>-0.007748413864</v>
      </c>
      <c r="T110" s="30">
        <f t="shared" si="9"/>
        <v>-0.213491204</v>
      </c>
    </row>
    <row r="111">
      <c r="A111" s="1">
        <v>108.0</v>
      </c>
      <c r="B111" s="22" t="s">
        <v>757</v>
      </c>
      <c r="C111" s="22" t="s">
        <v>531</v>
      </c>
      <c r="D111" s="22" t="s">
        <v>249</v>
      </c>
      <c r="E111" s="23">
        <f>IFERROR(__xludf.DUMMYFUNCTION("GOOGLEFINANCE(""NSE:""&amp;D111,""marketcap"")/10000000"),41644.9610154)</f>
        <v>41644.96102</v>
      </c>
      <c r="F111" s="17">
        <f>IFERROR(__xludf.DUMMYFUNCTION("GOOGLEFINANCE(""NSE:""&amp;D111)"),1453.95)</f>
        <v>1453.95</v>
      </c>
      <c r="G111" s="17">
        <f>IFERROR(__xludf.DUMMYFUNCTION("GOOGLEFINANCE(""NSE:""&amp;D111,""closeyest"")"),1450.4)</f>
        <v>1450.4</v>
      </c>
      <c r="H111" s="17">
        <f>IFERROR(__xludf.DUMMYFUNCTION("INDEX(GOOGLEFINANCE(""NSE:""&amp;D111,""PRICE"",TODAY()-7),2,2)"),1406.85)</f>
        <v>1406.85</v>
      </c>
      <c r="I111" s="17">
        <f>IFERROR(__xludf.DUMMYFUNCTION("INDEX(GOOGLEFINANCE(""NSE:""&amp;D111,""PRICE"",TODAY()-14),2,2)"),1346.8)</f>
        <v>1346.8</v>
      </c>
      <c r="J111" s="17">
        <f>IFERROR(__xludf.DUMMYFUNCTION("INDEX(GOOGLEFINANCE(""NSE:""&amp;D111,""PRICE"",TODAY()-28),2,2)"),1388.2)</f>
        <v>1388.2</v>
      </c>
      <c r="K111" s="17">
        <f>IFERROR(__xludf.DUMMYFUNCTION("INDEX(GOOGLEFINANCE(""NSE:""&amp;D111,""PRICE"",TODAY()-84),2,2)"),1329.0)</f>
        <v>1329</v>
      </c>
      <c r="L111" s="16">
        <f t="shared" si="1"/>
        <v>0.002447600662</v>
      </c>
      <c r="M111" s="16">
        <f t="shared" si="2"/>
        <v>0.03347904894</v>
      </c>
      <c r="N111" s="16">
        <f t="shared" si="3"/>
        <v>0.07955895456</v>
      </c>
      <c r="O111" s="16">
        <f t="shared" si="4"/>
        <v>0.04736349229</v>
      </c>
      <c r="P111" s="16">
        <f t="shared" si="5"/>
        <v>0.09401805869</v>
      </c>
      <c r="Q111" s="30">
        <f t="shared" si="6"/>
        <v>0.0216205918</v>
      </c>
      <c r="R111" s="30">
        <f t="shared" si="7"/>
        <v>0.05577459938</v>
      </c>
      <c r="S111" s="30">
        <f t="shared" si="8"/>
        <v>-0.02400871134</v>
      </c>
      <c r="T111" s="30">
        <f t="shared" si="9"/>
        <v>-0.03277480801</v>
      </c>
    </row>
    <row r="112">
      <c r="A112" s="1">
        <v>109.0</v>
      </c>
      <c r="B112" s="22" t="s">
        <v>758</v>
      </c>
      <c r="C112" s="22" t="s">
        <v>528</v>
      </c>
      <c r="D112" s="22" t="s">
        <v>233</v>
      </c>
      <c r="E112" s="23">
        <f>IFERROR(__xludf.DUMMYFUNCTION("GOOGLEFINANCE(""NSE:""&amp;D112,""marketcap"")/10000000"),41880.5988203)</f>
        <v>41880.59882</v>
      </c>
      <c r="F112" s="17">
        <f>IFERROR(__xludf.DUMMYFUNCTION("GOOGLEFINANCE(""NSE:""&amp;D112)"),38.9)</f>
        <v>38.9</v>
      </c>
      <c r="G112" s="17">
        <f>IFERROR(__xludf.DUMMYFUNCTION("GOOGLEFINANCE(""NSE:""&amp;D112,""closeyest"")"),38.45)</f>
        <v>38.45</v>
      </c>
      <c r="H112" s="17">
        <f>IFERROR(__xludf.DUMMYFUNCTION("INDEX(GOOGLEFINANCE(""NSE:""&amp;D112,""PRICE"",TODAY()-7),2,2)"),39.15)</f>
        <v>39.15</v>
      </c>
      <c r="I112" s="17">
        <f>IFERROR(__xludf.DUMMYFUNCTION("INDEX(GOOGLEFINANCE(""NSE:""&amp;D112,""PRICE"",TODAY()-14),2,2)"),39.35)</f>
        <v>39.35</v>
      </c>
      <c r="J112" s="17">
        <f>IFERROR(__xludf.DUMMYFUNCTION("INDEX(GOOGLEFINANCE(""NSE:""&amp;D112,""PRICE"",TODAY()-28),2,2)"),38.5)</f>
        <v>38.5</v>
      </c>
      <c r="K112" s="17">
        <f>IFERROR(__xludf.DUMMYFUNCTION("INDEX(GOOGLEFINANCE(""NSE:""&amp;D112,""PRICE"",TODAY()-84),2,2)"),38.25)</f>
        <v>38.25</v>
      </c>
      <c r="L112" s="16">
        <f t="shared" si="1"/>
        <v>0.01170351105</v>
      </c>
      <c r="M112" s="16">
        <f t="shared" si="2"/>
        <v>-0.006385696041</v>
      </c>
      <c r="N112" s="16">
        <f t="shared" si="3"/>
        <v>-0.01143583227</v>
      </c>
      <c r="O112" s="16">
        <f t="shared" si="4"/>
        <v>0.01038961039</v>
      </c>
      <c r="P112" s="16">
        <f t="shared" si="5"/>
        <v>0.01699346405</v>
      </c>
      <c r="Q112" s="30">
        <f t="shared" si="6"/>
        <v>-0.01824415318</v>
      </c>
      <c r="R112" s="30">
        <f t="shared" si="7"/>
        <v>-0.03522018745</v>
      </c>
      <c r="S112" s="30">
        <f t="shared" si="8"/>
        <v>-0.06098259324</v>
      </c>
      <c r="T112" s="30">
        <f t="shared" si="9"/>
        <v>-0.1097994026</v>
      </c>
    </row>
    <row r="113">
      <c r="A113" s="1">
        <v>110.0</v>
      </c>
      <c r="B113" s="22" t="s">
        <v>258</v>
      </c>
      <c r="C113" s="22" t="s">
        <v>528</v>
      </c>
      <c r="D113" s="22" t="s">
        <v>259</v>
      </c>
      <c r="E113" s="23">
        <f>IFERROR(__xludf.DUMMYFUNCTION("GOOGLEFINANCE(""NSE:""&amp;D113,""marketcap"")/10000000"),41214.0932099)</f>
        <v>41214.09321</v>
      </c>
      <c r="F113" s="17">
        <f>IFERROR(__xludf.DUMMYFUNCTION("GOOGLEFINANCE(""NSE:""&amp;D113)"),79.6)</f>
        <v>79.6</v>
      </c>
      <c r="G113" s="17">
        <f>IFERROR(__xludf.DUMMYFUNCTION("GOOGLEFINANCE(""NSE:""&amp;D113,""closeyest"")"),79.7)</f>
        <v>79.7</v>
      </c>
      <c r="H113" s="17">
        <f>IFERROR(__xludf.DUMMYFUNCTION("INDEX(GOOGLEFINANCE(""NSE:""&amp;D113,""PRICE"",TODAY()-7),2,2)"),82.3)</f>
        <v>82.3</v>
      </c>
      <c r="I113" s="17">
        <f>IFERROR(__xludf.DUMMYFUNCTION("INDEX(GOOGLEFINANCE(""NSE:""&amp;D113,""PRICE"",TODAY()-14),2,2)"),78.25)</f>
        <v>78.25</v>
      </c>
      <c r="J113" s="17">
        <f>IFERROR(__xludf.DUMMYFUNCTION("INDEX(GOOGLEFINANCE(""NSE:""&amp;D113,""PRICE"",TODAY()-28),2,2)"),74.55)</f>
        <v>74.55</v>
      </c>
      <c r="K113" s="17">
        <f>IFERROR(__xludf.DUMMYFUNCTION("INDEX(GOOGLEFINANCE(""NSE:""&amp;D113,""PRICE"",TODAY()-84),2,2)"),85.2)</f>
        <v>85.2</v>
      </c>
      <c r="L113" s="16">
        <f t="shared" si="1"/>
        <v>-0.001254705144</v>
      </c>
      <c r="M113" s="16">
        <f t="shared" si="2"/>
        <v>-0.03280680437</v>
      </c>
      <c r="N113" s="16">
        <f t="shared" si="3"/>
        <v>0.01725239617</v>
      </c>
      <c r="O113" s="16">
        <f t="shared" si="4"/>
        <v>0.06773977197</v>
      </c>
      <c r="P113" s="16">
        <f t="shared" si="5"/>
        <v>-0.06572769953</v>
      </c>
      <c r="Q113" s="30">
        <f t="shared" si="6"/>
        <v>-0.04466526151</v>
      </c>
      <c r="R113" s="30">
        <f t="shared" si="7"/>
        <v>-0.006531959014</v>
      </c>
      <c r="S113" s="30">
        <f t="shared" si="8"/>
        <v>-0.003632431664</v>
      </c>
      <c r="T113" s="30">
        <f t="shared" si="9"/>
        <v>-0.1925205662</v>
      </c>
    </row>
    <row r="114">
      <c r="A114" s="1">
        <v>111.0</v>
      </c>
      <c r="B114" s="22" t="s">
        <v>659</v>
      </c>
      <c r="C114" s="22" t="s">
        <v>526</v>
      </c>
      <c r="D114" s="22" t="s">
        <v>305</v>
      </c>
      <c r="E114" s="23">
        <f>IFERROR(__xludf.DUMMYFUNCTION("GOOGLEFINANCE(""NSE:""&amp;D114,""marketcap"")/10000000"),41272.9022466)</f>
        <v>41272.90225</v>
      </c>
      <c r="F114" s="17">
        <f>IFERROR(__xludf.DUMMYFUNCTION("GOOGLEFINANCE(""NSE:""&amp;D114)"),1247.35)</f>
        <v>1247.35</v>
      </c>
      <c r="G114" s="17">
        <f>IFERROR(__xludf.DUMMYFUNCTION("GOOGLEFINANCE(""NSE:""&amp;D114,""closeyest"")"),1238.6)</f>
        <v>1238.6</v>
      </c>
      <c r="H114" s="17">
        <f>IFERROR(__xludf.DUMMYFUNCTION("INDEX(GOOGLEFINANCE(""NSE:""&amp;D114,""PRICE"",TODAY()-7),2,2)"),1254.15)</f>
        <v>1254.15</v>
      </c>
      <c r="I114" s="17">
        <f>IFERROR(__xludf.DUMMYFUNCTION("INDEX(GOOGLEFINANCE(""NSE:""&amp;D114,""PRICE"",TODAY()-14),2,2)"),1213.05)</f>
        <v>1213.05</v>
      </c>
      <c r="J114" s="17">
        <f>IFERROR(__xludf.DUMMYFUNCTION("INDEX(GOOGLEFINANCE(""NSE:""&amp;D114,""PRICE"",TODAY()-28),2,2)"),985.35)</f>
        <v>985.35</v>
      </c>
      <c r="K114" s="17">
        <f>IFERROR(__xludf.DUMMYFUNCTION("INDEX(GOOGLEFINANCE(""NSE:""&amp;D114,""PRICE"",TODAY()-84),2,2)"),1013.9)</f>
        <v>1013.9</v>
      </c>
      <c r="L114" s="16">
        <f t="shared" si="1"/>
        <v>0.00706442758</v>
      </c>
      <c r="M114" s="16">
        <f t="shared" si="2"/>
        <v>-0.005421998963</v>
      </c>
      <c r="N114" s="16">
        <f t="shared" si="3"/>
        <v>0.02827583364</v>
      </c>
      <c r="O114" s="16">
        <f t="shared" si="4"/>
        <v>0.2658953671</v>
      </c>
      <c r="P114" s="16">
        <f t="shared" si="5"/>
        <v>0.2302495315</v>
      </c>
      <c r="Q114" s="30">
        <f t="shared" si="6"/>
        <v>-0.0172804561</v>
      </c>
      <c r="R114" s="30">
        <f t="shared" si="7"/>
        <v>0.004491478463</v>
      </c>
      <c r="S114" s="30">
        <f t="shared" si="8"/>
        <v>0.1945231635</v>
      </c>
      <c r="T114" s="30">
        <f t="shared" si="9"/>
        <v>0.1034566648</v>
      </c>
    </row>
    <row r="115">
      <c r="A115" s="1">
        <v>112.0</v>
      </c>
      <c r="B115" s="22" t="s">
        <v>759</v>
      </c>
      <c r="C115" s="22" t="s">
        <v>524</v>
      </c>
      <c r="D115" s="22" t="s">
        <v>251</v>
      </c>
      <c r="E115" s="23">
        <f>IFERROR(__xludf.DUMMYFUNCTION("GOOGLEFINANCE(""NSE:""&amp;D115,""marketcap"")/10000000"),40539.0676552)</f>
        <v>40539.06766</v>
      </c>
      <c r="F115" s="17">
        <f>IFERROR(__xludf.DUMMYFUNCTION("GOOGLEFINANCE(""NSE:""&amp;D115)"),4709.95)</f>
        <v>4709.95</v>
      </c>
      <c r="G115" s="17">
        <f>IFERROR(__xludf.DUMMYFUNCTION("GOOGLEFINANCE(""NSE:""&amp;D115,""closeyest"")"),4672.9)</f>
        <v>4672.9</v>
      </c>
      <c r="H115" s="17">
        <f>IFERROR(__xludf.DUMMYFUNCTION("INDEX(GOOGLEFINANCE(""NSE:""&amp;D115,""PRICE"",TODAY()-7),2,2)"),4790.8)</f>
        <v>4790.8</v>
      </c>
      <c r="I115" s="17">
        <f>IFERROR(__xludf.DUMMYFUNCTION("INDEX(GOOGLEFINANCE(""NSE:""&amp;D115,""PRICE"",TODAY()-14),2,2)"),4856.05)</f>
        <v>4856.05</v>
      </c>
      <c r="J115" s="17">
        <f>IFERROR(__xludf.DUMMYFUNCTION("INDEX(GOOGLEFINANCE(""NSE:""&amp;D115,""PRICE"",TODAY()-28),2,2)"),4763.55)</f>
        <v>4763.55</v>
      </c>
      <c r="K115" s="17">
        <f>IFERROR(__xludf.DUMMYFUNCTION("INDEX(GOOGLEFINANCE(""NSE:""&amp;D115,""PRICE"",TODAY()-84),2,2)"),3624.3)</f>
        <v>3624.3</v>
      </c>
      <c r="L115" s="16">
        <f t="shared" si="1"/>
        <v>0.007928695243</v>
      </c>
      <c r="M115" s="16">
        <f t="shared" si="2"/>
        <v>-0.01687609585</v>
      </c>
      <c r="N115" s="16">
        <f t="shared" si="3"/>
        <v>-0.03008618116</v>
      </c>
      <c r="O115" s="16">
        <f t="shared" si="4"/>
        <v>-0.0112521124</v>
      </c>
      <c r="P115" s="16">
        <f t="shared" si="5"/>
        <v>0.2995474988</v>
      </c>
      <c r="Q115" s="30">
        <f t="shared" si="6"/>
        <v>-0.02873455299</v>
      </c>
      <c r="R115" s="30">
        <f t="shared" si="7"/>
        <v>-0.05387053634</v>
      </c>
      <c r="S115" s="30">
        <f t="shared" si="8"/>
        <v>-0.08262431602</v>
      </c>
      <c r="T115" s="30">
        <f t="shared" si="9"/>
        <v>0.1727546321</v>
      </c>
    </row>
    <row r="116">
      <c r="A116" s="1">
        <v>113.0</v>
      </c>
      <c r="B116" s="22" t="s">
        <v>760</v>
      </c>
      <c r="C116" s="22" t="s">
        <v>635</v>
      </c>
      <c r="D116" s="22" t="s">
        <v>243</v>
      </c>
      <c r="E116" s="23">
        <f>IFERROR(__xludf.DUMMYFUNCTION("GOOGLEFINANCE(""NSE:""&amp;D116,""marketcap"")/10000000"),40320.7761097)</f>
        <v>40320.77611</v>
      </c>
      <c r="F116" s="17">
        <f>IFERROR(__xludf.DUMMYFUNCTION("GOOGLEFINANCE(""NSE:""&amp;D116)"),1890.0)</f>
        <v>1890</v>
      </c>
      <c r="G116" s="17">
        <f>IFERROR(__xludf.DUMMYFUNCTION("GOOGLEFINANCE(""NSE:""&amp;D116,""closeyest"")"),1869.15)</f>
        <v>1869.15</v>
      </c>
      <c r="H116" s="17">
        <f>IFERROR(__xludf.DUMMYFUNCTION("INDEX(GOOGLEFINANCE(""NSE:""&amp;D116,""PRICE"",TODAY()-7),2,2)"),1843.2)</f>
        <v>1843.2</v>
      </c>
      <c r="I116" s="17">
        <f>IFERROR(__xludf.DUMMYFUNCTION("INDEX(GOOGLEFINANCE(""NSE:""&amp;D116,""PRICE"",TODAY()-14),2,2)"),1861.0)</f>
        <v>1861</v>
      </c>
      <c r="J116" s="17">
        <f>IFERROR(__xludf.DUMMYFUNCTION("INDEX(GOOGLEFINANCE(""NSE:""&amp;D116,""PRICE"",TODAY()-28),2,2)"),1850.05)</f>
        <v>1850.05</v>
      </c>
      <c r="K116" s="17">
        <f>IFERROR(__xludf.DUMMYFUNCTION("INDEX(GOOGLEFINANCE(""NSE:""&amp;D116,""PRICE"",TODAY()-84),2,2)"),1787.15)</f>
        <v>1787.15</v>
      </c>
      <c r="L116" s="16">
        <f t="shared" si="1"/>
        <v>0.01115480299</v>
      </c>
      <c r="M116" s="16">
        <f t="shared" si="2"/>
        <v>0.025390625</v>
      </c>
      <c r="N116" s="16">
        <f t="shared" si="3"/>
        <v>0.01558301988</v>
      </c>
      <c r="O116" s="16">
        <f t="shared" si="4"/>
        <v>0.02159401097</v>
      </c>
      <c r="P116" s="16">
        <f t="shared" si="5"/>
        <v>0.05754973002</v>
      </c>
      <c r="Q116" s="30">
        <f t="shared" si="6"/>
        <v>0.01353216786</v>
      </c>
      <c r="R116" s="30">
        <f t="shared" si="7"/>
        <v>-0.008201335298</v>
      </c>
      <c r="S116" s="30">
        <f t="shared" si="8"/>
        <v>-0.04977819266</v>
      </c>
      <c r="T116" s="30">
        <f t="shared" si="9"/>
        <v>-0.06924313668</v>
      </c>
    </row>
    <row r="117">
      <c r="A117" s="1">
        <v>114.0</v>
      </c>
      <c r="B117" s="22" t="s">
        <v>660</v>
      </c>
      <c r="C117" s="22" t="s">
        <v>543</v>
      </c>
      <c r="D117" s="22" t="s">
        <v>241</v>
      </c>
      <c r="E117" s="23">
        <f>IFERROR(__xludf.DUMMYFUNCTION("GOOGLEFINANCE(""NSE:""&amp;D117,""marketcap"")/10000000"),39779.2862386)</f>
        <v>39779.28624</v>
      </c>
      <c r="F117" s="17">
        <f>IFERROR(__xludf.DUMMYFUNCTION("GOOGLEFINANCE(""NSE:""&amp;D117)"),2125.9)</f>
        <v>2125.9</v>
      </c>
      <c r="G117" s="17">
        <f>IFERROR(__xludf.DUMMYFUNCTION("GOOGLEFINANCE(""NSE:""&amp;D117,""closeyest"")"),2127.3)</f>
        <v>2127.3</v>
      </c>
      <c r="H117" s="17">
        <f>IFERROR(__xludf.DUMMYFUNCTION("INDEX(GOOGLEFINANCE(""NSE:""&amp;D117,""PRICE"",TODAY()-7),2,2)"),2298.1)</f>
        <v>2298.1</v>
      </c>
      <c r="I117" s="17">
        <f>IFERROR(__xludf.DUMMYFUNCTION("INDEX(GOOGLEFINANCE(""NSE:""&amp;D117,""PRICE"",TODAY()-14),2,2)"),2409.4)</f>
        <v>2409.4</v>
      </c>
      <c r="J117" s="17">
        <f>IFERROR(__xludf.DUMMYFUNCTION("INDEX(GOOGLEFINANCE(""NSE:""&amp;D117,""PRICE"",TODAY()-28),2,2)"),2032.05)</f>
        <v>2032.05</v>
      </c>
      <c r="K117" s="17">
        <f>IFERROR(__xludf.DUMMYFUNCTION("INDEX(GOOGLEFINANCE(""NSE:""&amp;D117,""PRICE"",TODAY()-84),2,2)"),1937.65)</f>
        <v>1937.65</v>
      </c>
      <c r="L117" s="16">
        <f t="shared" si="1"/>
        <v>-0.0006581112208</v>
      </c>
      <c r="M117" s="16">
        <f t="shared" si="2"/>
        <v>-0.07493146512</v>
      </c>
      <c r="N117" s="16">
        <f t="shared" si="3"/>
        <v>-0.1176641488</v>
      </c>
      <c r="O117" s="16">
        <f t="shared" si="4"/>
        <v>0.04618488718</v>
      </c>
      <c r="P117" s="16">
        <f t="shared" si="5"/>
        <v>0.09715376874</v>
      </c>
      <c r="Q117" s="30">
        <f t="shared" si="6"/>
        <v>-0.08678992226</v>
      </c>
      <c r="R117" s="30">
        <f t="shared" si="7"/>
        <v>-0.1414485039</v>
      </c>
      <c r="S117" s="30">
        <f t="shared" si="8"/>
        <v>-0.02518731645</v>
      </c>
      <c r="T117" s="30">
        <f t="shared" si="9"/>
        <v>-0.02963909796</v>
      </c>
    </row>
    <row r="118">
      <c r="A118" s="1">
        <v>115.0</v>
      </c>
      <c r="B118" s="22" t="s">
        <v>661</v>
      </c>
      <c r="C118" s="22" t="s">
        <v>526</v>
      </c>
      <c r="D118" s="22" t="s">
        <v>271</v>
      </c>
      <c r="E118" s="23">
        <f>IFERROR(__xludf.DUMMYFUNCTION("GOOGLEFINANCE(""NSE:""&amp;D118,""marketcap"")/10000000"),40294.0744959)</f>
        <v>40294.0745</v>
      </c>
      <c r="F118" s="17">
        <f>IFERROR(__xludf.DUMMYFUNCTION("GOOGLEFINANCE(""NSE:""&amp;D118)"),929.1)</f>
        <v>929.1</v>
      </c>
      <c r="G118" s="17">
        <f>IFERROR(__xludf.DUMMYFUNCTION("GOOGLEFINANCE(""NSE:""&amp;D118,""closeyest"")"),915.95)</f>
        <v>915.95</v>
      </c>
      <c r="H118" s="17">
        <f>IFERROR(__xludf.DUMMYFUNCTION("INDEX(GOOGLEFINANCE(""NSE:""&amp;D118,""PRICE"",TODAY()-7),2,2)"),882.1)</f>
        <v>882.1</v>
      </c>
      <c r="I118" s="17">
        <f>IFERROR(__xludf.DUMMYFUNCTION("INDEX(GOOGLEFINANCE(""NSE:""&amp;D118,""PRICE"",TODAY()-14),2,2)"),928.7)</f>
        <v>928.7</v>
      </c>
      <c r="J118" s="17">
        <f>IFERROR(__xludf.DUMMYFUNCTION("INDEX(GOOGLEFINANCE(""NSE:""&amp;D118,""PRICE"",TODAY()-28),2,2)"),852.45)</f>
        <v>852.45</v>
      </c>
      <c r="K118" s="17">
        <f>IFERROR(__xludf.DUMMYFUNCTION("INDEX(GOOGLEFINANCE(""NSE:""&amp;D118,""PRICE"",TODAY()-84),2,2)"),719.15)</f>
        <v>719.15</v>
      </c>
      <c r="L118" s="16">
        <f t="shared" si="1"/>
        <v>0.01435667886</v>
      </c>
      <c r="M118" s="16">
        <f t="shared" si="2"/>
        <v>0.05328194082</v>
      </c>
      <c r="N118" s="16">
        <f t="shared" si="3"/>
        <v>0.0004307095941</v>
      </c>
      <c r="O118" s="16">
        <f t="shared" si="4"/>
        <v>0.0899172972</v>
      </c>
      <c r="P118" s="16">
        <f t="shared" si="5"/>
        <v>0.2919418758</v>
      </c>
      <c r="Q118" s="30">
        <f t="shared" si="6"/>
        <v>0.04142348369</v>
      </c>
      <c r="R118" s="30">
        <f t="shared" si="7"/>
        <v>-0.02335364559</v>
      </c>
      <c r="S118" s="30">
        <f t="shared" si="8"/>
        <v>0.01854509357</v>
      </c>
      <c r="T118" s="30">
        <f t="shared" si="9"/>
        <v>0.1651490091</v>
      </c>
    </row>
    <row r="119">
      <c r="A119" s="1">
        <v>116.0</v>
      </c>
      <c r="B119" s="22" t="s">
        <v>605</v>
      </c>
      <c r="C119" s="22" t="s">
        <v>522</v>
      </c>
      <c r="D119" s="22" t="s">
        <v>269</v>
      </c>
      <c r="E119" s="23">
        <f>IFERROR(__xludf.DUMMYFUNCTION("GOOGLEFINANCE(""NSE:""&amp;D119,""marketcap"")/10000000"),39676.365749)</f>
        <v>39676.36575</v>
      </c>
      <c r="F119" s="17">
        <f>IFERROR(__xludf.DUMMYFUNCTION("GOOGLEFINANCE(""NSE:""&amp;D119)"),279.5)</f>
        <v>279.5</v>
      </c>
      <c r="G119" s="17">
        <f>IFERROR(__xludf.DUMMYFUNCTION("GOOGLEFINANCE(""NSE:""&amp;D119,""closeyest"")"),276.6)</f>
        <v>276.6</v>
      </c>
      <c r="H119" s="17">
        <f>IFERROR(__xludf.DUMMYFUNCTION("INDEX(GOOGLEFINANCE(""NSE:""&amp;D119,""PRICE"",TODAY()-7),2,2)"),282.95)</f>
        <v>282.95</v>
      </c>
      <c r="I119" s="17">
        <f>IFERROR(__xludf.DUMMYFUNCTION("INDEX(GOOGLEFINANCE(""NSE:""&amp;D119,""PRICE"",TODAY()-14),2,2)"),270.65)</f>
        <v>270.65</v>
      </c>
      <c r="J119" s="17">
        <f>IFERROR(__xludf.DUMMYFUNCTION("INDEX(GOOGLEFINANCE(""NSE:""&amp;D119,""PRICE"",TODAY()-28),2,2)"),256.6)</f>
        <v>256.6</v>
      </c>
      <c r="K119" s="17">
        <f>IFERROR(__xludf.DUMMYFUNCTION("INDEX(GOOGLEFINANCE(""NSE:""&amp;D119,""PRICE"",TODAY()-84),2,2)"),297.95)</f>
        <v>297.95</v>
      </c>
      <c r="L119" s="16">
        <f t="shared" si="1"/>
        <v>0.01048445409</v>
      </c>
      <c r="M119" s="16">
        <f t="shared" si="2"/>
        <v>-0.01219296696</v>
      </c>
      <c r="N119" s="16">
        <f t="shared" si="3"/>
        <v>0.03269905782</v>
      </c>
      <c r="O119" s="16">
        <f t="shared" si="4"/>
        <v>0.08924395947</v>
      </c>
      <c r="P119" s="16">
        <f t="shared" si="5"/>
        <v>-0.06192314147</v>
      </c>
      <c r="Q119" s="30">
        <f t="shared" si="6"/>
        <v>-0.02405142409</v>
      </c>
      <c r="R119" s="30">
        <f t="shared" si="7"/>
        <v>0.008914702644</v>
      </c>
      <c r="S119" s="30">
        <f t="shared" si="8"/>
        <v>0.01787175584</v>
      </c>
      <c r="T119" s="30">
        <f t="shared" si="9"/>
        <v>-0.1887160082</v>
      </c>
    </row>
    <row r="120">
      <c r="A120" s="1">
        <v>117.0</v>
      </c>
      <c r="B120" s="22" t="s">
        <v>761</v>
      </c>
      <c r="C120" s="22" t="s">
        <v>528</v>
      </c>
      <c r="D120" s="22" t="s">
        <v>265</v>
      </c>
      <c r="E120" s="23">
        <f>IFERROR(__xludf.DUMMYFUNCTION("GOOGLEFINANCE(""NSE:""&amp;D120,""marketcap"")/10000000"),39033.4759289)</f>
        <v>39033.47593</v>
      </c>
      <c r="F120" s="17">
        <f>IFERROR(__xludf.DUMMYFUNCTION("GOOGLEFINANCE(""NSE:""&amp;D120)"),20.6)</f>
        <v>20.6</v>
      </c>
      <c r="G120" s="17">
        <f>IFERROR(__xludf.DUMMYFUNCTION("GOOGLEFINANCE(""NSE:""&amp;D120,""closeyest"")"),20.6)</f>
        <v>20.6</v>
      </c>
      <c r="H120" s="17">
        <f>IFERROR(__xludf.DUMMYFUNCTION("INDEX(GOOGLEFINANCE(""NSE:""&amp;D120,""PRICE"",TODAY()-7),2,2)"),21.85)</f>
        <v>21.85</v>
      </c>
      <c r="I120" s="17">
        <f>IFERROR(__xludf.DUMMYFUNCTION("INDEX(GOOGLEFINANCE(""NSE:""&amp;D120,""PRICE"",TODAY()-14),2,2)"),19.55)</f>
        <v>19.55</v>
      </c>
      <c r="J120" s="17">
        <f>IFERROR(__xludf.DUMMYFUNCTION("INDEX(GOOGLEFINANCE(""NSE:""&amp;D120,""PRICE"",TODAY()-28),2,2)"),19.55)</f>
        <v>19.55</v>
      </c>
      <c r="K120" s="17">
        <f>IFERROR(__xludf.DUMMYFUNCTION("INDEX(GOOGLEFINANCE(""NSE:""&amp;D120,""PRICE"",TODAY()-84),2,2)"),27.45)</f>
        <v>27.45</v>
      </c>
      <c r="L120" s="16">
        <f t="shared" si="1"/>
        <v>0</v>
      </c>
      <c r="M120" s="16">
        <f t="shared" si="2"/>
        <v>-0.05720823799</v>
      </c>
      <c r="N120" s="16">
        <f t="shared" si="3"/>
        <v>0.0537084399</v>
      </c>
      <c r="O120" s="16">
        <f t="shared" si="4"/>
        <v>0.0537084399</v>
      </c>
      <c r="P120" s="16">
        <f t="shared" si="5"/>
        <v>-0.2495446266</v>
      </c>
      <c r="Q120" s="30">
        <f t="shared" si="6"/>
        <v>-0.06906669512</v>
      </c>
      <c r="R120" s="30">
        <f t="shared" si="7"/>
        <v>0.02992408472</v>
      </c>
      <c r="S120" s="30">
        <f t="shared" si="8"/>
        <v>-0.01766376373</v>
      </c>
      <c r="T120" s="30">
        <f t="shared" si="9"/>
        <v>-0.3763374933</v>
      </c>
    </row>
    <row r="121">
      <c r="A121" s="1">
        <v>118.0</v>
      </c>
      <c r="B121" s="22" t="s">
        <v>762</v>
      </c>
      <c r="C121" s="22" t="s">
        <v>635</v>
      </c>
      <c r="D121" s="22" t="s">
        <v>287</v>
      </c>
      <c r="E121" s="23">
        <f>IFERROR(__xludf.DUMMYFUNCTION("GOOGLEFINANCE(""NSE:""&amp;D121,""marketcap"")/10000000"),38903.5897524)</f>
        <v>38903.58975</v>
      </c>
      <c r="F121" s="17">
        <f>IFERROR(__xludf.DUMMYFUNCTION("GOOGLEFINANCE(""NSE:""&amp;D121)"),44001.0)</f>
        <v>44001</v>
      </c>
      <c r="G121" s="17">
        <f>IFERROR(__xludf.DUMMYFUNCTION("GOOGLEFINANCE(""NSE:""&amp;D121,""closeyest"")"),43646.35)</f>
        <v>43646.35</v>
      </c>
      <c r="H121" s="17">
        <f>IFERROR(__xludf.DUMMYFUNCTION("INDEX(GOOGLEFINANCE(""NSE:""&amp;D121,""PRICE"",TODAY()-7),2,2)"),42571.15)</f>
        <v>42571.15</v>
      </c>
      <c r="I121" s="17">
        <f>IFERROR(__xludf.DUMMYFUNCTION("INDEX(GOOGLEFINANCE(""NSE:""&amp;D121,""PRICE"",TODAY()-14),2,2)"),42511.05)</f>
        <v>42511.05</v>
      </c>
      <c r="J121" s="17">
        <f>IFERROR(__xludf.DUMMYFUNCTION("INDEX(GOOGLEFINANCE(""NSE:""&amp;D121,""PRICE"",TODAY()-28),2,2)"),39706.4)</f>
        <v>39706.4</v>
      </c>
      <c r="K121" s="17">
        <f>IFERROR(__xludf.DUMMYFUNCTION("INDEX(GOOGLEFINANCE(""NSE:""&amp;D121,""PRICE"",TODAY()-84),2,2)"),41919.0)</f>
        <v>41919</v>
      </c>
      <c r="L121" s="16">
        <f t="shared" si="1"/>
        <v>0.008125536271</v>
      </c>
      <c r="M121" s="16">
        <f t="shared" si="2"/>
        <v>0.03358730032</v>
      </c>
      <c r="N121" s="16">
        <f t="shared" si="3"/>
        <v>0.03504853444</v>
      </c>
      <c r="O121" s="16">
        <f t="shared" si="4"/>
        <v>0.1081588862</v>
      </c>
      <c r="P121" s="16">
        <f t="shared" si="5"/>
        <v>0.04966721534</v>
      </c>
      <c r="Q121" s="30">
        <f t="shared" si="6"/>
        <v>0.02172884318</v>
      </c>
      <c r="R121" s="30">
        <f t="shared" si="7"/>
        <v>0.01126417926</v>
      </c>
      <c r="S121" s="30">
        <f t="shared" si="8"/>
        <v>0.0367866826</v>
      </c>
      <c r="T121" s="30">
        <f t="shared" si="9"/>
        <v>-0.07712565135</v>
      </c>
    </row>
    <row r="122">
      <c r="A122" s="1">
        <v>119.0</v>
      </c>
      <c r="B122" s="22" t="s">
        <v>626</v>
      </c>
      <c r="C122" s="22" t="s">
        <v>522</v>
      </c>
      <c r="D122" s="22" t="s">
        <v>267</v>
      </c>
      <c r="E122" s="23">
        <f>IFERROR(__xludf.DUMMYFUNCTION("GOOGLEFINANCE(""NSE:""&amp;D122,""marketcap"")/10000000"),37621.5384759)</f>
        <v>37621.53848</v>
      </c>
      <c r="F122" s="17">
        <f>IFERROR(__xludf.DUMMYFUNCTION("GOOGLEFINANCE(""NSE:""&amp;D122)"),537.7)</f>
        <v>537.7</v>
      </c>
      <c r="G122" s="17">
        <f>IFERROR(__xludf.DUMMYFUNCTION("GOOGLEFINANCE(""NSE:""&amp;D122,""closeyest"")"),537.65)</f>
        <v>537.65</v>
      </c>
      <c r="H122" s="17">
        <f>IFERROR(__xludf.DUMMYFUNCTION("INDEX(GOOGLEFINANCE(""NSE:""&amp;D122,""PRICE"",TODAY()-7),2,2)"),561.35)</f>
        <v>561.35</v>
      </c>
      <c r="I122" s="17">
        <f>IFERROR(__xludf.DUMMYFUNCTION("INDEX(GOOGLEFINANCE(""NSE:""&amp;D122,""PRICE"",TODAY()-14),2,2)"),591.45)</f>
        <v>591.45</v>
      </c>
      <c r="J122" s="17">
        <f>IFERROR(__xludf.DUMMYFUNCTION("INDEX(GOOGLEFINANCE(""NSE:""&amp;D122,""PRICE"",TODAY()-28),2,2)"),524.8)</f>
        <v>524.8</v>
      </c>
      <c r="K122" s="17">
        <f>IFERROR(__xludf.DUMMYFUNCTION("INDEX(GOOGLEFINANCE(""NSE:""&amp;D122,""PRICE"",TODAY()-84),2,2)"),563.65)</f>
        <v>563.65</v>
      </c>
      <c r="L122" s="16">
        <f t="shared" si="1"/>
        <v>0.00009299730308</v>
      </c>
      <c r="M122" s="16">
        <f t="shared" si="2"/>
        <v>-0.04213057807</v>
      </c>
      <c r="N122" s="16">
        <f t="shared" si="3"/>
        <v>-0.09087834982</v>
      </c>
      <c r="O122" s="16">
        <f t="shared" si="4"/>
        <v>0.02458079268</v>
      </c>
      <c r="P122" s="16">
        <f t="shared" si="5"/>
        <v>-0.04603920873</v>
      </c>
      <c r="Q122" s="30">
        <f t="shared" si="6"/>
        <v>-0.05398903521</v>
      </c>
      <c r="R122" s="30">
        <f t="shared" si="7"/>
        <v>-0.114662705</v>
      </c>
      <c r="S122" s="30">
        <f t="shared" si="8"/>
        <v>-0.04679141095</v>
      </c>
      <c r="T122" s="30">
        <f t="shared" si="9"/>
        <v>-0.1728320754</v>
      </c>
    </row>
    <row r="123">
      <c r="A123" s="1">
        <v>120.0</v>
      </c>
      <c r="B123" s="22" t="s">
        <v>662</v>
      </c>
      <c r="C123" s="22" t="s">
        <v>545</v>
      </c>
      <c r="D123" s="22" t="s">
        <v>279</v>
      </c>
      <c r="E123" s="23">
        <f>IFERROR(__xludf.DUMMYFUNCTION("GOOGLEFINANCE(""NSE:""&amp;D123,""marketcap"")/10000000"),37824.4908162)</f>
        <v>37824.49082</v>
      </c>
      <c r="F123" s="17">
        <f>IFERROR(__xludf.DUMMYFUNCTION("GOOGLEFINANCE(""NSE:""&amp;D123)"),128.9)</f>
        <v>128.9</v>
      </c>
      <c r="G123" s="17">
        <f>IFERROR(__xludf.DUMMYFUNCTION("GOOGLEFINANCE(""NSE:""&amp;D123,""closeyest"")"),128.3)</f>
        <v>128.3</v>
      </c>
      <c r="H123" s="17">
        <f>IFERROR(__xludf.DUMMYFUNCTION("INDEX(GOOGLEFINANCE(""NSE:""&amp;D123,""PRICE"",TODAY()-7),2,2)"),125.15)</f>
        <v>125.15</v>
      </c>
      <c r="I123" s="17">
        <f>IFERROR(__xludf.DUMMYFUNCTION("INDEX(GOOGLEFINANCE(""NSE:""&amp;D123,""PRICE"",TODAY()-14),2,2)"),123.3)</f>
        <v>123.3</v>
      </c>
      <c r="J123" s="17">
        <f>IFERROR(__xludf.DUMMYFUNCTION("INDEX(GOOGLEFINANCE(""NSE:""&amp;D123,""PRICE"",TODAY()-28),2,2)"),120.25)</f>
        <v>120.25</v>
      </c>
      <c r="K123" s="17">
        <f>IFERROR(__xludf.DUMMYFUNCTION("INDEX(GOOGLEFINANCE(""NSE:""&amp;D123,""PRICE"",TODAY()-84),2,2)"),122.45)</f>
        <v>122.45</v>
      </c>
      <c r="L123" s="16">
        <f t="shared" si="1"/>
        <v>0.004676539361</v>
      </c>
      <c r="M123" s="16">
        <f t="shared" si="2"/>
        <v>0.02996404315</v>
      </c>
      <c r="N123" s="16">
        <f t="shared" si="3"/>
        <v>0.04541768045</v>
      </c>
      <c r="O123" s="16">
        <f t="shared" si="4"/>
        <v>0.07193347193</v>
      </c>
      <c r="P123" s="16">
        <f t="shared" si="5"/>
        <v>0.05267456105</v>
      </c>
      <c r="Q123" s="30">
        <f t="shared" si="6"/>
        <v>0.01810558601</v>
      </c>
      <c r="R123" s="30">
        <f t="shared" si="7"/>
        <v>0.02163332527</v>
      </c>
      <c r="S123" s="30">
        <f t="shared" si="8"/>
        <v>0.0005612683048</v>
      </c>
      <c r="T123" s="30">
        <f t="shared" si="9"/>
        <v>-0.07411830565</v>
      </c>
    </row>
    <row r="124">
      <c r="A124" s="1">
        <v>121.0</v>
      </c>
      <c r="B124" s="22" t="s">
        <v>663</v>
      </c>
      <c r="C124" s="22" t="s">
        <v>552</v>
      </c>
      <c r="D124" s="22" t="s">
        <v>261</v>
      </c>
      <c r="E124" s="23">
        <f>IFERROR(__xludf.DUMMYFUNCTION("GOOGLEFINANCE(""NSE:""&amp;D124,""marketcap"")/10000000"),37824.4373247)</f>
        <v>37824.43732</v>
      </c>
      <c r="F124" s="17">
        <f>IFERROR(__xludf.DUMMYFUNCTION("GOOGLEFINANCE(""NSE:""&amp;D124)"),370.55)</f>
        <v>370.55</v>
      </c>
      <c r="G124" s="17">
        <f>IFERROR(__xludf.DUMMYFUNCTION("GOOGLEFINANCE(""NSE:""&amp;D124,""closeyest"")"),365.95)</f>
        <v>365.95</v>
      </c>
      <c r="H124" s="17">
        <f>IFERROR(__xludf.DUMMYFUNCTION("INDEX(GOOGLEFINANCE(""NSE:""&amp;D124,""PRICE"",TODAY()-7),2,2)"),386.6)</f>
        <v>386.6</v>
      </c>
      <c r="I124" s="17">
        <f>IFERROR(__xludf.DUMMYFUNCTION("INDEX(GOOGLEFINANCE(""NSE:""&amp;D124,""PRICE"",TODAY()-14),2,2)"),403.5)</f>
        <v>403.5</v>
      </c>
      <c r="J124" s="17">
        <f>IFERROR(__xludf.DUMMYFUNCTION("INDEX(GOOGLEFINANCE(""NSE:""&amp;D124,""PRICE"",TODAY()-28),2,2)"),371.5)</f>
        <v>371.5</v>
      </c>
      <c r="K124" s="17">
        <f>IFERROR(__xludf.DUMMYFUNCTION("INDEX(GOOGLEFINANCE(""NSE:""&amp;D124,""PRICE"",TODAY()-84),2,2)"),388.15)</f>
        <v>388.15</v>
      </c>
      <c r="L124" s="16">
        <f t="shared" si="1"/>
        <v>0.01257002323</v>
      </c>
      <c r="M124" s="16">
        <f t="shared" si="2"/>
        <v>-0.04151577858</v>
      </c>
      <c r="N124" s="16">
        <f t="shared" si="3"/>
        <v>-0.08166047088</v>
      </c>
      <c r="O124" s="16">
        <f t="shared" si="4"/>
        <v>-0.002557200538</v>
      </c>
      <c r="P124" s="16">
        <f t="shared" si="5"/>
        <v>-0.04534329512</v>
      </c>
      <c r="Q124" s="30">
        <f t="shared" si="6"/>
        <v>-0.05337423572</v>
      </c>
      <c r="R124" s="30">
        <f t="shared" si="7"/>
        <v>-0.1054448261</v>
      </c>
      <c r="S124" s="30">
        <f t="shared" si="8"/>
        <v>-0.07392940417</v>
      </c>
      <c r="T124" s="30">
        <f t="shared" si="9"/>
        <v>-0.1721361618</v>
      </c>
    </row>
    <row r="125">
      <c r="A125" s="1">
        <v>122.0</v>
      </c>
      <c r="B125" s="22" t="s">
        <v>664</v>
      </c>
      <c r="C125" s="22" t="s">
        <v>665</v>
      </c>
      <c r="D125" s="22" t="s">
        <v>285</v>
      </c>
      <c r="E125" s="23">
        <f>IFERROR(__xludf.DUMMYFUNCTION("GOOGLEFINANCE(""NSE:""&amp;D125,""marketcap"")/10000000"),36940.1099247)</f>
        <v>36940.10992</v>
      </c>
      <c r="F125" s="17">
        <f>IFERROR(__xludf.DUMMYFUNCTION("GOOGLEFINANCE(""NSE:""&amp;D125)"),33118.65)</f>
        <v>33118.65</v>
      </c>
      <c r="G125" s="17">
        <f>IFERROR(__xludf.DUMMYFUNCTION("GOOGLEFINANCE(""NSE:""&amp;D125,""closeyest"")"),33348.85)</f>
        <v>33348.85</v>
      </c>
      <c r="H125" s="17">
        <f>IFERROR(__xludf.DUMMYFUNCTION("INDEX(GOOGLEFINANCE(""NSE:""&amp;D125,""PRICE"",TODAY()-7),2,2)"),33121.25)</f>
        <v>33121.25</v>
      </c>
      <c r="I125" s="17">
        <f>IFERROR(__xludf.DUMMYFUNCTION("INDEX(GOOGLEFINANCE(""NSE:""&amp;D125,""PRICE"",TODAY()-14),2,2)"),32077.75)</f>
        <v>32077.75</v>
      </c>
      <c r="J125" s="17">
        <f>IFERROR(__xludf.DUMMYFUNCTION("INDEX(GOOGLEFINANCE(""NSE:""&amp;D125,""PRICE"",TODAY()-28),2,2)"),30859.05)</f>
        <v>30859.05</v>
      </c>
      <c r="K125" s="17">
        <f>IFERROR(__xludf.DUMMYFUNCTION("INDEX(GOOGLEFINANCE(""NSE:""&amp;D125,""PRICE"",TODAY()-84),2,2)"),29759.5)</f>
        <v>29759.5</v>
      </c>
      <c r="L125" s="16">
        <f t="shared" si="1"/>
        <v>-0.006902786753</v>
      </c>
      <c r="M125" s="16">
        <f t="shared" si="2"/>
        <v>-0.00007849945277</v>
      </c>
      <c r="N125" s="16">
        <f t="shared" si="3"/>
        <v>0.03244928338</v>
      </c>
      <c r="O125" s="16">
        <f t="shared" si="4"/>
        <v>0.07322325217</v>
      </c>
      <c r="P125" s="16">
        <f t="shared" si="5"/>
        <v>0.1128765604</v>
      </c>
      <c r="Q125" s="30">
        <f t="shared" si="6"/>
        <v>-0.01193695659</v>
      </c>
      <c r="R125" s="30">
        <f t="shared" si="7"/>
        <v>0.008664928202</v>
      </c>
      <c r="S125" s="30">
        <f t="shared" si="8"/>
        <v>0.001851048545</v>
      </c>
      <c r="T125" s="30">
        <f t="shared" si="9"/>
        <v>-0.01391630627</v>
      </c>
    </row>
    <row r="126">
      <c r="A126" s="1">
        <v>123.0</v>
      </c>
      <c r="B126" s="22" t="s">
        <v>666</v>
      </c>
      <c r="C126" s="22" t="s">
        <v>528</v>
      </c>
      <c r="D126" s="22" t="s">
        <v>277</v>
      </c>
      <c r="E126" s="23">
        <f>IFERROR(__xludf.DUMMYFUNCTION("GOOGLEFINANCE(""NSE:""&amp;D126,""marketcap"")/10000000"),37112.24182)</f>
        <v>37112.24182</v>
      </c>
      <c r="F126" s="17">
        <f>IFERROR(__xludf.DUMMYFUNCTION("GOOGLEFINANCE(""NSE:""&amp;D126)"),1383.0)</f>
        <v>1383</v>
      </c>
      <c r="G126" s="17">
        <f>IFERROR(__xludf.DUMMYFUNCTION("GOOGLEFINANCE(""NSE:""&amp;D126,""closeyest"")"),1346.5)</f>
        <v>1346.5</v>
      </c>
      <c r="H126" s="17">
        <f>IFERROR(__xludf.DUMMYFUNCTION("INDEX(GOOGLEFINANCE(""NSE:""&amp;D126,""PRICE"",TODAY()-7),2,2)"),1360.8)</f>
        <v>1360.8</v>
      </c>
      <c r="I126" s="17">
        <f>IFERROR(__xludf.DUMMYFUNCTION("INDEX(GOOGLEFINANCE(""NSE:""&amp;D126,""PRICE"",TODAY()-14),2,2)"),1341.7)</f>
        <v>1341.7</v>
      </c>
      <c r="J126" s="17">
        <f>IFERROR(__xludf.DUMMYFUNCTION("INDEX(GOOGLEFINANCE(""NSE:""&amp;D126,""PRICE"",TODAY()-28),2,2)"),1281.4)</f>
        <v>1281.4</v>
      </c>
      <c r="K126" s="17">
        <f>IFERROR(__xludf.DUMMYFUNCTION("INDEX(GOOGLEFINANCE(""NSE:""&amp;D126,""PRICE"",TODAY()-84),2,2)"),1362.2)</f>
        <v>1362.2</v>
      </c>
      <c r="L126" s="16">
        <f t="shared" si="1"/>
        <v>0.02710731526</v>
      </c>
      <c r="M126" s="16">
        <f t="shared" si="2"/>
        <v>0.01631393298</v>
      </c>
      <c r="N126" s="16">
        <f t="shared" si="3"/>
        <v>0.03078184393</v>
      </c>
      <c r="O126" s="16">
        <f t="shared" si="4"/>
        <v>0.07928827845</v>
      </c>
      <c r="P126" s="16">
        <f t="shared" si="5"/>
        <v>0.01526941712</v>
      </c>
      <c r="Q126" s="30">
        <f t="shared" si="6"/>
        <v>0.004455475844</v>
      </c>
      <c r="R126" s="30">
        <f t="shared" si="7"/>
        <v>0.00699748875</v>
      </c>
      <c r="S126" s="30">
        <f t="shared" si="8"/>
        <v>0.007916074817</v>
      </c>
      <c r="T126" s="30">
        <f t="shared" si="9"/>
        <v>-0.1115234496</v>
      </c>
    </row>
    <row r="127">
      <c r="A127" s="1">
        <v>124.0</v>
      </c>
      <c r="B127" s="22" t="s">
        <v>667</v>
      </c>
      <c r="C127" s="22" t="s">
        <v>528</v>
      </c>
      <c r="D127" s="22" t="s">
        <v>273</v>
      </c>
      <c r="E127" s="23">
        <f>IFERROR(__xludf.DUMMYFUNCTION("GOOGLEFINANCE(""NSE:""&amp;D127,""marketcap"")/10000000"),36029.97468)</f>
        <v>36029.97468</v>
      </c>
      <c r="F127" s="17">
        <f>IFERROR(__xludf.DUMMYFUNCTION("GOOGLEFINANCE(""NSE:""&amp;D127)"),1044.0)</f>
        <v>1044</v>
      </c>
      <c r="G127" s="17">
        <f>IFERROR(__xludf.DUMMYFUNCTION("GOOGLEFINANCE(""NSE:""&amp;D127,""closeyest"")"),1039.2)</f>
        <v>1039.2</v>
      </c>
      <c r="H127" s="17">
        <f>IFERROR(__xludf.DUMMYFUNCTION("INDEX(GOOGLEFINANCE(""NSE:""&amp;D127,""PRICE"",TODAY()-7),2,2)"),1081.7)</f>
        <v>1081.7</v>
      </c>
      <c r="I127" s="17">
        <f>IFERROR(__xludf.DUMMYFUNCTION("INDEX(GOOGLEFINANCE(""NSE:""&amp;D127,""PRICE"",TODAY()-14),2,2)"),1094.9)</f>
        <v>1094.9</v>
      </c>
      <c r="J127" s="17">
        <f>IFERROR(__xludf.DUMMYFUNCTION("INDEX(GOOGLEFINANCE(""NSE:""&amp;D127,""PRICE"",TODAY()-28),2,2)"),1019.8)</f>
        <v>1019.8</v>
      </c>
      <c r="K127" s="17">
        <f>IFERROR(__xludf.DUMMYFUNCTION("INDEX(GOOGLEFINANCE(""NSE:""&amp;D127,""PRICE"",TODAY()-84),2,2)"),1034.85)</f>
        <v>1034.85</v>
      </c>
      <c r="L127" s="16">
        <f t="shared" si="1"/>
        <v>0.004618937644</v>
      </c>
      <c r="M127" s="16">
        <f t="shared" si="2"/>
        <v>-0.03485254692</v>
      </c>
      <c r="N127" s="16">
        <f t="shared" si="3"/>
        <v>-0.04648826377</v>
      </c>
      <c r="O127" s="16">
        <f t="shared" si="4"/>
        <v>0.02373014317</v>
      </c>
      <c r="P127" s="16">
        <f t="shared" si="5"/>
        <v>0.008841861139</v>
      </c>
      <c r="Q127" s="30">
        <f t="shared" si="6"/>
        <v>-0.04671100405</v>
      </c>
      <c r="R127" s="30">
        <f t="shared" si="7"/>
        <v>-0.07027261895</v>
      </c>
      <c r="S127" s="30">
        <f t="shared" si="8"/>
        <v>-0.04764206046</v>
      </c>
      <c r="T127" s="30">
        <f t="shared" si="9"/>
        <v>-0.1179510056</v>
      </c>
    </row>
    <row r="128">
      <c r="A128" s="1">
        <v>125.0</v>
      </c>
      <c r="B128" s="22" t="s">
        <v>668</v>
      </c>
      <c r="C128" s="22" t="s">
        <v>635</v>
      </c>
      <c r="D128" s="22" t="s">
        <v>315</v>
      </c>
      <c r="E128" s="23">
        <f>IFERROR(__xludf.DUMMYFUNCTION("GOOGLEFINANCE(""NSE:""&amp;D128,""marketcap"")/10000000"),36212.983487)</f>
        <v>36212.98349</v>
      </c>
      <c r="F128" s="17">
        <f>IFERROR(__xludf.DUMMYFUNCTION("GOOGLEFINANCE(""NSE:""&amp;D128)"),2425.2)</f>
        <v>2425.2</v>
      </c>
      <c r="G128" s="17">
        <f>IFERROR(__xludf.DUMMYFUNCTION("GOOGLEFINANCE(""NSE:""&amp;D128,""closeyest"")"),2401.95)</f>
        <v>2401.95</v>
      </c>
      <c r="H128" s="17">
        <f>IFERROR(__xludf.DUMMYFUNCTION("INDEX(GOOGLEFINANCE(""NSE:""&amp;D128,""PRICE"",TODAY()-7),2,2)"),2505.75)</f>
        <v>2505.75</v>
      </c>
      <c r="I128" s="17">
        <f>IFERROR(__xludf.DUMMYFUNCTION("INDEX(GOOGLEFINANCE(""NSE:""&amp;D128,""PRICE"",TODAY()-14),2,2)"),2442.35)</f>
        <v>2442.35</v>
      </c>
      <c r="J128" s="17">
        <f>IFERROR(__xludf.DUMMYFUNCTION("INDEX(GOOGLEFINANCE(""NSE:""&amp;D128,""PRICE"",TODAY()-28),2,2)"),1894.55)</f>
        <v>1894.55</v>
      </c>
      <c r="K128" s="17">
        <f>IFERROR(__xludf.DUMMYFUNCTION("INDEX(GOOGLEFINANCE(""NSE:""&amp;D128,""PRICE"",TODAY()-84),2,2)"),1989.6)</f>
        <v>1989.6</v>
      </c>
      <c r="L128" s="16">
        <f t="shared" si="1"/>
        <v>0.009679635296</v>
      </c>
      <c r="M128" s="16">
        <f t="shared" si="2"/>
        <v>-0.03214606405</v>
      </c>
      <c r="N128" s="16">
        <f t="shared" si="3"/>
        <v>-0.007021925604</v>
      </c>
      <c r="O128" s="16">
        <f t="shared" si="4"/>
        <v>0.280092898</v>
      </c>
      <c r="P128" s="16">
        <f t="shared" si="5"/>
        <v>0.2189384801</v>
      </c>
      <c r="Q128" s="30">
        <f t="shared" si="6"/>
        <v>-0.04400452119</v>
      </c>
      <c r="R128" s="30">
        <f t="shared" si="7"/>
        <v>-0.03080628078</v>
      </c>
      <c r="S128" s="30">
        <f t="shared" si="8"/>
        <v>0.2087206944</v>
      </c>
      <c r="T128" s="30">
        <f t="shared" si="9"/>
        <v>0.0921456134</v>
      </c>
    </row>
    <row r="129">
      <c r="A129" s="1">
        <v>126.0</v>
      </c>
      <c r="B129" s="22" t="s">
        <v>763</v>
      </c>
      <c r="C129" s="22" t="s">
        <v>618</v>
      </c>
      <c r="D129" s="22" t="s">
        <v>289</v>
      </c>
      <c r="E129" s="23">
        <f>IFERROR(__xludf.DUMMYFUNCTION("GOOGLEFINANCE(""NSE:""&amp;D129,""marketcap"")/10000000"),35831.7272446)</f>
        <v>35831.72724</v>
      </c>
      <c r="F129" s="17">
        <f>IFERROR(__xludf.DUMMYFUNCTION("GOOGLEFINANCE(""NSE:""&amp;D129)"),370.95)</f>
        <v>370.95</v>
      </c>
      <c r="G129" s="17">
        <f>IFERROR(__xludf.DUMMYFUNCTION("GOOGLEFINANCE(""NSE:""&amp;D129,""closeyest"")"),371.9)</f>
        <v>371.9</v>
      </c>
      <c r="H129" s="17">
        <f>IFERROR(__xludf.DUMMYFUNCTION("INDEX(GOOGLEFINANCE(""NSE:""&amp;D129,""PRICE"",TODAY()-7),2,2)"),379.25)</f>
        <v>379.25</v>
      </c>
      <c r="I129" s="17">
        <f>IFERROR(__xludf.DUMMYFUNCTION("INDEX(GOOGLEFINANCE(""NSE:""&amp;D129,""PRICE"",TODAY()-14),2,2)"),386.55)</f>
        <v>386.55</v>
      </c>
      <c r="J129" s="17">
        <f>IFERROR(__xludf.DUMMYFUNCTION("INDEX(GOOGLEFINANCE(""NSE:""&amp;D129,""PRICE"",TODAY()-28),2,2)"),335.1)</f>
        <v>335.1</v>
      </c>
      <c r="K129" s="17">
        <f>IFERROR(__xludf.DUMMYFUNCTION("INDEX(GOOGLEFINANCE(""NSE:""&amp;D129,""PRICE"",TODAY()-84),2,2)"),279.9)</f>
        <v>279.9</v>
      </c>
      <c r="L129" s="16">
        <f t="shared" si="1"/>
        <v>-0.002554450121</v>
      </c>
      <c r="M129" s="16">
        <f t="shared" si="2"/>
        <v>-0.02188529993</v>
      </c>
      <c r="N129" s="16">
        <f t="shared" si="3"/>
        <v>-0.04035700427</v>
      </c>
      <c r="O129" s="16">
        <f t="shared" si="4"/>
        <v>0.1069829902</v>
      </c>
      <c r="P129" s="16">
        <f t="shared" si="5"/>
        <v>0.3252947481</v>
      </c>
      <c r="Q129" s="30">
        <f t="shared" si="6"/>
        <v>-0.03374375707</v>
      </c>
      <c r="R129" s="30">
        <f t="shared" si="7"/>
        <v>-0.06414135945</v>
      </c>
      <c r="S129" s="30">
        <f t="shared" si="8"/>
        <v>0.03561078652</v>
      </c>
      <c r="T129" s="30">
        <f t="shared" si="9"/>
        <v>0.1985018814</v>
      </c>
    </row>
    <row r="130">
      <c r="A130" s="1">
        <v>127.0</v>
      </c>
      <c r="B130" s="22" t="s">
        <v>669</v>
      </c>
      <c r="C130" s="22" t="s">
        <v>528</v>
      </c>
      <c r="D130" s="22" t="s">
        <v>295</v>
      </c>
      <c r="E130" s="23">
        <f>IFERROR(__xludf.DUMMYFUNCTION("GOOGLEFINANCE(""NSE:""&amp;D130,""marketcap"")/10000000"),36459.0543692)</f>
        <v>36459.05437</v>
      </c>
      <c r="F130" s="17">
        <f>IFERROR(__xludf.DUMMYFUNCTION("GOOGLEFINANCE(""NSE:""&amp;D130)"),138.2)</f>
        <v>138.2</v>
      </c>
      <c r="G130" s="17">
        <f>IFERROR(__xludf.DUMMYFUNCTION("GOOGLEFINANCE(""NSE:""&amp;D130,""closeyest"")"),135.0)</f>
        <v>135</v>
      </c>
      <c r="H130" s="17">
        <f>IFERROR(__xludf.DUMMYFUNCTION("INDEX(GOOGLEFINANCE(""NSE:""&amp;D130,""PRICE"",TODAY()-7),2,2)"),138.3)</f>
        <v>138.3</v>
      </c>
      <c r="I130" s="17">
        <f>IFERROR(__xludf.DUMMYFUNCTION("INDEX(GOOGLEFINANCE(""NSE:""&amp;D130,""PRICE"",TODAY()-14),2,2)"),138.7)</f>
        <v>138.7</v>
      </c>
      <c r="J130" s="17">
        <f>IFERROR(__xludf.DUMMYFUNCTION("INDEX(GOOGLEFINANCE(""NSE:""&amp;D130,""PRICE"",TODAY()-28),2,2)"),126.3)</f>
        <v>126.3</v>
      </c>
      <c r="K130" s="17">
        <f>IFERROR(__xludf.DUMMYFUNCTION("INDEX(GOOGLEFINANCE(""NSE:""&amp;D130,""PRICE"",TODAY()-84),2,2)"),121.05)</f>
        <v>121.05</v>
      </c>
      <c r="L130" s="16">
        <f t="shared" si="1"/>
        <v>0.0237037037</v>
      </c>
      <c r="M130" s="16">
        <f t="shared" si="2"/>
        <v>-0.000723065799</v>
      </c>
      <c r="N130" s="16">
        <f t="shared" si="3"/>
        <v>-0.003604902668</v>
      </c>
      <c r="O130" s="16">
        <f t="shared" si="4"/>
        <v>0.09422011085</v>
      </c>
      <c r="P130" s="16">
        <f t="shared" si="5"/>
        <v>0.141676993</v>
      </c>
      <c r="Q130" s="30">
        <f t="shared" si="6"/>
        <v>-0.01258152294</v>
      </c>
      <c r="R130" s="30">
        <f t="shared" si="7"/>
        <v>-0.02738925785</v>
      </c>
      <c r="S130" s="30">
        <f t="shared" si="8"/>
        <v>0.02284790722</v>
      </c>
      <c r="T130" s="30">
        <f t="shared" si="9"/>
        <v>0.01488412628</v>
      </c>
    </row>
    <row r="131">
      <c r="A131" s="1">
        <v>128.0</v>
      </c>
      <c r="B131" s="22" t="s">
        <v>670</v>
      </c>
      <c r="C131" s="22" t="s">
        <v>590</v>
      </c>
      <c r="D131" s="22" t="s">
        <v>283</v>
      </c>
      <c r="E131" s="23">
        <f>IFERROR(__xludf.DUMMYFUNCTION("GOOGLEFINANCE(""NSE:""&amp;D131,""marketcap"")/10000000"),35913.5653691)</f>
        <v>35913.56537</v>
      </c>
      <c r="F131" s="17">
        <f>IFERROR(__xludf.DUMMYFUNCTION("GOOGLEFINANCE(""NSE:""&amp;D131)"),1010.0)</f>
        <v>1010</v>
      </c>
      <c r="G131" s="17">
        <f>IFERROR(__xludf.DUMMYFUNCTION("GOOGLEFINANCE(""NSE:""&amp;D131,""closeyest"")"),983.7)</f>
        <v>983.7</v>
      </c>
      <c r="H131" s="17">
        <f>IFERROR(__xludf.DUMMYFUNCTION("INDEX(GOOGLEFINANCE(""NSE:""&amp;D131,""PRICE"",TODAY()-7),2,2)"),982.45)</f>
        <v>982.45</v>
      </c>
      <c r="I131" s="17">
        <f>IFERROR(__xludf.DUMMYFUNCTION("INDEX(GOOGLEFINANCE(""NSE:""&amp;D131,""PRICE"",TODAY()-14),2,2)"),1006.1)</f>
        <v>1006.1</v>
      </c>
      <c r="J131" s="17">
        <f>IFERROR(__xludf.DUMMYFUNCTION("INDEX(GOOGLEFINANCE(""NSE:""&amp;D131,""PRICE"",TODAY()-28),2,2)"),948.5)</f>
        <v>948.5</v>
      </c>
      <c r="K131" s="17">
        <f>IFERROR(__xludf.DUMMYFUNCTION("INDEX(GOOGLEFINANCE(""NSE:""&amp;D131,""PRICE"",TODAY()-84),2,2)"),899.8)</f>
        <v>899.8</v>
      </c>
      <c r="L131" s="16">
        <f t="shared" si="1"/>
        <v>0.02673579343</v>
      </c>
      <c r="M131" s="16">
        <f t="shared" si="2"/>
        <v>0.02804213955</v>
      </c>
      <c r="N131" s="16">
        <f t="shared" si="3"/>
        <v>0.003876354239</v>
      </c>
      <c r="O131" s="16">
        <f t="shared" si="4"/>
        <v>0.06483921982</v>
      </c>
      <c r="P131" s="16">
        <f t="shared" si="5"/>
        <v>0.1224716604</v>
      </c>
      <c r="Q131" s="30">
        <f t="shared" si="6"/>
        <v>0.01618368241</v>
      </c>
      <c r="R131" s="30">
        <f t="shared" si="7"/>
        <v>-0.01990800094</v>
      </c>
      <c r="S131" s="30">
        <f t="shared" si="8"/>
        <v>-0.006532983808</v>
      </c>
      <c r="T131" s="30">
        <f t="shared" si="9"/>
        <v>-0.004321206328</v>
      </c>
    </row>
    <row r="132">
      <c r="A132" s="1">
        <v>129.0</v>
      </c>
      <c r="B132" s="22" t="s">
        <v>627</v>
      </c>
      <c r="C132" s="22" t="s">
        <v>522</v>
      </c>
      <c r="D132" s="22" t="s">
        <v>293</v>
      </c>
      <c r="E132" s="23">
        <f>IFERROR(__xludf.DUMMYFUNCTION("GOOGLEFINANCE(""NSE:""&amp;D132,""marketcap"")/10000000"),35122.9613567)</f>
        <v>35122.96136</v>
      </c>
      <c r="F132" s="17">
        <f>IFERROR(__xludf.DUMMYFUNCTION("GOOGLEFINANCE(""NSE:""&amp;D132)"),233.5)</f>
        <v>233.5</v>
      </c>
      <c r="G132" s="17">
        <f>IFERROR(__xludf.DUMMYFUNCTION("GOOGLEFINANCE(""NSE:""&amp;D132,""closeyest"")"),233.15)</f>
        <v>233.15</v>
      </c>
      <c r="H132" s="17">
        <f>IFERROR(__xludf.DUMMYFUNCTION("INDEX(GOOGLEFINANCE(""NSE:""&amp;D132,""PRICE"",TODAY()-7),2,2)"),232.2)</f>
        <v>232.2</v>
      </c>
      <c r="I132" s="17">
        <f>IFERROR(__xludf.DUMMYFUNCTION("INDEX(GOOGLEFINANCE(""NSE:""&amp;D132,""PRICE"",TODAY()-14),2,2)"),230.05)</f>
        <v>230.05</v>
      </c>
      <c r="J132" s="17">
        <f>IFERROR(__xludf.DUMMYFUNCTION("INDEX(GOOGLEFINANCE(""NSE:""&amp;D132,""PRICE"",TODAY()-28),2,2)"),227.85)</f>
        <v>227.85</v>
      </c>
      <c r="K132" s="17">
        <f>IFERROR(__xludf.DUMMYFUNCTION("INDEX(GOOGLEFINANCE(""NSE:""&amp;D132,""PRICE"",TODAY()-84),2,2)"),223.4)</f>
        <v>223.4</v>
      </c>
      <c r="L132" s="16">
        <f t="shared" si="1"/>
        <v>0.001501179498</v>
      </c>
      <c r="M132" s="16">
        <f t="shared" si="2"/>
        <v>0.005598621878</v>
      </c>
      <c r="N132" s="16">
        <f t="shared" si="3"/>
        <v>0.01499673984</v>
      </c>
      <c r="O132" s="16">
        <f t="shared" si="4"/>
        <v>0.02479701558</v>
      </c>
      <c r="P132" s="16">
        <f t="shared" si="5"/>
        <v>0.04521038496</v>
      </c>
      <c r="Q132" s="30">
        <f t="shared" si="6"/>
        <v>-0.006259835259</v>
      </c>
      <c r="R132" s="30">
        <f t="shared" si="7"/>
        <v>-0.008787615341</v>
      </c>
      <c r="S132" s="30">
        <f t="shared" si="8"/>
        <v>-0.04657518805</v>
      </c>
      <c r="T132" s="30">
        <f t="shared" si="9"/>
        <v>-0.08158248174</v>
      </c>
    </row>
    <row r="133">
      <c r="A133" s="1">
        <v>130.0</v>
      </c>
      <c r="B133" s="22" t="s">
        <v>671</v>
      </c>
      <c r="C133" s="22" t="s">
        <v>524</v>
      </c>
      <c r="D133" s="22" t="s">
        <v>319</v>
      </c>
      <c r="E133" s="23">
        <f>IFERROR(__xludf.DUMMYFUNCTION("GOOGLEFINANCE(""NSE:""&amp;D133,""marketcap"")/10000000"),35659.982769)</f>
        <v>35659.98277</v>
      </c>
      <c r="F133" s="17">
        <f>IFERROR(__xludf.DUMMYFUNCTION("GOOGLEFINANCE(""NSE:""&amp;D133)"),5725.0)</f>
        <v>5725</v>
      </c>
      <c r="G133" s="17">
        <f>IFERROR(__xludf.DUMMYFUNCTION("GOOGLEFINANCE(""NSE:""&amp;D133,""closeyest"")"),5580.15)</f>
        <v>5580.15</v>
      </c>
      <c r="H133" s="17">
        <f>IFERROR(__xludf.DUMMYFUNCTION("INDEX(GOOGLEFINANCE(""NSE:""&amp;D133,""PRICE"",TODAY()-7),2,2)"),5490.65)</f>
        <v>5490.65</v>
      </c>
      <c r="I133" s="17">
        <f>IFERROR(__xludf.DUMMYFUNCTION("INDEX(GOOGLEFINANCE(""NSE:""&amp;D133,""PRICE"",TODAY()-14),2,2)"),5009.3)</f>
        <v>5009.3</v>
      </c>
      <c r="J133" s="17">
        <f>IFERROR(__xludf.DUMMYFUNCTION("INDEX(GOOGLEFINANCE(""NSE:""&amp;D133,""PRICE"",TODAY()-28),2,2)"),4868.65)</f>
        <v>4868.65</v>
      </c>
      <c r="K133" s="17">
        <f>IFERROR(__xludf.DUMMYFUNCTION("INDEX(GOOGLEFINANCE(""NSE:""&amp;D133,""PRICE"",TODAY()-84),2,2)"),4429.55)</f>
        <v>4429.55</v>
      </c>
      <c r="L133" s="16">
        <f t="shared" si="1"/>
        <v>0.02595808356</v>
      </c>
      <c r="M133" s="16">
        <f t="shared" si="2"/>
        <v>0.04268164971</v>
      </c>
      <c r="N133" s="16">
        <f t="shared" si="3"/>
        <v>0.1428742539</v>
      </c>
      <c r="O133" s="16">
        <f t="shared" si="4"/>
        <v>0.1758906473</v>
      </c>
      <c r="P133" s="16">
        <f t="shared" si="5"/>
        <v>0.2924563443</v>
      </c>
      <c r="Q133" s="30">
        <f t="shared" si="6"/>
        <v>0.03082319258</v>
      </c>
      <c r="R133" s="30">
        <f t="shared" si="7"/>
        <v>0.1190898987</v>
      </c>
      <c r="S133" s="30">
        <f t="shared" si="8"/>
        <v>0.1045184437</v>
      </c>
      <c r="T133" s="30">
        <f t="shared" si="9"/>
        <v>0.1656634776</v>
      </c>
    </row>
    <row r="134">
      <c r="A134" s="1">
        <v>131.0</v>
      </c>
      <c r="B134" s="22" t="s">
        <v>672</v>
      </c>
      <c r="C134" s="22" t="s">
        <v>635</v>
      </c>
      <c r="D134" s="22" t="s">
        <v>281</v>
      </c>
      <c r="E134" s="23">
        <f>IFERROR(__xludf.DUMMYFUNCTION("GOOGLEFINANCE(""NSE:""&amp;D134,""marketcap"")/10000000"),35617.5279)</f>
        <v>35617.5279</v>
      </c>
      <c r="F134" s="17">
        <f>IFERROR(__xludf.DUMMYFUNCTION("GOOGLEFINANCE(""NSE:""&amp;D134)"),765.0)</f>
        <v>765</v>
      </c>
      <c r="G134" s="17">
        <f>IFERROR(__xludf.DUMMYFUNCTION("GOOGLEFINANCE(""NSE:""&amp;D134,""closeyest"")"),740.85)</f>
        <v>740.85</v>
      </c>
      <c r="H134" s="17">
        <f>IFERROR(__xludf.DUMMYFUNCTION("INDEX(GOOGLEFINANCE(""NSE:""&amp;D134,""PRICE"",TODAY()-7),2,2)"),761.55)</f>
        <v>761.55</v>
      </c>
      <c r="I134" s="17">
        <f>IFERROR(__xludf.DUMMYFUNCTION("INDEX(GOOGLEFINANCE(""NSE:""&amp;D134,""PRICE"",TODAY()-14),2,2)"),774.5)</f>
        <v>774.5</v>
      </c>
      <c r="J134" s="17">
        <f>IFERROR(__xludf.DUMMYFUNCTION("INDEX(GOOGLEFINANCE(""NSE:""&amp;D134,""PRICE"",TODAY()-28),2,2)"),729.45)</f>
        <v>729.45</v>
      </c>
      <c r="K134" s="17">
        <f>IFERROR(__xludf.DUMMYFUNCTION("INDEX(GOOGLEFINANCE(""NSE:""&amp;D134,""PRICE"",TODAY()-84),2,2)"),771.9)</f>
        <v>771.9</v>
      </c>
      <c r="L134" s="16">
        <f t="shared" si="1"/>
        <v>0.03259769184</v>
      </c>
      <c r="M134" s="16">
        <f t="shared" si="2"/>
        <v>0.00453023439</v>
      </c>
      <c r="N134" s="16">
        <f t="shared" si="3"/>
        <v>-0.01226597805</v>
      </c>
      <c r="O134" s="16">
        <f t="shared" si="4"/>
        <v>0.04873534855</v>
      </c>
      <c r="P134" s="16">
        <f t="shared" si="5"/>
        <v>-0.008938981733</v>
      </c>
      <c r="Q134" s="30">
        <f t="shared" si="6"/>
        <v>-0.007328222746</v>
      </c>
      <c r="R134" s="30">
        <f t="shared" si="7"/>
        <v>-0.03605033323</v>
      </c>
      <c r="S134" s="30">
        <f t="shared" si="8"/>
        <v>-0.02263685508</v>
      </c>
      <c r="T134" s="30">
        <f t="shared" si="9"/>
        <v>-0.1357318484</v>
      </c>
    </row>
    <row r="135">
      <c r="A135" s="1">
        <v>132.0</v>
      </c>
      <c r="B135" s="22" t="s">
        <v>615</v>
      </c>
      <c r="C135" s="22" t="s">
        <v>545</v>
      </c>
      <c r="D135" s="22" t="s">
        <v>301</v>
      </c>
      <c r="E135" s="23">
        <f>IFERROR(__xludf.DUMMYFUNCTION("GOOGLEFINANCE(""NSE:""&amp;D135,""marketcap"")/10000000"),33970.4752638)</f>
        <v>33970.47526</v>
      </c>
      <c r="F135" s="17">
        <f>IFERROR(__xludf.DUMMYFUNCTION("GOOGLEFINANCE(""NSE:""&amp;D135)"),80097.45)</f>
        <v>80097.45</v>
      </c>
      <c r="G135" s="17">
        <f>IFERROR(__xludf.DUMMYFUNCTION("GOOGLEFINANCE(""NSE:""&amp;D135,""closeyest"")"),79993.8)</f>
        <v>79993.8</v>
      </c>
      <c r="H135" s="17">
        <f>IFERROR(__xludf.DUMMYFUNCTION("INDEX(GOOGLEFINANCE(""NSE:""&amp;D135,""PRICE"",TODAY()-7),2,2)"),79397.25)</f>
        <v>79397.25</v>
      </c>
      <c r="I135" s="17">
        <f>IFERROR(__xludf.DUMMYFUNCTION("INDEX(GOOGLEFINANCE(""NSE:""&amp;D135,""PRICE"",TODAY()-14),2,2)"),80243.6)</f>
        <v>80243.6</v>
      </c>
      <c r="J135" s="17">
        <f>IFERROR(__xludf.DUMMYFUNCTION("INDEX(GOOGLEFINANCE(""NSE:""&amp;D135,""PRICE"",TODAY()-28),2,2)"),76953.45)</f>
        <v>76953.45</v>
      </c>
      <c r="K135" s="17">
        <f>IFERROR(__xludf.DUMMYFUNCTION("INDEX(GOOGLEFINANCE(""NSE:""&amp;D135,""PRICE"",TODAY()-84),2,2)"),81142.3)</f>
        <v>81142.3</v>
      </c>
      <c r="L135" s="16">
        <f t="shared" si="1"/>
        <v>0.001295725419</v>
      </c>
      <c r="M135" s="16">
        <f t="shared" si="2"/>
        <v>0.008818945241</v>
      </c>
      <c r="N135" s="16">
        <f t="shared" si="3"/>
        <v>-0.001821329053</v>
      </c>
      <c r="O135" s="16">
        <f t="shared" si="4"/>
        <v>0.04085586806</v>
      </c>
      <c r="P135" s="16">
        <f t="shared" si="5"/>
        <v>-0.01287676095</v>
      </c>
      <c r="Q135" s="30">
        <f t="shared" si="6"/>
        <v>-0.003039511896</v>
      </c>
      <c r="R135" s="30">
        <f t="shared" si="7"/>
        <v>-0.02560568423</v>
      </c>
      <c r="S135" s="30">
        <f t="shared" si="8"/>
        <v>-0.03051633557</v>
      </c>
      <c r="T135" s="30">
        <f t="shared" si="9"/>
        <v>-0.1396696276</v>
      </c>
    </row>
    <row r="136">
      <c r="A136" s="1">
        <v>133.0</v>
      </c>
      <c r="B136" s="22" t="s">
        <v>673</v>
      </c>
      <c r="C136" s="22" t="s">
        <v>528</v>
      </c>
      <c r="D136" s="22" t="s">
        <v>257</v>
      </c>
      <c r="E136" s="23">
        <f>IFERROR(__xludf.DUMMYFUNCTION("GOOGLEFINANCE(""NSE:""&amp;D136,""marketcap"")/10000000"),34664.5362229)</f>
        <v>34664.53622</v>
      </c>
      <c r="F136" s="17">
        <f>IFERROR(__xludf.DUMMYFUNCTION("GOOGLEFINANCE(""NSE:""&amp;D136)"),1107.0)</f>
        <v>1107</v>
      </c>
      <c r="G136" s="17">
        <f>IFERROR(__xludf.DUMMYFUNCTION("GOOGLEFINANCE(""NSE:""&amp;D136,""closeyest"")"),1085.0)</f>
        <v>1085</v>
      </c>
      <c r="H136" s="17">
        <f>IFERROR(__xludf.DUMMYFUNCTION("INDEX(GOOGLEFINANCE(""NSE:""&amp;D136,""PRICE"",TODAY()-7),2,2)"),1116.4)</f>
        <v>1116.4</v>
      </c>
      <c r="I136" s="17">
        <f>IFERROR(__xludf.DUMMYFUNCTION("INDEX(GOOGLEFINANCE(""NSE:""&amp;D136,""PRICE"",TODAY()-14),2,2)"),1150.4)</f>
        <v>1150.4</v>
      </c>
      <c r="J136" s="17">
        <f>IFERROR(__xludf.DUMMYFUNCTION("INDEX(GOOGLEFINANCE(""NSE:""&amp;D136,""PRICE"",TODAY()-28),2,2)"),1285.5)</f>
        <v>1285.5</v>
      </c>
      <c r="K136" s="17">
        <f>IFERROR(__xludf.DUMMYFUNCTION("INDEX(GOOGLEFINANCE(""NSE:""&amp;D136,""PRICE"",TODAY()-84),2,2)"),1038.85)</f>
        <v>1038.85</v>
      </c>
      <c r="L136" s="16">
        <f t="shared" si="1"/>
        <v>0.0202764977</v>
      </c>
      <c r="M136" s="16">
        <f t="shared" si="2"/>
        <v>-0.008419921175</v>
      </c>
      <c r="N136" s="16">
        <f t="shared" si="3"/>
        <v>-0.03772600834</v>
      </c>
      <c r="O136" s="16">
        <f t="shared" si="4"/>
        <v>-0.1388564761</v>
      </c>
      <c r="P136" s="16">
        <f t="shared" si="5"/>
        <v>0.06560138615</v>
      </c>
      <c r="Q136" s="30">
        <f t="shared" si="6"/>
        <v>-0.02027837831</v>
      </c>
      <c r="R136" s="30">
        <f t="shared" si="7"/>
        <v>-0.06151036352</v>
      </c>
      <c r="S136" s="30">
        <f t="shared" si="8"/>
        <v>-0.2102286797</v>
      </c>
      <c r="T136" s="30">
        <f t="shared" si="9"/>
        <v>-0.06119148055</v>
      </c>
    </row>
    <row r="137">
      <c r="A137" s="1">
        <v>134.0</v>
      </c>
      <c r="B137" s="22" t="s">
        <v>674</v>
      </c>
      <c r="C137" s="22" t="s">
        <v>524</v>
      </c>
      <c r="D137" s="22" t="s">
        <v>311</v>
      </c>
      <c r="E137" s="23">
        <f>IFERROR(__xludf.DUMMYFUNCTION("GOOGLEFINANCE(""NSE:""&amp;D137,""marketcap"")/10000000"),34171.5943907)</f>
        <v>34171.59439</v>
      </c>
      <c r="F137" s="17">
        <f>IFERROR(__xludf.DUMMYFUNCTION("GOOGLEFINANCE(""NSE:""&amp;D137)"),5650.0)</f>
        <v>5650</v>
      </c>
      <c r="G137" s="17">
        <f>IFERROR(__xludf.DUMMYFUNCTION("GOOGLEFINANCE(""NSE:""&amp;D137,""closeyest"")"),5560.35)</f>
        <v>5560.35</v>
      </c>
      <c r="H137" s="17">
        <f>IFERROR(__xludf.DUMMYFUNCTION("INDEX(GOOGLEFINANCE(""NSE:""&amp;D137,""PRICE"",TODAY()-7),2,2)"),5444.7)</f>
        <v>5444.7</v>
      </c>
      <c r="I137" s="17">
        <f>IFERROR(__xludf.DUMMYFUNCTION("INDEX(GOOGLEFINANCE(""NSE:""&amp;D137,""PRICE"",TODAY()-14),2,2)"),5177.85)</f>
        <v>5177.85</v>
      </c>
      <c r="J137" s="17">
        <f>IFERROR(__xludf.DUMMYFUNCTION("INDEX(GOOGLEFINANCE(""NSE:""&amp;D137,""PRICE"",TODAY()-28),2,2)"),5077.0)</f>
        <v>5077</v>
      </c>
      <c r="K137" s="17">
        <f>IFERROR(__xludf.DUMMYFUNCTION("INDEX(GOOGLEFINANCE(""NSE:""&amp;D137,""PRICE"",TODAY()-84),2,2)"),4196.95)</f>
        <v>4196.95</v>
      </c>
      <c r="L137" s="16">
        <f t="shared" si="1"/>
        <v>0.01612308578</v>
      </c>
      <c r="M137" s="16">
        <f t="shared" si="2"/>
        <v>0.03770639337</v>
      </c>
      <c r="N137" s="16">
        <f t="shared" si="3"/>
        <v>0.09118649633</v>
      </c>
      <c r="O137" s="16">
        <f t="shared" si="4"/>
        <v>0.1128619263</v>
      </c>
      <c r="P137" s="16">
        <f t="shared" si="5"/>
        <v>0.3462157043</v>
      </c>
      <c r="Q137" s="30">
        <f t="shared" si="6"/>
        <v>0.02584793624</v>
      </c>
      <c r="R137" s="30">
        <f t="shared" si="7"/>
        <v>0.06740214115</v>
      </c>
      <c r="S137" s="30">
        <f t="shared" si="8"/>
        <v>0.04148972271</v>
      </c>
      <c r="T137" s="30">
        <f t="shared" si="9"/>
        <v>0.2194228376</v>
      </c>
    </row>
    <row r="138">
      <c r="A138" s="1">
        <v>135.0</v>
      </c>
      <c r="B138" s="22" t="s">
        <v>675</v>
      </c>
      <c r="C138" s="22" t="s">
        <v>549</v>
      </c>
      <c r="D138" s="22" t="s">
        <v>291</v>
      </c>
      <c r="E138" s="23">
        <f>IFERROR(__xludf.DUMMYFUNCTION("GOOGLEFINANCE(""NSE:""&amp;D138,""marketcap"")/10000000"),33390.0332333)</f>
        <v>33390.03323</v>
      </c>
      <c r="F138" s="17">
        <f>IFERROR(__xludf.DUMMYFUNCTION("GOOGLEFINANCE(""NSE:""&amp;D138)"),622.7)</f>
        <v>622.7</v>
      </c>
      <c r="G138" s="17">
        <f>IFERROR(__xludf.DUMMYFUNCTION("GOOGLEFINANCE(""NSE:""&amp;D138,""closeyest"")"),620.9)</f>
        <v>620.9</v>
      </c>
      <c r="H138" s="17">
        <f>IFERROR(__xludf.DUMMYFUNCTION("INDEX(GOOGLEFINANCE(""NSE:""&amp;D138,""PRICE"",TODAY()-7),2,2)"),651.15)</f>
        <v>651.15</v>
      </c>
      <c r="I138" s="17">
        <f>IFERROR(__xludf.DUMMYFUNCTION("INDEX(GOOGLEFINANCE(""NSE:""&amp;D138,""PRICE"",TODAY()-14),2,2)"),645.7)</f>
        <v>645.7</v>
      </c>
      <c r="J138" s="17">
        <f>IFERROR(__xludf.DUMMYFUNCTION("INDEX(GOOGLEFINANCE(""NSE:""&amp;D138,""PRICE"",TODAY()-28),2,2)"),658.6)</f>
        <v>658.6</v>
      </c>
      <c r="K138" s="17">
        <f>IFERROR(__xludf.DUMMYFUNCTION("INDEX(GOOGLEFINANCE(""NSE:""&amp;D138,""PRICE"",TODAY()-84),2,2)"),677.65)</f>
        <v>677.65</v>
      </c>
      <c r="L138" s="16">
        <f t="shared" si="1"/>
        <v>0.002899017555</v>
      </c>
      <c r="M138" s="16">
        <f t="shared" si="2"/>
        <v>-0.04369192966</v>
      </c>
      <c r="N138" s="16">
        <f t="shared" si="3"/>
        <v>-0.03562025709</v>
      </c>
      <c r="O138" s="16">
        <f t="shared" si="4"/>
        <v>-0.05450956575</v>
      </c>
      <c r="P138" s="16">
        <f t="shared" si="5"/>
        <v>-0.08108905777</v>
      </c>
      <c r="Q138" s="30">
        <f t="shared" si="6"/>
        <v>-0.0555503868</v>
      </c>
      <c r="R138" s="30">
        <f t="shared" si="7"/>
        <v>-0.05940461227</v>
      </c>
      <c r="S138" s="30">
        <f t="shared" si="8"/>
        <v>-0.1258817694</v>
      </c>
      <c r="T138" s="30">
        <f t="shared" si="9"/>
        <v>-0.2078819245</v>
      </c>
    </row>
    <row r="139">
      <c r="A139" s="1">
        <v>136.0</v>
      </c>
      <c r="B139" s="22" t="s">
        <v>676</v>
      </c>
      <c r="C139" s="22" t="s">
        <v>603</v>
      </c>
      <c r="D139" s="22" t="s">
        <v>297</v>
      </c>
      <c r="E139" s="23">
        <f>IFERROR(__xludf.DUMMYFUNCTION("GOOGLEFINANCE(""NSE:""&amp;D139,""marketcap"")/10000000"),33308.6791549)</f>
        <v>33308.67915</v>
      </c>
      <c r="F139" s="17">
        <f>IFERROR(__xludf.DUMMYFUNCTION("GOOGLEFINANCE(""NSE:""&amp;D139)"),918.85)</f>
        <v>918.85</v>
      </c>
      <c r="G139" s="17">
        <f>IFERROR(__xludf.DUMMYFUNCTION("GOOGLEFINANCE(""NSE:""&amp;D139,""closeyest"")"),915.3)</f>
        <v>915.3</v>
      </c>
      <c r="H139" s="17">
        <f>IFERROR(__xludf.DUMMYFUNCTION("INDEX(GOOGLEFINANCE(""NSE:""&amp;D139,""PRICE"",TODAY()-7),2,2)"),926.05)</f>
        <v>926.05</v>
      </c>
      <c r="I139" s="17">
        <f>IFERROR(__xludf.DUMMYFUNCTION("INDEX(GOOGLEFINANCE(""NSE:""&amp;D139,""PRICE"",TODAY()-14),2,2)"),928.95)</f>
        <v>928.95</v>
      </c>
      <c r="J139" s="17">
        <f>IFERROR(__xludf.DUMMYFUNCTION("INDEX(GOOGLEFINANCE(""NSE:""&amp;D139,""PRICE"",TODAY()-28),2,2)"),926.5)</f>
        <v>926.5</v>
      </c>
      <c r="K139" s="17">
        <f>IFERROR(__xludf.DUMMYFUNCTION("INDEX(GOOGLEFINANCE(""NSE:""&amp;D139,""PRICE"",TODAY()-84),2,2)"),874.3)</f>
        <v>874.3</v>
      </c>
      <c r="L139" s="16">
        <f t="shared" si="1"/>
        <v>0.003878509778</v>
      </c>
      <c r="M139" s="16">
        <f t="shared" si="2"/>
        <v>-0.007774958156</v>
      </c>
      <c r="N139" s="16">
        <f t="shared" si="3"/>
        <v>-0.01087249045</v>
      </c>
      <c r="O139" s="16">
        <f t="shared" si="4"/>
        <v>-0.008256880734</v>
      </c>
      <c r="P139" s="16">
        <f t="shared" si="5"/>
        <v>0.05095504975</v>
      </c>
      <c r="Q139" s="30">
        <f t="shared" si="6"/>
        <v>-0.01963341529</v>
      </c>
      <c r="R139" s="30">
        <f t="shared" si="7"/>
        <v>-0.03465684563</v>
      </c>
      <c r="S139" s="30">
        <f t="shared" si="8"/>
        <v>-0.07962908436</v>
      </c>
      <c r="T139" s="30">
        <f t="shared" si="9"/>
        <v>-0.07583781694</v>
      </c>
    </row>
    <row r="140">
      <c r="A140" s="1">
        <v>137.0</v>
      </c>
      <c r="B140" s="22" t="s">
        <v>764</v>
      </c>
      <c r="C140" s="22" t="s">
        <v>526</v>
      </c>
      <c r="D140" s="22" t="s">
        <v>300</v>
      </c>
      <c r="E140" s="23">
        <f>IFERROR(__xludf.DUMMYFUNCTION("GOOGLEFINANCE(""NSE:""&amp;D140,""marketcap"")/10000000"),33682.475)</f>
        <v>33682.475</v>
      </c>
      <c r="F140" s="17">
        <f>IFERROR(__xludf.DUMMYFUNCTION("GOOGLEFINANCE(""NSE:""&amp;D140)"),625.0)</f>
        <v>625</v>
      </c>
      <c r="G140" s="17">
        <f>IFERROR(__xludf.DUMMYFUNCTION("GOOGLEFINANCE(""NSE:""&amp;D140,""closeyest"")"),618.8)</f>
        <v>618.8</v>
      </c>
      <c r="H140" s="17">
        <f>IFERROR(__xludf.DUMMYFUNCTION("INDEX(GOOGLEFINANCE(""NSE:""&amp;D140,""PRICE"",TODAY()-7),2,2)"),613.95)</f>
        <v>613.95</v>
      </c>
      <c r="I140" s="17">
        <f>IFERROR(__xludf.DUMMYFUNCTION("INDEX(GOOGLEFINANCE(""NSE:""&amp;D140,""PRICE"",TODAY()-14),2,2)"),603.95)</f>
        <v>603.95</v>
      </c>
      <c r="J140" s="17">
        <f>IFERROR(__xludf.DUMMYFUNCTION("INDEX(GOOGLEFINANCE(""NSE:""&amp;D140,""PRICE"",TODAY()-28),2,2)"),622.15)</f>
        <v>622.15</v>
      </c>
      <c r="K140" s="17">
        <f>IFERROR(__xludf.DUMMYFUNCTION("INDEX(GOOGLEFINANCE(""NSE:""&amp;D140,""PRICE"",TODAY()-84),2,2)"),587.2)</f>
        <v>587.2</v>
      </c>
      <c r="L140" s="16">
        <f t="shared" si="1"/>
        <v>0.01001939237</v>
      </c>
      <c r="M140" s="16">
        <f t="shared" si="2"/>
        <v>0.01799820832</v>
      </c>
      <c r="N140" s="16">
        <f t="shared" si="3"/>
        <v>0.03485387863</v>
      </c>
      <c r="O140" s="16">
        <f t="shared" si="4"/>
        <v>0.004580888853</v>
      </c>
      <c r="P140" s="16">
        <f t="shared" si="5"/>
        <v>0.064373297</v>
      </c>
      <c r="Q140" s="30">
        <f t="shared" si="6"/>
        <v>0.006139751187</v>
      </c>
      <c r="R140" s="30">
        <f t="shared" si="7"/>
        <v>0.01106952345</v>
      </c>
      <c r="S140" s="30">
        <f t="shared" si="8"/>
        <v>-0.06679131478</v>
      </c>
      <c r="T140" s="30">
        <f t="shared" si="9"/>
        <v>-0.06241956969</v>
      </c>
    </row>
    <row r="141">
      <c r="A141" s="1">
        <v>138.0</v>
      </c>
      <c r="B141" s="22" t="s">
        <v>587</v>
      </c>
      <c r="C141" s="22" t="s">
        <v>528</v>
      </c>
      <c r="D141" s="22" t="s">
        <v>337</v>
      </c>
      <c r="E141" s="23">
        <f>IFERROR(__xludf.DUMMYFUNCTION("GOOGLEFINANCE(""NSE:""&amp;D141,""marketcap"")/10000000"),32596.4254734)</f>
        <v>32596.42547</v>
      </c>
      <c r="F141" s="17">
        <f>IFERROR(__xludf.DUMMYFUNCTION("GOOGLEFINANCE(""NSE:""&amp;D141)"),13.0)</f>
        <v>13</v>
      </c>
      <c r="G141" s="17">
        <f>IFERROR(__xludf.DUMMYFUNCTION("GOOGLEFINANCE(""NSE:""&amp;D141,""closeyest"")"),13.15)</f>
        <v>13.15</v>
      </c>
      <c r="H141" s="17">
        <f>IFERROR(__xludf.DUMMYFUNCTION("INDEX(GOOGLEFINANCE(""NSE:""&amp;D141,""PRICE"",TODAY()-7),2,2)"),13.25)</f>
        <v>13.25</v>
      </c>
      <c r="I141" s="17">
        <f>IFERROR(__xludf.DUMMYFUNCTION("INDEX(GOOGLEFINANCE(""NSE:""&amp;D141,""PRICE"",TODAY()-14),2,2)"),11.1)</f>
        <v>11.1</v>
      </c>
      <c r="J141" s="17">
        <f>IFERROR(__xludf.DUMMYFUNCTION("INDEX(GOOGLEFINANCE(""NSE:""&amp;D141,""PRICE"",TODAY()-28),2,2)"),11.05)</f>
        <v>11.05</v>
      </c>
      <c r="K141" s="17">
        <f>IFERROR(__xludf.DUMMYFUNCTION("INDEX(GOOGLEFINANCE(""NSE:""&amp;D141,""PRICE"",TODAY()-84),2,2)"),13.55)</f>
        <v>13.55</v>
      </c>
      <c r="L141" s="16">
        <f t="shared" si="1"/>
        <v>-0.01140684411</v>
      </c>
      <c r="M141" s="16">
        <f t="shared" si="2"/>
        <v>-0.01886792453</v>
      </c>
      <c r="N141" s="16">
        <f t="shared" si="3"/>
        <v>0.1711711712</v>
      </c>
      <c r="O141" s="16">
        <f t="shared" si="4"/>
        <v>0.1764705882</v>
      </c>
      <c r="P141" s="16">
        <f t="shared" si="5"/>
        <v>-0.0405904059</v>
      </c>
      <c r="Q141" s="30">
        <f t="shared" si="6"/>
        <v>-0.03072638166</v>
      </c>
      <c r="R141" s="30">
        <f t="shared" si="7"/>
        <v>0.147386816</v>
      </c>
      <c r="S141" s="30">
        <f t="shared" si="8"/>
        <v>0.1050983846</v>
      </c>
      <c r="T141" s="30">
        <f t="shared" si="9"/>
        <v>-0.1673832726</v>
      </c>
    </row>
    <row r="142">
      <c r="A142" s="1">
        <v>139.0</v>
      </c>
      <c r="B142" s="22" t="s">
        <v>677</v>
      </c>
      <c r="C142" s="22" t="s">
        <v>618</v>
      </c>
      <c r="D142" s="22" t="s">
        <v>303</v>
      </c>
      <c r="E142" s="23">
        <f>IFERROR(__xludf.DUMMYFUNCTION("GOOGLEFINANCE(""NSE:""&amp;D142,""marketcap"")/10000000"),33444.845902)</f>
        <v>33444.8459</v>
      </c>
      <c r="F142" s="17">
        <f>IFERROR(__xludf.DUMMYFUNCTION("GOOGLEFINANCE(""NSE:""&amp;D142)"),4036.15)</f>
        <v>4036.15</v>
      </c>
      <c r="G142" s="17">
        <f>IFERROR(__xludf.DUMMYFUNCTION("GOOGLEFINANCE(""NSE:""&amp;D142,""closeyest"")"),3985.6)</f>
        <v>3985.6</v>
      </c>
      <c r="H142" s="17">
        <f>IFERROR(__xludf.DUMMYFUNCTION("INDEX(GOOGLEFINANCE(""NSE:""&amp;D142,""PRICE"",TODAY()-7),2,2)"),3981.15)</f>
        <v>3981.15</v>
      </c>
      <c r="I142" s="17">
        <f>IFERROR(__xludf.DUMMYFUNCTION("INDEX(GOOGLEFINANCE(""NSE:""&amp;D142,""PRICE"",TODAY()-14),2,2)"),4170.45)</f>
        <v>4170.45</v>
      </c>
      <c r="J142" s="17">
        <f>IFERROR(__xludf.DUMMYFUNCTION("INDEX(GOOGLEFINANCE(""NSE:""&amp;D142,""PRICE"",TODAY()-28),2,2)"),3825.2)</f>
        <v>3825.2</v>
      </c>
      <c r="K142" s="17">
        <f>IFERROR(__xludf.DUMMYFUNCTION("INDEX(GOOGLEFINANCE(""NSE:""&amp;D142,""PRICE"",TODAY()-84),2,2)"),3337.45)</f>
        <v>3337.45</v>
      </c>
      <c r="L142" s="16">
        <f t="shared" si="1"/>
        <v>0.01268315937</v>
      </c>
      <c r="M142" s="16">
        <f t="shared" si="2"/>
        <v>0.01381510368</v>
      </c>
      <c r="N142" s="16">
        <f t="shared" si="3"/>
        <v>-0.03220275989</v>
      </c>
      <c r="O142" s="16">
        <f t="shared" si="4"/>
        <v>0.05514744327</v>
      </c>
      <c r="P142" s="16">
        <f t="shared" si="5"/>
        <v>0.209351451</v>
      </c>
      <c r="Q142" s="30">
        <f t="shared" si="6"/>
        <v>0.00195664654</v>
      </c>
      <c r="R142" s="30">
        <f t="shared" si="7"/>
        <v>-0.05598711507</v>
      </c>
      <c r="S142" s="30">
        <f t="shared" si="8"/>
        <v>-0.01622476036</v>
      </c>
      <c r="T142" s="30">
        <f t="shared" si="9"/>
        <v>0.08255858426</v>
      </c>
    </row>
    <row r="143">
      <c r="A143" s="1">
        <v>140.0</v>
      </c>
      <c r="B143" s="22" t="s">
        <v>678</v>
      </c>
      <c r="C143" s="22" t="s">
        <v>603</v>
      </c>
      <c r="D143" s="22" t="s">
        <v>313</v>
      </c>
      <c r="E143" s="23">
        <f>IFERROR(__xludf.DUMMYFUNCTION("GOOGLEFINANCE(""NSE:""&amp;D143,""marketcap"")/10000000"),33661.8456799)</f>
        <v>33661.84568</v>
      </c>
      <c r="F143" s="17">
        <f>IFERROR(__xludf.DUMMYFUNCTION("GOOGLEFINANCE(""NSE:""&amp;D143)"),2470.6)</f>
        <v>2470.6</v>
      </c>
      <c r="G143" s="17">
        <f>IFERROR(__xludf.DUMMYFUNCTION("GOOGLEFINANCE(""NSE:""&amp;D143,""closeyest"")"),2416.85)</f>
        <v>2416.85</v>
      </c>
      <c r="H143" s="17">
        <f>IFERROR(__xludf.DUMMYFUNCTION("INDEX(GOOGLEFINANCE(""NSE:""&amp;D143,""PRICE"",TODAY()-7),2,2)"),2416.25)</f>
        <v>2416.25</v>
      </c>
      <c r="I143" s="17">
        <f>IFERROR(__xludf.DUMMYFUNCTION("INDEX(GOOGLEFINANCE(""NSE:""&amp;D143,""PRICE"",TODAY()-14),2,2)"),2427.6)</f>
        <v>2427.6</v>
      </c>
      <c r="J143" s="17">
        <f>IFERROR(__xludf.DUMMYFUNCTION("INDEX(GOOGLEFINANCE(""NSE:""&amp;D143,""PRICE"",TODAY()-28),2,2)"),2130.95)</f>
        <v>2130.95</v>
      </c>
      <c r="K143" s="17">
        <f>IFERROR(__xludf.DUMMYFUNCTION("INDEX(GOOGLEFINANCE(""NSE:""&amp;D143,""PRICE"",TODAY()-84),2,2)"),1927.6)</f>
        <v>1927.6</v>
      </c>
      <c r="L143" s="16">
        <f t="shared" si="1"/>
        <v>0.02223969216</v>
      </c>
      <c r="M143" s="16">
        <f t="shared" si="2"/>
        <v>0.02249353337</v>
      </c>
      <c r="N143" s="16">
        <f t="shared" si="3"/>
        <v>0.01771296754</v>
      </c>
      <c r="O143" s="16">
        <f t="shared" si="4"/>
        <v>0.1593890049</v>
      </c>
      <c r="P143" s="16">
        <f t="shared" si="5"/>
        <v>0.2816974476</v>
      </c>
      <c r="Q143" s="30">
        <f t="shared" si="6"/>
        <v>0.01063507623</v>
      </c>
      <c r="R143" s="30">
        <f t="shared" si="7"/>
        <v>-0.00607138764</v>
      </c>
      <c r="S143" s="30">
        <f t="shared" si="8"/>
        <v>0.08801680128</v>
      </c>
      <c r="T143" s="30">
        <f t="shared" si="9"/>
        <v>0.1549045809</v>
      </c>
    </row>
    <row r="144">
      <c r="A144" s="1">
        <v>141.0</v>
      </c>
      <c r="B144" s="22" t="s">
        <v>754</v>
      </c>
      <c r="C144" s="22" t="s">
        <v>712</v>
      </c>
      <c r="D144" s="22" t="s">
        <v>477</v>
      </c>
      <c r="E144" s="23">
        <f>IFERROR(__xludf.DUMMYFUNCTION("GOOGLEFINANCE(""NSE:""&amp;D144,""marketcap"")/10000000"),30579.1944152)</f>
        <v>30579.19442</v>
      </c>
      <c r="F144" s="17">
        <f>IFERROR(__xludf.DUMMYFUNCTION("GOOGLEFINANCE(""NSE:""&amp;D144)"),318.95)</f>
        <v>318.95</v>
      </c>
      <c r="G144" s="17">
        <f>IFERROR(__xludf.DUMMYFUNCTION("GOOGLEFINANCE(""NSE:""&amp;D144,""closeyest"")"),336.8)</f>
        <v>336.8</v>
      </c>
      <c r="H144" s="17">
        <f>IFERROR(__xludf.DUMMYFUNCTION("INDEX(GOOGLEFINANCE(""NSE:""&amp;D144,""PRICE"",TODAY()-7),2,2)"),255.45)</f>
        <v>255.45</v>
      </c>
      <c r="I144" s="17">
        <f>IFERROR(__xludf.DUMMYFUNCTION("INDEX(GOOGLEFINANCE(""NSE:""&amp;D144,""PRICE"",TODAY()-14),2,2)"),186.85)</f>
        <v>186.85</v>
      </c>
      <c r="J144" s="17">
        <f>IFERROR(__xludf.DUMMYFUNCTION("INDEX(GOOGLEFINANCE(""NSE:""&amp;D144,""PRICE"",TODAY()-28),2,2)"),170.75)</f>
        <v>170.75</v>
      </c>
      <c r="K144" s="17">
        <f>IFERROR(__xludf.DUMMYFUNCTION("INDEX(GOOGLEFINANCE(""NSE:""&amp;D144,""PRICE"",TODAY()-84),2,2)"),217.1)</f>
        <v>217.1</v>
      </c>
      <c r="L144" s="16">
        <f t="shared" si="1"/>
        <v>-0.05299881235</v>
      </c>
      <c r="M144" s="16">
        <f t="shared" si="2"/>
        <v>0.2485809356</v>
      </c>
      <c r="N144" s="16">
        <f t="shared" si="3"/>
        <v>0.7069842119</v>
      </c>
      <c r="O144" s="16">
        <f t="shared" si="4"/>
        <v>0.8679355783</v>
      </c>
      <c r="P144" s="16">
        <f t="shared" si="5"/>
        <v>0.4691386458</v>
      </c>
      <c r="Q144" s="30">
        <f t="shared" si="6"/>
        <v>0.2367224785</v>
      </c>
      <c r="R144" s="30">
        <f t="shared" si="7"/>
        <v>0.6831998568</v>
      </c>
      <c r="S144" s="30">
        <f t="shared" si="8"/>
        <v>0.7965633747</v>
      </c>
      <c r="T144" s="30">
        <f t="shared" si="9"/>
        <v>0.3423457791</v>
      </c>
    </row>
    <row r="145">
      <c r="A145" s="1">
        <v>142.0</v>
      </c>
      <c r="B145" s="22" t="s">
        <v>679</v>
      </c>
      <c r="C145" s="22" t="s">
        <v>549</v>
      </c>
      <c r="D145" s="22" t="s">
        <v>307</v>
      </c>
      <c r="E145" s="23">
        <f>IFERROR(__xludf.DUMMYFUNCTION("GOOGLEFINANCE(""NSE:""&amp;D145,""marketcap"")/10000000"),31410.4815027)</f>
        <v>31410.4815</v>
      </c>
      <c r="F145" s="17">
        <f>IFERROR(__xludf.DUMMYFUNCTION("GOOGLEFINANCE(""NSE:""&amp;D145)"),2476.15)</f>
        <v>2476.15</v>
      </c>
      <c r="G145" s="17">
        <f>IFERROR(__xludf.DUMMYFUNCTION("GOOGLEFINANCE(""NSE:""&amp;D145,""closeyest"")"),2429.55)</f>
        <v>2429.55</v>
      </c>
      <c r="H145" s="17">
        <f>IFERROR(__xludf.DUMMYFUNCTION("INDEX(GOOGLEFINANCE(""NSE:""&amp;D145,""PRICE"",TODAY()-7),2,2)"),2493.4)</f>
        <v>2493.4</v>
      </c>
      <c r="I145" s="17">
        <f>IFERROR(__xludf.DUMMYFUNCTION("INDEX(GOOGLEFINANCE(""NSE:""&amp;D145,""PRICE"",TODAY()-14),2,2)"),2596.15)</f>
        <v>2596.15</v>
      </c>
      <c r="J145" s="17">
        <f>IFERROR(__xludf.DUMMYFUNCTION("INDEX(GOOGLEFINANCE(""NSE:""&amp;D145,""PRICE"",TODAY()-28),2,2)"),2459.9)</f>
        <v>2459.9</v>
      </c>
      <c r="K145" s="17">
        <f>IFERROR(__xludf.DUMMYFUNCTION("INDEX(GOOGLEFINANCE(""NSE:""&amp;D145,""PRICE"",TODAY()-84),2,2)"),2015.25)</f>
        <v>2015.25</v>
      </c>
      <c r="L145" s="16">
        <f t="shared" si="1"/>
        <v>0.01918050668</v>
      </c>
      <c r="M145" s="16">
        <f t="shared" si="2"/>
        <v>-0.006918264218</v>
      </c>
      <c r="N145" s="16">
        <f t="shared" si="3"/>
        <v>-0.0462222907</v>
      </c>
      <c r="O145" s="16">
        <f t="shared" si="4"/>
        <v>0.006605959592</v>
      </c>
      <c r="P145" s="16">
        <f t="shared" si="5"/>
        <v>0.2287061159</v>
      </c>
      <c r="Q145" s="30">
        <f t="shared" si="6"/>
        <v>-0.01877672135</v>
      </c>
      <c r="R145" s="30">
        <f t="shared" si="7"/>
        <v>-0.07000664588</v>
      </c>
      <c r="S145" s="30">
        <f t="shared" si="8"/>
        <v>-0.06476624404</v>
      </c>
      <c r="T145" s="30">
        <f t="shared" si="9"/>
        <v>0.1019132492</v>
      </c>
    </row>
    <row r="146">
      <c r="A146" s="1">
        <v>143.0</v>
      </c>
      <c r="B146" s="22" t="s">
        <v>765</v>
      </c>
      <c r="C146" s="22" t="s">
        <v>526</v>
      </c>
      <c r="D146" s="22" t="s">
        <v>381</v>
      </c>
      <c r="E146" s="23">
        <f>IFERROR(__xludf.DUMMYFUNCTION("GOOGLEFINANCE(""NSE:""&amp;D146,""marketcap"")/10000000"),29747.7354)</f>
        <v>29747.7354</v>
      </c>
      <c r="F146" s="17">
        <f>IFERROR(__xludf.DUMMYFUNCTION("GOOGLEFINANCE(""NSE:""&amp;D146)"),1380.0)</f>
        <v>1380</v>
      </c>
      <c r="G146" s="17">
        <f>IFERROR(__xludf.DUMMYFUNCTION("GOOGLEFINANCE(""NSE:""&amp;D146,""closeyest"")"),1405.9)</f>
        <v>1405.9</v>
      </c>
      <c r="H146" s="17">
        <f>IFERROR(__xludf.DUMMYFUNCTION("INDEX(GOOGLEFINANCE(""NSE:""&amp;D146,""PRICE"",TODAY()-7),2,2)"),1403.4)</f>
        <v>1403.4</v>
      </c>
      <c r="I146" s="17">
        <f>IFERROR(__xludf.DUMMYFUNCTION("INDEX(GOOGLEFINANCE(""NSE:""&amp;D146,""PRICE"",TODAY()-14),2,2)"),1264.95)</f>
        <v>1264.95</v>
      </c>
      <c r="J146" s="17">
        <f>IFERROR(__xludf.DUMMYFUNCTION("INDEX(GOOGLEFINANCE(""NSE:""&amp;D146,""PRICE"",TODAY()-28),2,2)"),1045.4)</f>
        <v>1045.4</v>
      </c>
      <c r="K146" s="17">
        <f>IFERROR(__xludf.DUMMYFUNCTION("INDEX(GOOGLEFINANCE(""NSE:""&amp;D146,""PRICE"",TODAY()-84),2,2)"),906.35)</f>
        <v>906.35</v>
      </c>
      <c r="L146" s="16">
        <f t="shared" si="1"/>
        <v>-0.0184223629</v>
      </c>
      <c r="M146" s="16">
        <f t="shared" si="2"/>
        <v>-0.01667379222</v>
      </c>
      <c r="N146" s="16">
        <f t="shared" si="3"/>
        <v>0.09095221155</v>
      </c>
      <c r="O146" s="16">
        <f t="shared" si="4"/>
        <v>0.3200688732</v>
      </c>
      <c r="P146" s="16">
        <f t="shared" si="5"/>
        <v>0.5225906107</v>
      </c>
      <c r="Q146" s="30">
        <f t="shared" si="6"/>
        <v>-0.02853224936</v>
      </c>
      <c r="R146" s="30">
        <f t="shared" si="7"/>
        <v>0.06716785637</v>
      </c>
      <c r="S146" s="30">
        <f t="shared" si="8"/>
        <v>0.2486966695</v>
      </c>
      <c r="T146" s="30">
        <f t="shared" si="9"/>
        <v>0.395797744</v>
      </c>
    </row>
    <row r="147">
      <c r="A147" s="1">
        <v>144.0</v>
      </c>
      <c r="B147" s="22" t="s">
        <v>680</v>
      </c>
      <c r="C147" s="22" t="s">
        <v>528</v>
      </c>
      <c r="D147" s="22" t="s">
        <v>345</v>
      </c>
      <c r="E147" s="23">
        <f>IFERROR(__xludf.DUMMYFUNCTION("GOOGLEFINANCE(""NSE:""&amp;D147,""marketcap"")/10000000"),30093.74075)</f>
        <v>30093.74075</v>
      </c>
      <c r="F147" s="17">
        <f>IFERROR(__xludf.DUMMYFUNCTION("GOOGLEFINANCE(""NSE:""&amp;D147)"),48.5)</f>
        <v>48.5</v>
      </c>
      <c r="G147" s="17">
        <f>IFERROR(__xludf.DUMMYFUNCTION("GOOGLEFINANCE(""NSE:""&amp;D147,""closeyest"")"),48.5)</f>
        <v>48.5</v>
      </c>
      <c r="H147" s="17">
        <f>IFERROR(__xludf.DUMMYFUNCTION("INDEX(GOOGLEFINANCE(""NSE:""&amp;D147,""PRICE"",TODAY()-7),2,2)"),49.15)</f>
        <v>49.15</v>
      </c>
      <c r="I147" s="17">
        <f>IFERROR(__xludf.DUMMYFUNCTION("INDEX(GOOGLEFINANCE(""NSE:""&amp;D147,""PRICE"",TODAY()-14),2,2)"),46.85)</f>
        <v>46.85</v>
      </c>
      <c r="J147" s="17">
        <f>IFERROR(__xludf.DUMMYFUNCTION("INDEX(GOOGLEFINANCE(""NSE:""&amp;D147,""PRICE"",TODAY()-28),2,2)"),42.5)</f>
        <v>42.5</v>
      </c>
      <c r="K147" s="17">
        <f>IFERROR(__xludf.DUMMYFUNCTION("INDEX(GOOGLEFINANCE(""NSE:""&amp;D147,""PRICE"",TODAY()-84),2,2)"),54.0)</f>
        <v>54</v>
      </c>
      <c r="L147" s="16">
        <f t="shared" si="1"/>
        <v>0</v>
      </c>
      <c r="M147" s="16">
        <f t="shared" si="2"/>
        <v>-0.01322482197</v>
      </c>
      <c r="N147" s="16">
        <f t="shared" si="3"/>
        <v>0.03521878335</v>
      </c>
      <c r="O147" s="16">
        <f t="shared" si="4"/>
        <v>0.1411764706</v>
      </c>
      <c r="P147" s="16">
        <f t="shared" si="5"/>
        <v>-0.1018518519</v>
      </c>
      <c r="Q147" s="30">
        <f t="shared" si="6"/>
        <v>-0.02508327911</v>
      </c>
      <c r="R147" s="30">
        <f t="shared" si="7"/>
        <v>0.01143442817</v>
      </c>
      <c r="S147" s="30">
        <f t="shared" si="8"/>
        <v>0.06980426696</v>
      </c>
      <c r="T147" s="30">
        <f t="shared" si="9"/>
        <v>-0.2286447185</v>
      </c>
    </row>
    <row r="148">
      <c r="A148" s="1">
        <v>145.0</v>
      </c>
      <c r="B148" s="22" t="s">
        <v>681</v>
      </c>
      <c r="C148" s="22" t="s">
        <v>528</v>
      </c>
      <c r="D148" s="22" t="s">
        <v>323</v>
      </c>
      <c r="E148" s="23">
        <f>IFERROR(__xludf.DUMMYFUNCTION("GOOGLEFINANCE(""NSE:""&amp;D148,""marketcap"")/10000000"),30680.3368003)</f>
        <v>30680.3368</v>
      </c>
      <c r="F148" s="17">
        <f>IFERROR(__xludf.DUMMYFUNCTION("GOOGLEFINANCE(""NSE:""&amp;D148)"),155.5)</f>
        <v>155.5</v>
      </c>
      <c r="G148" s="17">
        <f>IFERROR(__xludf.DUMMYFUNCTION("GOOGLEFINANCE(""NSE:""&amp;D148,""closeyest"")"),152.6)</f>
        <v>152.6</v>
      </c>
      <c r="H148" s="17">
        <f>IFERROR(__xludf.DUMMYFUNCTION("INDEX(GOOGLEFINANCE(""NSE:""&amp;D148,""PRICE"",TODAY()-7),2,2)"),157.05)</f>
        <v>157.05</v>
      </c>
      <c r="I148" s="17">
        <f>IFERROR(__xludf.DUMMYFUNCTION("INDEX(GOOGLEFINANCE(""NSE:""&amp;D148,""PRICE"",TODAY()-14),2,2)"),158.05)</f>
        <v>158.05</v>
      </c>
      <c r="J148" s="17">
        <f>IFERROR(__xludf.DUMMYFUNCTION("INDEX(GOOGLEFINANCE(""NSE:""&amp;D148,""PRICE"",TODAY()-28),2,2)"),146.3)</f>
        <v>146.3</v>
      </c>
      <c r="K148" s="17">
        <f>IFERROR(__xludf.DUMMYFUNCTION("INDEX(GOOGLEFINANCE(""NSE:""&amp;D148,""PRICE"",TODAY()-84),2,2)"),144.45)</f>
        <v>144.45</v>
      </c>
      <c r="L148" s="16">
        <f t="shared" si="1"/>
        <v>0.01900393185</v>
      </c>
      <c r="M148" s="16">
        <f t="shared" si="2"/>
        <v>-0.009869468322</v>
      </c>
      <c r="N148" s="16">
        <f t="shared" si="3"/>
        <v>-0.01613413477</v>
      </c>
      <c r="O148" s="16">
        <f t="shared" si="4"/>
        <v>0.06288448394</v>
      </c>
      <c r="P148" s="16">
        <f t="shared" si="5"/>
        <v>0.07649705781</v>
      </c>
      <c r="Q148" s="30">
        <f t="shared" si="6"/>
        <v>-0.02172792546</v>
      </c>
      <c r="R148" s="30">
        <f t="shared" si="7"/>
        <v>-0.03991848995</v>
      </c>
      <c r="S148" s="30">
        <f t="shared" si="8"/>
        <v>-0.008487719692</v>
      </c>
      <c r="T148" s="30">
        <f t="shared" si="9"/>
        <v>-0.05029580889</v>
      </c>
    </row>
    <row r="149">
      <c r="A149" s="1">
        <v>146.0</v>
      </c>
      <c r="B149" s="22" t="s">
        <v>682</v>
      </c>
      <c r="C149" s="22" t="s">
        <v>531</v>
      </c>
      <c r="D149" s="22" t="s">
        <v>469</v>
      </c>
      <c r="E149" s="23">
        <f>IFERROR(__xludf.DUMMYFUNCTION("GOOGLEFINANCE(""NSE:""&amp;D149,""marketcap"")/10000000"),30373.9101809)</f>
        <v>30373.91018</v>
      </c>
      <c r="F149" s="17">
        <f>IFERROR(__xludf.DUMMYFUNCTION("GOOGLEFINANCE(""NSE:""&amp;D149)"),10.55)</f>
        <v>10.55</v>
      </c>
      <c r="G149" s="17">
        <f>IFERROR(__xludf.DUMMYFUNCTION("GOOGLEFINANCE(""NSE:""&amp;D149,""closeyest"")"),10.4)</f>
        <v>10.4</v>
      </c>
      <c r="H149" s="17">
        <f>IFERROR(__xludf.DUMMYFUNCTION("INDEX(GOOGLEFINANCE(""NSE:""&amp;D149,""PRICE"",TODAY()-7),2,2)"),11.15)</f>
        <v>11.15</v>
      </c>
      <c r="I149" s="17">
        <f>IFERROR(__xludf.DUMMYFUNCTION("INDEX(GOOGLEFINANCE(""NSE:""&amp;D149,""PRICE"",TODAY()-14),2,2)"),7.95)</f>
        <v>7.95</v>
      </c>
      <c r="J149" s="17">
        <f>IFERROR(__xludf.DUMMYFUNCTION("INDEX(GOOGLEFINANCE(""NSE:""&amp;D149,""PRICE"",TODAY()-28),2,2)"),6.0)</f>
        <v>6</v>
      </c>
      <c r="K149" s="17">
        <f>IFERROR(__xludf.DUMMYFUNCTION("INDEX(GOOGLEFINANCE(""NSE:""&amp;D149,""PRICE"",TODAY()-84),2,2)"),8.8)</f>
        <v>8.8</v>
      </c>
      <c r="L149" s="16">
        <f t="shared" si="1"/>
        <v>0.01442307692</v>
      </c>
      <c r="M149" s="16">
        <f t="shared" si="2"/>
        <v>-0.05381165919</v>
      </c>
      <c r="N149" s="16">
        <f t="shared" si="3"/>
        <v>0.3270440252</v>
      </c>
      <c r="O149" s="16">
        <f t="shared" si="4"/>
        <v>0.7583333333</v>
      </c>
      <c r="P149" s="16">
        <f t="shared" si="5"/>
        <v>0.1988636364</v>
      </c>
      <c r="Q149" s="30">
        <f t="shared" si="6"/>
        <v>-0.06567011633</v>
      </c>
      <c r="R149" s="30">
        <f t="shared" si="7"/>
        <v>0.30325967</v>
      </c>
      <c r="S149" s="30">
        <f t="shared" si="8"/>
        <v>0.6869611297</v>
      </c>
      <c r="T149" s="30">
        <f t="shared" si="9"/>
        <v>0.07207076967</v>
      </c>
    </row>
    <row r="150">
      <c r="A150" s="1">
        <v>147.0</v>
      </c>
      <c r="B150" s="22" t="s">
        <v>683</v>
      </c>
      <c r="C150" s="22" t="s">
        <v>526</v>
      </c>
      <c r="D150" s="22" t="s">
        <v>325</v>
      </c>
      <c r="E150" s="23">
        <f>IFERROR(__xludf.DUMMYFUNCTION("GOOGLEFINANCE(""NSE:""&amp;D150,""marketcap"")/10000000"),30458.511675)</f>
        <v>30458.51168</v>
      </c>
      <c r="F150" s="17">
        <f>IFERROR(__xludf.DUMMYFUNCTION("GOOGLEFINANCE(""NSE:""&amp;D150)"),485.35)</f>
        <v>485.35</v>
      </c>
      <c r="G150" s="17">
        <f>IFERROR(__xludf.DUMMYFUNCTION("GOOGLEFINANCE(""NSE:""&amp;D150,""closeyest"")"),466.65)</f>
        <v>466.65</v>
      </c>
      <c r="H150" s="17">
        <f>IFERROR(__xludf.DUMMYFUNCTION("INDEX(GOOGLEFINANCE(""NSE:""&amp;D150,""PRICE"",TODAY()-7),2,2)"),486.1)</f>
        <v>486.1</v>
      </c>
      <c r="I150" s="17">
        <f>IFERROR(__xludf.DUMMYFUNCTION("INDEX(GOOGLEFINANCE(""NSE:""&amp;D150,""PRICE"",TODAY()-14),2,2)"),486.3)</f>
        <v>486.3</v>
      </c>
      <c r="J150" s="17">
        <f>IFERROR(__xludf.DUMMYFUNCTION("INDEX(GOOGLEFINANCE(""NSE:""&amp;D150,""PRICE"",TODAY()-28),2,2)"),459.9)</f>
        <v>459.9</v>
      </c>
      <c r="K150" s="17">
        <f>IFERROR(__xludf.DUMMYFUNCTION("INDEX(GOOGLEFINANCE(""NSE:""&amp;D150,""PRICE"",TODAY()-84),2,2)"),446.9)</f>
        <v>446.9</v>
      </c>
      <c r="L150" s="16">
        <f t="shared" si="1"/>
        <v>0.04007285974</v>
      </c>
      <c r="M150" s="16">
        <f t="shared" si="2"/>
        <v>-0.001542892409</v>
      </c>
      <c r="N150" s="16">
        <f t="shared" si="3"/>
        <v>-0.00195352663</v>
      </c>
      <c r="O150" s="16">
        <f t="shared" si="4"/>
        <v>0.05533811698</v>
      </c>
      <c r="P150" s="16">
        <f t="shared" si="5"/>
        <v>0.08603714478</v>
      </c>
      <c r="Q150" s="30">
        <f t="shared" si="6"/>
        <v>-0.01340134955</v>
      </c>
      <c r="R150" s="30">
        <f t="shared" si="7"/>
        <v>-0.02573788181</v>
      </c>
      <c r="S150" s="30">
        <f t="shared" si="8"/>
        <v>-0.01603408665</v>
      </c>
      <c r="T150" s="30">
        <f t="shared" si="9"/>
        <v>-0.04075572192</v>
      </c>
    </row>
    <row r="151">
      <c r="A151" s="1">
        <v>148.0</v>
      </c>
      <c r="B151" s="22" t="s">
        <v>766</v>
      </c>
      <c r="C151" s="22" t="s">
        <v>526</v>
      </c>
      <c r="D151" s="22" t="s">
        <v>327</v>
      </c>
      <c r="E151" s="23">
        <f>IFERROR(__xludf.DUMMYFUNCTION("GOOGLEFINANCE(""NSE:""&amp;D151,""marketcap"")/10000000"),29129.8245)</f>
        <v>29129.8245</v>
      </c>
      <c r="F151" s="17">
        <f>IFERROR(__xludf.DUMMYFUNCTION("GOOGLEFINANCE(""NSE:""&amp;D151)"),1172.5)</f>
        <v>1172.5</v>
      </c>
      <c r="G151" s="17">
        <f>IFERROR(__xludf.DUMMYFUNCTION("GOOGLEFINANCE(""NSE:""&amp;D151,""closeyest"")"),1161.0)</f>
        <v>1161</v>
      </c>
      <c r="H151" s="17">
        <f>IFERROR(__xludf.DUMMYFUNCTION("INDEX(GOOGLEFINANCE(""NSE:""&amp;D151,""PRICE"",TODAY()-7),2,2)"),1171.75)</f>
        <v>1171.75</v>
      </c>
      <c r="I151" s="17">
        <f>IFERROR(__xludf.DUMMYFUNCTION("INDEX(GOOGLEFINANCE(""NSE:""&amp;D151,""PRICE"",TODAY()-14),2,2)"),1196.85)</f>
        <v>1196.85</v>
      </c>
      <c r="J151" s="17">
        <f>IFERROR(__xludf.DUMMYFUNCTION("INDEX(GOOGLEFINANCE(""NSE:""&amp;D151,""PRICE"",TODAY()-28),2,2)"),1159.85)</f>
        <v>1159.85</v>
      </c>
      <c r="K151" s="17">
        <f>IFERROR(__xludf.DUMMYFUNCTION("INDEX(GOOGLEFINANCE(""NSE:""&amp;D151,""PRICE"",TODAY()-84),2,2)"),1197.05)</f>
        <v>1197.05</v>
      </c>
      <c r="L151" s="16">
        <f t="shared" si="1"/>
        <v>0.009905254091</v>
      </c>
      <c r="M151" s="16">
        <f t="shared" si="2"/>
        <v>0.0006400682739</v>
      </c>
      <c r="N151" s="16">
        <f t="shared" si="3"/>
        <v>-0.02034507248</v>
      </c>
      <c r="O151" s="16">
        <f t="shared" si="4"/>
        <v>0.01090658275</v>
      </c>
      <c r="P151" s="16">
        <f t="shared" si="5"/>
        <v>-0.02050875068</v>
      </c>
      <c r="Q151" s="30">
        <f t="shared" si="6"/>
        <v>-0.01121838886</v>
      </c>
      <c r="R151" s="30">
        <f t="shared" si="7"/>
        <v>-0.04412942766</v>
      </c>
      <c r="S151" s="30">
        <f t="shared" si="8"/>
        <v>-0.06046562088</v>
      </c>
      <c r="T151" s="30">
        <f t="shared" si="9"/>
        <v>-0.1473016174</v>
      </c>
    </row>
    <row r="152">
      <c r="A152" s="1">
        <v>149.0</v>
      </c>
      <c r="B152" s="22" t="s">
        <v>767</v>
      </c>
      <c r="C152" s="22" t="s">
        <v>545</v>
      </c>
      <c r="D152" s="22" t="s">
        <v>365</v>
      </c>
      <c r="E152" s="23">
        <f>IFERROR(__xludf.DUMMYFUNCTION("GOOGLEFINANCE(""NSE:""&amp;D152,""marketcap"")/10000000"),28847.05384)</f>
        <v>28847.05384</v>
      </c>
      <c r="F152" s="17">
        <f>IFERROR(__xludf.DUMMYFUNCTION("GOOGLEFINANCE(""NSE:""&amp;D152)"),1496.0)</f>
        <v>1496</v>
      </c>
      <c r="G152" s="17">
        <f>IFERROR(__xludf.DUMMYFUNCTION("GOOGLEFINANCE(""NSE:""&amp;D152,""closeyest"")"),1488.5)</f>
        <v>1488.5</v>
      </c>
      <c r="H152" s="17">
        <f>IFERROR(__xludf.DUMMYFUNCTION("INDEX(GOOGLEFINANCE(""NSE:""&amp;D152,""PRICE"",TODAY()-7),2,2)"),1463.1)</f>
        <v>1463.1</v>
      </c>
      <c r="I152" s="17">
        <f>IFERROR(__xludf.DUMMYFUNCTION("INDEX(GOOGLEFINANCE(""NSE:""&amp;D152,""PRICE"",TODAY()-14),2,2)"),1338.9)</f>
        <v>1338.9</v>
      </c>
      <c r="J152" s="17">
        <f>IFERROR(__xludf.DUMMYFUNCTION("INDEX(GOOGLEFINANCE(""NSE:""&amp;D152,""PRICE"",TODAY()-28),2,2)"),1291.35)</f>
        <v>1291.35</v>
      </c>
      <c r="K152" s="17">
        <f>IFERROR(__xludf.DUMMYFUNCTION("INDEX(GOOGLEFINANCE(""NSE:""&amp;D152,""PRICE"",TODAY()-84),2,2)"),1175.65)</f>
        <v>1175.65</v>
      </c>
      <c r="L152" s="16">
        <f t="shared" si="1"/>
        <v>0.005038629493</v>
      </c>
      <c r="M152" s="16">
        <f t="shared" si="2"/>
        <v>0.02248650126</v>
      </c>
      <c r="N152" s="16">
        <f t="shared" si="3"/>
        <v>0.1173351258</v>
      </c>
      <c r="O152" s="16">
        <f t="shared" si="4"/>
        <v>0.1584775622</v>
      </c>
      <c r="P152" s="16">
        <f t="shared" si="5"/>
        <v>0.2724875601</v>
      </c>
      <c r="Q152" s="30">
        <f t="shared" si="6"/>
        <v>0.01062804413</v>
      </c>
      <c r="R152" s="30">
        <f t="shared" si="7"/>
        <v>0.09355077067</v>
      </c>
      <c r="S152" s="30">
        <f t="shared" si="8"/>
        <v>0.08710535861</v>
      </c>
      <c r="T152" s="30">
        <f t="shared" si="9"/>
        <v>0.1456946934</v>
      </c>
    </row>
    <row r="153">
      <c r="A153" s="1">
        <v>150.0</v>
      </c>
      <c r="B153" s="22" t="s">
        <v>684</v>
      </c>
      <c r="C153" s="22" t="s">
        <v>526</v>
      </c>
      <c r="D153" s="22" t="s">
        <v>361</v>
      </c>
      <c r="E153" s="23">
        <f>IFERROR(__xludf.DUMMYFUNCTION("GOOGLEFINANCE(""NSE:""&amp;D153,""marketcap"")/10000000"),28640.0371917)</f>
        <v>28640.03719</v>
      </c>
      <c r="F153" s="17">
        <f>IFERROR(__xludf.DUMMYFUNCTION("GOOGLEFINANCE(""NSE:""&amp;D153)"),2256.9)</f>
        <v>2256.9</v>
      </c>
      <c r="G153" s="17">
        <f>IFERROR(__xludf.DUMMYFUNCTION("GOOGLEFINANCE(""NSE:""&amp;D153,""closeyest"")"),2256.4)</f>
        <v>2256.4</v>
      </c>
      <c r="H153" s="17">
        <f>IFERROR(__xludf.DUMMYFUNCTION("INDEX(GOOGLEFINANCE(""NSE:""&amp;D153,""PRICE"",TODAY()-7),2,2)"),2246.9)</f>
        <v>2246.9</v>
      </c>
      <c r="I153" s="17">
        <f>IFERROR(__xludf.DUMMYFUNCTION("INDEX(GOOGLEFINANCE(""NSE:""&amp;D153,""PRICE"",TODAY()-14),2,2)"),2293.95)</f>
        <v>2293.95</v>
      </c>
      <c r="J153" s="17">
        <f>IFERROR(__xludf.DUMMYFUNCTION("INDEX(GOOGLEFINANCE(""NSE:""&amp;D153,""PRICE"",TODAY()-28),2,2)"),2009.3)</f>
        <v>2009.3</v>
      </c>
      <c r="K153" s="17">
        <f>IFERROR(__xludf.DUMMYFUNCTION("INDEX(GOOGLEFINANCE(""NSE:""&amp;D153,""PRICE"",TODAY()-84),2,2)"),2265.75)</f>
        <v>2265.75</v>
      </c>
      <c r="L153" s="16">
        <f t="shared" si="1"/>
        <v>0.0002215919163</v>
      </c>
      <c r="M153" s="16">
        <f t="shared" si="2"/>
        <v>0.00445057635</v>
      </c>
      <c r="N153" s="16">
        <f t="shared" si="3"/>
        <v>-0.01615118028</v>
      </c>
      <c r="O153" s="16">
        <f t="shared" si="4"/>
        <v>0.1232269945</v>
      </c>
      <c r="P153" s="16">
        <f t="shared" si="5"/>
        <v>-0.003905991394</v>
      </c>
      <c r="Q153" s="30">
        <f t="shared" si="6"/>
        <v>-0.007407880787</v>
      </c>
      <c r="R153" s="30">
        <f t="shared" si="7"/>
        <v>-0.03993553546</v>
      </c>
      <c r="S153" s="30">
        <f t="shared" si="8"/>
        <v>0.05185479085</v>
      </c>
      <c r="T153" s="30">
        <f t="shared" si="9"/>
        <v>-0.1306988581</v>
      </c>
    </row>
    <row r="154">
      <c r="A154" s="1">
        <v>151.0</v>
      </c>
      <c r="B154" s="22" t="s">
        <v>330</v>
      </c>
      <c r="C154" s="22" t="s">
        <v>528</v>
      </c>
      <c r="D154" s="22" t="s">
        <v>331</v>
      </c>
      <c r="E154" s="23">
        <f>IFERROR(__xludf.DUMMYFUNCTION("GOOGLEFINANCE(""NSE:""&amp;D154,""marketcap"")/10000000"),29171.543625)</f>
        <v>29171.54363</v>
      </c>
      <c r="F154" s="17">
        <f>IFERROR(__xludf.DUMMYFUNCTION("GOOGLEFINANCE(""NSE:""&amp;D154)"),160.6)</f>
        <v>160.6</v>
      </c>
      <c r="G154" s="17">
        <f>IFERROR(__xludf.DUMMYFUNCTION("GOOGLEFINANCE(""NSE:""&amp;D154,""closeyest"")"),156.85)</f>
        <v>156.85</v>
      </c>
      <c r="H154" s="17">
        <f>IFERROR(__xludf.DUMMYFUNCTION("INDEX(GOOGLEFINANCE(""NSE:""&amp;D154,""PRICE"",TODAY()-7),2,2)"),162.75)</f>
        <v>162.75</v>
      </c>
      <c r="I154" s="17">
        <f>IFERROR(__xludf.DUMMYFUNCTION("INDEX(GOOGLEFINANCE(""NSE:""&amp;D154,""PRICE"",TODAY()-14),2,2)"),156.8)</f>
        <v>156.8</v>
      </c>
      <c r="J154" s="17">
        <f>IFERROR(__xludf.DUMMYFUNCTION("INDEX(GOOGLEFINANCE(""NSE:""&amp;D154,""PRICE"",TODAY()-28),2,2)"),151.6)</f>
        <v>151.6</v>
      </c>
      <c r="K154" s="17">
        <f>IFERROR(__xludf.DUMMYFUNCTION("INDEX(GOOGLEFINANCE(""NSE:""&amp;D154,""PRICE"",TODAY()-84),2,2)"),153.75)</f>
        <v>153.75</v>
      </c>
      <c r="L154" s="16">
        <f t="shared" si="1"/>
        <v>0.02390819254</v>
      </c>
      <c r="M154" s="16">
        <f t="shared" si="2"/>
        <v>-0.01321044547</v>
      </c>
      <c r="N154" s="16">
        <f t="shared" si="3"/>
        <v>0.02423469388</v>
      </c>
      <c r="O154" s="16">
        <f t="shared" si="4"/>
        <v>0.05936675462</v>
      </c>
      <c r="P154" s="16">
        <f t="shared" si="5"/>
        <v>0.04455284553</v>
      </c>
      <c r="Q154" s="30">
        <f t="shared" si="6"/>
        <v>-0.0250689026</v>
      </c>
      <c r="R154" s="30">
        <f t="shared" si="7"/>
        <v>0.0004503386978</v>
      </c>
      <c r="S154" s="30">
        <f t="shared" si="8"/>
        <v>-0.01200544901</v>
      </c>
      <c r="T154" s="30">
        <f t="shared" si="9"/>
        <v>-0.08224002117</v>
      </c>
    </row>
    <row r="155">
      <c r="A155" s="1">
        <v>152.0</v>
      </c>
      <c r="B155" s="22" t="s">
        <v>685</v>
      </c>
      <c r="C155" s="22" t="s">
        <v>635</v>
      </c>
      <c r="D155" s="22" t="s">
        <v>333</v>
      </c>
      <c r="E155" s="23">
        <f>IFERROR(__xludf.DUMMYFUNCTION("GOOGLEFINANCE(""NSE:""&amp;D155,""marketcap"")/10000000"),28550.2126464)</f>
        <v>28550.21265</v>
      </c>
      <c r="F155" s="17">
        <f>IFERROR(__xludf.DUMMYFUNCTION("GOOGLEFINANCE(""NSE:""&amp;D155)"),1029.95)</f>
        <v>1029.95</v>
      </c>
      <c r="G155" s="17">
        <f>IFERROR(__xludf.DUMMYFUNCTION("GOOGLEFINANCE(""NSE:""&amp;D155,""closeyest"")"),1022.2)</f>
        <v>1022.2</v>
      </c>
      <c r="H155" s="17">
        <f>IFERROR(__xludf.DUMMYFUNCTION("INDEX(GOOGLEFINANCE(""NSE:""&amp;D155,""PRICE"",TODAY()-7),2,2)"),1007.7)</f>
        <v>1007.7</v>
      </c>
      <c r="I155" s="17">
        <f>IFERROR(__xludf.DUMMYFUNCTION("INDEX(GOOGLEFINANCE(""NSE:""&amp;D155,""PRICE"",TODAY()-14),2,2)"),1044.15)</f>
        <v>1044.15</v>
      </c>
      <c r="J155" s="17">
        <f>IFERROR(__xludf.DUMMYFUNCTION("INDEX(GOOGLEFINANCE(""NSE:""&amp;D155,""PRICE"",TODAY()-28),2,2)"),980.0)</f>
        <v>980</v>
      </c>
      <c r="K155" s="17">
        <f>IFERROR(__xludf.DUMMYFUNCTION("INDEX(GOOGLEFINANCE(""NSE:""&amp;D155,""PRICE"",TODAY()-84),2,2)"),881.35)</f>
        <v>881.35</v>
      </c>
      <c r="L155" s="16">
        <f t="shared" si="1"/>
        <v>0.007581686558</v>
      </c>
      <c r="M155" s="16">
        <f t="shared" si="2"/>
        <v>0.02207998412</v>
      </c>
      <c r="N155" s="16">
        <f t="shared" si="3"/>
        <v>-0.0135995786</v>
      </c>
      <c r="O155" s="16">
        <f t="shared" si="4"/>
        <v>0.05096938776</v>
      </c>
      <c r="P155" s="16">
        <f t="shared" si="5"/>
        <v>0.168604981</v>
      </c>
      <c r="Q155" s="30">
        <f t="shared" si="6"/>
        <v>0.01022152699</v>
      </c>
      <c r="R155" s="30">
        <f t="shared" si="7"/>
        <v>-0.03738393378</v>
      </c>
      <c r="S155" s="30">
        <f t="shared" si="8"/>
        <v>-0.02040281587</v>
      </c>
      <c r="T155" s="30">
        <f t="shared" si="9"/>
        <v>0.0418121143</v>
      </c>
    </row>
    <row r="156">
      <c r="A156" s="1">
        <v>153.0</v>
      </c>
      <c r="B156" s="22" t="s">
        <v>768</v>
      </c>
      <c r="C156" s="22" t="s">
        <v>635</v>
      </c>
      <c r="D156" s="22" t="s">
        <v>339</v>
      </c>
      <c r="E156" s="23">
        <f>IFERROR(__xludf.DUMMYFUNCTION("GOOGLEFINANCE(""NSE:""&amp;D156,""marketcap"")/10000000"),28581.03)</f>
        <v>28581.03</v>
      </c>
      <c r="F156" s="17">
        <f>IFERROR(__xludf.DUMMYFUNCTION("GOOGLEFINANCE(""NSE:""&amp;D156)"),2250.0)</f>
        <v>2250</v>
      </c>
      <c r="G156" s="17">
        <f>IFERROR(__xludf.DUMMYFUNCTION("GOOGLEFINANCE(""NSE:""&amp;D156,""closeyest"")"),2230.1)</f>
        <v>2230.1</v>
      </c>
      <c r="H156" s="17">
        <f>IFERROR(__xludf.DUMMYFUNCTION("INDEX(GOOGLEFINANCE(""NSE:""&amp;D156,""PRICE"",TODAY()-7),2,2)"),2248.65)</f>
        <v>2248.65</v>
      </c>
      <c r="I156" s="17">
        <f>IFERROR(__xludf.DUMMYFUNCTION("INDEX(GOOGLEFINANCE(""NSE:""&amp;D156,""PRICE"",TODAY()-14),2,2)"),2140.25)</f>
        <v>2140.25</v>
      </c>
      <c r="J156" s="17">
        <f>IFERROR(__xludf.DUMMYFUNCTION("INDEX(GOOGLEFINANCE(""NSE:""&amp;D156,""PRICE"",TODAY()-28),2,2)"),2090.0)</f>
        <v>2090</v>
      </c>
      <c r="K156" s="17">
        <f>IFERROR(__xludf.DUMMYFUNCTION("INDEX(GOOGLEFINANCE(""NSE:""&amp;D156,""PRICE"",TODAY()-84),2,2)"),2203.85)</f>
        <v>2203.85</v>
      </c>
      <c r="L156" s="16">
        <f t="shared" si="1"/>
        <v>0.008923366665</v>
      </c>
      <c r="M156" s="16">
        <f t="shared" si="2"/>
        <v>0.0006003602161</v>
      </c>
      <c r="N156" s="16">
        <f t="shared" si="3"/>
        <v>0.05127905619</v>
      </c>
      <c r="O156" s="16">
        <f t="shared" si="4"/>
        <v>0.07655502392</v>
      </c>
      <c r="P156" s="16">
        <f t="shared" si="5"/>
        <v>0.02094062663</v>
      </c>
      <c r="Q156" s="30">
        <f t="shared" si="6"/>
        <v>-0.01125809692</v>
      </c>
      <c r="R156" s="30">
        <f t="shared" si="7"/>
        <v>0.02749470101</v>
      </c>
      <c r="S156" s="30">
        <f t="shared" si="8"/>
        <v>0.005182820295</v>
      </c>
      <c r="T156" s="30">
        <f t="shared" si="9"/>
        <v>-0.1058522401</v>
      </c>
    </row>
    <row r="157">
      <c r="A157" s="1">
        <v>154.0</v>
      </c>
      <c r="B157" s="22" t="s">
        <v>769</v>
      </c>
      <c r="C157" s="22" t="s">
        <v>603</v>
      </c>
      <c r="D157" s="22" t="s">
        <v>341</v>
      </c>
      <c r="E157" s="23">
        <f>IFERROR(__xludf.DUMMYFUNCTION("GOOGLEFINANCE(""NSE:""&amp;D157,""marketcap"")/10000000"),28300.013325)</f>
        <v>28300.01333</v>
      </c>
      <c r="F157" s="17">
        <f>IFERROR(__xludf.DUMMYFUNCTION("GOOGLEFINANCE(""NSE:""&amp;D157)"),9565.0)</f>
        <v>9565</v>
      </c>
      <c r="G157" s="17">
        <f>IFERROR(__xludf.DUMMYFUNCTION("GOOGLEFINANCE(""NSE:""&amp;D157,""closeyest"")"),9459.7)</f>
        <v>9459.7</v>
      </c>
      <c r="H157" s="17">
        <f>IFERROR(__xludf.DUMMYFUNCTION("INDEX(GOOGLEFINANCE(""NSE:""&amp;D157,""PRICE"",TODAY()-7),2,2)"),9643.55)</f>
        <v>9643.55</v>
      </c>
      <c r="I157" s="17">
        <f>IFERROR(__xludf.DUMMYFUNCTION("INDEX(GOOGLEFINANCE(""NSE:""&amp;D157,""PRICE"",TODAY()-14),2,2)"),9558.95)</f>
        <v>9558.95</v>
      </c>
      <c r="J157" s="17">
        <f>IFERROR(__xludf.DUMMYFUNCTION("INDEX(GOOGLEFINANCE(""NSE:""&amp;D157,""PRICE"",TODAY()-28),2,2)"),9007.65)</f>
        <v>9007.65</v>
      </c>
      <c r="K157" s="17">
        <f>IFERROR(__xludf.DUMMYFUNCTION("INDEX(GOOGLEFINANCE(""NSE:""&amp;D157,""PRICE"",TODAY()-84),2,2)"),9286.15)</f>
        <v>9286.15</v>
      </c>
      <c r="L157" s="16">
        <f t="shared" si="1"/>
        <v>0.01113143123</v>
      </c>
      <c r="M157" s="16">
        <f t="shared" si="2"/>
        <v>-0.008145340668</v>
      </c>
      <c r="N157" s="16">
        <f t="shared" si="3"/>
        <v>0.000632914703</v>
      </c>
      <c r="O157" s="16">
        <f t="shared" si="4"/>
        <v>0.06187518387</v>
      </c>
      <c r="P157" s="16">
        <f t="shared" si="5"/>
        <v>0.03002859097</v>
      </c>
      <c r="Q157" s="30">
        <f t="shared" si="6"/>
        <v>-0.0200037978</v>
      </c>
      <c r="R157" s="30">
        <f t="shared" si="7"/>
        <v>-0.02315144048</v>
      </c>
      <c r="S157" s="30">
        <f t="shared" si="8"/>
        <v>-0.009497019757</v>
      </c>
      <c r="T157" s="30">
        <f t="shared" si="9"/>
        <v>-0.09676427573</v>
      </c>
    </row>
    <row r="158">
      <c r="A158" s="1">
        <v>155.0</v>
      </c>
      <c r="B158" s="22" t="s">
        <v>770</v>
      </c>
      <c r="C158" s="22" t="s">
        <v>526</v>
      </c>
      <c r="D158" s="22" t="s">
        <v>357</v>
      </c>
      <c r="E158" s="23">
        <f>IFERROR(__xludf.DUMMYFUNCTION("GOOGLEFINANCE(""NSE:""&amp;D158,""marketcap"")/10000000"),28162.65)</f>
        <v>28162.65</v>
      </c>
      <c r="F158" s="17">
        <f>IFERROR(__xludf.DUMMYFUNCTION("GOOGLEFINANCE(""NSE:""&amp;D158)"),25000.0)</f>
        <v>25000</v>
      </c>
      <c r="G158" s="17">
        <f>IFERROR(__xludf.DUMMYFUNCTION("GOOGLEFINANCE(""NSE:""&amp;D158,""closeyest"")"),24724.35)</f>
        <v>24724.35</v>
      </c>
      <c r="H158" s="17">
        <f>IFERROR(__xludf.DUMMYFUNCTION("INDEX(GOOGLEFINANCE(""NSE:""&amp;D158,""PRICE"",TODAY()-7),2,2)"),25235.9)</f>
        <v>25235.9</v>
      </c>
      <c r="I158" s="17">
        <f>IFERROR(__xludf.DUMMYFUNCTION("INDEX(GOOGLEFINANCE(""NSE:""&amp;D158,""PRICE"",TODAY()-14),2,2)"),25150.9)</f>
        <v>25150.9</v>
      </c>
      <c r="J158" s="17">
        <f>IFERROR(__xludf.DUMMYFUNCTION("INDEX(GOOGLEFINANCE(""NSE:""&amp;D158,""PRICE"",TODAY()-28),2,2)"),22643.35)</f>
        <v>22643.35</v>
      </c>
      <c r="K158" s="17">
        <f>IFERROR(__xludf.DUMMYFUNCTION("INDEX(GOOGLEFINANCE(""NSE:""&amp;D158,""PRICE"",TODAY()-84),2,2)"),24198.25)</f>
        <v>24198.25</v>
      </c>
      <c r="L158" s="16">
        <f t="shared" si="1"/>
        <v>0.01114892808</v>
      </c>
      <c r="M158" s="16">
        <f t="shared" si="2"/>
        <v>-0.009347794214</v>
      </c>
      <c r="N158" s="16">
        <f t="shared" si="3"/>
        <v>-0.005999785296</v>
      </c>
      <c r="O158" s="16">
        <f t="shared" si="4"/>
        <v>0.1040769144</v>
      </c>
      <c r="P158" s="16">
        <f t="shared" si="5"/>
        <v>0.03313256124</v>
      </c>
      <c r="Q158" s="30">
        <f t="shared" si="6"/>
        <v>-0.02120625135</v>
      </c>
      <c r="R158" s="30">
        <f t="shared" si="7"/>
        <v>-0.02978414048</v>
      </c>
      <c r="S158" s="30">
        <f t="shared" si="8"/>
        <v>0.03270471079</v>
      </c>
      <c r="T158" s="30">
        <f t="shared" si="9"/>
        <v>-0.09366030546</v>
      </c>
    </row>
    <row r="159">
      <c r="A159" s="1">
        <v>156.0</v>
      </c>
      <c r="B159" s="22" t="s">
        <v>771</v>
      </c>
      <c r="C159" s="22" t="s">
        <v>524</v>
      </c>
      <c r="D159" s="22" t="s">
        <v>363</v>
      </c>
      <c r="E159" s="23">
        <f>IFERROR(__xludf.DUMMYFUNCTION("GOOGLEFINANCE(""NSE:""&amp;D159,""marketcap"")/10000000"),28112.4024698)</f>
        <v>28112.40247</v>
      </c>
      <c r="F159" s="17">
        <f>IFERROR(__xludf.DUMMYFUNCTION("GOOGLEFINANCE(""NSE:""&amp;D159)"),3768.7)</f>
        <v>3768.7</v>
      </c>
      <c r="G159" s="17">
        <f>IFERROR(__xludf.DUMMYFUNCTION("GOOGLEFINANCE(""NSE:""&amp;D159,""closeyest"")"),3717.05)</f>
        <v>3717.05</v>
      </c>
      <c r="H159" s="17">
        <f>IFERROR(__xludf.DUMMYFUNCTION("INDEX(GOOGLEFINANCE(""NSE:""&amp;D159,""PRICE"",TODAY()-7),2,2)"),3538.0)</f>
        <v>3538</v>
      </c>
      <c r="I159" s="17">
        <f>IFERROR(__xludf.DUMMYFUNCTION("INDEX(GOOGLEFINANCE(""NSE:""&amp;D159,""PRICE"",TODAY()-14),2,2)"),3587.7)</f>
        <v>3587.7</v>
      </c>
      <c r="J159" s="17">
        <f>IFERROR(__xludf.DUMMYFUNCTION("INDEX(GOOGLEFINANCE(""NSE:""&amp;D159,""PRICE"",TODAY()-28),2,2)"),3253.5)</f>
        <v>3253.5</v>
      </c>
      <c r="K159" s="17">
        <f>IFERROR(__xludf.DUMMYFUNCTION("INDEX(GOOGLEFINANCE(""NSE:""&amp;D159,""PRICE"",TODAY()-84),2,2)"),2929.5)</f>
        <v>2929.5</v>
      </c>
      <c r="L159" s="16">
        <f t="shared" si="1"/>
        <v>0.01389542783</v>
      </c>
      <c r="M159" s="16">
        <f t="shared" si="2"/>
        <v>0.06520633126</v>
      </c>
      <c r="N159" s="16">
        <f t="shared" si="3"/>
        <v>0.05045014912</v>
      </c>
      <c r="O159" s="16">
        <f t="shared" si="4"/>
        <v>0.1583525434</v>
      </c>
      <c r="P159" s="16">
        <f t="shared" si="5"/>
        <v>0.2864652671</v>
      </c>
      <c r="Q159" s="30">
        <f t="shared" si="6"/>
        <v>0.05334787412</v>
      </c>
      <c r="R159" s="30">
        <f t="shared" si="7"/>
        <v>0.02666579394</v>
      </c>
      <c r="S159" s="30">
        <f t="shared" si="8"/>
        <v>0.08698033979</v>
      </c>
      <c r="T159" s="30">
        <f t="shared" si="9"/>
        <v>0.1596724004</v>
      </c>
    </row>
    <row r="160">
      <c r="A160" s="1">
        <v>157.0</v>
      </c>
      <c r="B160" s="22" t="s">
        <v>772</v>
      </c>
      <c r="C160" s="22" t="s">
        <v>560</v>
      </c>
      <c r="D160" s="22" t="s">
        <v>347</v>
      </c>
      <c r="E160" s="23">
        <f>IFERROR(__xludf.DUMMYFUNCTION("GOOGLEFINANCE(""NSE:""&amp;D160,""marketcap"")/10000000"),27875.5079677)</f>
        <v>27875.50797</v>
      </c>
      <c r="F160" s="17">
        <f>IFERROR(__xludf.DUMMYFUNCTION("GOOGLEFINANCE(""NSE:""&amp;D160)"),27.75)</f>
        <v>27.75</v>
      </c>
      <c r="G160" s="17">
        <f>IFERROR(__xludf.DUMMYFUNCTION("GOOGLEFINANCE(""NSE:""&amp;D160,""closeyest"")"),27.3)</f>
        <v>27.3</v>
      </c>
      <c r="H160" s="17">
        <f>IFERROR(__xludf.DUMMYFUNCTION("INDEX(GOOGLEFINANCE(""NSE:""&amp;D160,""PRICE"",TODAY()-7),2,2)"),27.7)</f>
        <v>27.7</v>
      </c>
      <c r="I160" s="17">
        <f>IFERROR(__xludf.DUMMYFUNCTION("INDEX(GOOGLEFINANCE(""NSE:""&amp;D160,""PRICE"",TODAY()-14),2,2)"),27.6)</f>
        <v>27.6</v>
      </c>
      <c r="J160" s="17">
        <f>IFERROR(__xludf.DUMMYFUNCTION("INDEX(GOOGLEFINANCE(""NSE:""&amp;D160,""PRICE"",TODAY()-28),2,2)"),26.5)</f>
        <v>26.5</v>
      </c>
      <c r="K160" s="17">
        <f>IFERROR(__xludf.DUMMYFUNCTION("INDEX(GOOGLEFINANCE(""NSE:""&amp;D160,""PRICE"",TODAY()-84),2,2)"),26.25)</f>
        <v>26.25</v>
      </c>
      <c r="L160" s="16">
        <f t="shared" si="1"/>
        <v>0.01648351648</v>
      </c>
      <c r="M160" s="16">
        <f t="shared" si="2"/>
        <v>0.001805054152</v>
      </c>
      <c r="N160" s="16">
        <f t="shared" si="3"/>
        <v>0.005434782609</v>
      </c>
      <c r="O160" s="16">
        <f t="shared" si="4"/>
        <v>0.04716981132</v>
      </c>
      <c r="P160" s="16">
        <f t="shared" si="5"/>
        <v>0.05714285714</v>
      </c>
      <c r="Q160" s="30">
        <f t="shared" si="6"/>
        <v>-0.01005340298</v>
      </c>
      <c r="R160" s="30">
        <f t="shared" si="7"/>
        <v>-0.01834957257</v>
      </c>
      <c r="S160" s="30">
        <f t="shared" si="8"/>
        <v>-0.02420239231</v>
      </c>
      <c r="T160" s="30">
        <f t="shared" si="9"/>
        <v>-0.06965000955</v>
      </c>
    </row>
    <row r="161">
      <c r="A161" s="1">
        <v>158.0</v>
      </c>
      <c r="B161" s="22" t="s">
        <v>686</v>
      </c>
      <c r="C161" s="22" t="s">
        <v>541</v>
      </c>
      <c r="D161" s="22" t="s">
        <v>367</v>
      </c>
      <c r="E161" s="23">
        <f>IFERROR(__xludf.DUMMYFUNCTION("GOOGLEFINANCE(""NSE:""&amp;D161,""marketcap"")/10000000"),30838.1822138)</f>
        <v>30838.18221</v>
      </c>
      <c r="F161" s="17">
        <f>IFERROR(__xludf.DUMMYFUNCTION("GOOGLEFINANCE(""NSE:""&amp;D161)"),849.0)</f>
        <v>849</v>
      </c>
      <c r="G161" s="17">
        <f>IFERROR(__xludf.DUMMYFUNCTION("GOOGLEFINANCE(""NSE:""&amp;D161,""closeyest"")"),750.7)</f>
        <v>750.7</v>
      </c>
      <c r="H161" s="17" t="str">
        <f>IFERROR(__xludf.DUMMYFUNCTION("INDEX(GOOGLEFINANCE(""NSE:""&amp;D161,""PRICE"",TODAY()-7),2,2)"),"#N/A")</f>
        <v>#N/A</v>
      </c>
      <c r="I161" s="17">
        <f>IFERROR(__xludf.DUMMYFUNCTION("INDEX(GOOGLEFINANCE(""NSE:""&amp;D161,""PRICE"",TODAY()-14),2,2)"),758.8)</f>
        <v>758.8</v>
      </c>
      <c r="J161" s="17">
        <f>IFERROR(__xludf.DUMMYFUNCTION("INDEX(GOOGLEFINANCE(""NSE:""&amp;D161,""PRICE"",TODAY()-28),2,2)"),678.3)</f>
        <v>678.3</v>
      </c>
      <c r="K161" s="17" t="str">
        <f>IFERROR(__xludf.DUMMYFUNCTION("INDEX(GOOGLEFINANCE(""NSE:""&amp;D161,""PRICE"",TODAY()-84),2,2)"),"#N/A")</f>
        <v>#N/A</v>
      </c>
      <c r="L161" s="16">
        <f t="shared" si="1"/>
        <v>0.1309444518</v>
      </c>
      <c r="M161" s="16" t="str">
        <f t="shared" si="2"/>
        <v>#N/A</v>
      </c>
      <c r="N161" s="16">
        <f t="shared" si="3"/>
        <v>0.118871903</v>
      </c>
      <c r="O161" s="16">
        <f t="shared" si="4"/>
        <v>0.2516585582</v>
      </c>
      <c r="P161" s="16" t="str">
        <f t="shared" si="5"/>
        <v>#N/A</v>
      </c>
      <c r="Q161" s="32" t="str">
        <f t="shared" si="6"/>
        <v>#N/A</v>
      </c>
      <c r="R161" s="30">
        <f t="shared" si="7"/>
        <v>0.09508754783</v>
      </c>
      <c r="S161" s="30">
        <f t="shared" si="8"/>
        <v>0.1802863545</v>
      </c>
      <c r="T161" s="32" t="str">
        <f t="shared" si="9"/>
        <v>#N/A</v>
      </c>
    </row>
    <row r="162">
      <c r="A162" s="1">
        <v>159.0</v>
      </c>
      <c r="B162" s="22" t="s">
        <v>687</v>
      </c>
      <c r="C162" s="22" t="s">
        <v>528</v>
      </c>
      <c r="D162" s="22" t="s">
        <v>355</v>
      </c>
      <c r="E162" s="23">
        <f>IFERROR(__xludf.DUMMYFUNCTION("GOOGLEFINANCE(""NSE:""&amp;D162,""marketcap"")/10000000"),27458.5462525)</f>
        <v>27458.54625</v>
      </c>
      <c r="F162" s="17">
        <f>IFERROR(__xludf.DUMMYFUNCTION("GOOGLEFINANCE(""NSE:""&amp;D162)"),442.7)</f>
        <v>442.7</v>
      </c>
      <c r="G162" s="17">
        <f>IFERROR(__xludf.DUMMYFUNCTION("GOOGLEFINANCE(""NSE:""&amp;D162,""closeyest"")"),435.2)</f>
        <v>435.2</v>
      </c>
      <c r="H162" s="17">
        <f>IFERROR(__xludf.DUMMYFUNCTION("INDEX(GOOGLEFINANCE(""NSE:""&amp;D162,""PRICE"",TODAY()-7),2,2)"),439.6)</f>
        <v>439.6</v>
      </c>
      <c r="I162" s="17">
        <f>IFERROR(__xludf.DUMMYFUNCTION("INDEX(GOOGLEFINANCE(""NSE:""&amp;D162,""PRICE"",TODAY()-14),2,2)"),436.8)</f>
        <v>436.8</v>
      </c>
      <c r="J162" s="17">
        <f>IFERROR(__xludf.DUMMYFUNCTION("INDEX(GOOGLEFINANCE(""NSE:""&amp;D162,""PRICE"",TODAY()-28),2,2)"),410.1)</f>
        <v>410.1</v>
      </c>
      <c r="K162" s="17">
        <f>IFERROR(__xludf.DUMMYFUNCTION("INDEX(GOOGLEFINANCE(""NSE:""&amp;D162,""PRICE"",TODAY()-84),2,2)"),372.8)</f>
        <v>372.8</v>
      </c>
      <c r="L162" s="16">
        <f t="shared" si="1"/>
        <v>0.01723345588</v>
      </c>
      <c r="M162" s="16">
        <f t="shared" si="2"/>
        <v>0.007051865332</v>
      </c>
      <c r="N162" s="16">
        <f t="shared" si="3"/>
        <v>0.01350732601</v>
      </c>
      <c r="O162" s="16">
        <f t="shared" si="4"/>
        <v>0.07949280663</v>
      </c>
      <c r="P162" s="16">
        <f t="shared" si="5"/>
        <v>0.1875</v>
      </c>
      <c r="Q162" s="30">
        <f t="shared" si="6"/>
        <v>-0.004806591804</v>
      </c>
      <c r="R162" s="30">
        <f t="shared" si="7"/>
        <v>-0.01027702917</v>
      </c>
      <c r="S162" s="30">
        <f t="shared" si="8"/>
        <v>0.008120603004</v>
      </c>
      <c r="T162" s="30">
        <f t="shared" si="9"/>
        <v>0.0607071333</v>
      </c>
    </row>
    <row r="163">
      <c r="A163" s="1">
        <v>160.0</v>
      </c>
      <c r="B163" s="22" t="s">
        <v>773</v>
      </c>
      <c r="C163" s="22" t="s">
        <v>528</v>
      </c>
      <c r="D163" s="22" t="s">
        <v>329</v>
      </c>
      <c r="E163" s="23">
        <f>IFERROR(__xludf.DUMMYFUNCTION("GOOGLEFINANCE(""NSE:""&amp;D163,""marketcap"")/10000000"),26773.9587)</f>
        <v>26773.9587</v>
      </c>
      <c r="F163" s="17">
        <f>IFERROR(__xludf.DUMMYFUNCTION("GOOGLEFINANCE(""NSE:""&amp;D163)"),2430.0)</f>
        <v>2430</v>
      </c>
      <c r="G163" s="17">
        <f>IFERROR(__xludf.DUMMYFUNCTION("GOOGLEFINANCE(""NSE:""&amp;D163,""closeyest"")"),2420.35)</f>
        <v>2420.35</v>
      </c>
      <c r="H163" s="17">
        <f>IFERROR(__xludf.DUMMYFUNCTION("INDEX(GOOGLEFINANCE(""NSE:""&amp;D163,""PRICE"",TODAY()-7),2,2)"),2499.3)</f>
        <v>2499.3</v>
      </c>
      <c r="I163" s="17">
        <f>IFERROR(__xludf.DUMMYFUNCTION("INDEX(GOOGLEFINANCE(""NSE:""&amp;D163,""PRICE"",TODAY()-14),2,2)"),2530.95)</f>
        <v>2530.95</v>
      </c>
      <c r="J163" s="17">
        <f>IFERROR(__xludf.DUMMYFUNCTION("INDEX(GOOGLEFINANCE(""NSE:""&amp;D163,""PRICE"",TODAY()-28),2,2)"),2590.9)</f>
        <v>2590.9</v>
      </c>
      <c r="K163" s="17">
        <f>IFERROR(__xludf.DUMMYFUNCTION("INDEX(GOOGLEFINANCE(""NSE:""&amp;D163,""PRICE"",TODAY()-84),2,2)"),2664.25)</f>
        <v>2664.25</v>
      </c>
      <c r="L163" s="16">
        <f t="shared" si="1"/>
        <v>0.00398702667</v>
      </c>
      <c r="M163" s="16">
        <f t="shared" si="2"/>
        <v>-0.02772776377</v>
      </c>
      <c r="N163" s="16">
        <f t="shared" si="3"/>
        <v>-0.03988620874</v>
      </c>
      <c r="O163" s="16">
        <f t="shared" si="4"/>
        <v>-0.06210197229</v>
      </c>
      <c r="P163" s="16">
        <f t="shared" si="5"/>
        <v>-0.08792343061</v>
      </c>
      <c r="Q163" s="30">
        <f t="shared" si="6"/>
        <v>-0.03958622091</v>
      </c>
      <c r="R163" s="30">
        <f t="shared" si="7"/>
        <v>-0.06367056392</v>
      </c>
      <c r="S163" s="30">
        <f t="shared" si="8"/>
        <v>-0.1334741759</v>
      </c>
      <c r="T163" s="30">
        <f t="shared" si="9"/>
        <v>-0.2147162973</v>
      </c>
    </row>
    <row r="164">
      <c r="A164" s="1">
        <v>161.0</v>
      </c>
      <c r="B164" s="22" t="s">
        <v>774</v>
      </c>
      <c r="C164" s="22" t="s">
        <v>528</v>
      </c>
      <c r="D164" s="22" t="s">
        <v>335</v>
      </c>
      <c r="E164" s="23">
        <f>IFERROR(__xludf.DUMMYFUNCTION("GOOGLEFINANCE(""NSE:""&amp;D164,""marketcap"")/10000000"),26944.8066876)</f>
        <v>26944.80669</v>
      </c>
      <c r="F164" s="17">
        <f>IFERROR(__xludf.DUMMYFUNCTION("GOOGLEFINANCE(""NSE:""&amp;D164)"),163.9)</f>
        <v>163.9</v>
      </c>
      <c r="G164" s="17">
        <f>IFERROR(__xludf.DUMMYFUNCTION("GOOGLEFINANCE(""NSE:""&amp;D164,""closeyest"")"),161.7)</f>
        <v>161.7</v>
      </c>
      <c r="H164" s="17">
        <f>IFERROR(__xludf.DUMMYFUNCTION("INDEX(GOOGLEFINANCE(""NSE:""&amp;D164,""PRICE"",TODAY()-7),2,2)"),175.95)</f>
        <v>175.95</v>
      </c>
      <c r="I164" s="17">
        <f>IFERROR(__xludf.DUMMYFUNCTION("INDEX(GOOGLEFINANCE(""NSE:""&amp;D164,""PRICE"",TODAY()-14),2,2)"),168.0)</f>
        <v>168</v>
      </c>
      <c r="J164" s="17">
        <f>IFERROR(__xludf.DUMMYFUNCTION("INDEX(GOOGLEFINANCE(""NSE:""&amp;D164,""PRICE"",TODAY()-28),2,2)"),169.2)</f>
        <v>169.2</v>
      </c>
      <c r="K164" s="17">
        <f>IFERROR(__xludf.DUMMYFUNCTION("INDEX(GOOGLEFINANCE(""NSE:""&amp;D164,""PRICE"",TODAY()-84),2,2)"),172.35)</f>
        <v>172.35</v>
      </c>
      <c r="L164" s="16">
        <f t="shared" si="1"/>
        <v>0.01360544218</v>
      </c>
      <c r="M164" s="16">
        <f t="shared" si="2"/>
        <v>-0.06848536516</v>
      </c>
      <c r="N164" s="16">
        <f t="shared" si="3"/>
        <v>-0.0244047619</v>
      </c>
      <c r="O164" s="16">
        <f t="shared" si="4"/>
        <v>-0.03132387707</v>
      </c>
      <c r="P164" s="16">
        <f t="shared" si="5"/>
        <v>-0.04902814041</v>
      </c>
      <c r="Q164" s="30">
        <f t="shared" si="6"/>
        <v>-0.0803438223</v>
      </c>
      <c r="R164" s="30">
        <f t="shared" si="7"/>
        <v>-0.04818911708</v>
      </c>
      <c r="S164" s="30">
        <f t="shared" si="8"/>
        <v>-0.1026960807</v>
      </c>
      <c r="T164" s="30">
        <f t="shared" si="9"/>
        <v>-0.1758210071</v>
      </c>
    </row>
    <row r="165">
      <c r="A165" s="1">
        <v>162.0</v>
      </c>
      <c r="B165" s="22" t="s">
        <v>688</v>
      </c>
      <c r="C165" s="22" t="s">
        <v>528</v>
      </c>
      <c r="D165" s="22" t="s">
        <v>349</v>
      </c>
      <c r="E165" s="23">
        <f>IFERROR(__xludf.DUMMYFUNCTION("GOOGLEFINANCE(""NSE:""&amp;D165,""marketcap"")/10000000"),27275.1151)</f>
        <v>27275.1151</v>
      </c>
      <c r="F165" s="17">
        <f>IFERROR(__xludf.DUMMYFUNCTION("GOOGLEFINANCE(""NSE:""&amp;D165)"),113.0)</f>
        <v>113</v>
      </c>
      <c r="G165" s="17">
        <f>IFERROR(__xludf.DUMMYFUNCTION("GOOGLEFINANCE(""NSE:""&amp;D165,""closeyest"")"),109.95)</f>
        <v>109.95</v>
      </c>
      <c r="H165" s="17">
        <f>IFERROR(__xludf.DUMMYFUNCTION("INDEX(GOOGLEFINANCE(""NSE:""&amp;D165,""PRICE"",TODAY()-7),2,2)"),109.4)</f>
        <v>109.4</v>
      </c>
      <c r="I165" s="17">
        <f>IFERROR(__xludf.DUMMYFUNCTION("INDEX(GOOGLEFINANCE(""NSE:""&amp;D165,""PRICE"",TODAY()-14),2,2)"),113.15)</f>
        <v>113.15</v>
      </c>
      <c r="J165" s="17">
        <f>IFERROR(__xludf.DUMMYFUNCTION("INDEX(GOOGLEFINANCE(""NSE:""&amp;D165,""PRICE"",TODAY()-28),2,2)"),107.95)</f>
        <v>107.95</v>
      </c>
      <c r="K165" s="17">
        <f>IFERROR(__xludf.DUMMYFUNCTION("INDEX(GOOGLEFINANCE(""NSE:""&amp;D165,""PRICE"",TODAY()-84),2,2)"),117.5)</f>
        <v>117.5</v>
      </c>
      <c r="L165" s="16">
        <f t="shared" si="1"/>
        <v>0.02773988176</v>
      </c>
      <c r="M165" s="16">
        <f t="shared" si="2"/>
        <v>0.03290676417</v>
      </c>
      <c r="N165" s="16">
        <f t="shared" si="3"/>
        <v>-0.001325673884</v>
      </c>
      <c r="O165" s="16">
        <f t="shared" si="4"/>
        <v>0.04678091709</v>
      </c>
      <c r="P165" s="16">
        <f t="shared" si="5"/>
        <v>-0.03829787234</v>
      </c>
      <c r="Q165" s="30">
        <f t="shared" si="6"/>
        <v>0.02104830703</v>
      </c>
      <c r="R165" s="30">
        <f t="shared" si="7"/>
        <v>-0.02511002906</v>
      </c>
      <c r="S165" s="30">
        <f t="shared" si="8"/>
        <v>-0.02459128654</v>
      </c>
      <c r="T165" s="30">
        <f t="shared" si="9"/>
        <v>-0.165090739</v>
      </c>
    </row>
    <row r="166">
      <c r="A166" s="1">
        <v>163.0</v>
      </c>
      <c r="B166" s="22" t="s">
        <v>689</v>
      </c>
      <c r="C166" s="22" t="s">
        <v>549</v>
      </c>
      <c r="D166" s="22" t="s">
        <v>353</v>
      </c>
      <c r="E166" s="23">
        <f>IFERROR(__xludf.DUMMYFUNCTION("GOOGLEFINANCE(""NSE:""&amp;D166,""marketcap"")/10000000"),26648.052725)</f>
        <v>26648.05273</v>
      </c>
      <c r="F166" s="17">
        <f>IFERROR(__xludf.DUMMYFUNCTION("GOOGLEFINANCE(""NSE:""&amp;D166)"),5825.0)</f>
        <v>5825</v>
      </c>
      <c r="G166" s="17">
        <f>IFERROR(__xludf.DUMMYFUNCTION("GOOGLEFINANCE(""NSE:""&amp;D166,""closeyest"")"),5794.65)</f>
        <v>5794.65</v>
      </c>
      <c r="H166" s="17">
        <f>IFERROR(__xludf.DUMMYFUNCTION("INDEX(GOOGLEFINANCE(""NSE:""&amp;D166,""PRICE"",TODAY()-7),2,2)"),5872.25)</f>
        <v>5872.25</v>
      </c>
      <c r="I166" s="17">
        <f>IFERROR(__xludf.DUMMYFUNCTION("INDEX(GOOGLEFINANCE(""NSE:""&amp;D166,""PRICE"",TODAY()-14),2,2)"),6091.6)</f>
        <v>6091.6</v>
      </c>
      <c r="J166" s="17">
        <f>IFERROR(__xludf.DUMMYFUNCTION("INDEX(GOOGLEFINANCE(""NSE:""&amp;D166,""PRICE"",TODAY()-28),2,2)"),5692.65)</f>
        <v>5692.65</v>
      </c>
      <c r="K166" s="17">
        <f>IFERROR(__xludf.DUMMYFUNCTION("INDEX(GOOGLEFINANCE(""NSE:""&amp;D166,""PRICE"",TODAY()-84),2,2)"),5720.25)</f>
        <v>5720.25</v>
      </c>
      <c r="L166" s="16">
        <f t="shared" si="1"/>
        <v>0.005237589846</v>
      </c>
      <c r="M166" s="16">
        <f t="shared" si="2"/>
        <v>-0.008046319554</v>
      </c>
      <c r="N166" s="16">
        <f t="shared" si="3"/>
        <v>-0.04376518484</v>
      </c>
      <c r="O166" s="16">
        <f t="shared" si="4"/>
        <v>0.02324927758</v>
      </c>
      <c r="P166" s="16">
        <f t="shared" si="5"/>
        <v>0.01831213671</v>
      </c>
      <c r="Q166" s="30">
        <f t="shared" si="6"/>
        <v>-0.01990477669</v>
      </c>
      <c r="R166" s="30">
        <f t="shared" si="7"/>
        <v>-0.06754954002</v>
      </c>
      <c r="S166" s="30">
        <f t="shared" si="8"/>
        <v>-0.04812292605</v>
      </c>
      <c r="T166" s="30">
        <f t="shared" si="9"/>
        <v>-0.10848073</v>
      </c>
    </row>
    <row r="167">
      <c r="A167" s="1">
        <v>164.0</v>
      </c>
      <c r="B167" s="22" t="s">
        <v>690</v>
      </c>
      <c r="C167" s="22" t="s">
        <v>590</v>
      </c>
      <c r="D167" s="22" t="s">
        <v>385</v>
      </c>
      <c r="E167" s="23">
        <f>IFERROR(__xludf.DUMMYFUNCTION("GOOGLEFINANCE(""NSE:""&amp;D167,""marketcap"")/10000000"),26202.7793325)</f>
        <v>26202.77933</v>
      </c>
      <c r="F167" s="17">
        <f>IFERROR(__xludf.DUMMYFUNCTION("GOOGLEFINANCE(""NSE:""&amp;D167)"),8586.25)</f>
        <v>8586.25</v>
      </c>
      <c r="G167" s="17">
        <f>IFERROR(__xludf.DUMMYFUNCTION("GOOGLEFINANCE(""NSE:""&amp;D167,""closeyest"")"),8614.0)</f>
        <v>8614</v>
      </c>
      <c r="H167" s="17">
        <f>IFERROR(__xludf.DUMMYFUNCTION("INDEX(GOOGLEFINANCE(""NSE:""&amp;D167,""PRICE"",TODAY()-7),2,2)"),8608.75)</f>
        <v>8608.75</v>
      </c>
      <c r="I167" s="17">
        <f>IFERROR(__xludf.DUMMYFUNCTION("INDEX(GOOGLEFINANCE(""NSE:""&amp;D167,""PRICE"",TODAY()-14),2,2)"),8705.9)</f>
        <v>8705.9</v>
      </c>
      <c r="J167" s="17">
        <f>IFERROR(__xludf.DUMMYFUNCTION("INDEX(GOOGLEFINANCE(""NSE:""&amp;D167,""PRICE"",TODAY()-28),2,2)"),7143.45)</f>
        <v>7143.45</v>
      </c>
      <c r="K167" s="17">
        <f>IFERROR(__xludf.DUMMYFUNCTION("INDEX(GOOGLEFINANCE(""NSE:""&amp;D167,""PRICE"",TODAY()-84),2,2)"),7265.95)</f>
        <v>7265.95</v>
      </c>
      <c r="L167" s="16">
        <f t="shared" si="1"/>
        <v>-0.003221499884</v>
      </c>
      <c r="M167" s="16">
        <f t="shared" si="2"/>
        <v>-0.002613619864</v>
      </c>
      <c r="N167" s="16">
        <f t="shared" si="3"/>
        <v>-0.01374355322</v>
      </c>
      <c r="O167" s="16">
        <f t="shared" si="4"/>
        <v>0.2019752361</v>
      </c>
      <c r="P167" s="16">
        <f t="shared" si="5"/>
        <v>0.1817105815</v>
      </c>
      <c r="Q167" s="30">
        <f t="shared" si="6"/>
        <v>-0.014472077</v>
      </c>
      <c r="R167" s="30">
        <f t="shared" si="7"/>
        <v>-0.0375279084</v>
      </c>
      <c r="S167" s="30">
        <f t="shared" si="8"/>
        <v>0.1306030324</v>
      </c>
      <c r="T167" s="30">
        <f t="shared" si="9"/>
        <v>0.05491771485</v>
      </c>
    </row>
    <row r="168">
      <c r="A168" s="1">
        <v>165.0</v>
      </c>
      <c r="B168" s="22" t="s">
        <v>691</v>
      </c>
      <c r="C168" s="22" t="s">
        <v>618</v>
      </c>
      <c r="D168" s="22" t="s">
        <v>369</v>
      </c>
      <c r="E168" s="23">
        <f>IFERROR(__xludf.DUMMYFUNCTION("GOOGLEFINANCE(""NSE:""&amp;D168,""marketcap"")/10000000"),26175.8442521)</f>
        <v>26175.84425</v>
      </c>
      <c r="F168" s="17">
        <f>IFERROR(__xludf.DUMMYFUNCTION("GOOGLEFINANCE(""NSE:""&amp;D168)"),659.05)</f>
        <v>659.05</v>
      </c>
      <c r="G168" s="17">
        <f>IFERROR(__xludf.DUMMYFUNCTION("GOOGLEFINANCE(""NSE:""&amp;D168,""closeyest"")"),662.4)</f>
        <v>662.4</v>
      </c>
      <c r="H168" s="17">
        <f>IFERROR(__xludf.DUMMYFUNCTION("INDEX(GOOGLEFINANCE(""NSE:""&amp;D168,""PRICE"",TODAY()-7),2,2)"),646.9)</f>
        <v>646.9</v>
      </c>
      <c r="I168" s="17">
        <f>IFERROR(__xludf.DUMMYFUNCTION("INDEX(GOOGLEFINANCE(""NSE:""&amp;D168,""PRICE"",TODAY()-14),2,2)"),668.8)</f>
        <v>668.8</v>
      </c>
      <c r="J168" s="17">
        <f>IFERROR(__xludf.DUMMYFUNCTION("INDEX(GOOGLEFINANCE(""NSE:""&amp;D168,""PRICE"",TODAY()-28),2,2)"),617.75)</f>
        <v>617.75</v>
      </c>
      <c r="K168" s="17">
        <f>IFERROR(__xludf.DUMMYFUNCTION("INDEX(GOOGLEFINANCE(""NSE:""&amp;D168,""PRICE"",TODAY()-84),2,2)"),588.6)</f>
        <v>588.6</v>
      </c>
      <c r="L168" s="16">
        <f t="shared" si="1"/>
        <v>-0.00505736715</v>
      </c>
      <c r="M168" s="16">
        <f t="shared" si="2"/>
        <v>0.01878188283</v>
      </c>
      <c r="N168" s="16">
        <f t="shared" si="3"/>
        <v>-0.01457834928</v>
      </c>
      <c r="O168" s="16">
        <f t="shared" si="4"/>
        <v>0.06685552408</v>
      </c>
      <c r="P168" s="16">
        <f t="shared" si="5"/>
        <v>0.1196907917</v>
      </c>
      <c r="Q168" s="30">
        <f t="shared" si="6"/>
        <v>0.00692342569</v>
      </c>
      <c r="R168" s="30">
        <f t="shared" si="7"/>
        <v>-0.03836270446</v>
      </c>
      <c r="S168" s="30">
        <f t="shared" si="8"/>
        <v>-0.004516679549</v>
      </c>
      <c r="T168" s="30">
        <f t="shared" si="9"/>
        <v>-0.007102074988</v>
      </c>
    </row>
    <row r="169">
      <c r="A169" s="1">
        <v>166.0</v>
      </c>
      <c r="B169" s="22" t="s">
        <v>692</v>
      </c>
      <c r="C169" s="22" t="s">
        <v>526</v>
      </c>
      <c r="D169" s="22" t="s">
        <v>343</v>
      </c>
      <c r="E169" s="23">
        <f>IFERROR(__xludf.DUMMYFUNCTION("GOOGLEFINANCE(""NSE:""&amp;D169,""marketcap"")/10000000"),26053.0561131)</f>
        <v>26053.05611</v>
      </c>
      <c r="F169" s="17">
        <f>IFERROR(__xludf.DUMMYFUNCTION("GOOGLEFINANCE(""NSE:""&amp;D169)"),585.0)</f>
        <v>585</v>
      </c>
      <c r="G169" s="17">
        <f>IFERROR(__xludf.DUMMYFUNCTION("GOOGLEFINANCE(""NSE:""&amp;D169,""closeyest"")"),584.6)</f>
        <v>584.6</v>
      </c>
      <c r="H169" s="17">
        <f>IFERROR(__xludf.DUMMYFUNCTION("INDEX(GOOGLEFINANCE(""NSE:""&amp;D169,""PRICE"",TODAY()-7),2,2)"),580.4)</f>
        <v>580.4</v>
      </c>
      <c r="I169" s="17">
        <f>IFERROR(__xludf.DUMMYFUNCTION("INDEX(GOOGLEFINANCE(""NSE:""&amp;D169,""PRICE"",TODAY()-14),2,2)"),591.05)</f>
        <v>591.05</v>
      </c>
      <c r="J169" s="17">
        <f>IFERROR(__xludf.DUMMYFUNCTION("INDEX(GOOGLEFINANCE(""NSE:""&amp;D169,""PRICE"",TODAY()-28),2,2)"),596.55)</f>
        <v>596.55</v>
      </c>
      <c r="K169" s="17">
        <f>IFERROR(__xludf.DUMMYFUNCTION("INDEX(GOOGLEFINANCE(""NSE:""&amp;D169,""PRICE"",TODAY()-84),2,2)"),563.6)</f>
        <v>563.6</v>
      </c>
      <c r="L169" s="16">
        <f t="shared" si="1"/>
        <v>0.0006842285323</v>
      </c>
      <c r="M169" s="16">
        <f t="shared" si="2"/>
        <v>0.007925568573</v>
      </c>
      <c r="N169" s="16">
        <f t="shared" si="3"/>
        <v>-0.01023602064</v>
      </c>
      <c r="O169" s="16">
        <f t="shared" si="4"/>
        <v>-0.01936132763</v>
      </c>
      <c r="P169" s="16">
        <f t="shared" si="5"/>
        <v>0.03797019163</v>
      </c>
      <c r="Q169" s="30">
        <f t="shared" si="6"/>
        <v>-0.003932888563</v>
      </c>
      <c r="R169" s="30">
        <f t="shared" si="7"/>
        <v>-0.03402037582</v>
      </c>
      <c r="S169" s="30">
        <f t="shared" si="8"/>
        <v>-0.09073353126</v>
      </c>
      <c r="T169" s="30">
        <f t="shared" si="9"/>
        <v>-0.08882267507</v>
      </c>
    </row>
    <row r="170">
      <c r="A170" s="1">
        <v>167.0</v>
      </c>
      <c r="B170" s="22" t="s">
        <v>693</v>
      </c>
      <c r="C170" s="22" t="s">
        <v>545</v>
      </c>
      <c r="D170" s="22" t="s">
        <v>373</v>
      </c>
      <c r="E170" s="23">
        <f>IFERROR(__xludf.DUMMYFUNCTION("GOOGLEFINANCE(""NSE:""&amp;D170,""marketcap"")/10000000"),25661.265093)</f>
        <v>25661.26509</v>
      </c>
      <c r="F170" s="17">
        <f>IFERROR(__xludf.DUMMYFUNCTION("GOOGLEFINANCE(""NSE:""&amp;D170)"),537.6)</f>
        <v>537.6</v>
      </c>
      <c r="G170" s="17">
        <f>IFERROR(__xludf.DUMMYFUNCTION("GOOGLEFINANCE(""NSE:""&amp;D170,""closeyest"")"),540.1)</f>
        <v>540.1</v>
      </c>
      <c r="H170" s="17">
        <f>IFERROR(__xludf.DUMMYFUNCTION("INDEX(GOOGLEFINANCE(""NSE:""&amp;D170,""PRICE"",TODAY()-7),2,2)"),547.1)</f>
        <v>547.1</v>
      </c>
      <c r="I170" s="17">
        <f>IFERROR(__xludf.DUMMYFUNCTION("INDEX(GOOGLEFINANCE(""NSE:""&amp;D170,""PRICE"",TODAY()-14),2,2)"),545.65)</f>
        <v>545.65</v>
      </c>
      <c r="J170" s="17">
        <f>IFERROR(__xludf.DUMMYFUNCTION("INDEX(GOOGLEFINANCE(""NSE:""&amp;D170,""PRICE"",TODAY()-28),2,2)"),511.1)</f>
        <v>511.1</v>
      </c>
      <c r="K170" s="17">
        <f>IFERROR(__xludf.DUMMYFUNCTION("INDEX(GOOGLEFINANCE(""NSE:""&amp;D170,""PRICE"",TODAY()-84),2,2)"),612.0)</f>
        <v>612</v>
      </c>
      <c r="L170" s="16">
        <f t="shared" si="1"/>
        <v>-0.00462877245</v>
      </c>
      <c r="M170" s="16">
        <f t="shared" si="2"/>
        <v>-0.01736428441</v>
      </c>
      <c r="N170" s="16">
        <f t="shared" si="3"/>
        <v>-0.01475304682</v>
      </c>
      <c r="O170" s="16">
        <f t="shared" si="4"/>
        <v>0.05184895324</v>
      </c>
      <c r="P170" s="16">
        <f t="shared" si="5"/>
        <v>-0.1215686275</v>
      </c>
      <c r="Q170" s="30">
        <f t="shared" si="6"/>
        <v>-0.02922274154</v>
      </c>
      <c r="R170" s="30">
        <f t="shared" si="7"/>
        <v>-0.038537402</v>
      </c>
      <c r="S170" s="30">
        <f t="shared" si="8"/>
        <v>-0.01952325039</v>
      </c>
      <c r="T170" s="30">
        <f t="shared" si="9"/>
        <v>-0.2483614941</v>
      </c>
    </row>
    <row r="171">
      <c r="A171" s="1">
        <v>168.0</v>
      </c>
      <c r="B171" s="22" t="s">
        <v>775</v>
      </c>
      <c r="C171" s="22" t="s">
        <v>549</v>
      </c>
      <c r="D171" s="22" t="s">
        <v>359</v>
      </c>
      <c r="E171" s="23">
        <f>IFERROR(__xludf.DUMMYFUNCTION("GOOGLEFINANCE(""NSE:""&amp;D171,""marketcap"")/10000000"),25541.3238825)</f>
        <v>25541.32388</v>
      </c>
      <c r="F171" s="17">
        <f>IFERROR(__xludf.DUMMYFUNCTION("GOOGLEFINANCE(""NSE:""&amp;D171)"),1510.0)</f>
        <v>1510</v>
      </c>
      <c r="G171" s="17">
        <f>IFERROR(__xludf.DUMMYFUNCTION("GOOGLEFINANCE(""NSE:""&amp;D171,""closeyest"")"),1500.75)</f>
        <v>1500.75</v>
      </c>
      <c r="H171" s="17">
        <f>IFERROR(__xludf.DUMMYFUNCTION("INDEX(GOOGLEFINANCE(""NSE:""&amp;D171,""PRICE"",TODAY()-7),2,2)"),1538.95)</f>
        <v>1538.95</v>
      </c>
      <c r="I171" s="17">
        <f>IFERROR(__xludf.DUMMYFUNCTION("INDEX(GOOGLEFINANCE(""NSE:""&amp;D171,""PRICE"",TODAY()-14),2,2)"),1538.6)</f>
        <v>1538.6</v>
      </c>
      <c r="J171" s="17">
        <f>IFERROR(__xludf.DUMMYFUNCTION("INDEX(GOOGLEFINANCE(""NSE:""&amp;D171,""PRICE"",TODAY()-28),2,2)"),1515.65)</f>
        <v>1515.65</v>
      </c>
      <c r="K171" s="17">
        <f>IFERROR(__xludf.DUMMYFUNCTION("INDEX(GOOGLEFINANCE(""NSE:""&amp;D171,""PRICE"",TODAY()-84),2,2)"),1515.8)</f>
        <v>1515.8</v>
      </c>
      <c r="L171" s="16">
        <f t="shared" si="1"/>
        <v>0.006163584874</v>
      </c>
      <c r="M171" s="16">
        <f t="shared" si="2"/>
        <v>-0.01881152734</v>
      </c>
      <c r="N171" s="16">
        <f t="shared" si="3"/>
        <v>-0.01858832705</v>
      </c>
      <c r="O171" s="16">
        <f t="shared" si="4"/>
        <v>-0.003727773562</v>
      </c>
      <c r="P171" s="16">
        <f t="shared" si="5"/>
        <v>-0.003826362317</v>
      </c>
      <c r="Q171" s="30">
        <f t="shared" si="6"/>
        <v>-0.03066998448</v>
      </c>
      <c r="R171" s="30">
        <f t="shared" si="7"/>
        <v>-0.04237268223</v>
      </c>
      <c r="S171" s="30">
        <f t="shared" si="8"/>
        <v>-0.07509997719</v>
      </c>
      <c r="T171" s="30">
        <f t="shared" si="9"/>
        <v>-0.130619229</v>
      </c>
    </row>
    <row r="172">
      <c r="A172" s="1">
        <v>169.0</v>
      </c>
      <c r="B172" s="22" t="s">
        <v>776</v>
      </c>
      <c r="C172" s="22" t="s">
        <v>528</v>
      </c>
      <c r="D172" s="22" t="s">
        <v>351</v>
      </c>
      <c r="E172" s="23">
        <f>IFERROR(__xludf.DUMMYFUNCTION("GOOGLEFINANCE(""NSE:""&amp;D172,""marketcap"")/10000000"),25123.0074645)</f>
        <v>25123.00746</v>
      </c>
      <c r="F172" s="17">
        <f>IFERROR(__xludf.DUMMYFUNCTION("GOOGLEFINANCE(""NSE:""&amp;D172)"),143.2)</f>
        <v>143.2</v>
      </c>
      <c r="G172" s="17">
        <f>IFERROR(__xludf.DUMMYFUNCTION("GOOGLEFINANCE(""NSE:""&amp;D172,""closeyest"")"),143.9)</f>
        <v>143.9</v>
      </c>
      <c r="H172" s="17">
        <f>IFERROR(__xludf.DUMMYFUNCTION("INDEX(GOOGLEFINANCE(""NSE:""&amp;D172,""PRICE"",TODAY()-7),2,2)"),147.8)</f>
        <v>147.8</v>
      </c>
      <c r="I172" s="17">
        <f>IFERROR(__xludf.DUMMYFUNCTION("INDEX(GOOGLEFINANCE(""NSE:""&amp;D172,""PRICE"",TODAY()-14),2,2)"),144.15)</f>
        <v>144.15</v>
      </c>
      <c r="J172" s="17">
        <f>IFERROR(__xludf.DUMMYFUNCTION("INDEX(GOOGLEFINANCE(""NSE:""&amp;D172,""PRICE"",TODAY()-28),2,2)"),154.85)</f>
        <v>154.85</v>
      </c>
      <c r="K172" s="17">
        <f>IFERROR(__xludf.DUMMYFUNCTION("INDEX(GOOGLEFINANCE(""NSE:""&amp;D172,""PRICE"",TODAY()-84),2,2)"),200.1)</f>
        <v>200.1</v>
      </c>
      <c r="L172" s="16">
        <f t="shared" si="1"/>
        <v>-0.004864489229</v>
      </c>
      <c r="M172" s="16">
        <f t="shared" si="2"/>
        <v>-0.03112313938</v>
      </c>
      <c r="N172" s="16">
        <f t="shared" si="3"/>
        <v>-0.006590357267</v>
      </c>
      <c r="O172" s="16">
        <f t="shared" si="4"/>
        <v>-0.07523409751</v>
      </c>
      <c r="P172" s="16">
        <f t="shared" si="5"/>
        <v>-0.2843578211</v>
      </c>
      <c r="Q172" s="30">
        <f t="shared" si="6"/>
        <v>-0.04298159651</v>
      </c>
      <c r="R172" s="30">
        <f t="shared" si="7"/>
        <v>-0.03037471245</v>
      </c>
      <c r="S172" s="30">
        <f t="shared" si="8"/>
        <v>-0.1466063011</v>
      </c>
      <c r="T172" s="30">
        <f t="shared" si="9"/>
        <v>-0.4111506878</v>
      </c>
    </row>
    <row r="173">
      <c r="A173" s="1">
        <v>170.0</v>
      </c>
      <c r="B173" s="22" t="s">
        <v>777</v>
      </c>
      <c r="C173" s="22" t="s">
        <v>543</v>
      </c>
      <c r="D173" s="22" t="s">
        <v>375</v>
      </c>
      <c r="E173" s="23">
        <f>IFERROR(__xludf.DUMMYFUNCTION("GOOGLEFINANCE(""NSE:""&amp;D173,""marketcap"")/10000000"),24756.744096)</f>
        <v>24756.7441</v>
      </c>
      <c r="F173" s="17">
        <f>IFERROR(__xludf.DUMMYFUNCTION("GOOGLEFINANCE(""NSE:""&amp;D173)"),3204.0)</f>
        <v>3204</v>
      </c>
      <c r="G173" s="17">
        <f>IFERROR(__xludf.DUMMYFUNCTION("GOOGLEFINANCE(""NSE:""&amp;D173,""closeyest"")"),3215.45)</f>
        <v>3215.45</v>
      </c>
      <c r="H173" s="17">
        <f>IFERROR(__xludf.DUMMYFUNCTION("INDEX(GOOGLEFINANCE(""NSE:""&amp;D173,""PRICE"",TODAY()-7),2,2)"),3379.45)</f>
        <v>3379.45</v>
      </c>
      <c r="I173" s="17">
        <f>IFERROR(__xludf.DUMMYFUNCTION("INDEX(GOOGLEFINANCE(""NSE:""&amp;D173,""PRICE"",TODAY()-14),2,2)"),3472.95)</f>
        <v>3472.95</v>
      </c>
      <c r="J173" s="17">
        <f>IFERROR(__xludf.DUMMYFUNCTION("INDEX(GOOGLEFINANCE(""NSE:""&amp;D173,""PRICE"",TODAY()-28),2,2)"),3125.3)</f>
        <v>3125.3</v>
      </c>
      <c r="K173" s="17">
        <f>IFERROR(__xludf.DUMMYFUNCTION("INDEX(GOOGLEFINANCE(""NSE:""&amp;D173,""PRICE"",TODAY()-84),2,2)"),2865.2)</f>
        <v>2865.2</v>
      </c>
      <c r="L173" s="16">
        <f t="shared" si="1"/>
        <v>-0.003560932373</v>
      </c>
      <c r="M173" s="16">
        <f t="shared" si="2"/>
        <v>-0.05191673201</v>
      </c>
      <c r="N173" s="16">
        <f t="shared" si="3"/>
        <v>-0.07744136829</v>
      </c>
      <c r="O173" s="16">
        <f t="shared" si="4"/>
        <v>0.02518158257</v>
      </c>
      <c r="P173" s="16">
        <f t="shared" si="5"/>
        <v>0.1182465447</v>
      </c>
      <c r="Q173" s="30">
        <f t="shared" si="6"/>
        <v>-0.06377518915</v>
      </c>
      <c r="R173" s="30">
        <f t="shared" si="7"/>
        <v>-0.1012257235</v>
      </c>
      <c r="S173" s="30">
        <f t="shared" si="8"/>
        <v>-0.04619062106</v>
      </c>
      <c r="T173" s="30">
        <f t="shared" si="9"/>
        <v>-0.008546321953</v>
      </c>
    </row>
    <row r="174">
      <c r="A174" s="1">
        <v>171.0</v>
      </c>
      <c r="B174" s="22" t="s">
        <v>694</v>
      </c>
      <c r="C174" s="22" t="s">
        <v>526</v>
      </c>
      <c r="D174" s="22" t="s">
        <v>379</v>
      </c>
      <c r="E174" s="23">
        <f>IFERROR(__xludf.DUMMYFUNCTION("GOOGLEFINANCE(""NSE:""&amp;D174,""marketcap"")/10000000"),25741.7028881)</f>
        <v>25741.70289</v>
      </c>
      <c r="F174" s="17">
        <f>IFERROR(__xludf.DUMMYFUNCTION("GOOGLEFINANCE(""NSE:""&amp;D174)"),4390.0)</f>
        <v>4390</v>
      </c>
      <c r="G174" s="17">
        <f>IFERROR(__xludf.DUMMYFUNCTION("GOOGLEFINANCE(""NSE:""&amp;D174,""closeyest"")"),4163.15)</f>
        <v>4163.15</v>
      </c>
      <c r="H174" s="17">
        <f>IFERROR(__xludf.DUMMYFUNCTION("INDEX(GOOGLEFINANCE(""NSE:""&amp;D174,""PRICE"",TODAY()-7),2,2)"),4245.1)</f>
        <v>4245.1</v>
      </c>
      <c r="I174" s="17">
        <f>IFERROR(__xludf.DUMMYFUNCTION("INDEX(GOOGLEFINANCE(""NSE:""&amp;D174,""PRICE"",TODAY()-14),2,2)"),4306.75)</f>
        <v>4306.75</v>
      </c>
      <c r="J174" s="17">
        <f>IFERROR(__xludf.DUMMYFUNCTION("INDEX(GOOGLEFINANCE(""NSE:""&amp;D174,""PRICE"",TODAY()-28),2,2)"),4046.25)</f>
        <v>4046.25</v>
      </c>
      <c r="K174" s="17">
        <f>IFERROR(__xludf.DUMMYFUNCTION("INDEX(GOOGLEFINANCE(""NSE:""&amp;D174,""PRICE"",TODAY()-84),2,2)"),4518.85)</f>
        <v>4518.85</v>
      </c>
      <c r="L174" s="16">
        <f t="shared" si="1"/>
        <v>0.05448998955</v>
      </c>
      <c r="M174" s="16">
        <f t="shared" si="2"/>
        <v>0.03413347153</v>
      </c>
      <c r="N174" s="16">
        <f t="shared" si="3"/>
        <v>0.01933012132</v>
      </c>
      <c r="O174" s="16">
        <f t="shared" si="4"/>
        <v>0.08495520544</v>
      </c>
      <c r="P174" s="16">
        <f t="shared" si="5"/>
        <v>-0.02851389181</v>
      </c>
      <c r="Q174" s="30">
        <f t="shared" si="6"/>
        <v>0.0222750144</v>
      </c>
      <c r="R174" s="30">
        <f t="shared" si="7"/>
        <v>-0.004454233859</v>
      </c>
      <c r="S174" s="30">
        <f t="shared" si="8"/>
        <v>0.01358300181</v>
      </c>
      <c r="T174" s="30">
        <f t="shared" si="9"/>
        <v>-0.1553067585</v>
      </c>
    </row>
    <row r="175">
      <c r="A175" s="1">
        <v>172.0</v>
      </c>
      <c r="B175" s="22" t="s">
        <v>778</v>
      </c>
      <c r="C175" s="22" t="s">
        <v>603</v>
      </c>
      <c r="D175" s="22" t="s">
        <v>422</v>
      </c>
      <c r="E175" s="23">
        <f>IFERROR(__xludf.DUMMYFUNCTION("GOOGLEFINANCE(""NSE:""&amp;D175,""marketcap"")/10000000"),23914.9366273)</f>
        <v>23914.93663</v>
      </c>
      <c r="F175" s="17">
        <f>IFERROR(__xludf.DUMMYFUNCTION("GOOGLEFINANCE(""NSE:""&amp;D175)"),2805.8)</f>
        <v>2805.8</v>
      </c>
      <c r="G175" s="17">
        <f>IFERROR(__xludf.DUMMYFUNCTION("GOOGLEFINANCE(""NSE:""&amp;D175,""closeyest"")"),2832.0)</f>
        <v>2832</v>
      </c>
      <c r="H175" s="17">
        <f>IFERROR(__xludf.DUMMYFUNCTION("INDEX(GOOGLEFINANCE(""NSE:""&amp;D175,""PRICE"",TODAY()-7),2,2)"),2659.1)</f>
        <v>2659.1</v>
      </c>
      <c r="I175" s="17">
        <f>IFERROR(__xludf.DUMMYFUNCTION("INDEX(GOOGLEFINANCE(""NSE:""&amp;D175,""PRICE"",TODAY()-14),2,2)"),2649.0)</f>
        <v>2649</v>
      </c>
      <c r="J175" s="17">
        <f>IFERROR(__xludf.DUMMYFUNCTION("INDEX(GOOGLEFINANCE(""NSE:""&amp;D175,""PRICE"",TODAY()-28),2,2)"),2385.95)</f>
        <v>2385.95</v>
      </c>
      <c r="K175" s="17">
        <f>IFERROR(__xludf.DUMMYFUNCTION("INDEX(GOOGLEFINANCE(""NSE:""&amp;D175,""PRICE"",TODAY()-84),2,2)"),1740.35)</f>
        <v>1740.35</v>
      </c>
      <c r="L175" s="16">
        <f t="shared" si="1"/>
        <v>-0.009251412429</v>
      </c>
      <c r="M175" s="16">
        <f t="shared" si="2"/>
        <v>0.05516904216</v>
      </c>
      <c r="N175" s="16">
        <f t="shared" si="3"/>
        <v>0.05919214798</v>
      </c>
      <c r="O175" s="16">
        <f t="shared" si="4"/>
        <v>0.1759676439</v>
      </c>
      <c r="P175" s="16">
        <f t="shared" si="5"/>
        <v>0.6122044416</v>
      </c>
      <c r="Q175" s="30">
        <f t="shared" si="6"/>
        <v>0.04331058502</v>
      </c>
      <c r="R175" s="30">
        <f t="shared" si="7"/>
        <v>0.0354077928</v>
      </c>
      <c r="S175" s="30">
        <f t="shared" si="8"/>
        <v>0.1045954403</v>
      </c>
      <c r="T175" s="30">
        <f t="shared" si="9"/>
        <v>0.4854115749</v>
      </c>
    </row>
    <row r="176">
      <c r="A176" s="1">
        <v>173.0</v>
      </c>
      <c r="B176" s="22" t="s">
        <v>695</v>
      </c>
      <c r="C176" s="22" t="s">
        <v>578</v>
      </c>
      <c r="D176" s="22" t="s">
        <v>395</v>
      </c>
      <c r="E176" s="23">
        <f>IFERROR(__xludf.DUMMYFUNCTION("GOOGLEFINANCE(""NSE:""&amp;D176,""marketcap"")/10000000"),23694.81165)</f>
        <v>23694.81165</v>
      </c>
      <c r="F176" s="17">
        <f>IFERROR(__xludf.DUMMYFUNCTION("GOOGLEFINANCE(""NSE:""&amp;D176)"),807.5)</f>
        <v>807.5</v>
      </c>
      <c r="G176" s="17">
        <f>IFERROR(__xludf.DUMMYFUNCTION("GOOGLEFINANCE(""NSE:""&amp;D176,""closeyest"")"),818.75)</f>
        <v>818.75</v>
      </c>
      <c r="H176" s="17">
        <f>IFERROR(__xludf.DUMMYFUNCTION("INDEX(GOOGLEFINANCE(""NSE:""&amp;D176,""PRICE"",TODAY()-7),2,2)"),807.6)</f>
        <v>807.6</v>
      </c>
      <c r="I176" s="17">
        <f>IFERROR(__xludf.DUMMYFUNCTION("INDEX(GOOGLEFINANCE(""NSE:""&amp;D176,""PRICE"",TODAY()-14),2,2)"),835.05)</f>
        <v>835.05</v>
      </c>
      <c r="J176" s="17">
        <f>IFERROR(__xludf.DUMMYFUNCTION("INDEX(GOOGLEFINANCE(""NSE:""&amp;D176,""PRICE"",TODAY()-28),2,2)"),766.8)</f>
        <v>766.8</v>
      </c>
      <c r="K176" s="17">
        <f>IFERROR(__xludf.DUMMYFUNCTION("INDEX(GOOGLEFINANCE(""NSE:""&amp;D176,""PRICE"",TODAY()-84),2,2)"),908.95)</f>
        <v>908.95</v>
      </c>
      <c r="L176" s="16">
        <f t="shared" si="1"/>
        <v>-0.01374045802</v>
      </c>
      <c r="M176" s="16">
        <f t="shared" si="2"/>
        <v>-0.0001238236751</v>
      </c>
      <c r="N176" s="16">
        <f t="shared" si="3"/>
        <v>-0.03299203641</v>
      </c>
      <c r="O176" s="16">
        <f t="shared" si="4"/>
        <v>0.05307772561</v>
      </c>
      <c r="P176" s="16">
        <f t="shared" si="5"/>
        <v>-0.1116122999</v>
      </c>
      <c r="Q176" s="30">
        <f t="shared" si="6"/>
        <v>-0.01198228081</v>
      </c>
      <c r="R176" s="30">
        <f t="shared" si="7"/>
        <v>-0.05677639158</v>
      </c>
      <c r="S176" s="30">
        <f t="shared" si="8"/>
        <v>-0.01829447802</v>
      </c>
      <c r="T176" s="30">
        <f t="shared" si="9"/>
        <v>-0.2384051666</v>
      </c>
    </row>
    <row r="177">
      <c r="A177" s="1">
        <v>174.0</v>
      </c>
      <c r="B177" s="22" t="s">
        <v>779</v>
      </c>
      <c r="C177" s="22" t="s">
        <v>578</v>
      </c>
      <c r="D177" s="22" t="s">
        <v>377</v>
      </c>
      <c r="E177" s="23">
        <f>IFERROR(__xludf.DUMMYFUNCTION("GOOGLEFINANCE(""NSE:""&amp;D177,""marketcap"")/10000000"),24179.22081)</f>
        <v>24179.22081</v>
      </c>
      <c r="F177" s="17">
        <f>IFERROR(__xludf.DUMMYFUNCTION("GOOGLEFINANCE(""NSE:""&amp;D177)"),5395.0)</f>
        <v>5395</v>
      </c>
      <c r="G177" s="17">
        <f>IFERROR(__xludf.DUMMYFUNCTION("GOOGLEFINANCE(""NSE:""&amp;D177,""closeyest"")"),5342.6)</f>
        <v>5342.6</v>
      </c>
      <c r="H177" s="17">
        <f>IFERROR(__xludf.DUMMYFUNCTION("INDEX(GOOGLEFINANCE(""NSE:""&amp;D177,""PRICE"",TODAY()-7),2,2)"),5355.85)</f>
        <v>5355.85</v>
      </c>
      <c r="I177" s="17">
        <f>IFERROR(__xludf.DUMMYFUNCTION("INDEX(GOOGLEFINANCE(""NSE:""&amp;D177,""PRICE"",TODAY()-14),2,2)"),5471.4)</f>
        <v>5471.4</v>
      </c>
      <c r="J177" s="17">
        <f>IFERROR(__xludf.DUMMYFUNCTION("INDEX(GOOGLEFINANCE(""NSE:""&amp;D177,""PRICE"",TODAY()-28),2,2)"),5293.55)</f>
        <v>5293.55</v>
      </c>
      <c r="K177" s="17">
        <f>IFERROR(__xludf.DUMMYFUNCTION("INDEX(GOOGLEFINANCE(""NSE:""&amp;D177,""PRICE"",TODAY()-84),2,2)"),5668.7)</f>
        <v>5668.7</v>
      </c>
      <c r="L177" s="16">
        <f t="shared" si="1"/>
        <v>0.009807958672</v>
      </c>
      <c r="M177" s="16">
        <f t="shared" si="2"/>
        <v>0.00730976409</v>
      </c>
      <c r="N177" s="16">
        <f t="shared" si="3"/>
        <v>-0.01396351939</v>
      </c>
      <c r="O177" s="16">
        <f t="shared" si="4"/>
        <v>0.01916483267</v>
      </c>
      <c r="P177" s="16">
        <f t="shared" si="5"/>
        <v>-0.04828267504</v>
      </c>
      <c r="Q177" s="30">
        <f t="shared" si="6"/>
        <v>-0.004548693046</v>
      </c>
      <c r="R177" s="30">
        <f t="shared" si="7"/>
        <v>-0.03774787457</v>
      </c>
      <c r="S177" s="30">
        <f t="shared" si="8"/>
        <v>-0.05220737095</v>
      </c>
      <c r="T177" s="30">
        <f t="shared" si="9"/>
        <v>-0.1750755417</v>
      </c>
    </row>
    <row r="178">
      <c r="A178" s="1">
        <v>175.0</v>
      </c>
      <c r="B178" s="22" t="s">
        <v>696</v>
      </c>
      <c r="C178" s="22" t="s">
        <v>528</v>
      </c>
      <c r="D178" s="22" t="s">
        <v>391</v>
      </c>
      <c r="E178" s="23">
        <f>IFERROR(__xludf.DUMMYFUNCTION("GOOGLEFINANCE(""NSE:""&amp;D178,""marketcap"")/10000000"),24186.50323)</f>
        <v>24186.50323</v>
      </c>
      <c r="F178" s="17">
        <f>IFERROR(__xludf.DUMMYFUNCTION("GOOGLEFINANCE(""NSE:""&amp;D178)"),750.0)</f>
        <v>750</v>
      </c>
      <c r="G178" s="17">
        <f>IFERROR(__xludf.DUMMYFUNCTION("GOOGLEFINANCE(""NSE:""&amp;D178,""closeyest"")"),744.35)</f>
        <v>744.35</v>
      </c>
      <c r="H178" s="17">
        <f>IFERROR(__xludf.DUMMYFUNCTION("INDEX(GOOGLEFINANCE(""NSE:""&amp;D178,""PRICE"",TODAY()-7),2,2)"),735.6)</f>
        <v>735.6</v>
      </c>
      <c r="I178" s="17">
        <f>IFERROR(__xludf.DUMMYFUNCTION("INDEX(GOOGLEFINANCE(""NSE:""&amp;D178,""PRICE"",TODAY()-14),2,2)"),716.45)</f>
        <v>716.45</v>
      </c>
      <c r="J178" s="17">
        <f>IFERROR(__xludf.DUMMYFUNCTION("INDEX(GOOGLEFINANCE(""NSE:""&amp;D178,""PRICE"",TODAY()-28),2,2)"),705.65)</f>
        <v>705.65</v>
      </c>
      <c r="K178" s="17">
        <f>IFERROR(__xludf.DUMMYFUNCTION("INDEX(GOOGLEFINANCE(""NSE:""&amp;D178,""PRICE"",TODAY()-84),2,2)"),692.75)</f>
        <v>692.75</v>
      </c>
      <c r="L178" s="16">
        <f t="shared" si="1"/>
        <v>0.007590515215</v>
      </c>
      <c r="M178" s="16">
        <f t="shared" si="2"/>
        <v>0.01957585644</v>
      </c>
      <c r="N178" s="16">
        <f t="shared" si="3"/>
        <v>0.04682811082</v>
      </c>
      <c r="O178" s="16">
        <f t="shared" si="4"/>
        <v>0.06284985474</v>
      </c>
      <c r="P178" s="16">
        <f t="shared" si="5"/>
        <v>0.08264164562</v>
      </c>
      <c r="Q178" s="30">
        <f t="shared" si="6"/>
        <v>0.007717399308</v>
      </c>
      <c r="R178" s="30">
        <f t="shared" si="7"/>
        <v>0.02304375564</v>
      </c>
      <c r="S178" s="30">
        <f t="shared" si="8"/>
        <v>-0.008522348885</v>
      </c>
      <c r="T178" s="30">
        <f t="shared" si="9"/>
        <v>-0.04415122108</v>
      </c>
    </row>
    <row r="179">
      <c r="A179" s="1">
        <v>176.0</v>
      </c>
      <c r="B179" s="22" t="s">
        <v>697</v>
      </c>
      <c r="C179" s="22" t="s">
        <v>528</v>
      </c>
      <c r="D179" s="22" t="s">
        <v>383</v>
      </c>
      <c r="E179" s="23">
        <f>IFERROR(__xludf.DUMMYFUNCTION("GOOGLEFINANCE(""NSE:""&amp;D179,""marketcap"")/10000000"),23819.0887671)</f>
        <v>23819.08877</v>
      </c>
      <c r="F179" s="17">
        <f>IFERROR(__xludf.DUMMYFUNCTION("GOOGLEFINANCE(""NSE:""&amp;D179)"),34.9)</f>
        <v>34.9</v>
      </c>
      <c r="G179" s="17">
        <f>IFERROR(__xludf.DUMMYFUNCTION("GOOGLEFINANCE(""NSE:""&amp;D179,""closeyest"")"),35.05)</f>
        <v>35.05</v>
      </c>
      <c r="H179" s="17">
        <f>IFERROR(__xludf.DUMMYFUNCTION("INDEX(GOOGLEFINANCE(""NSE:""&amp;D179,""PRICE"",TODAY()-7),2,2)"),35.9)</f>
        <v>35.9</v>
      </c>
      <c r="I179" s="17">
        <f>IFERROR(__xludf.DUMMYFUNCTION("INDEX(GOOGLEFINANCE(""NSE:""&amp;D179,""PRICE"",TODAY()-14),2,2)"),34.65)</f>
        <v>34.65</v>
      </c>
      <c r="J179" s="17">
        <f>IFERROR(__xludf.DUMMYFUNCTION("INDEX(GOOGLEFINANCE(""NSE:""&amp;D179,""PRICE"",TODAY()-28),2,2)"),34.15)</f>
        <v>34.15</v>
      </c>
      <c r="K179" s="17">
        <f>IFERROR(__xludf.DUMMYFUNCTION("INDEX(GOOGLEFINANCE(""NSE:""&amp;D179,""PRICE"",TODAY()-84),2,2)"),39.05)</f>
        <v>39.05</v>
      </c>
      <c r="L179" s="16">
        <f t="shared" si="1"/>
        <v>-0.004279600571</v>
      </c>
      <c r="M179" s="16">
        <f t="shared" si="2"/>
        <v>-0.0278551532</v>
      </c>
      <c r="N179" s="16">
        <f t="shared" si="3"/>
        <v>0.007215007215</v>
      </c>
      <c r="O179" s="16">
        <f t="shared" si="4"/>
        <v>0.02196193265</v>
      </c>
      <c r="P179" s="16">
        <f t="shared" si="5"/>
        <v>-0.1062740077</v>
      </c>
      <c r="Q179" s="30">
        <f t="shared" si="6"/>
        <v>-0.03971361034</v>
      </c>
      <c r="R179" s="30">
        <f t="shared" si="7"/>
        <v>-0.01656934796</v>
      </c>
      <c r="S179" s="30">
        <f t="shared" si="8"/>
        <v>-0.04941027098</v>
      </c>
      <c r="T179" s="30">
        <f t="shared" si="9"/>
        <v>-0.2330668744</v>
      </c>
    </row>
    <row r="180">
      <c r="A180" s="1">
        <v>177.0</v>
      </c>
      <c r="B180" s="22" t="s">
        <v>698</v>
      </c>
      <c r="C180" s="22" t="s">
        <v>560</v>
      </c>
      <c r="D180" s="22" t="s">
        <v>389</v>
      </c>
      <c r="E180" s="23">
        <f>IFERROR(__xludf.DUMMYFUNCTION("GOOGLEFINANCE(""NSE:""&amp;D180,""marketcap"")/10000000"),23756.8828943)</f>
        <v>23756.88289</v>
      </c>
      <c r="F180" s="17">
        <f>IFERROR(__xludf.DUMMYFUNCTION("GOOGLEFINANCE(""NSE:""&amp;D180)"),495.15)</f>
        <v>495.15</v>
      </c>
      <c r="G180" s="17">
        <f>IFERROR(__xludf.DUMMYFUNCTION("GOOGLEFINANCE(""NSE:""&amp;D180,""closeyest"")"),492.95)</f>
        <v>492.95</v>
      </c>
      <c r="H180" s="17">
        <f>IFERROR(__xludf.DUMMYFUNCTION("INDEX(GOOGLEFINANCE(""NSE:""&amp;D180,""PRICE"",TODAY()-7),2,2)"),481.9)</f>
        <v>481.9</v>
      </c>
      <c r="I180" s="17">
        <f>IFERROR(__xludf.DUMMYFUNCTION("INDEX(GOOGLEFINANCE(""NSE:""&amp;D180,""PRICE"",TODAY()-14),2,2)"),480.75)</f>
        <v>480.75</v>
      </c>
      <c r="J180" s="17">
        <f>IFERROR(__xludf.DUMMYFUNCTION("INDEX(GOOGLEFINANCE(""NSE:""&amp;D180,""PRICE"",TODAY()-28),2,2)"),488.15)</f>
        <v>488.15</v>
      </c>
      <c r="K180" s="17">
        <f>IFERROR(__xludf.DUMMYFUNCTION("INDEX(GOOGLEFINANCE(""NSE:""&amp;D180,""PRICE"",TODAY()-84),2,2)"),464.65)</f>
        <v>464.65</v>
      </c>
      <c r="L180" s="16">
        <f t="shared" si="1"/>
        <v>0.004462927275</v>
      </c>
      <c r="M180" s="16">
        <f t="shared" si="2"/>
        <v>0.02749533098</v>
      </c>
      <c r="N180" s="16">
        <f t="shared" si="3"/>
        <v>0.02995319813</v>
      </c>
      <c r="O180" s="16">
        <f t="shared" si="4"/>
        <v>0.01433985455</v>
      </c>
      <c r="P180" s="16">
        <f t="shared" si="5"/>
        <v>0.06564080491</v>
      </c>
      <c r="Q180" s="30">
        <f t="shared" si="6"/>
        <v>0.01563687385</v>
      </c>
      <c r="R180" s="30">
        <f t="shared" si="7"/>
        <v>0.006168842948</v>
      </c>
      <c r="S180" s="30">
        <f t="shared" si="8"/>
        <v>-0.05703234908</v>
      </c>
      <c r="T180" s="30">
        <f t="shared" si="9"/>
        <v>-0.06115206179</v>
      </c>
    </row>
    <row r="181">
      <c r="A181" s="1">
        <v>178.0</v>
      </c>
      <c r="B181" s="22" t="s">
        <v>699</v>
      </c>
      <c r="C181" s="22" t="s">
        <v>522</v>
      </c>
      <c r="D181" s="22" t="s">
        <v>440</v>
      </c>
      <c r="E181" s="23">
        <f>IFERROR(__xludf.DUMMYFUNCTION("GOOGLEFINANCE(""NSE:""&amp;D181,""marketcap"")/10000000"),23151.8056215)</f>
        <v>23151.80562</v>
      </c>
      <c r="F181" s="17">
        <f>IFERROR(__xludf.DUMMYFUNCTION("GOOGLEFINANCE(""NSE:""&amp;D181)"),215.2)</f>
        <v>215.2</v>
      </c>
      <c r="G181" s="17">
        <f>IFERROR(__xludf.DUMMYFUNCTION("GOOGLEFINANCE(""NSE:""&amp;D181,""closeyest"")"),217.0)</f>
        <v>217</v>
      </c>
      <c r="H181" s="17">
        <f>IFERROR(__xludf.DUMMYFUNCTION("INDEX(GOOGLEFINANCE(""NSE:""&amp;D181,""PRICE"",TODAY()-7),2,2)"),199.8)</f>
        <v>199.8</v>
      </c>
      <c r="I181" s="17">
        <f>IFERROR(__xludf.DUMMYFUNCTION("INDEX(GOOGLEFINANCE(""NSE:""&amp;D181,""PRICE"",TODAY()-14),2,2)"),193.35)</f>
        <v>193.35</v>
      </c>
      <c r="J181" s="17">
        <f>IFERROR(__xludf.DUMMYFUNCTION("INDEX(GOOGLEFINANCE(""NSE:""&amp;D181,""PRICE"",TODAY()-28),2,2)"),176.55)</f>
        <v>176.55</v>
      </c>
      <c r="K181" s="17">
        <f>IFERROR(__xludf.DUMMYFUNCTION("INDEX(GOOGLEFINANCE(""NSE:""&amp;D181,""PRICE"",TODAY()-84),2,2)"),169.2)</f>
        <v>169.2</v>
      </c>
      <c r="L181" s="16">
        <f t="shared" si="1"/>
        <v>-0.008294930876</v>
      </c>
      <c r="M181" s="16">
        <f t="shared" si="2"/>
        <v>0.07707707708</v>
      </c>
      <c r="N181" s="16">
        <f t="shared" si="3"/>
        <v>0.1130074994</v>
      </c>
      <c r="O181" s="16">
        <f t="shared" si="4"/>
        <v>0.2189181535</v>
      </c>
      <c r="P181" s="16">
        <f t="shared" si="5"/>
        <v>0.2718676123</v>
      </c>
      <c r="Q181" s="30">
        <f t="shared" si="6"/>
        <v>0.06521861994</v>
      </c>
      <c r="R181" s="30">
        <f t="shared" si="7"/>
        <v>0.08922314417</v>
      </c>
      <c r="S181" s="30">
        <f t="shared" si="8"/>
        <v>0.1475459499</v>
      </c>
      <c r="T181" s="30">
        <f t="shared" si="9"/>
        <v>0.1450747456</v>
      </c>
    </row>
    <row r="182">
      <c r="A182" s="1">
        <v>179.0</v>
      </c>
      <c r="B182" s="22" t="s">
        <v>700</v>
      </c>
      <c r="C182" s="22" t="s">
        <v>526</v>
      </c>
      <c r="D182" s="22" t="s">
        <v>397</v>
      </c>
      <c r="E182" s="23">
        <f>IFERROR(__xludf.DUMMYFUNCTION("GOOGLEFINANCE(""NSE:""&amp;D182,""marketcap"")/10000000"),23125.4820419)</f>
        <v>23125.48204</v>
      </c>
      <c r="F182" s="17">
        <f>IFERROR(__xludf.DUMMYFUNCTION("GOOGLEFINANCE(""NSE:""&amp;D182)"),1796.05)</f>
        <v>1796.05</v>
      </c>
      <c r="G182" s="17">
        <f>IFERROR(__xludf.DUMMYFUNCTION("GOOGLEFINANCE(""NSE:""&amp;D182,""closeyest"")"),1798.85)</f>
        <v>1798.85</v>
      </c>
      <c r="H182" s="17">
        <f>IFERROR(__xludf.DUMMYFUNCTION("INDEX(GOOGLEFINANCE(""NSE:""&amp;D182,""PRICE"",TODAY()-7),2,2)"),1784.55)</f>
        <v>1784.55</v>
      </c>
      <c r="I182" s="17">
        <f>IFERROR(__xludf.DUMMYFUNCTION("INDEX(GOOGLEFINANCE(""NSE:""&amp;D182,""PRICE"",TODAY()-14),2,2)"),1768.9)</f>
        <v>1768.9</v>
      </c>
      <c r="J182" s="17">
        <f>IFERROR(__xludf.DUMMYFUNCTION("INDEX(GOOGLEFINANCE(""NSE:""&amp;D182,""PRICE"",TODAY()-28),2,2)"),1722.95)</f>
        <v>1722.95</v>
      </c>
      <c r="K182" s="17">
        <f>IFERROR(__xludf.DUMMYFUNCTION("INDEX(GOOGLEFINANCE(""NSE:""&amp;D182,""PRICE"",TODAY()-84),2,2)"),1589.15)</f>
        <v>1589.15</v>
      </c>
      <c r="L182" s="16">
        <f t="shared" si="1"/>
        <v>-0.001556550018</v>
      </c>
      <c r="M182" s="16">
        <f t="shared" si="2"/>
        <v>0.006444201619</v>
      </c>
      <c r="N182" s="16">
        <f t="shared" si="3"/>
        <v>0.01534852168</v>
      </c>
      <c r="O182" s="16">
        <f t="shared" si="4"/>
        <v>0.04242723236</v>
      </c>
      <c r="P182" s="16">
        <f t="shared" si="5"/>
        <v>0.1301953875</v>
      </c>
      <c r="Q182" s="30">
        <f t="shared" si="6"/>
        <v>-0.005414255517</v>
      </c>
      <c r="R182" s="30">
        <f t="shared" si="7"/>
        <v>-0.0084358335</v>
      </c>
      <c r="S182" s="30">
        <f t="shared" si="8"/>
        <v>-0.02894497127</v>
      </c>
      <c r="T182" s="30">
        <f t="shared" si="9"/>
        <v>0.003402520774</v>
      </c>
    </row>
    <row r="183">
      <c r="A183" s="1">
        <v>180.0</v>
      </c>
      <c r="B183" s="22" t="s">
        <v>701</v>
      </c>
      <c r="C183" s="22" t="s">
        <v>543</v>
      </c>
      <c r="D183" s="22" t="s">
        <v>393</v>
      </c>
      <c r="E183" s="23">
        <f>IFERROR(__xludf.DUMMYFUNCTION("GOOGLEFINANCE(""NSE:""&amp;D183,""marketcap"")/10000000"),22943.210582)</f>
        <v>22943.21058</v>
      </c>
      <c r="F183" s="17">
        <f>IFERROR(__xludf.DUMMYFUNCTION("GOOGLEFINANCE(""NSE:""&amp;D183)"),972.2)</f>
        <v>972.2</v>
      </c>
      <c r="G183" s="17">
        <f>IFERROR(__xludf.DUMMYFUNCTION("GOOGLEFINANCE(""NSE:""&amp;D183,""closeyest"")"),977.9)</f>
        <v>977.9</v>
      </c>
      <c r="H183" s="17">
        <f>IFERROR(__xludf.DUMMYFUNCTION("INDEX(GOOGLEFINANCE(""NSE:""&amp;D183,""PRICE"",TODAY()-7),2,2)"),1011.5)</f>
        <v>1011.5</v>
      </c>
      <c r="I183" s="17">
        <f>IFERROR(__xludf.DUMMYFUNCTION("INDEX(GOOGLEFINANCE(""NSE:""&amp;D183,""PRICE"",TODAY()-14),2,2)"),1056.1)</f>
        <v>1056.1</v>
      </c>
      <c r="J183" s="17">
        <f>IFERROR(__xludf.DUMMYFUNCTION("INDEX(GOOGLEFINANCE(""NSE:""&amp;D183,""PRICE"",TODAY()-28),2,2)"),986.65)</f>
        <v>986.65</v>
      </c>
      <c r="K183" s="17">
        <f>IFERROR(__xludf.DUMMYFUNCTION("INDEX(GOOGLEFINANCE(""NSE:""&amp;D183,""PRICE"",TODAY()-84),2,2)"),1009.45)</f>
        <v>1009.45</v>
      </c>
      <c r="L183" s="16">
        <f t="shared" si="1"/>
        <v>-0.005828816852</v>
      </c>
      <c r="M183" s="16">
        <f t="shared" si="2"/>
        <v>-0.03885318833</v>
      </c>
      <c r="N183" s="16">
        <f t="shared" si="3"/>
        <v>-0.07944323454</v>
      </c>
      <c r="O183" s="16">
        <f t="shared" si="4"/>
        <v>-0.01464551766</v>
      </c>
      <c r="P183" s="16">
        <f t="shared" si="5"/>
        <v>-0.03690128288</v>
      </c>
      <c r="Q183" s="30">
        <f t="shared" si="6"/>
        <v>-0.05071164547</v>
      </c>
      <c r="R183" s="30">
        <f t="shared" si="7"/>
        <v>-0.1032275897</v>
      </c>
      <c r="S183" s="30">
        <f t="shared" si="8"/>
        <v>-0.08601772129</v>
      </c>
      <c r="T183" s="30">
        <f t="shared" si="9"/>
        <v>-0.1636941496</v>
      </c>
    </row>
    <row r="184">
      <c r="A184" s="1">
        <v>181.0</v>
      </c>
      <c r="B184" s="22" t="s">
        <v>780</v>
      </c>
      <c r="C184" s="22" t="s">
        <v>635</v>
      </c>
      <c r="D184" s="22" t="s">
        <v>399</v>
      </c>
      <c r="E184" s="23">
        <f>IFERROR(__xludf.DUMMYFUNCTION("GOOGLEFINANCE(""NSE:""&amp;D184,""marketcap"")/10000000"),23152.7264425)</f>
        <v>23152.72644</v>
      </c>
      <c r="F184" s="17">
        <f>IFERROR(__xludf.DUMMYFUNCTION("GOOGLEFINANCE(""NSE:""&amp;D184)"),7405.2)</f>
        <v>7405.2</v>
      </c>
      <c r="G184" s="17">
        <f>IFERROR(__xludf.DUMMYFUNCTION("GOOGLEFINANCE(""NSE:""&amp;D184,""closeyest"")"),7300.65)</f>
        <v>7300.65</v>
      </c>
      <c r="H184" s="17">
        <f>IFERROR(__xludf.DUMMYFUNCTION("INDEX(GOOGLEFINANCE(""NSE:""&amp;D184,""PRICE"",TODAY()-7),2,2)"),7299.85)</f>
        <v>7299.85</v>
      </c>
      <c r="I184" s="17">
        <f>IFERROR(__xludf.DUMMYFUNCTION("INDEX(GOOGLEFINANCE(""NSE:""&amp;D184,""PRICE"",TODAY()-14),2,2)"),7307.05)</f>
        <v>7307.05</v>
      </c>
      <c r="J184" s="17">
        <f>IFERROR(__xludf.DUMMYFUNCTION("INDEX(GOOGLEFINANCE(""NSE:""&amp;D184,""PRICE"",TODAY()-28),2,2)"),7194.7)</f>
        <v>7194.7</v>
      </c>
      <c r="K184" s="17" t="str">
        <f>IFERROR(__xludf.DUMMYFUNCTION("INDEX(GOOGLEFINANCE(""NSE:""&amp;D184,""PRICE"",TODAY()-84),2,2)"),"#N/A")</f>
        <v>#N/A</v>
      </c>
      <c r="L184" s="16">
        <f t="shared" si="1"/>
        <v>0.01432064268</v>
      </c>
      <c r="M184" s="16">
        <f t="shared" si="2"/>
        <v>0.01443180339</v>
      </c>
      <c r="N184" s="16">
        <f t="shared" si="3"/>
        <v>0.01343223325</v>
      </c>
      <c r="O184" s="16">
        <f t="shared" si="4"/>
        <v>0.02925764799</v>
      </c>
      <c r="P184" s="16" t="str">
        <f t="shared" si="5"/>
        <v>#N/A</v>
      </c>
      <c r="Q184" s="30">
        <f t="shared" si="6"/>
        <v>0.002573346257</v>
      </c>
      <c r="R184" s="30">
        <f t="shared" si="7"/>
        <v>-0.01035212193</v>
      </c>
      <c r="S184" s="30">
        <f t="shared" si="8"/>
        <v>-0.04211455564</v>
      </c>
      <c r="T184" s="32" t="str">
        <f t="shared" si="9"/>
        <v>#N/A</v>
      </c>
    </row>
    <row r="185">
      <c r="A185" s="1">
        <v>182.0</v>
      </c>
      <c r="B185" s="22" t="s">
        <v>702</v>
      </c>
      <c r="C185" s="22" t="s">
        <v>528</v>
      </c>
      <c r="D185" s="22" t="s">
        <v>424</v>
      </c>
      <c r="E185" s="23">
        <f>IFERROR(__xludf.DUMMYFUNCTION("GOOGLEFINANCE(""NSE:""&amp;D185,""marketcap"")/10000000"),22857.1543169)</f>
        <v>22857.15432</v>
      </c>
      <c r="F185" s="17">
        <f>IFERROR(__xludf.DUMMYFUNCTION("GOOGLEFINANCE(""NSE:""&amp;D185)"),184.95)</f>
        <v>184.95</v>
      </c>
      <c r="G185" s="17">
        <f>IFERROR(__xludf.DUMMYFUNCTION("GOOGLEFINANCE(""NSE:""&amp;D185,""closeyest"")"),180.85)</f>
        <v>180.85</v>
      </c>
      <c r="H185" s="17">
        <f>IFERROR(__xludf.DUMMYFUNCTION("INDEX(GOOGLEFINANCE(""NSE:""&amp;D185,""PRICE"",TODAY()-7),2,2)"),179.35)</f>
        <v>179.35</v>
      </c>
      <c r="I185" s="17">
        <f>IFERROR(__xludf.DUMMYFUNCTION("INDEX(GOOGLEFINANCE(""NSE:""&amp;D185,""PRICE"",TODAY()-14),2,2)"),168.55)</f>
        <v>168.55</v>
      </c>
      <c r="J185" s="17">
        <f>IFERROR(__xludf.DUMMYFUNCTION("INDEX(GOOGLEFINANCE(""NSE:""&amp;D185,""PRICE"",TODAY()-28),2,2)"),155.55)</f>
        <v>155.55</v>
      </c>
      <c r="K185" s="17">
        <f>IFERROR(__xludf.DUMMYFUNCTION("INDEX(GOOGLEFINANCE(""NSE:""&amp;D185,""PRICE"",TODAY()-84),2,2)"),157.35)</f>
        <v>157.35</v>
      </c>
      <c r="L185" s="16">
        <f t="shared" si="1"/>
        <v>0.02267072159</v>
      </c>
      <c r="M185" s="16">
        <f t="shared" si="2"/>
        <v>0.03122386395</v>
      </c>
      <c r="N185" s="16">
        <f t="shared" si="3"/>
        <v>0.0973005043</v>
      </c>
      <c r="O185" s="16">
        <f t="shared" si="4"/>
        <v>0.1890067502</v>
      </c>
      <c r="P185" s="16">
        <f t="shared" si="5"/>
        <v>0.1754051478</v>
      </c>
      <c r="Q185" s="30">
        <f t="shared" si="6"/>
        <v>0.01936540682</v>
      </c>
      <c r="R185" s="30">
        <f t="shared" si="7"/>
        <v>0.07351614912</v>
      </c>
      <c r="S185" s="30">
        <f t="shared" si="8"/>
        <v>0.1176345466</v>
      </c>
      <c r="T185" s="30">
        <f t="shared" si="9"/>
        <v>0.04861228106</v>
      </c>
    </row>
    <row r="186">
      <c r="A186" s="1">
        <v>183.0</v>
      </c>
      <c r="B186" s="22" t="s">
        <v>703</v>
      </c>
      <c r="C186" s="22" t="s">
        <v>545</v>
      </c>
      <c r="D186" s="22" t="s">
        <v>387</v>
      </c>
      <c r="E186" s="23">
        <f>IFERROR(__xludf.DUMMYFUNCTION("GOOGLEFINANCE(""NSE:""&amp;D186,""marketcap"")/10000000"),21992.7430779)</f>
        <v>21992.74308</v>
      </c>
      <c r="F186" s="17">
        <f>IFERROR(__xludf.DUMMYFUNCTION("GOOGLEFINANCE(""NSE:""&amp;D186)"),1566.0)</f>
        <v>1566</v>
      </c>
      <c r="G186" s="17">
        <f>IFERROR(__xludf.DUMMYFUNCTION("GOOGLEFINANCE(""NSE:""&amp;D186,""closeyest"")"),1601.0)</f>
        <v>1601</v>
      </c>
      <c r="H186" s="17">
        <f>IFERROR(__xludf.DUMMYFUNCTION("INDEX(GOOGLEFINANCE(""NSE:""&amp;D186,""PRICE"",TODAY()-7),2,2)"),1588.9)</f>
        <v>1588.9</v>
      </c>
      <c r="I186" s="17">
        <f>IFERROR(__xludf.DUMMYFUNCTION("INDEX(GOOGLEFINANCE(""NSE:""&amp;D186,""PRICE"",TODAY()-14),2,2)"),1604.5)</f>
        <v>1604.5</v>
      </c>
      <c r="J186" s="17">
        <f>IFERROR(__xludf.DUMMYFUNCTION("INDEX(GOOGLEFINANCE(""NSE:""&amp;D186,""PRICE"",TODAY()-28),2,2)"),1698.7)</f>
        <v>1698.7</v>
      </c>
      <c r="K186" s="17">
        <f>IFERROR(__xludf.DUMMYFUNCTION("INDEX(GOOGLEFINANCE(""NSE:""&amp;D186,""PRICE"",TODAY()-84),2,2)"),1656.15)</f>
        <v>1656.15</v>
      </c>
      <c r="L186" s="16">
        <f t="shared" si="1"/>
        <v>-0.02186133666</v>
      </c>
      <c r="M186" s="16">
        <f t="shared" si="2"/>
        <v>-0.01441248663</v>
      </c>
      <c r="N186" s="16">
        <f t="shared" si="3"/>
        <v>-0.02399501402</v>
      </c>
      <c r="O186" s="16">
        <f t="shared" si="4"/>
        <v>-0.07811856125</v>
      </c>
      <c r="P186" s="16">
        <f t="shared" si="5"/>
        <v>-0.05443347523</v>
      </c>
      <c r="Q186" s="30">
        <f t="shared" si="6"/>
        <v>-0.02627094376</v>
      </c>
      <c r="R186" s="30">
        <f t="shared" si="7"/>
        <v>-0.0477793692</v>
      </c>
      <c r="S186" s="30">
        <f t="shared" si="8"/>
        <v>-0.1494907649</v>
      </c>
      <c r="T186" s="30">
        <f t="shared" si="9"/>
        <v>-0.1812263419</v>
      </c>
    </row>
    <row r="187">
      <c r="A187" s="1">
        <v>184.0</v>
      </c>
      <c r="B187" s="22" t="s">
        <v>370</v>
      </c>
      <c r="C187" s="22" t="s">
        <v>528</v>
      </c>
      <c r="D187" s="22" t="s">
        <v>371</v>
      </c>
      <c r="E187" s="23">
        <f>IFERROR(__xludf.DUMMYFUNCTION("GOOGLEFINANCE(""NSE:""&amp;D187,""marketcap"")/10000000"),22425.9888161)</f>
        <v>22425.98882</v>
      </c>
      <c r="F187" s="17">
        <f>IFERROR(__xludf.DUMMYFUNCTION("GOOGLEFINANCE(""NSE:""&amp;D187)"),54.65)</f>
        <v>54.65</v>
      </c>
      <c r="G187" s="17">
        <f>IFERROR(__xludf.DUMMYFUNCTION("GOOGLEFINANCE(""NSE:""&amp;D187,""closeyest"")"),54.5)</f>
        <v>54.5</v>
      </c>
      <c r="H187" s="17">
        <f>IFERROR(__xludf.DUMMYFUNCTION("INDEX(GOOGLEFINANCE(""NSE:""&amp;D187,""PRICE"",TODAY()-7),2,2)"),58.25)</f>
        <v>58.25</v>
      </c>
      <c r="I187" s="17">
        <f>IFERROR(__xludf.DUMMYFUNCTION("INDEX(GOOGLEFINANCE(""NSE:""&amp;D187,""PRICE"",TODAY()-14),2,2)"),56.2)</f>
        <v>56.2</v>
      </c>
      <c r="J187" s="17">
        <f>IFERROR(__xludf.DUMMYFUNCTION("INDEX(GOOGLEFINANCE(""NSE:""&amp;D187,""PRICE"",TODAY()-28),2,2)"),67.4)</f>
        <v>67.4</v>
      </c>
      <c r="K187" s="17">
        <f>IFERROR(__xludf.DUMMYFUNCTION("INDEX(GOOGLEFINANCE(""NSE:""&amp;D187,""PRICE"",TODAY()-84),2,2)"),77.05)</f>
        <v>77.05</v>
      </c>
      <c r="L187" s="16">
        <f t="shared" si="1"/>
        <v>0.002752293578</v>
      </c>
      <c r="M187" s="16">
        <f t="shared" si="2"/>
        <v>-0.06180257511</v>
      </c>
      <c r="N187" s="16">
        <f t="shared" si="3"/>
        <v>-0.02758007117</v>
      </c>
      <c r="O187" s="16">
        <f t="shared" si="4"/>
        <v>-0.1891691395</v>
      </c>
      <c r="P187" s="16">
        <f t="shared" si="5"/>
        <v>-0.2907203115</v>
      </c>
      <c r="Q187" s="30">
        <f t="shared" si="6"/>
        <v>-0.07366103224</v>
      </c>
      <c r="R187" s="30">
        <f t="shared" si="7"/>
        <v>-0.05136442635</v>
      </c>
      <c r="S187" s="30">
        <f t="shared" si="8"/>
        <v>-0.2605413431</v>
      </c>
      <c r="T187" s="30">
        <f t="shared" si="9"/>
        <v>-0.4175131782</v>
      </c>
    </row>
    <row r="188">
      <c r="A188" s="1">
        <v>185.0</v>
      </c>
      <c r="B188" s="22" t="s">
        <v>781</v>
      </c>
      <c r="C188" s="22" t="s">
        <v>552</v>
      </c>
      <c r="D188" s="22" t="s">
        <v>413</v>
      </c>
      <c r="E188" s="23">
        <f>IFERROR(__xludf.DUMMYFUNCTION("GOOGLEFINANCE(""NSE:""&amp;D188,""marketcap"")/10000000"),22822.0364942)</f>
        <v>22822.03649</v>
      </c>
      <c r="F188" s="17">
        <f>IFERROR(__xludf.DUMMYFUNCTION("GOOGLEFINANCE(""NSE:""&amp;D188)"),918.0)</f>
        <v>918</v>
      </c>
      <c r="G188" s="17">
        <f>IFERROR(__xludf.DUMMYFUNCTION("GOOGLEFINANCE(""NSE:""&amp;D188,""closeyest"")"),879.35)</f>
        <v>879.35</v>
      </c>
      <c r="H188" s="17">
        <f>IFERROR(__xludf.DUMMYFUNCTION("INDEX(GOOGLEFINANCE(""NSE:""&amp;D188,""PRICE"",TODAY()-7),2,2)"),945.95)</f>
        <v>945.95</v>
      </c>
      <c r="I188" s="17">
        <f>IFERROR(__xludf.DUMMYFUNCTION("INDEX(GOOGLEFINANCE(""NSE:""&amp;D188,""PRICE"",TODAY()-14),2,2)"),927.38)</f>
        <v>927.38</v>
      </c>
      <c r="J188" s="17">
        <f>IFERROR(__xludf.DUMMYFUNCTION("INDEX(GOOGLEFINANCE(""NSE:""&amp;D188,""PRICE"",TODAY()-28),2,2)"),822.98)</f>
        <v>822.98</v>
      </c>
      <c r="K188" s="17">
        <f>IFERROR(__xludf.DUMMYFUNCTION("INDEX(GOOGLEFINANCE(""NSE:""&amp;D188,""PRICE"",TODAY()-84),2,2)"),815.08)</f>
        <v>815.08</v>
      </c>
      <c r="L188" s="16">
        <f t="shared" si="1"/>
        <v>0.04395291977</v>
      </c>
      <c r="M188" s="16">
        <f t="shared" si="2"/>
        <v>-0.02954701623</v>
      </c>
      <c r="N188" s="16">
        <f t="shared" si="3"/>
        <v>-0.01011451616</v>
      </c>
      <c r="O188" s="16">
        <f t="shared" si="4"/>
        <v>0.1154584559</v>
      </c>
      <c r="P188" s="16">
        <f t="shared" si="5"/>
        <v>0.126269814</v>
      </c>
      <c r="Q188" s="30">
        <f t="shared" si="6"/>
        <v>-0.04140547336</v>
      </c>
      <c r="R188" s="30">
        <f t="shared" si="7"/>
        <v>-0.03389887134</v>
      </c>
      <c r="S188" s="30">
        <f t="shared" si="8"/>
        <v>0.04408625223</v>
      </c>
      <c r="T188" s="30">
        <f t="shared" si="9"/>
        <v>-0.0005230526911</v>
      </c>
    </row>
    <row r="189">
      <c r="A189" s="1">
        <v>186.0</v>
      </c>
      <c r="B189" s="22" t="s">
        <v>704</v>
      </c>
      <c r="C189" s="22" t="s">
        <v>541</v>
      </c>
      <c r="D189" s="22" t="s">
        <v>458</v>
      </c>
      <c r="E189" s="23">
        <f>IFERROR(__xludf.DUMMYFUNCTION("GOOGLEFINANCE(""NSE:""&amp;D189,""marketcap"")/10000000"),21699.2263305)</f>
        <v>21699.22633</v>
      </c>
      <c r="F189" s="17">
        <f>IFERROR(__xludf.DUMMYFUNCTION("GOOGLEFINANCE(""NSE:""&amp;D189)"),36.0)</f>
        <v>36</v>
      </c>
      <c r="G189" s="17">
        <f>IFERROR(__xludf.DUMMYFUNCTION("GOOGLEFINANCE(""NSE:""&amp;D189,""closeyest"")"),36.25)</f>
        <v>36.25</v>
      </c>
      <c r="H189" s="17">
        <f>IFERROR(__xludf.DUMMYFUNCTION("INDEX(GOOGLEFINANCE(""NSE:""&amp;D189,""PRICE"",TODAY()-7),2,2)"),31.55)</f>
        <v>31.55</v>
      </c>
      <c r="I189" s="17">
        <f>IFERROR(__xludf.DUMMYFUNCTION("INDEX(GOOGLEFINANCE(""NSE:""&amp;D189,""PRICE"",TODAY()-14),2,2)"),30.0)</f>
        <v>30</v>
      </c>
      <c r="J189" s="17">
        <f>IFERROR(__xludf.DUMMYFUNCTION("INDEX(GOOGLEFINANCE(""NSE:""&amp;D189,""PRICE"",TODAY()-28),2,2)"),29.15)</f>
        <v>29.15</v>
      </c>
      <c r="K189" s="17">
        <f>IFERROR(__xludf.DUMMYFUNCTION("INDEX(GOOGLEFINANCE(""NSE:""&amp;D189,""PRICE"",TODAY()-84),2,2)"),32.6)</f>
        <v>32.6</v>
      </c>
      <c r="L189" s="16">
        <f t="shared" si="1"/>
        <v>-0.006896551724</v>
      </c>
      <c r="M189" s="16">
        <f t="shared" si="2"/>
        <v>0.1410459588</v>
      </c>
      <c r="N189" s="16">
        <f t="shared" si="3"/>
        <v>0.2</v>
      </c>
      <c r="O189" s="16">
        <f t="shared" si="4"/>
        <v>0.2349914237</v>
      </c>
      <c r="P189" s="16">
        <f t="shared" si="5"/>
        <v>0.1042944785</v>
      </c>
      <c r="Q189" s="30">
        <f t="shared" si="6"/>
        <v>0.1291875017</v>
      </c>
      <c r="R189" s="30">
        <f t="shared" si="7"/>
        <v>0.1762156448</v>
      </c>
      <c r="S189" s="30">
        <f t="shared" si="8"/>
        <v>0.16361922</v>
      </c>
      <c r="T189" s="30">
        <f t="shared" si="9"/>
        <v>-0.02249838817</v>
      </c>
    </row>
    <row r="190">
      <c r="A190" s="1">
        <v>187.0</v>
      </c>
      <c r="B190" s="22" t="s">
        <v>705</v>
      </c>
      <c r="C190" s="22" t="s">
        <v>528</v>
      </c>
      <c r="D190" s="22" t="s">
        <v>420</v>
      </c>
      <c r="E190" s="23">
        <f>IFERROR(__xludf.DUMMYFUNCTION("GOOGLEFINANCE(""NSE:""&amp;D190,""marketcap"")/10000000"),24212.6691275)</f>
        <v>24212.66913</v>
      </c>
      <c r="F190" s="17">
        <f>IFERROR(__xludf.DUMMYFUNCTION("GOOGLEFINANCE(""NSE:""&amp;D190)"),440.3)</f>
        <v>440.3</v>
      </c>
      <c r="G190" s="17">
        <f>IFERROR(__xludf.DUMMYFUNCTION("GOOGLEFINANCE(""NSE:""&amp;D190,""closeyest"")"),430.7)</f>
        <v>430.7</v>
      </c>
      <c r="H190" s="17">
        <f>IFERROR(__xludf.DUMMYFUNCTION("INDEX(GOOGLEFINANCE(""NSE:""&amp;D190,""PRICE"",TODAY()-7),2,2)"),417.75)</f>
        <v>417.75</v>
      </c>
      <c r="I190" s="17">
        <f>IFERROR(__xludf.DUMMYFUNCTION("INDEX(GOOGLEFINANCE(""NSE:""&amp;D190,""PRICE"",TODAY()-14),2,2)"),419.55)</f>
        <v>419.55</v>
      </c>
      <c r="J190" s="17">
        <f>IFERROR(__xludf.DUMMYFUNCTION("INDEX(GOOGLEFINANCE(""NSE:""&amp;D190,""PRICE"",TODAY()-28),2,2)"),387.75)</f>
        <v>387.75</v>
      </c>
      <c r="K190" s="17">
        <f>IFERROR(__xludf.DUMMYFUNCTION("INDEX(GOOGLEFINANCE(""NSE:""&amp;D190,""PRICE"",TODAY()-84),2,2)"),465.8)</f>
        <v>465.8</v>
      </c>
      <c r="L190" s="16">
        <f t="shared" si="1"/>
        <v>0.02228929649</v>
      </c>
      <c r="M190" s="16">
        <f t="shared" si="2"/>
        <v>0.0539796529</v>
      </c>
      <c r="N190" s="16">
        <f t="shared" si="3"/>
        <v>0.04945775235</v>
      </c>
      <c r="O190" s="16">
        <f t="shared" si="4"/>
        <v>0.1355254674</v>
      </c>
      <c r="P190" s="16">
        <f t="shared" si="5"/>
        <v>-0.05474452555</v>
      </c>
      <c r="Q190" s="30">
        <f t="shared" si="6"/>
        <v>0.04212119577</v>
      </c>
      <c r="R190" s="30">
        <f t="shared" si="7"/>
        <v>0.02567339717</v>
      </c>
      <c r="S190" s="30">
        <f t="shared" si="8"/>
        <v>0.06415326381</v>
      </c>
      <c r="T190" s="30">
        <f t="shared" si="9"/>
        <v>-0.1815373922</v>
      </c>
    </row>
    <row r="191">
      <c r="A191" s="1">
        <v>188.0</v>
      </c>
      <c r="B191" s="22" t="s">
        <v>706</v>
      </c>
      <c r="C191" s="22" t="s">
        <v>528</v>
      </c>
      <c r="D191" s="22" t="s">
        <v>411</v>
      </c>
      <c r="E191" s="23">
        <f>IFERROR(__xludf.DUMMYFUNCTION("GOOGLEFINANCE(""NSE:""&amp;D191,""marketcap"")/10000000"),21699.583425)</f>
        <v>21699.58343</v>
      </c>
      <c r="F191" s="17">
        <f>IFERROR(__xludf.DUMMYFUNCTION("GOOGLEFINANCE(""NSE:""&amp;D191)"),87.9)</f>
        <v>87.9</v>
      </c>
      <c r="G191" s="17">
        <f>IFERROR(__xludf.DUMMYFUNCTION("GOOGLEFINANCE(""NSE:""&amp;D191,""closeyest"")"),86.3)</f>
        <v>86.3</v>
      </c>
      <c r="H191" s="17">
        <f>IFERROR(__xludf.DUMMYFUNCTION("INDEX(GOOGLEFINANCE(""NSE:""&amp;D191,""PRICE"",TODAY()-7),2,2)"),85.5)</f>
        <v>85.5</v>
      </c>
      <c r="I191" s="17">
        <f>IFERROR(__xludf.DUMMYFUNCTION("INDEX(GOOGLEFINANCE(""NSE:""&amp;D191,""PRICE"",TODAY()-14),2,2)"),85.2)</f>
        <v>85.2</v>
      </c>
      <c r="J191" s="17">
        <f>IFERROR(__xludf.DUMMYFUNCTION("INDEX(GOOGLEFINANCE(""NSE:""&amp;D191,""PRICE"",TODAY()-28),2,2)"),81.45)</f>
        <v>81.45</v>
      </c>
      <c r="K191" s="17">
        <f>IFERROR(__xludf.DUMMYFUNCTION("INDEX(GOOGLEFINANCE(""NSE:""&amp;D191,""PRICE"",TODAY()-84),2,2)"),92.35)</f>
        <v>92.35</v>
      </c>
      <c r="L191" s="16">
        <f t="shared" si="1"/>
        <v>0.01853997683</v>
      </c>
      <c r="M191" s="16">
        <f t="shared" si="2"/>
        <v>0.02807017544</v>
      </c>
      <c r="N191" s="16">
        <f t="shared" si="3"/>
        <v>0.03169014085</v>
      </c>
      <c r="O191" s="16">
        <f t="shared" si="4"/>
        <v>0.07918968692</v>
      </c>
      <c r="P191" s="16">
        <f t="shared" si="5"/>
        <v>-0.04818624797</v>
      </c>
      <c r="Q191" s="30">
        <f t="shared" si="6"/>
        <v>0.0162117183</v>
      </c>
      <c r="R191" s="30">
        <f t="shared" si="7"/>
        <v>0.007905785665</v>
      </c>
      <c r="S191" s="30">
        <f t="shared" si="8"/>
        <v>0.007817483296</v>
      </c>
      <c r="T191" s="30">
        <f t="shared" si="9"/>
        <v>-0.1749791147</v>
      </c>
    </row>
    <row r="192">
      <c r="A192" s="1">
        <v>189.0</v>
      </c>
      <c r="B192" s="22" t="s">
        <v>782</v>
      </c>
      <c r="C192" s="22" t="s">
        <v>528</v>
      </c>
      <c r="D192" s="22" t="s">
        <v>418</v>
      </c>
      <c r="E192" s="23">
        <f>IFERROR(__xludf.DUMMYFUNCTION("GOOGLEFINANCE(""NSE:""&amp;D192,""marketcap"")/10000000"),21003.1366873)</f>
        <v>21003.13669</v>
      </c>
      <c r="F192" s="17">
        <f>IFERROR(__xludf.DUMMYFUNCTION("GOOGLEFINANCE(""NSE:""&amp;D192)"),2884.85)</f>
        <v>2884.85</v>
      </c>
      <c r="G192" s="17">
        <f>IFERROR(__xludf.DUMMYFUNCTION("GOOGLEFINANCE(""NSE:""&amp;D192,""closeyest"")"),2915.75)</f>
        <v>2915.75</v>
      </c>
      <c r="H192" s="17">
        <f>IFERROR(__xludf.DUMMYFUNCTION("INDEX(GOOGLEFINANCE(""NSE:""&amp;D192,""PRICE"",TODAY()-7),2,2)"),2912.2)</f>
        <v>2912.2</v>
      </c>
      <c r="I192" s="17">
        <f>IFERROR(__xludf.DUMMYFUNCTION("INDEX(GOOGLEFINANCE(""NSE:""&amp;D192,""PRICE"",TODAY()-14),2,2)"),2816.75)</f>
        <v>2816.75</v>
      </c>
      <c r="J192" s="17">
        <f>IFERROR(__xludf.DUMMYFUNCTION("INDEX(GOOGLEFINANCE(""NSE:""&amp;D192,""PRICE"",TODAY()-28),2,2)"),2795.4)</f>
        <v>2795.4</v>
      </c>
      <c r="K192" s="17">
        <f>IFERROR(__xludf.DUMMYFUNCTION("INDEX(GOOGLEFINANCE(""NSE:""&amp;D192,""PRICE"",TODAY()-84),2,2)"),2674.75)</f>
        <v>2674.75</v>
      </c>
      <c r="L192" s="16">
        <f t="shared" si="1"/>
        <v>-0.01059761639</v>
      </c>
      <c r="M192" s="16">
        <f t="shared" si="2"/>
        <v>-0.009391525307</v>
      </c>
      <c r="N192" s="16">
        <f t="shared" si="3"/>
        <v>0.0241767995</v>
      </c>
      <c r="O192" s="16">
        <f t="shared" si="4"/>
        <v>0.03199899835</v>
      </c>
      <c r="P192" s="16">
        <f t="shared" si="5"/>
        <v>0.07854939714</v>
      </c>
      <c r="Q192" s="30">
        <f t="shared" si="6"/>
        <v>-0.02124998244</v>
      </c>
      <c r="R192" s="30">
        <f t="shared" si="7"/>
        <v>0.0003924443233</v>
      </c>
      <c r="S192" s="30">
        <f t="shared" si="8"/>
        <v>-0.03937320527</v>
      </c>
      <c r="T192" s="30">
        <f t="shared" si="9"/>
        <v>-0.04824346956</v>
      </c>
    </row>
    <row r="193">
      <c r="A193" s="1">
        <v>190.0</v>
      </c>
      <c r="B193" s="22" t="s">
        <v>783</v>
      </c>
      <c r="C193" s="22" t="s">
        <v>545</v>
      </c>
      <c r="D193" s="22" t="s">
        <v>415</v>
      </c>
      <c r="E193" s="23">
        <f>IFERROR(__xludf.DUMMYFUNCTION("GOOGLEFINANCE(""NSE:""&amp;D193,""marketcap"")/10000000"),20934.5475666)</f>
        <v>20934.54757</v>
      </c>
      <c r="F193" s="17">
        <f>IFERROR(__xludf.DUMMYFUNCTION("GOOGLEFINANCE(""NSE:""&amp;D193)"),732.95)</f>
        <v>732.95</v>
      </c>
      <c r="G193" s="17">
        <f>IFERROR(__xludf.DUMMYFUNCTION("GOOGLEFINANCE(""NSE:""&amp;D193,""closeyest"")"),739.6)</f>
        <v>739.6</v>
      </c>
      <c r="H193" s="17">
        <f>IFERROR(__xludf.DUMMYFUNCTION("INDEX(GOOGLEFINANCE(""NSE:""&amp;D193,""PRICE"",TODAY()-7),2,2)"),713.95)</f>
        <v>713.95</v>
      </c>
      <c r="I193" s="17">
        <f>IFERROR(__xludf.DUMMYFUNCTION("INDEX(GOOGLEFINANCE(""NSE:""&amp;D193,""PRICE"",TODAY()-14),2,2)"),698.9)</f>
        <v>698.9</v>
      </c>
      <c r="J193" s="17">
        <f>IFERROR(__xludf.DUMMYFUNCTION("INDEX(GOOGLEFINANCE(""NSE:""&amp;D193,""PRICE"",TODAY()-28),2,2)"),712.1)</f>
        <v>712.1</v>
      </c>
      <c r="K193" s="17">
        <f>IFERROR(__xludf.DUMMYFUNCTION("INDEX(GOOGLEFINANCE(""NSE:""&amp;D193,""PRICE"",TODAY()-84),2,2)"),639.75)</f>
        <v>639.75</v>
      </c>
      <c r="L193" s="16">
        <f t="shared" si="1"/>
        <v>-0.008991346674</v>
      </c>
      <c r="M193" s="16">
        <f t="shared" si="2"/>
        <v>0.02661250788</v>
      </c>
      <c r="N193" s="16">
        <f t="shared" si="3"/>
        <v>0.04871941623</v>
      </c>
      <c r="O193" s="16">
        <f t="shared" si="4"/>
        <v>0.02927959556</v>
      </c>
      <c r="P193" s="16">
        <f t="shared" si="5"/>
        <v>0.145681907</v>
      </c>
      <c r="Q193" s="30">
        <f t="shared" si="6"/>
        <v>0.01475405074</v>
      </c>
      <c r="R193" s="30">
        <f t="shared" si="7"/>
        <v>0.02493506105</v>
      </c>
      <c r="S193" s="30">
        <f t="shared" si="8"/>
        <v>-0.04209260807</v>
      </c>
      <c r="T193" s="30">
        <f t="shared" si="9"/>
        <v>0.0188890403</v>
      </c>
    </row>
    <row r="194">
      <c r="A194" s="1">
        <v>191.0</v>
      </c>
      <c r="B194" s="22" t="s">
        <v>707</v>
      </c>
      <c r="C194" s="22" t="s">
        <v>603</v>
      </c>
      <c r="D194" s="22" t="s">
        <v>405</v>
      </c>
      <c r="E194" s="23">
        <f>IFERROR(__xludf.DUMMYFUNCTION("GOOGLEFINANCE(""NSE:""&amp;D194,""marketcap"")/10000000"),21572.3980331)</f>
        <v>21572.39803</v>
      </c>
      <c r="F194" s="17">
        <f>IFERROR(__xludf.DUMMYFUNCTION("GOOGLEFINANCE(""NSE:""&amp;D194)"),847.0)</f>
        <v>847</v>
      </c>
      <c r="G194" s="17">
        <f>IFERROR(__xludf.DUMMYFUNCTION("GOOGLEFINANCE(""NSE:""&amp;D194,""closeyest"")"),825.3)</f>
        <v>825.3</v>
      </c>
      <c r="H194" s="17">
        <f>IFERROR(__xludf.DUMMYFUNCTION("INDEX(GOOGLEFINANCE(""NSE:""&amp;D194,""PRICE"",TODAY()-7),2,2)"),844.5)</f>
        <v>844.5</v>
      </c>
      <c r="I194" s="17">
        <f>IFERROR(__xludf.DUMMYFUNCTION("INDEX(GOOGLEFINANCE(""NSE:""&amp;D194,""PRICE"",TODAY()-14),2,2)"),837.3)</f>
        <v>837.3</v>
      </c>
      <c r="J194" s="17">
        <f>IFERROR(__xludf.DUMMYFUNCTION("INDEX(GOOGLEFINANCE(""NSE:""&amp;D194,""PRICE"",TODAY()-28),2,2)"),829.0)</f>
        <v>829</v>
      </c>
      <c r="K194" s="17">
        <f>IFERROR(__xludf.DUMMYFUNCTION("INDEX(GOOGLEFINANCE(""NSE:""&amp;D194,""PRICE"",TODAY()-84),2,2)"),767.7)</f>
        <v>767.7</v>
      </c>
      <c r="L194" s="16">
        <f t="shared" si="1"/>
        <v>0.02629346904</v>
      </c>
      <c r="M194" s="16">
        <f t="shared" si="2"/>
        <v>0.002960331557</v>
      </c>
      <c r="N194" s="16">
        <f t="shared" si="3"/>
        <v>0.01158485609</v>
      </c>
      <c r="O194" s="16">
        <f t="shared" si="4"/>
        <v>0.02171290712</v>
      </c>
      <c r="P194" s="16">
        <f t="shared" si="5"/>
        <v>0.1032955582</v>
      </c>
      <c r="Q194" s="30">
        <f t="shared" si="6"/>
        <v>-0.008898125579</v>
      </c>
      <c r="R194" s="30">
        <f t="shared" si="7"/>
        <v>-0.01219949909</v>
      </c>
      <c r="S194" s="30">
        <f t="shared" si="8"/>
        <v>-0.04965929651</v>
      </c>
      <c r="T194" s="30">
        <f t="shared" si="9"/>
        <v>-0.02349730854</v>
      </c>
    </row>
    <row r="195">
      <c r="A195" s="1">
        <v>192.0</v>
      </c>
      <c r="B195" s="22" t="s">
        <v>784</v>
      </c>
      <c r="C195" s="22" t="s">
        <v>524</v>
      </c>
      <c r="D195" s="22" t="s">
        <v>409</v>
      </c>
      <c r="E195" s="23">
        <f>IFERROR(__xludf.DUMMYFUNCTION("GOOGLEFINANCE(""NSE:""&amp;D195,""marketcap"")/10000000"),20373.7329802)</f>
        <v>20373.73298</v>
      </c>
      <c r="F195" s="17">
        <f>IFERROR(__xludf.DUMMYFUNCTION("GOOGLEFINANCE(""NSE:""&amp;D195)"),1435.15)</f>
        <v>1435.15</v>
      </c>
      <c r="G195" s="17">
        <f>IFERROR(__xludf.DUMMYFUNCTION("GOOGLEFINANCE(""NSE:""&amp;D195,""closeyest"")"),1444.8)</f>
        <v>1444.8</v>
      </c>
      <c r="H195" s="17">
        <f>IFERROR(__xludf.DUMMYFUNCTION("INDEX(GOOGLEFINANCE(""NSE:""&amp;D195,""PRICE"",TODAY()-7),2,2)"),1489.9)</f>
        <v>1489.9</v>
      </c>
      <c r="I195" s="17">
        <f>IFERROR(__xludf.DUMMYFUNCTION("INDEX(GOOGLEFINANCE(""NSE:""&amp;D195,""PRICE"",TODAY()-14),2,2)"),1480.55)</f>
        <v>1480.55</v>
      </c>
      <c r="J195" s="17">
        <f>IFERROR(__xludf.DUMMYFUNCTION("INDEX(GOOGLEFINANCE(""NSE:""&amp;D195,""PRICE"",TODAY()-28),2,2)"),1413.9)</f>
        <v>1413.9</v>
      </c>
      <c r="K195" s="17">
        <f>IFERROR(__xludf.DUMMYFUNCTION("INDEX(GOOGLEFINANCE(""NSE:""&amp;D195,""PRICE"",TODAY()-84),2,2)"),1190.75)</f>
        <v>1190.75</v>
      </c>
      <c r="L195" s="16">
        <f t="shared" si="1"/>
        <v>-0.006679125138</v>
      </c>
      <c r="M195" s="16">
        <f t="shared" si="2"/>
        <v>-0.03674743271</v>
      </c>
      <c r="N195" s="16">
        <f t="shared" si="3"/>
        <v>-0.03066428017</v>
      </c>
      <c r="O195" s="16">
        <f t="shared" si="4"/>
        <v>0.01502935144</v>
      </c>
      <c r="P195" s="16">
        <f t="shared" si="5"/>
        <v>0.2052487928</v>
      </c>
      <c r="Q195" s="30">
        <f t="shared" si="6"/>
        <v>-0.04860588985</v>
      </c>
      <c r="R195" s="30">
        <f t="shared" si="7"/>
        <v>-0.05444863535</v>
      </c>
      <c r="S195" s="30">
        <f t="shared" si="8"/>
        <v>-0.05634285219</v>
      </c>
      <c r="T195" s="30">
        <f t="shared" si="9"/>
        <v>0.07845592608</v>
      </c>
    </row>
    <row r="196">
      <c r="A196" s="1">
        <v>193.0</v>
      </c>
      <c r="B196" s="22" t="s">
        <v>708</v>
      </c>
      <c r="C196" s="22" t="s">
        <v>590</v>
      </c>
      <c r="D196" s="22" t="s">
        <v>473</v>
      </c>
      <c r="E196" s="23">
        <f>IFERROR(__xludf.DUMMYFUNCTION("GOOGLEFINANCE(""NSE:""&amp;D196,""marketcap"")/10000000"),21865.215963)</f>
        <v>21865.21596</v>
      </c>
      <c r="F196" s="17">
        <f>IFERROR(__xludf.DUMMYFUNCTION("GOOGLEFINANCE(""NSE:""&amp;D196)"),185.0)</f>
        <v>185</v>
      </c>
      <c r="G196" s="17">
        <f>IFERROR(__xludf.DUMMYFUNCTION("GOOGLEFINANCE(""NSE:""&amp;D196,""closeyest"")"),173.1)</f>
        <v>173.1</v>
      </c>
      <c r="H196" s="17">
        <f>IFERROR(__xludf.DUMMYFUNCTION("INDEX(GOOGLEFINANCE(""NSE:""&amp;D196,""PRICE"",TODAY()-7),2,2)"),149.05)</f>
        <v>149.05</v>
      </c>
      <c r="I196" s="17">
        <f>IFERROR(__xludf.DUMMYFUNCTION("INDEX(GOOGLEFINANCE(""NSE:""&amp;D196,""PRICE"",TODAY()-14),2,2)"),154.1)</f>
        <v>154.1</v>
      </c>
      <c r="J196" s="17">
        <f>IFERROR(__xludf.DUMMYFUNCTION("INDEX(GOOGLEFINANCE(""NSE:""&amp;D196,""PRICE"",TODAY()-28),2,2)"),140.15)</f>
        <v>140.15</v>
      </c>
      <c r="K196" s="17">
        <f>IFERROR(__xludf.DUMMYFUNCTION("INDEX(GOOGLEFINANCE(""NSE:""&amp;D196,""PRICE"",TODAY()-84),2,2)"),142.95)</f>
        <v>142.95</v>
      </c>
      <c r="L196" s="16">
        <f t="shared" si="1"/>
        <v>0.06874638937</v>
      </c>
      <c r="M196" s="16">
        <f t="shared" si="2"/>
        <v>0.2411942301</v>
      </c>
      <c r="N196" s="16">
        <f t="shared" si="3"/>
        <v>0.2005191434</v>
      </c>
      <c r="O196" s="16">
        <f t="shared" si="4"/>
        <v>0.3200142704</v>
      </c>
      <c r="P196" s="16">
        <f t="shared" si="5"/>
        <v>0.2941587968</v>
      </c>
      <c r="Q196" s="30">
        <f t="shared" si="6"/>
        <v>0.229335773</v>
      </c>
      <c r="R196" s="30">
        <f t="shared" si="7"/>
        <v>0.1767347882</v>
      </c>
      <c r="S196" s="30">
        <f t="shared" si="8"/>
        <v>0.2486420668</v>
      </c>
      <c r="T196" s="30">
        <f t="shared" si="9"/>
        <v>0.1673659301</v>
      </c>
    </row>
    <row r="197">
      <c r="A197" s="1">
        <v>194.0</v>
      </c>
      <c r="B197" s="22" t="s">
        <v>709</v>
      </c>
      <c r="C197" s="22" t="s">
        <v>618</v>
      </c>
      <c r="D197" s="22" t="s">
        <v>403</v>
      </c>
      <c r="E197" s="23">
        <f>IFERROR(__xludf.DUMMYFUNCTION("GOOGLEFINANCE(""NSE:""&amp;D197,""marketcap"")/10000000"),20459.36451)</f>
        <v>20459.36451</v>
      </c>
      <c r="F197" s="17">
        <f>IFERROR(__xludf.DUMMYFUNCTION("GOOGLEFINANCE(""NSE:""&amp;D197)"),271.0)</f>
        <v>271</v>
      </c>
      <c r="G197" s="17">
        <f>IFERROR(__xludf.DUMMYFUNCTION("GOOGLEFINANCE(""NSE:""&amp;D197,""closeyest"")"),265.25)</f>
        <v>265.25</v>
      </c>
      <c r="H197" s="17">
        <f>IFERROR(__xludf.DUMMYFUNCTION("INDEX(GOOGLEFINANCE(""NSE:""&amp;D197,""PRICE"",TODAY()-7),2,2)"),267.95)</f>
        <v>267.95</v>
      </c>
      <c r="I197" s="17">
        <f>IFERROR(__xludf.DUMMYFUNCTION("INDEX(GOOGLEFINANCE(""NSE:""&amp;D197,""PRICE"",TODAY()-14),2,2)"),272.3)</f>
        <v>272.3</v>
      </c>
      <c r="J197" s="17">
        <f>IFERROR(__xludf.DUMMYFUNCTION("INDEX(GOOGLEFINANCE(""NSE:""&amp;D197,""PRICE"",TODAY()-28),2,2)"),294.5)</f>
        <v>294.5</v>
      </c>
      <c r="K197" s="17">
        <f>IFERROR(__xludf.DUMMYFUNCTION("INDEX(GOOGLEFINANCE(""NSE:""&amp;D197,""PRICE"",TODAY()-84),2,2)"),248.95)</f>
        <v>248.95</v>
      </c>
      <c r="L197" s="16">
        <f t="shared" si="1"/>
        <v>0.02167766258</v>
      </c>
      <c r="M197" s="16">
        <f t="shared" si="2"/>
        <v>0.01138272066</v>
      </c>
      <c r="N197" s="16">
        <f t="shared" si="3"/>
        <v>-0.004774146162</v>
      </c>
      <c r="O197" s="16">
        <f t="shared" si="4"/>
        <v>-0.07979626486</v>
      </c>
      <c r="P197" s="16">
        <f t="shared" si="5"/>
        <v>0.08857200241</v>
      </c>
      <c r="Q197" s="30">
        <f t="shared" si="6"/>
        <v>-0.0004757364794</v>
      </c>
      <c r="R197" s="30">
        <f t="shared" si="7"/>
        <v>-0.02855850134</v>
      </c>
      <c r="S197" s="30">
        <f t="shared" si="8"/>
        <v>-0.1511684685</v>
      </c>
      <c r="T197" s="30">
        <f t="shared" si="9"/>
        <v>-0.03822086429</v>
      </c>
    </row>
    <row r="198">
      <c r="A198" s="1">
        <v>195.0</v>
      </c>
      <c r="B198" s="22" t="s">
        <v>785</v>
      </c>
      <c r="C198" s="22" t="s">
        <v>603</v>
      </c>
      <c r="D198" s="22" t="s">
        <v>401</v>
      </c>
      <c r="E198" s="23">
        <f>IFERROR(__xludf.DUMMYFUNCTION("GOOGLEFINANCE(""NSE:""&amp;D198,""marketcap"")/10000000"),20020.19656)</f>
        <v>20020.19656</v>
      </c>
      <c r="F198" s="17">
        <f>IFERROR(__xludf.DUMMYFUNCTION("GOOGLEFINANCE(""NSE:""&amp;D198)"),3928.0)</f>
        <v>3928</v>
      </c>
      <c r="G198" s="17">
        <f>IFERROR(__xludf.DUMMYFUNCTION("GOOGLEFINANCE(""NSE:""&amp;D198,""closeyest"")"),3903.25)</f>
        <v>3903.25</v>
      </c>
      <c r="H198" s="17">
        <f>IFERROR(__xludf.DUMMYFUNCTION("INDEX(GOOGLEFINANCE(""NSE:""&amp;D198,""PRICE"",TODAY()-7),2,2)"),3953.6)</f>
        <v>3953.6</v>
      </c>
      <c r="I198" s="17">
        <f>IFERROR(__xludf.DUMMYFUNCTION("INDEX(GOOGLEFINANCE(""NSE:""&amp;D198,""PRICE"",TODAY()-14),2,2)"),4123.85)</f>
        <v>4123.85</v>
      </c>
      <c r="J198" s="17">
        <f>IFERROR(__xludf.DUMMYFUNCTION("INDEX(GOOGLEFINANCE(""NSE:""&amp;D198,""PRICE"",TODAY()-28),2,2)"),4236.1)</f>
        <v>4236.1</v>
      </c>
      <c r="K198" s="17">
        <f>IFERROR(__xludf.DUMMYFUNCTION("INDEX(GOOGLEFINANCE(""NSE:""&amp;D198,""PRICE"",TODAY()-84),2,2)"),3696.0)</f>
        <v>3696</v>
      </c>
      <c r="L198" s="16">
        <f t="shared" si="1"/>
        <v>0.006340869788</v>
      </c>
      <c r="M198" s="16">
        <f t="shared" si="2"/>
        <v>-0.006475111291</v>
      </c>
      <c r="N198" s="16">
        <f t="shared" si="3"/>
        <v>-0.04749202808</v>
      </c>
      <c r="O198" s="16">
        <f t="shared" si="4"/>
        <v>-0.07273199405</v>
      </c>
      <c r="P198" s="16">
        <f t="shared" si="5"/>
        <v>0.06277056277</v>
      </c>
      <c r="Q198" s="30">
        <f t="shared" si="6"/>
        <v>-0.01833356843</v>
      </c>
      <c r="R198" s="30">
        <f t="shared" si="7"/>
        <v>-0.07127638326</v>
      </c>
      <c r="S198" s="30">
        <f t="shared" si="8"/>
        <v>-0.1441041977</v>
      </c>
      <c r="T198" s="30">
        <f t="shared" si="9"/>
        <v>-0.06402230393</v>
      </c>
    </row>
    <row r="199">
      <c r="A199" s="1">
        <v>196.0</v>
      </c>
      <c r="B199" s="22" t="s">
        <v>710</v>
      </c>
      <c r="C199" s="22" t="s">
        <v>590</v>
      </c>
      <c r="D199" s="22" t="s">
        <v>428</v>
      </c>
      <c r="E199" s="23">
        <f>IFERROR(__xludf.DUMMYFUNCTION("GOOGLEFINANCE(""NSE:""&amp;D199,""marketcap"")/10000000"),20405.1565655)</f>
        <v>20405.15657</v>
      </c>
      <c r="F199" s="17">
        <f>IFERROR(__xludf.DUMMYFUNCTION("GOOGLEFINANCE(""NSE:""&amp;D199)"),219.1)</f>
        <v>219.1</v>
      </c>
      <c r="G199" s="17">
        <f>IFERROR(__xludf.DUMMYFUNCTION("GOOGLEFINANCE(""NSE:""&amp;D199,""closeyest"")"),214.6)</f>
        <v>214.6</v>
      </c>
      <c r="H199" s="17">
        <f>IFERROR(__xludf.DUMMYFUNCTION("INDEX(GOOGLEFINANCE(""NSE:""&amp;D199,""PRICE"",TODAY()-7),2,2)"),212.1)</f>
        <v>212.1</v>
      </c>
      <c r="I199" s="17">
        <f>IFERROR(__xludf.DUMMYFUNCTION("INDEX(GOOGLEFINANCE(""NSE:""&amp;D199,""PRICE"",TODAY()-14),2,2)"),215.9)</f>
        <v>215.9</v>
      </c>
      <c r="J199" s="17">
        <f>IFERROR(__xludf.DUMMYFUNCTION("INDEX(GOOGLEFINANCE(""NSE:""&amp;D199,""PRICE"",TODAY()-28),2,2)"),202.35)</f>
        <v>202.35</v>
      </c>
      <c r="K199" s="17">
        <f>IFERROR(__xludf.DUMMYFUNCTION("INDEX(GOOGLEFINANCE(""NSE:""&amp;D199,""PRICE"",TODAY()-84),2,2)"),214.85)</f>
        <v>214.85</v>
      </c>
      <c r="L199" s="16">
        <f t="shared" si="1"/>
        <v>0.02096924511</v>
      </c>
      <c r="M199" s="16">
        <f t="shared" si="2"/>
        <v>0.03300330033</v>
      </c>
      <c r="N199" s="16">
        <f t="shared" si="3"/>
        <v>0.0148216767</v>
      </c>
      <c r="O199" s="16">
        <f t="shared" si="4"/>
        <v>0.08277736595</v>
      </c>
      <c r="P199" s="16">
        <f t="shared" si="5"/>
        <v>0.01978124273</v>
      </c>
      <c r="Q199" s="30">
        <f t="shared" si="6"/>
        <v>0.02114484319</v>
      </c>
      <c r="R199" s="30">
        <f t="shared" si="7"/>
        <v>-0.008962678478</v>
      </c>
      <c r="S199" s="30">
        <f t="shared" si="8"/>
        <v>0.01140516232</v>
      </c>
      <c r="T199" s="30">
        <f t="shared" si="9"/>
        <v>-0.107011624</v>
      </c>
    </row>
    <row r="200">
      <c r="A200" s="1">
        <v>197.0</v>
      </c>
      <c r="B200" s="22" t="s">
        <v>786</v>
      </c>
      <c r="C200" s="22" t="s">
        <v>578</v>
      </c>
      <c r="D200" s="22" t="s">
        <v>407</v>
      </c>
      <c r="E200" s="23">
        <f>IFERROR(__xludf.DUMMYFUNCTION("GOOGLEFINANCE(""NSE:""&amp;D200,""marketcap"")/10000000"),19930.8871916)</f>
        <v>19930.88719</v>
      </c>
      <c r="F200" s="17">
        <f>IFERROR(__xludf.DUMMYFUNCTION("GOOGLEFINANCE(""NSE:""&amp;D200)"),399.3)</f>
        <v>399.3</v>
      </c>
      <c r="G200" s="17">
        <f>IFERROR(__xludf.DUMMYFUNCTION("GOOGLEFINANCE(""NSE:""&amp;D200,""closeyest"")"),398.9)</f>
        <v>398.9</v>
      </c>
      <c r="H200" s="17">
        <f>IFERROR(__xludf.DUMMYFUNCTION("INDEX(GOOGLEFINANCE(""NSE:""&amp;D200,""PRICE"",TODAY()-7),2,2)"),404.6)</f>
        <v>404.6</v>
      </c>
      <c r="I200" s="17">
        <f>IFERROR(__xludf.DUMMYFUNCTION("INDEX(GOOGLEFINANCE(""NSE:""&amp;D200,""PRICE"",TODAY()-14),2,2)"),413.7)</f>
        <v>413.7</v>
      </c>
      <c r="J200" s="17">
        <f>IFERROR(__xludf.DUMMYFUNCTION("INDEX(GOOGLEFINANCE(""NSE:""&amp;D200,""PRICE"",TODAY()-28),2,2)"),400.6)</f>
        <v>400.6</v>
      </c>
      <c r="K200" s="17">
        <f>IFERROR(__xludf.DUMMYFUNCTION("INDEX(GOOGLEFINANCE(""NSE:""&amp;D200,""PRICE"",TODAY()-84),2,2)"),385.1)</f>
        <v>385.1</v>
      </c>
      <c r="L200" s="16">
        <f t="shared" si="1"/>
        <v>0.001002757583</v>
      </c>
      <c r="M200" s="16">
        <f t="shared" si="2"/>
        <v>-0.01309935739</v>
      </c>
      <c r="N200" s="16">
        <f t="shared" si="3"/>
        <v>-0.03480783176</v>
      </c>
      <c r="O200" s="16">
        <f t="shared" si="4"/>
        <v>-0.003245132302</v>
      </c>
      <c r="P200" s="16">
        <f t="shared" si="5"/>
        <v>0.03687353934</v>
      </c>
      <c r="Q200" s="30">
        <f t="shared" si="6"/>
        <v>-0.02495781453</v>
      </c>
      <c r="R200" s="30">
        <f t="shared" si="7"/>
        <v>-0.05859218694</v>
      </c>
      <c r="S200" s="30">
        <f t="shared" si="8"/>
        <v>-0.07461733593</v>
      </c>
      <c r="T200" s="30">
        <f t="shared" si="9"/>
        <v>-0.08991932736</v>
      </c>
    </row>
    <row r="201">
      <c r="A201" s="1">
        <v>198.0</v>
      </c>
      <c r="B201" s="22" t="s">
        <v>711</v>
      </c>
      <c r="C201" s="22" t="s">
        <v>712</v>
      </c>
      <c r="D201" s="22" t="s">
        <v>436</v>
      </c>
      <c r="E201" s="23">
        <f>IFERROR(__xludf.DUMMYFUNCTION("GOOGLEFINANCE(""NSE:""&amp;D201,""marketcap"")/10000000"),20807.1356808)</f>
        <v>20807.13568</v>
      </c>
      <c r="F201" s="17">
        <f>IFERROR(__xludf.DUMMYFUNCTION("GOOGLEFINANCE(""NSE:""&amp;D201)"),529.25)</f>
        <v>529.25</v>
      </c>
      <c r="G201" s="17">
        <f>IFERROR(__xludf.DUMMYFUNCTION("GOOGLEFINANCE(""NSE:""&amp;D201,""closeyest"")"),506.45)</f>
        <v>506.45</v>
      </c>
      <c r="H201" s="17">
        <f>IFERROR(__xludf.DUMMYFUNCTION("INDEX(GOOGLEFINANCE(""NSE:""&amp;D201,""PRICE"",TODAY()-7),2,2)"),493.15)</f>
        <v>493.15</v>
      </c>
      <c r="I201" s="17">
        <f>IFERROR(__xludf.DUMMYFUNCTION("INDEX(GOOGLEFINANCE(""NSE:""&amp;D201,""PRICE"",TODAY()-14),2,2)"),488.65)</f>
        <v>488.65</v>
      </c>
      <c r="J201" s="17">
        <f>IFERROR(__xludf.DUMMYFUNCTION("INDEX(GOOGLEFINANCE(""NSE:""&amp;D201,""PRICE"",TODAY()-28),2,2)"),482.65)</f>
        <v>482.65</v>
      </c>
      <c r="K201" s="17">
        <f>IFERROR(__xludf.DUMMYFUNCTION("INDEX(GOOGLEFINANCE(""NSE:""&amp;D201,""PRICE"",TODAY()-84),2,2)"),528.4)</f>
        <v>528.4</v>
      </c>
      <c r="L201" s="16">
        <f t="shared" si="1"/>
        <v>0.04501925165</v>
      </c>
      <c r="M201" s="16">
        <f t="shared" si="2"/>
        <v>0.07320287945</v>
      </c>
      <c r="N201" s="16">
        <f t="shared" si="3"/>
        <v>0.08308605341</v>
      </c>
      <c r="O201" s="16">
        <f t="shared" si="4"/>
        <v>0.09655029525</v>
      </c>
      <c r="P201" s="16">
        <f t="shared" si="5"/>
        <v>0.001608629826</v>
      </c>
      <c r="Q201" s="30">
        <f t="shared" si="6"/>
        <v>0.06134442231</v>
      </c>
      <c r="R201" s="30">
        <f t="shared" si="7"/>
        <v>0.05930169823</v>
      </c>
      <c r="S201" s="30">
        <f t="shared" si="8"/>
        <v>0.02517809162</v>
      </c>
      <c r="T201" s="30">
        <f t="shared" si="9"/>
        <v>-0.1251842369</v>
      </c>
    </row>
    <row r="202">
      <c r="A202" s="1">
        <v>199.0</v>
      </c>
      <c r="B202" s="22" t="s">
        <v>713</v>
      </c>
      <c r="C202" s="22" t="s">
        <v>635</v>
      </c>
      <c r="D202" s="22" t="s">
        <v>444</v>
      </c>
      <c r="E202" s="23">
        <f>IFERROR(__xludf.DUMMYFUNCTION("GOOGLEFINANCE(""NSE:""&amp;D202,""marketcap"")/10000000"),19864.3243291)</f>
        <v>19864.32433</v>
      </c>
      <c r="F202" s="17">
        <f>IFERROR(__xludf.DUMMYFUNCTION("GOOGLEFINANCE(""NSE:""&amp;D202)"),57.05)</f>
        <v>57.05</v>
      </c>
      <c r="G202" s="17">
        <f>IFERROR(__xludf.DUMMYFUNCTION("GOOGLEFINANCE(""NSE:""&amp;D202,""closeyest"")"),57.05)</f>
        <v>57.05</v>
      </c>
      <c r="H202" s="17">
        <f>IFERROR(__xludf.DUMMYFUNCTION("INDEX(GOOGLEFINANCE(""NSE:""&amp;D202,""PRICE"",TODAY()-7),2,2)"),56.55)</f>
        <v>56.55</v>
      </c>
      <c r="I202" s="17">
        <f>IFERROR(__xludf.DUMMYFUNCTION("INDEX(GOOGLEFINANCE(""NSE:""&amp;D202,""PRICE"",TODAY()-14),2,2)"),55.15)</f>
        <v>55.15</v>
      </c>
      <c r="J202" s="17">
        <f>IFERROR(__xludf.DUMMYFUNCTION("INDEX(GOOGLEFINANCE(""NSE:""&amp;D202,""PRICE"",TODAY()-28),2,2)"),54.2)</f>
        <v>54.2</v>
      </c>
      <c r="K202" s="17">
        <f>IFERROR(__xludf.DUMMYFUNCTION("INDEX(GOOGLEFINANCE(""NSE:""&amp;D202,""PRICE"",TODAY()-84),2,2)"),65.85)</f>
        <v>65.85</v>
      </c>
      <c r="L202" s="16">
        <f t="shared" si="1"/>
        <v>0</v>
      </c>
      <c r="M202" s="16">
        <f t="shared" si="2"/>
        <v>0.00884173298</v>
      </c>
      <c r="N202" s="16">
        <f t="shared" si="3"/>
        <v>0.03445149592</v>
      </c>
      <c r="O202" s="16">
        <f t="shared" si="4"/>
        <v>0.05258302583</v>
      </c>
      <c r="P202" s="16">
        <f t="shared" si="5"/>
        <v>-0.1336370539</v>
      </c>
      <c r="Q202" s="30">
        <f t="shared" si="6"/>
        <v>-0.003016724157</v>
      </c>
      <c r="R202" s="30">
        <f t="shared" si="7"/>
        <v>0.01066714074</v>
      </c>
      <c r="S202" s="30">
        <f t="shared" si="8"/>
        <v>-0.0187891778</v>
      </c>
      <c r="T202" s="30">
        <f t="shared" si="9"/>
        <v>-0.2604299206</v>
      </c>
    </row>
    <row r="203">
      <c r="A203" s="1">
        <v>200.0</v>
      </c>
      <c r="B203" s="22" t="s">
        <v>714</v>
      </c>
      <c r="C203" s="22" t="s">
        <v>545</v>
      </c>
      <c r="D203" s="22" t="s">
        <v>452</v>
      </c>
      <c r="E203" s="23">
        <f>IFERROR(__xludf.DUMMYFUNCTION("GOOGLEFINANCE(""NSE:""&amp;D203,""marketcap"")/10000000"),19461.5104356)</f>
        <v>19461.51044</v>
      </c>
      <c r="F203" s="17">
        <f>IFERROR(__xludf.DUMMYFUNCTION("GOOGLEFINANCE(""NSE:""&amp;D203)"),1507.0)</f>
        <v>1507</v>
      </c>
      <c r="G203" s="17">
        <f>IFERROR(__xludf.DUMMYFUNCTION("GOOGLEFINANCE(""NSE:""&amp;D203,""closeyest"")"),1520.15)</f>
        <v>1520.15</v>
      </c>
      <c r="H203" s="17">
        <f>IFERROR(__xludf.DUMMYFUNCTION("INDEX(GOOGLEFINANCE(""NSE:""&amp;D203,""PRICE"",TODAY()-7),2,2)"),1452.55)</f>
        <v>1452.55</v>
      </c>
      <c r="I203" s="17">
        <f>IFERROR(__xludf.DUMMYFUNCTION("INDEX(GOOGLEFINANCE(""NSE:""&amp;D203,""PRICE"",TODAY()-14),2,2)"),1378.85)</f>
        <v>1378.85</v>
      </c>
      <c r="J203" s="17">
        <f>IFERROR(__xludf.DUMMYFUNCTION("INDEX(GOOGLEFINANCE(""NSE:""&amp;D203,""PRICE"",TODAY()-28),2,2)"),1347.5)</f>
        <v>1347.5</v>
      </c>
      <c r="K203" s="17">
        <f>IFERROR(__xludf.DUMMYFUNCTION("INDEX(GOOGLEFINANCE(""NSE:""&amp;D203,""PRICE"",TODAY()-84),2,2)"),1202.95)</f>
        <v>1202.95</v>
      </c>
      <c r="L203" s="16">
        <f t="shared" si="1"/>
        <v>-0.008650462125</v>
      </c>
      <c r="M203" s="16">
        <f t="shared" si="2"/>
        <v>0.03748580083</v>
      </c>
      <c r="N203" s="16">
        <f t="shared" si="3"/>
        <v>0.09293976865</v>
      </c>
      <c r="O203" s="16">
        <f t="shared" si="4"/>
        <v>0.1183673469</v>
      </c>
      <c r="P203" s="16">
        <f t="shared" si="5"/>
        <v>0.2527536473</v>
      </c>
      <c r="Q203" s="30">
        <f t="shared" si="6"/>
        <v>0.0256273437</v>
      </c>
      <c r="R203" s="30">
        <f t="shared" si="7"/>
        <v>0.06915541347</v>
      </c>
      <c r="S203" s="30">
        <f t="shared" si="8"/>
        <v>0.04699514331</v>
      </c>
      <c r="T203" s="30">
        <f t="shared" si="9"/>
        <v>0.1259607806</v>
      </c>
    </row>
    <row r="204">
      <c r="A204" s="1">
        <v>201.0</v>
      </c>
      <c r="B204" s="22" t="s">
        <v>787</v>
      </c>
      <c r="C204" s="22" t="s">
        <v>603</v>
      </c>
      <c r="D204" s="22" t="s">
        <v>454</v>
      </c>
      <c r="E204" s="23">
        <f>IFERROR(__xludf.DUMMYFUNCTION("GOOGLEFINANCE(""NSE:""&amp;D204,""marketcap"")/10000000"),19369.1279113)</f>
        <v>19369.12791</v>
      </c>
      <c r="F204" s="17">
        <f>IFERROR(__xludf.DUMMYFUNCTION("GOOGLEFINANCE(""NSE:""&amp;D204)"),1874.0)</f>
        <v>1874</v>
      </c>
      <c r="G204" s="17">
        <f>IFERROR(__xludf.DUMMYFUNCTION("GOOGLEFINANCE(""NSE:""&amp;D204,""closeyest"")"),1899.4)</f>
        <v>1899.4</v>
      </c>
      <c r="H204" s="17">
        <f>IFERROR(__xludf.DUMMYFUNCTION("INDEX(GOOGLEFINANCE(""NSE:""&amp;D204,""PRICE"",TODAY()-7),2,2)"),1857.15)</f>
        <v>1857.15</v>
      </c>
      <c r="I204" s="17">
        <f>IFERROR(__xludf.DUMMYFUNCTION("INDEX(GOOGLEFINANCE(""NSE:""&amp;D204,""PRICE"",TODAY()-14),2,2)"),1930.75)</f>
        <v>1930.75</v>
      </c>
      <c r="J204" s="17">
        <f>IFERROR(__xludf.DUMMYFUNCTION("INDEX(GOOGLEFINANCE(""NSE:""&amp;D204,""PRICE"",TODAY()-28),2,2)"),1789.5)</f>
        <v>1789.5</v>
      </c>
      <c r="K204" s="17">
        <f>IFERROR(__xludf.DUMMYFUNCTION("INDEX(GOOGLEFINANCE(""NSE:""&amp;D204,""PRICE"",TODAY()-84),2,2)"),2026.6)</f>
        <v>2026.6</v>
      </c>
      <c r="L204" s="16">
        <f t="shared" si="1"/>
        <v>-0.01337264399</v>
      </c>
      <c r="M204" s="16">
        <f t="shared" si="2"/>
        <v>0.009073042027</v>
      </c>
      <c r="N204" s="16">
        <f t="shared" si="3"/>
        <v>-0.02939272304</v>
      </c>
      <c r="O204" s="16">
        <f t="shared" si="4"/>
        <v>0.04721989383</v>
      </c>
      <c r="P204" s="16">
        <f t="shared" si="5"/>
        <v>-0.07529852956</v>
      </c>
      <c r="Q204" s="30">
        <f t="shared" si="6"/>
        <v>-0.002785415109</v>
      </c>
      <c r="R204" s="30">
        <f t="shared" si="7"/>
        <v>-0.05317707821</v>
      </c>
      <c r="S204" s="30">
        <f t="shared" si="8"/>
        <v>-0.0241523098</v>
      </c>
      <c r="T204" s="30">
        <f t="shared" si="9"/>
        <v>-0.2020913963</v>
      </c>
    </row>
    <row r="205">
      <c r="A205" s="1">
        <v>202.0</v>
      </c>
      <c r="B205" s="22" t="s">
        <v>788</v>
      </c>
      <c r="C205" s="22" t="s">
        <v>545</v>
      </c>
      <c r="D205" s="22" t="s">
        <v>471</v>
      </c>
      <c r="E205" s="23">
        <f>IFERROR(__xludf.DUMMYFUNCTION("GOOGLEFINANCE(""NSE:""&amp;D205,""marketcap"")/10000000"),19331.8128)</f>
        <v>19331.8128</v>
      </c>
      <c r="F205" s="17">
        <f>IFERROR(__xludf.DUMMYFUNCTION("GOOGLEFINANCE(""NSE:""&amp;D205)"),920.0)</f>
        <v>920</v>
      </c>
      <c r="G205" s="17">
        <f>IFERROR(__xludf.DUMMYFUNCTION("GOOGLEFINANCE(""NSE:""&amp;D205,""closeyest"")"),922.8)</f>
        <v>922.8</v>
      </c>
      <c r="H205" s="17">
        <f>IFERROR(__xludf.DUMMYFUNCTION("INDEX(GOOGLEFINANCE(""NSE:""&amp;D205,""PRICE"",TODAY()-7),2,2)"),903.35)</f>
        <v>903.35</v>
      </c>
      <c r="I205" s="17">
        <f>IFERROR(__xludf.DUMMYFUNCTION("INDEX(GOOGLEFINANCE(""NSE:""&amp;D205,""PRICE"",TODAY()-14),2,2)"),884.1)</f>
        <v>884.1</v>
      </c>
      <c r="J205" s="17">
        <f>IFERROR(__xludf.DUMMYFUNCTION("INDEX(GOOGLEFINANCE(""NSE:""&amp;D205,""PRICE"",TODAY()-28),2,2)"),775.05)</f>
        <v>775.05</v>
      </c>
      <c r="K205" s="17">
        <f>IFERROR(__xludf.DUMMYFUNCTION("INDEX(GOOGLEFINANCE(""NSE:""&amp;D205,""PRICE"",TODAY()-84),2,2)"),824.3)</f>
        <v>824.3</v>
      </c>
      <c r="L205" s="16">
        <f t="shared" si="1"/>
        <v>-0.003034243606</v>
      </c>
      <c r="M205" s="16">
        <f t="shared" si="2"/>
        <v>0.01843139425</v>
      </c>
      <c r="N205" s="16">
        <f t="shared" si="3"/>
        <v>0.04060626626</v>
      </c>
      <c r="O205" s="16">
        <f t="shared" si="4"/>
        <v>0.1870201922</v>
      </c>
      <c r="P205" s="16">
        <f t="shared" si="5"/>
        <v>0.1160985078</v>
      </c>
      <c r="Q205" s="30">
        <f t="shared" si="6"/>
        <v>0.006572937119</v>
      </c>
      <c r="R205" s="30">
        <f t="shared" si="7"/>
        <v>0.01682191108</v>
      </c>
      <c r="S205" s="30">
        <f t="shared" si="8"/>
        <v>0.1156479886</v>
      </c>
      <c r="T205" s="30">
        <f t="shared" si="9"/>
        <v>-0.01069435887</v>
      </c>
    </row>
    <row r="206">
      <c r="A206" s="1">
        <v>203.0</v>
      </c>
      <c r="B206" s="22" t="s">
        <v>789</v>
      </c>
      <c r="C206" s="22" t="s">
        <v>526</v>
      </c>
      <c r="D206" s="22" t="s">
        <v>438</v>
      </c>
      <c r="E206" s="23">
        <f>IFERROR(__xludf.DUMMYFUNCTION("GOOGLEFINANCE(""NSE:""&amp;D206,""marketcap"")/10000000"),19451.7632634)</f>
        <v>19451.76326</v>
      </c>
      <c r="F206" s="17">
        <f>IFERROR(__xludf.DUMMYFUNCTION("GOOGLEFINANCE(""NSE:""&amp;D206)"),5978.55)</f>
        <v>5978.55</v>
      </c>
      <c r="G206" s="17">
        <f>IFERROR(__xludf.DUMMYFUNCTION("GOOGLEFINANCE(""NSE:""&amp;D206,""closeyest"")"),5927.4)</f>
        <v>5927.4</v>
      </c>
      <c r="H206" s="17">
        <f>IFERROR(__xludf.DUMMYFUNCTION("INDEX(GOOGLEFINANCE(""NSE:""&amp;D206,""PRICE"",TODAY()-7),2,2)"),5945.5)</f>
        <v>5945.5</v>
      </c>
      <c r="I206" s="17">
        <f>IFERROR(__xludf.DUMMYFUNCTION("INDEX(GOOGLEFINANCE(""NSE:""&amp;D206,""PRICE"",TODAY()-14),2,2)"),6145.5)</f>
        <v>6145.5</v>
      </c>
      <c r="J206" s="17">
        <f>IFERROR(__xludf.DUMMYFUNCTION("INDEX(GOOGLEFINANCE(""NSE:""&amp;D206,""PRICE"",TODAY()-28),2,2)"),5825.25)</f>
        <v>5825.25</v>
      </c>
      <c r="K206" s="17">
        <f>IFERROR(__xludf.DUMMYFUNCTION("INDEX(GOOGLEFINANCE(""NSE:""&amp;D206,""PRICE"",TODAY()-84),2,2)"),5657.9)</f>
        <v>5657.9</v>
      </c>
      <c r="L206" s="16">
        <f t="shared" si="1"/>
        <v>0.008629415933</v>
      </c>
      <c r="M206" s="16">
        <f t="shared" si="2"/>
        <v>0.005558826003</v>
      </c>
      <c r="N206" s="16">
        <f t="shared" si="3"/>
        <v>-0.02716621918</v>
      </c>
      <c r="O206" s="16">
        <f t="shared" si="4"/>
        <v>0.0263164671</v>
      </c>
      <c r="P206" s="16">
        <f t="shared" si="5"/>
        <v>0.05667297054</v>
      </c>
      <c r="Q206" s="30">
        <f t="shared" si="6"/>
        <v>-0.006299631133</v>
      </c>
      <c r="R206" s="30">
        <f t="shared" si="7"/>
        <v>-0.05095057436</v>
      </c>
      <c r="S206" s="30">
        <f t="shared" si="8"/>
        <v>-0.04505573652</v>
      </c>
      <c r="T206" s="30">
        <f t="shared" si="9"/>
        <v>-0.07011989616</v>
      </c>
    </row>
    <row r="207">
      <c r="A207" s="1">
        <v>204.0</v>
      </c>
      <c r="B207" s="22" t="s">
        <v>715</v>
      </c>
      <c r="C207" s="22" t="s">
        <v>603</v>
      </c>
      <c r="D207" s="22" t="s">
        <v>432</v>
      </c>
      <c r="E207" s="23">
        <f>IFERROR(__xludf.DUMMYFUNCTION("GOOGLEFINANCE(""NSE:""&amp;D207,""marketcap"")/10000000"),19465.81662)</f>
        <v>19465.81662</v>
      </c>
      <c r="F207" s="17">
        <f>IFERROR(__xludf.DUMMYFUNCTION("GOOGLEFINANCE(""NSE:""&amp;D207)"),3930.0)</f>
        <v>3930</v>
      </c>
      <c r="G207" s="17">
        <f>IFERROR(__xludf.DUMMYFUNCTION("GOOGLEFINANCE(""NSE:""&amp;D207,""closeyest"")"),3881.55)</f>
        <v>3881.55</v>
      </c>
      <c r="H207" s="17">
        <f>IFERROR(__xludf.DUMMYFUNCTION("INDEX(GOOGLEFINANCE(""NSE:""&amp;D207,""PRICE"",TODAY()-7),2,2)"),3860.15)</f>
        <v>3860.15</v>
      </c>
      <c r="I207" s="17">
        <f>IFERROR(__xludf.DUMMYFUNCTION("INDEX(GOOGLEFINANCE(""NSE:""&amp;D207,""PRICE"",TODAY()-14),2,2)"),4019.85)</f>
        <v>4019.85</v>
      </c>
      <c r="J207" s="17">
        <f>IFERROR(__xludf.DUMMYFUNCTION("INDEX(GOOGLEFINANCE(""NSE:""&amp;D207,""PRICE"",TODAY()-28),2,2)"),3830.05)</f>
        <v>3830.05</v>
      </c>
      <c r="K207" s="17">
        <f>IFERROR(__xludf.DUMMYFUNCTION("INDEX(GOOGLEFINANCE(""NSE:""&amp;D207,""PRICE"",TODAY()-84),2,2)"),3799.05)</f>
        <v>3799.05</v>
      </c>
      <c r="L207" s="16">
        <f t="shared" si="1"/>
        <v>0.01248212699</v>
      </c>
      <c r="M207" s="16">
        <f t="shared" si="2"/>
        <v>0.01809515174</v>
      </c>
      <c r="N207" s="16">
        <f t="shared" si="3"/>
        <v>-0.02235158028</v>
      </c>
      <c r="O207" s="16">
        <f t="shared" si="4"/>
        <v>0.02609626506</v>
      </c>
      <c r="P207" s="16">
        <f t="shared" si="5"/>
        <v>0.0344691436</v>
      </c>
      <c r="Q207" s="30">
        <f t="shared" si="6"/>
        <v>0.006236694607</v>
      </c>
      <c r="R207" s="30">
        <f t="shared" si="7"/>
        <v>-0.04613593546</v>
      </c>
      <c r="S207" s="30">
        <f t="shared" si="8"/>
        <v>-0.04527593857</v>
      </c>
      <c r="T207" s="30">
        <f t="shared" si="9"/>
        <v>-0.0923237231</v>
      </c>
    </row>
    <row r="208">
      <c r="A208" s="1">
        <v>205.0</v>
      </c>
      <c r="B208" s="22" t="s">
        <v>716</v>
      </c>
      <c r="C208" s="22" t="s">
        <v>526</v>
      </c>
      <c r="D208" s="22" t="s">
        <v>442</v>
      </c>
      <c r="E208" s="23">
        <f>IFERROR(__xludf.DUMMYFUNCTION("GOOGLEFINANCE(""NSE:""&amp;D208,""marketcap"")/10000000"),19885.5088966)</f>
        <v>19885.5089</v>
      </c>
      <c r="F208" s="17">
        <f>IFERROR(__xludf.DUMMYFUNCTION("GOOGLEFINANCE(""NSE:""&amp;D208)"),591.1)</f>
        <v>591.1</v>
      </c>
      <c r="G208" s="17">
        <f>IFERROR(__xludf.DUMMYFUNCTION("GOOGLEFINANCE(""NSE:""&amp;D208,""closeyest"")"),567.3)</f>
        <v>567.3</v>
      </c>
      <c r="H208" s="17">
        <f>IFERROR(__xludf.DUMMYFUNCTION("INDEX(GOOGLEFINANCE(""NSE:""&amp;D208,""PRICE"",TODAY()-7),2,2)"),546.8)</f>
        <v>546.8</v>
      </c>
      <c r="I208" s="17">
        <f>IFERROR(__xludf.DUMMYFUNCTION("INDEX(GOOGLEFINANCE(""NSE:""&amp;D208,""PRICE"",TODAY()-14),2,2)"),553.7)</f>
        <v>553.7</v>
      </c>
      <c r="J208" s="17">
        <f>IFERROR(__xludf.DUMMYFUNCTION("INDEX(GOOGLEFINANCE(""NSE:""&amp;D208,""PRICE"",TODAY()-28),2,2)"),551.15)</f>
        <v>551.15</v>
      </c>
      <c r="K208" s="17">
        <f>IFERROR(__xludf.DUMMYFUNCTION("INDEX(GOOGLEFINANCE(""NSE:""&amp;D208,""PRICE"",TODAY()-84),2,2)"),574.9)</f>
        <v>574.9</v>
      </c>
      <c r="L208" s="16">
        <f t="shared" si="1"/>
        <v>0.04195311123</v>
      </c>
      <c r="M208" s="16">
        <f t="shared" si="2"/>
        <v>0.08101682516</v>
      </c>
      <c r="N208" s="16">
        <f t="shared" si="3"/>
        <v>0.06754560231</v>
      </c>
      <c r="O208" s="16">
        <f t="shared" si="4"/>
        <v>0.0724848045</v>
      </c>
      <c r="P208" s="16">
        <f t="shared" si="5"/>
        <v>0.02817881371</v>
      </c>
      <c r="Q208" s="30">
        <f t="shared" si="6"/>
        <v>0.06915836803</v>
      </c>
      <c r="R208" s="30">
        <f t="shared" si="7"/>
        <v>0.04376124713</v>
      </c>
      <c r="S208" s="30">
        <f t="shared" si="8"/>
        <v>0.001112600871</v>
      </c>
      <c r="T208" s="30">
        <f t="shared" si="9"/>
        <v>-0.09861405299</v>
      </c>
    </row>
    <row r="209">
      <c r="A209" s="1">
        <v>206.0</v>
      </c>
      <c r="B209" s="22" t="s">
        <v>790</v>
      </c>
      <c r="C209" s="22" t="s">
        <v>635</v>
      </c>
      <c r="D209" s="22" t="s">
        <v>450</v>
      </c>
      <c r="E209" s="23">
        <f>IFERROR(__xludf.DUMMYFUNCTION("GOOGLEFINANCE(""NSE:""&amp;D209,""marketcap"")/10000000"),19052.850177)</f>
        <v>19052.85018</v>
      </c>
      <c r="F209" s="17">
        <f>IFERROR(__xludf.DUMMYFUNCTION("GOOGLEFINANCE(""NSE:""&amp;D209)"),2020.0)</f>
        <v>2020</v>
      </c>
      <c r="G209" s="17">
        <f>IFERROR(__xludf.DUMMYFUNCTION("GOOGLEFINANCE(""NSE:""&amp;D209,""closeyest"")"),2025.8)</f>
        <v>2025.8</v>
      </c>
      <c r="H209" s="17">
        <f>IFERROR(__xludf.DUMMYFUNCTION("INDEX(GOOGLEFINANCE(""NSE:""&amp;D209,""PRICE"",TODAY()-7),2,2)"),2097.75)</f>
        <v>2097.75</v>
      </c>
      <c r="I209" s="17">
        <f>IFERROR(__xludf.DUMMYFUNCTION("INDEX(GOOGLEFINANCE(""NSE:""&amp;D209,""PRICE"",TODAY()-14),2,2)"),2095.85)</f>
        <v>2095.85</v>
      </c>
      <c r="J209" s="17">
        <f>IFERROR(__xludf.DUMMYFUNCTION("INDEX(GOOGLEFINANCE(""NSE:""&amp;D209,""PRICE"",TODAY()-28),2,2)"),1932.9)</f>
        <v>1932.9</v>
      </c>
      <c r="K209" s="17">
        <f>IFERROR(__xludf.DUMMYFUNCTION("INDEX(GOOGLEFINANCE(""NSE:""&amp;D209,""PRICE"",TODAY()-84),2,2)"),2151.05)</f>
        <v>2151.05</v>
      </c>
      <c r="L209" s="16">
        <f t="shared" si="1"/>
        <v>-0.002863066443</v>
      </c>
      <c r="M209" s="16">
        <f t="shared" si="2"/>
        <v>-0.03706352044</v>
      </c>
      <c r="N209" s="16">
        <f t="shared" si="3"/>
        <v>-0.03619056707</v>
      </c>
      <c r="O209" s="16">
        <f t="shared" si="4"/>
        <v>0.0450618242</v>
      </c>
      <c r="P209" s="16">
        <f t="shared" si="5"/>
        <v>-0.06092373492</v>
      </c>
      <c r="Q209" s="30">
        <f t="shared" si="6"/>
        <v>-0.04892197757</v>
      </c>
      <c r="R209" s="30">
        <f t="shared" si="7"/>
        <v>-0.05997492225</v>
      </c>
      <c r="S209" s="30">
        <f t="shared" si="8"/>
        <v>-0.02631037943</v>
      </c>
      <c r="T209" s="30">
        <f t="shared" si="9"/>
        <v>-0.1877166016</v>
      </c>
    </row>
    <row r="210">
      <c r="A210" s="1">
        <v>207.0</v>
      </c>
      <c r="B210" s="22" t="s">
        <v>791</v>
      </c>
      <c r="C210" s="22" t="s">
        <v>528</v>
      </c>
      <c r="D210" s="22" t="s">
        <v>430</v>
      </c>
      <c r="E210" s="23">
        <f>IFERROR(__xludf.DUMMYFUNCTION("GOOGLEFINANCE(""NSE:""&amp;D210,""marketcap"")/10000000"),20161.3208511)</f>
        <v>20161.32085</v>
      </c>
      <c r="F210" s="17">
        <f>IFERROR(__xludf.DUMMYFUNCTION("GOOGLEFINANCE(""NSE:""&amp;D210)"),2557.0)</f>
        <v>2557</v>
      </c>
      <c r="G210" s="17">
        <f>IFERROR(__xludf.DUMMYFUNCTION("GOOGLEFINANCE(""NSE:""&amp;D210,""closeyest"")"),2414.0)</f>
        <v>2414</v>
      </c>
      <c r="H210" s="17">
        <f>IFERROR(__xludf.DUMMYFUNCTION("INDEX(GOOGLEFINANCE(""NSE:""&amp;D210,""PRICE"",TODAY()-7),2,2)"),2493.25)</f>
        <v>2493.25</v>
      </c>
      <c r="I210" s="17">
        <f>IFERROR(__xludf.DUMMYFUNCTION("INDEX(GOOGLEFINANCE(""NSE:""&amp;D210,""PRICE"",TODAY()-14),2,2)"),2505.5)</f>
        <v>2505.5</v>
      </c>
      <c r="J210" s="17">
        <f>IFERROR(__xludf.DUMMYFUNCTION("INDEX(GOOGLEFINANCE(""NSE:""&amp;D210,""PRICE"",TODAY()-28),2,2)"),2440.6)</f>
        <v>2440.6</v>
      </c>
      <c r="K210" s="17">
        <f>IFERROR(__xludf.DUMMYFUNCTION("INDEX(GOOGLEFINANCE(""NSE:""&amp;D210,""PRICE"",TODAY()-84),2,2)"),2678.35)</f>
        <v>2678.35</v>
      </c>
      <c r="L210" s="16">
        <f t="shared" si="1"/>
        <v>0.05923777962</v>
      </c>
      <c r="M210" s="16">
        <f t="shared" si="2"/>
        <v>0.0255690364</v>
      </c>
      <c r="N210" s="16">
        <f t="shared" si="3"/>
        <v>0.02055477949</v>
      </c>
      <c r="O210" s="16">
        <f t="shared" si="4"/>
        <v>0.0476931902</v>
      </c>
      <c r="P210" s="16">
        <f t="shared" si="5"/>
        <v>-0.04530774544</v>
      </c>
      <c r="Q210" s="30">
        <f t="shared" si="6"/>
        <v>0.01371057926</v>
      </c>
      <c r="R210" s="30">
        <f t="shared" si="7"/>
        <v>-0.003229575695</v>
      </c>
      <c r="S210" s="30">
        <f t="shared" si="8"/>
        <v>-0.02367901343</v>
      </c>
      <c r="T210" s="30">
        <f t="shared" si="9"/>
        <v>-0.1721006121</v>
      </c>
    </row>
    <row r="211">
      <c r="A211" s="1">
        <v>208.0</v>
      </c>
      <c r="B211" s="22" t="s">
        <v>792</v>
      </c>
      <c r="C211" s="22" t="s">
        <v>603</v>
      </c>
      <c r="D211" s="22" t="s">
        <v>446</v>
      </c>
      <c r="E211" s="23">
        <f>IFERROR(__xludf.DUMMYFUNCTION("GOOGLEFINANCE(""NSE:""&amp;D211,""marketcap"")/10000000"),19320.807)</f>
        <v>19320.807</v>
      </c>
      <c r="F211" s="17">
        <f>IFERROR(__xludf.DUMMYFUNCTION("GOOGLEFINANCE(""NSE:""&amp;D211)"),1759.0)</f>
        <v>1759</v>
      </c>
      <c r="G211" s="17">
        <f>IFERROR(__xludf.DUMMYFUNCTION("GOOGLEFINANCE(""NSE:""&amp;D211,""closeyest"")"),1729.15)</f>
        <v>1729.15</v>
      </c>
      <c r="H211" s="17">
        <f>IFERROR(__xludf.DUMMYFUNCTION("INDEX(GOOGLEFINANCE(""NSE:""&amp;D211,""PRICE"",TODAY()-7),2,2)"),1704.2)</f>
        <v>1704.2</v>
      </c>
      <c r="I211" s="17">
        <f>IFERROR(__xludf.DUMMYFUNCTION("INDEX(GOOGLEFINANCE(""NSE:""&amp;D211,""PRICE"",TODAY()-14),2,2)"),1697.35)</f>
        <v>1697.35</v>
      </c>
      <c r="J211" s="17">
        <f>IFERROR(__xludf.DUMMYFUNCTION("INDEX(GOOGLEFINANCE(""NSE:""&amp;D211,""PRICE"",TODAY()-28),2,2)"),1699.0)</f>
        <v>1699</v>
      </c>
      <c r="K211" s="17">
        <f>IFERROR(__xludf.DUMMYFUNCTION("INDEX(GOOGLEFINANCE(""NSE:""&amp;D211,""PRICE"",TODAY()-84),2,2)"),1159.5)</f>
        <v>1159.5</v>
      </c>
      <c r="L211" s="16">
        <f t="shared" si="1"/>
        <v>0.01726281699</v>
      </c>
      <c r="M211" s="16">
        <f t="shared" si="2"/>
        <v>0.03215585025</v>
      </c>
      <c r="N211" s="16">
        <f t="shared" si="3"/>
        <v>0.03632132442</v>
      </c>
      <c r="O211" s="16">
        <f t="shared" si="4"/>
        <v>0.03531489111</v>
      </c>
      <c r="P211" s="16">
        <f t="shared" si="5"/>
        <v>0.517033204</v>
      </c>
      <c r="Q211" s="30">
        <f t="shared" si="6"/>
        <v>0.02029739312</v>
      </c>
      <c r="R211" s="30">
        <f t="shared" si="7"/>
        <v>0.01253696924</v>
      </c>
      <c r="S211" s="30">
        <f t="shared" si="8"/>
        <v>-0.03605731252</v>
      </c>
      <c r="T211" s="30">
        <f t="shared" si="9"/>
        <v>0.3902403373</v>
      </c>
    </row>
    <row r="212">
      <c r="A212" s="1">
        <v>209.0</v>
      </c>
      <c r="B212" s="22" t="s">
        <v>717</v>
      </c>
      <c r="C212" s="22" t="s">
        <v>549</v>
      </c>
      <c r="D212" s="22" t="s">
        <v>434</v>
      </c>
      <c r="E212" s="23">
        <f>IFERROR(__xludf.DUMMYFUNCTION("GOOGLEFINANCE(""NSE:""&amp;D212,""marketcap"")/10000000"),18907.18956)</f>
        <v>18907.18956</v>
      </c>
      <c r="F212" s="17">
        <f>IFERROR(__xludf.DUMMYFUNCTION("GOOGLEFINANCE(""NSE:""&amp;D212)"),2185.0)</f>
        <v>2185</v>
      </c>
      <c r="G212" s="17">
        <f>IFERROR(__xludf.DUMMYFUNCTION("GOOGLEFINANCE(""NSE:""&amp;D212,""closeyest"")"),2177.55)</f>
        <v>2177.55</v>
      </c>
      <c r="H212" s="17">
        <f>IFERROR(__xludf.DUMMYFUNCTION("INDEX(GOOGLEFINANCE(""NSE:""&amp;D212,""PRICE"",TODAY()-7),2,2)"),2185.15)</f>
        <v>2185.15</v>
      </c>
      <c r="I212" s="17">
        <f>IFERROR(__xludf.DUMMYFUNCTION("INDEX(GOOGLEFINANCE(""NSE:""&amp;D212,""PRICE"",TODAY()-14),2,2)"),2137.05)</f>
        <v>2137.05</v>
      </c>
      <c r="J212" s="17">
        <f>IFERROR(__xludf.DUMMYFUNCTION("INDEX(GOOGLEFINANCE(""NSE:""&amp;D212,""PRICE"",TODAY()-28),2,2)"),2218.3)</f>
        <v>2218.3</v>
      </c>
      <c r="K212" s="17">
        <f>IFERROR(__xludf.DUMMYFUNCTION("INDEX(GOOGLEFINANCE(""NSE:""&amp;D212,""PRICE"",TODAY()-84),2,2)"),2123.2)</f>
        <v>2123.2</v>
      </c>
      <c r="L212" s="16">
        <f t="shared" si="1"/>
        <v>0.003421276205</v>
      </c>
      <c r="M212" s="16">
        <f t="shared" si="2"/>
        <v>-0.0000686451731</v>
      </c>
      <c r="N212" s="16">
        <f t="shared" si="3"/>
        <v>0.02243747222</v>
      </c>
      <c r="O212" s="16">
        <f t="shared" si="4"/>
        <v>-0.01501149529</v>
      </c>
      <c r="P212" s="16">
        <f t="shared" si="5"/>
        <v>0.02910700829</v>
      </c>
      <c r="Q212" s="30">
        <f t="shared" si="6"/>
        <v>-0.01192710231</v>
      </c>
      <c r="R212" s="30">
        <f t="shared" si="7"/>
        <v>-0.001346882963</v>
      </c>
      <c r="S212" s="30">
        <f t="shared" si="8"/>
        <v>-0.08638369892</v>
      </c>
      <c r="T212" s="30">
        <f t="shared" si="9"/>
        <v>-0.09768585841</v>
      </c>
    </row>
    <row r="213">
      <c r="A213" s="1">
        <v>210.0</v>
      </c>
      <c r="B213" s="22" t="s">
        <v>793</v>
      </c>
      <c r="C213" s="22" t="s">
        <v>526</v>
      </c>
      <c r="D213" s="22" t="s">
        <v>448</v>
      </c>
      <c r="E213" s="23">
        <f>IFERROR(__xludf.DUMMYFUNCTION("GOOGLEFINANCE(""NSE:""&amp;D213,""marketcap"")/10000000"),18598.9555033)</f>
        <v>18598.9555</v>
      </c>
      <c r="F213" s="17">
        <f>IFERROR(__xludf.DUMMYFUNCTION("GOOGLEFINANCE(""NSE:""&amp;D213)"),1168.0)</f>
        <v>1168</v>
      </c>
      <c r="G213" s="17">
        <f>IFERROR(__xludf.DUMMYFUNCTION("GOOGLEFINANCE(""NSE:""&amp;D213,""closeyest"")"),1178.95)</f>
        <v>1178.95</v>
      </c>
      <c r="H213" s="17">
        <f>IFERROR(__xludf.DUMMYFUNCTION("INDEX(GOOGLEFINANCE(""NSE:""&amp;D213,""PRICE"",TODAY()-7),2,2)"),1155.0)</f>
        <v>1155</v>
      </c>
      <c r="I213" s="17">
        <f>IFERROR(__xludf.DUMMYFUNCTION("INDEX(GOOGLEFINANCE(""NSE:""&amp;D213,""PRICE"",TODAY()-14),2,2)"),1172.7)</f>
        <v>1172.7</v>
      </c>
      <c r="J213" s="17">
        <f>IFERROR(__xludf.DUMMYFUNCTION("INDEX(GOOGLEFINANCE(""NSE:""&amp;D213,""PRICE"",TODAY()-28),2,2)"),1185.05)</f>
        <v>1185.05</v>
      </c>
      <c r="K213" s="17">
        <f>IFERROR(__xludf.DUMMYFUNCTION("INDEX(GOOGLEFINANCE(""NSE:""&amp;D213,""PRICE"",TODAY()-84),2,2)"),987.9)</f>
        <v>987.9</v>
      </c>
      <c r="L213" s="16">
        <f t="shared" si="1"/>
        <v>-0.009287925697</v>
      </c>
      <c r="M213" s="16">
        <f t="shared" si="2"/>
        <v>0.01125541126</v>
      </c>
      <c r="N213" s="16">
        <f t="shared" si="3"/>
        <v>-0.004007845144</v>
      </c>
      <c r="O213" s="16">
        <f t="shared" si="4"/>
        <v>-0.01438757858</v>
      </c>
      <c r="P213" s="16">
        <f t="shared" si="5"/>
        <v>0.1823059014</v>
      </c>
      <c r="Q213" s="30">
        <f t="shared" si="6"/>
        <v>-0.0006030458808</v>
      </c>
      <c r="R213" s="30">
        <f t="shared" si="7"/>
        <v>-0.02779220032</v>
      </c>
      <c r="S213" s="30">
        <f t="shared" si="8"/>
        <v>-0.08575978221</v>
      </c>
      <c r="T213" s="30">
        <f t="shared" si="9"/>
        <v>0.05551303471</v>
      </c>
    </row>
    <row r="214">
      <c r="A214" s="1">
        <v>211.0</v>
      </c>
      <c r="B214" s="22" t="s">
        <v>718</v>
      </c>
      <c r="C214" s="22" t="s">
        <v>549</v>
      </c>
      <c r="D214" s="22" t="s">
        <v>417</v>
      </c>
      <c r="E214" s="23">
        <f>IFERROR(__xludf.DUMMYFUNCTION("GOOGLEFINANCE(""NSE:""&amp;D214,""marketcap"")/10000000"),18896.62371)</f>
        <v>18896.62371</v>
      </c>
      <c r="F214" s="17">
        <f>IFERROR(__xludf.DUMMYFUNCTION("GOOGLEFINANCE(""NSE:""&amp;D214)"),8205.0)</f>
        <v>8205</v>
      </c>
      <c r="G214" s="17">
        <f>IFERROR(__xludf.DUMMYFUNCTION("GOOGLEFINANCE(""NSE:""&amp;D214,""closeyest"")"),8035.15)</f>
        <v>8035.15</v>
      </c>
      <c r="H214" s="17">
        <f>IFERROR(__xludf.DUMMYFUNCTION("INDEX(GOOGLEFINANCE(""NSE:""&amp;D214,""PRICE"",TODAY()-7),2,2)"),7916.3)</f>
        <v>7916.3</v>
      </c>
      <c r="I214" s="17">
        <f>IFERROR(__xludf.DUMMYFUNCTION("INDEX(GOOGLEFINANCE(""NSE:""&amp;D214,""PRICE"",TODAY()-14),2,2)"),8213.45)</f>
        <v>8213.45</v>
      </c>
      <c r="J214" s="17">
        <f>IFERROR(__xludf.DUMMYFUNCTION("INDEX(GOOGLEFINANCE(""NSE:""&amp;D214,""PRICE"",TODAY()-28),2,2)"),8794.0)</f>
        <v>8794</v>
      </c>
      <c r="K214" s="17">
        <f>IFERROR(__xludf.DUMMYFUNCTION("INDEX(GOOGLEFINANCE(""NSE:""&amp;D214,""PRICE"",TODAY()-84),2,2)"),7697.6)</f>
        <v>7697.6</v>
      </c>
      <c r="L214" s="16">
        <f t="shared" si="1"/>
        <v>0.02113837327</v>
      </c>
      <c r="M214" s="16">
        <f t="shared" si="2"/>
        <v>0.03646905751</v>
      </c>
      <c r="N214" s="16">
        <f t="shared" si="3"/>
        <v>-0.001028800321</v>
      </c>
      <c r="O214" s="16">
        <f t="shared" si="4"/>
        <v>-0.06697748465</v>
      </c>
      <c r="P214" s="16">
        <f t="shared" si="5"/>
        <v>0.06591664935</v>
      </c>
      <c r="Q214" s="30">
        <f t="shared" si="6"/>
        <v>0.02461060038</v>
      </c>
      <c r="R214" s="30">
        <f t="shared" si="7"/>
        <v>-0.0248131555</v>
      </c>
      <c r="S214" s="30">
        <f t="shared" si="8"/>
        <v>-0.1383496883</v>
      </c>
      <c r="T214" s="30">
        <f t="shared" si="9"/>
        <v>-0.06087621735</v>
      </c>
    </row>
    <row r="215">
      <c r="A215" s="1">
        <v>212.0</v>
      </c>
      <c r="B215" s="22" t="s">
        <v>794</v>
      </c>
      <c r="C215" s="22" t="s">
        <v>528</v>
      </c>
      <c r="D215" s="22" t="s">
        <v>456</v>
      </c>
      <c r="E215" s="23">
        <f>IFERROR(__xludf.DUMMYFUNCTION("GOOGLEFINANCE(""NSE:""&amp;D215,""marketcap"")/10000000"),18316.7816211)</f>
        <v>18316.78162</v>
      </c>
      <c r="F215" s="17">
        <f>IFERROR(__xludf.DUMMYFUNCTION("GOOGLEFINANCE(""NSE:""&amp;D215)"),21.2)</f>
        <v>21.2</v>
      </c>
      <c r="G215" s="17">
        <f>IFERROR(__xludf.DUMMYFUNCTION("GOOGLEFINANCE(""NSE:""&amp;D215,""closeyest"")"),21.2)</f>
        <v>21.2</v>
      </c>
      <c r="H215" s="17">
        <f>IFERROR(__xludf.DUMMYFUNCTION("INDEX(GOOGLEFINANCE(""NSE:""&amp;D215,""PRICE"",TODAY()-7),2,2)"),23.2)</f>
        <v>23.2</v>
      </c>
      <c r="I215" s="17">
        <f>IFERROR(__xludf.DUMMYFUNCTION("INDEX(GOOGLEFINANCE(""NSE:""&amp;D215,""PRICE"",TODAY()-14),2,2)"),20.5)</f>
        <v>20.5</v>
      </c>
      <c r="J215" s="17">
        <f>IFERROR(__xludf.DUMMYFUNCTION("INDEX(GOOGLEFINANCE(""NSE:""&amp;D215,""PRICE"",TODAY()-28),2,2)"),20.7)</f>
        <v>20.7</v>
      </c>
      <c r="K215" s="17">
        <f>IFERROR(__xludf.DUMMYFUNCTION("INDEX(GOOGLEFINANCE(""NSE:""&amp;D215,""PRICE"",TODAY()-84),2,2)"),27.9)</f>
        <v>27.9</v>
      </c>
      <c r="L215" s="16">
        <f t="shared" si="1"/>
        <v>0</v>
      </c>
      <c r="M215" s="16">
        <f t="shared" si="2"/>
        <v>-0.08620689655</v>
      </c>
      <c r="N215" s="16">
        <f t="shared" si="3"/>
        <v>0.03414634146</v>
      </c>
      <c r="O215" s="16">
        <f t="shared" si="4"/>
        <v>0.02415458937</v>
      </c>
      <c r="P215" s="16">
        <f t="shared" si="5"/>
        <v>-0.2401433692</v>
      </c>
      <c r="Q215" s="30">
        <f t="shared" si="6"/>
        <v>-0.09806535369</v>
      </c>
      <c r="R215" s="30">
        <f t="shared" si="7"/>
        <v>0.01036198628</v>
      </c>
      <c r="S215" s="30">
        <f t="shared" si="8"/>
        <v>-0.04721761426</v>
      </c>
      <c r="T215" s="30">
        <f t="shared" si="9"/>
        <v>-0.3669362359</v>
      </c>
    </row>
    <row r="216">
      <c r="A216" s="1">
        <v>213.0</v>
      </c>
      <c r="B216" s="22" t="s">
        <v>795</v>
      </c>
      <c r="C216" s="22" t="s">
        <v>528</v>
      </c>
      <c r="D216" s="22" t="s">
        <v>796</v>
      </c>
      <c r="E216" s="23">
        <f>IFERROR(__xludf.DUMMYFUNCTION("GOOGLEFINANCE(""NSE:""&amp;D216,""marketcap"")/10000000"),17947.5698564)</f>
        <v>17947.56986</v>
      </c>
      <c r="F216" s="17">
        <f>IFERROR(__xludf.DUMMYFUNCTION("GOOGLEFINANCE(""NSE:""&amp;D216)"),601.6)</f>
        <v>601.6</v>
      </c>
      <c r="G216" s="17">
        <f>IFERROR(__xludf.DUMMYFUNCTION("GOOGLEFINANCE(""NSE:""&amp;D216,""closeyest"")"),600.65)</f>
        <v>600.65</v>
      </c>
      <c r="H216" s="17">
        <f>IFERROR(__xludf.DUMMYFUNCTION("INDEX(GOOGLEFINANCE(""NSE:""&amp;D216,""PRICE"",TODAY()-7),2,2)"),598.75)</f>
        <v>598.75</v>
      </c>
      <c r="I216" s="17">
        <f>IFERROR(__xludf.DUMMYFUNCTION("INDEX(GOOGLEFINANCE(""NSE:""&amp;D216,""PRICE"",TODAY()-14),2,2)"),592.75)</f>
        <v>592.75</v>
      </c>
      <c r="J216" s="17">
        <f>IFERROR(__xludf.DUMMYFUNCTION("INDEX(GOOGLEFINANCE(""NSE:""&amp;D216,""PRICE"",TODAY()-28),2,2)"),433.85)</f>
        <v>433.85</v>
      </c>
      <c r="K216" s="17">
        <f>IFERROR(__xludf.DUMMYFUNCTION("INDEX(GOOGLEFINANCE(""NSE:""&amp;D216,""PRICE"",TODAY()-84),2,2)"),382.0)</f>
        <v>382</v>
      </c>
      <c r="L216" s="16">
        <f t="shared" si="1"/>
        <v>0.001581619912</v>
      </c>
      <c r="M216" s="16">
        <f t="shared" si="2"/>
        <v>0.004759916493</v>
      </c>
      <c r="N216" s="16">
        <f t="shared" si="3"/>
        <v>0.01493040911</v>
      </c>
      <c r="O216" s="16">
        <f t="shared" si="4"/>
        <v>0.3866543736</v>
      </c>
      <c r="P216" s="16">
        <f t="shared" si="5"/>
        <v>0.5748691099</v>
      </c>
      <c r="Q216" s="30">
        <f t="shared" si="6"/>
        <v>-0.007098540644</v>
      </c>
      <c r="R216" s="30">
        <f t="shared" si="7"/>
        <v>-0.00885394607</v>
      </c>
      <c r="S216" s="30">
        <f t="shared" si="8"/>
        <v>0.31528217</v>
      </c>
      <c r="T216" s="30">
        <f t="shared" si="9"/>
        <v>0.4480762433</v>
      </c>
    </row>
    <row r="217">
      <c r="A217" s="1">
        <v>214.0</v>
      </c>
      <c r="B217" s="22" t="s">
        <v>797</v>
      </c>
      <c r="C217" s="22" t="s">
        <v>603</v>
      </c>
      <c r="D217" s="22" t="s">
        <v>481</v>
      </c>
      <c r="E217" s="23">
        <f>IFERROR(__xludf.DUMMYFUNCTION("GOOGLEFINANCE(""NSE:""&amp;D217,""marketcap"")/10000000"),18098.014)</f>
        <v>18098.014</v>
      </c>
      <c r="F217" s="17">
        <f>IFERROR(__xludf.DUMMYFUNCTION("GOOGLEFINANCE(""NSE:""&amp;D217)"),2000.0)</f>
        <v>2000</v>
      </c>
      <c r="G217" s="17">
        <f>IFERROR(__xludf.DUMMYFUNCTION("GOOGLEFINANCE(""NSE:""&amp;D217,""closeyest"")"),1978.35)</f>
        <v>1978.35</v>
      </c>
      <c r="H217" s="17">
        <f>IFERROR(__xludf.DUMMYFUNCTION("INDEX(GOOGLEFINANCE(""NSE:""&amp;D217,""PRICE"",TODAY()-7),2,2)"),1979.1)</f>
        <v>1979.1</v>
      </c>
      <c r="I217" s="17">
        <f>IFERROR(__xludf.DUMMYFUNCTION("INDEX(GOOGLEFINANCE(""NSE:""&amp;D217,""PRICE"",TODAY()-14),2,2)"),1805.75)</f>
        <v>1805.75</v>
      </c>
      <c r="J217" s="17">
        <f>IFERROR(__xludf.DUMMYFUNCTION("INDEX(GOOGLEFINANCE(""NSE:""&amp;D217,""PRICE"",TODAY()-28),2,2)"),1724.25)</f>
        <v>1724.25</v>
      </c>
      <c r="K217" s="17">
        <f>IFERROR(__xludf.DUMMYFUNCTION("INDEX(GOOGLEFINANCE(""NSE:""&amp;D217,""PRICE"",TODAY()-84),2,2)"),1611.1)</f>
        <v>1611.1</v>
      </c>
      <c r="L217" s="16">
        <f t="shared" si="1"/>
        <v>0.01094346299</v>
      </c>
      <c r="M217" s="16">
        <f t="shared" si="2"/>
        <v>0.01056035572</v>
      </c>
      <c r="N217" s="16">
        <f t="shared" si="3"/>
        <v>0.1075730306</v>
      </c>
      <c r="O217" s="16">
        <f t="shared" si="4"/>
        <v>0.1599246049</v>
      </c>
      <c r="P217" s="16">
        <f t="shared" si="5"/>
        <v>0.2413878716</v>
      </c>
      <c r="Q217" s="30">
        <f t="shared" si="6"/>
        <v>-0.001298101419</v>
      </c>
      <c r="R217" s="30">
        <f t="shared" si="7"/>
        <v>0.08378867542</v>
      </c>
      <c r="S217" s="30">
        <f t="shared" si="8"/>
        <v>0.08855240127</v>
      </c>
      <c r="T217" s="30">
        <f t="shared" si="9"/>
        <v>0.1145950049</v>
      </c>
    </row>
    <row r="218">
      <c r="A218" s="1">
        <v>215.0</v>
      </c>
      <c r="B218" s="22" t="s">
        <v>719</v>
      </c>
      <c r="C218" s="22" t="s">
        <v>522</v>
      </c>
      <c r="D218" s="22" t="s">
        <v>426</v>
      </c>
      <c r="E218" s="23">
        <f>IFERROR(__xludf.DUMMYFUNCTION("GOOGLEFINANCE(""NSE:""&amp;D218,""marketcap"")/10000000"),18229.81638)</f>
        <v>18229.81638</v>
      </c>
      <c r="F218" s="17">
        <f>IFERROR(__xludf.DUMMYFUNCTION("GOOGLEFINANCE(""NSE:""&amp;D218)"),321.6)</f>
        <v>321.6</v>
      </c>
      <c r="G218" s="17">
        <f>IFERROR(__xludf.DUMMYFUNCTION("GOOGLEFINANCE(""NSE:""&amp;D218,""closeyest"")"),313.35)</f>
        <v>313.35</v>
      </c>
      <c r="H218" s="17">
        <f>IFERROR(__xludf.DUMMYFUNCTION("INDEX(GOOGLEFINANCE(""NSE:""&amp;D218,""PRICE"",TODAY()-7),2,2)"),321.25)</f>
        <v>321.25</v>
      </c>
      <c r="I218" s="17">
        <f>IFERROR(__xludf.DUMMYFUNCTION("INDEX(GOOGLEFINANCE(""NSE:""&amp;D218,""PRICE"",TODAY()-14),2,2)"),351.0)</f>
        <v>351</v>
      </c>
      <c r="J218" s="17">
        <f>IFERROR(__xludf.DUMMYFUNCTION("INDEX(GOOGLEFINANCE(""NSE:""&amp;D218,""PRICE"",TODAY()-28),2,2)"),347.05)</f>
        <v>347.05</v>
      </c>
      <c r="K218" s="17">
        <f>IFERROR(__xludf.DUMMYFUNCTION("INDEX(GOOGLEFINANCE(""NSE:""&amp;D218,""PRICE"",TODAY()-84),2,2)"),331.15)</f>
        <v>331.15</v>
      </c>
      <c r="L218" s="16">
        <f t="shared" si="1"/>
        <v>0.02632838679</v>
      </c>
      <c r="M218" s="16">
        <f t="shared" si="2"/>
        <v>0.001089494163</v>
      </c>
      <c r="N218" s="16">
        <f t="shared" si="3"/>
        <v>-0.08376068376</v>
      </c>
      <c r="O218" s="16">
        <f t="shared" si="4"/>
        <v>-0.07333237286</v>
      </c>
      <c r="P218" s="16">
        <f t="shared" si="5"/>
        <v>-0.02883889476</v>
      </c>
      <c r="Q218" s="30">
        <f t="shared" si="6"/>
        <v>-0.01076896297</v>
      </c>
      <c r="R218" s="30">
        <f t="shared" si="7"/>
        <v>-0.1075450389</v>
      </c>
      <c r="S218" s="30">
        <f t="shared" si="8"/>
        <v>-0.1447045765</v>
      </c>
      <c r="T218" s="30">
        <f t="shared" si="9"/>
        <v>-0.1556317615</v>
      </c>
    </row>
    <row r="219">
      <c r="A219" s="1">
        <v>216.0</v>
      </c>
      <c r="B219" s="22" t="s">
        <v>798</v>
      </c>
      <c r="C219" s="22" t="s">
        <v>526</v>
      </c>
      <c r="D219" s="22" t="s">
        <v>799</v>
      </c>
      <c r="E219" s="23">
        <f>IFERROR(__xludf.DUMMYFUNCTION("GOOGLEFINANCE(""NSE:""&amp;D219,""marketcap"")/10000000"),17579.76797)</f>
        <v>17579.76797</v>
      </c>
      <c r="F219" s="17">
        <f>IFERROR(__xludf.DUMMYFUNCTION("GOOGLEFINANCE(""NSE:""&amp;D219)"),1533.5)</f>
        <v>1533.5</v>
      </c>
      <c r="G219" s="17">
        <f>IFERROR(__xludf.DUMMYFUNCTION("GOOGLEFINANCE(""NSE:""&amp;D219,""closeyest"")"),1513.45)</f>
        <v>1513.45</v>
      </c>
      <c r="H219" s="17">
        <f>IFERROR(__xludf.DUMMYFUNCTION("INDEX(GOOGLEFINANCE(""NSE:""&amp;D219,""PRICE"",TODAY()-7),2,2)"),1490.8)</f>
        <v>1490.8</v>
      </c>
      <c r="I219" s="17">
        <f>IFERROR(__xludf.DUMMYFUNCTION("INDEX(GOOGLEFINANCE(""NSE:""&amp;D219,""PRICE"",TODAY()-14),2,2)"),1323.9)</f>
        <v>1323.9</v>
      </c>
      <c r="J219" s="17">
        <f>IFERROR(__xludf.DUMMYFUNCTION("INDEX(GOOGLEFINANCE(""NSE:""&amp;D219,""PRICE"",TODAY()-28),2,2)"),1180.1)</f>
        <v>1180.1</v>
      </c>
      <c r="K219" s="17">
        <f>IFERROR(__xludf.DUMMYFUNCTION("INDEX(GOOGLEFINANCE(""NSE:""&amp;D219,""PRICE"",TODAY()-84),2,2)"),1046.2)</f>
        <v>1046.2</v>
      </c>
      <c r="L219" s="16">
        <f t="shared" si="1"/>
        <v>0.01324787737</v>
      </c>
      <c r="M219" s="16">
        <f t="shared" si="2"/>
        <v>0.02864233968</v>
      </c>
      <c r="N219" s="16">
        <f t="shared" si="3"/>
        <v>0.1583201148</v>
      </c>
      <c r="O219" s="16">
        <f t="shared" si="4"/>
        <v>0.2994661469</v>
      </c>
      <c r="P219" s="16">
        <f t="shared" si="5"/>
        <v>0.4657809214</v>
      </c>
      <c r="Q219" s="30">
        <f t="shared" si="6"/>
        <v>0.01678388255</v>
      </c>
      <c r="R219" s="30">
        <f t="shared" si="7"/>
        <v>0.1345357596</v>
      </c>
      <c r="S219" s="30">
        <f t="shared" si="8"/>
        <v>0.2280939433</v>
      </c>
      <c r="T219" s="30">
        <f t="shared" si="9"/>
        <v>0.3389880547</v>
      </c>
    </row>
    <row r="220">
      <c r="A220" s="1">
        <v>217.0</v>
      </c>
      <c r="B220" s="22" t="s">
        <v>720</v>
      </c>
      <c r="C220" s="22" t="s">
        <v>541</v>
      </c>
      <c r="D220" s="22" t="s">
        <v>721</v>
      </c>
      <c r="E220" s="23">
        <f>IFERROR(__xludf.DUMMYFUNCTION("GOOGLEFINANCE(""NSE:""&amp;D220,""marketcap"")/10000000"),18301.1537866)</f>
        <v>18301.15379</v>
      </c>
      <c r="F220" s="17">
        <f>IFERROR(__xludf.DUMMYFUNCTION("GOOGLEFINANCE(""NSE:""&amp;D220)"),454.4)</f>
        <v>454.4</v>
      </c>
      <c r="G220" s="17">
        <f>IFERROR(__xludf.DUMMYFUNCTION("GOOGLEFINANCE(""NSE:""&amp;D220,""closeyest"")"),430.9)</f>
        <v>430.9</v>
      </c>
      <c r="H220" s="17">
        <f>IFERROR(__xludf.DUMMYFUNCTION("INDEX(GOOGLEFINANCE(""NSE:""&amp;D220,""PRICE"",TODAY()-7),2,2)"),410.6)</f>
        <v>410.6</v>
      </c>
      <c r="I220" s="17">
        <f>IFERROR(__xludf.DUMMYFUNCTION("INDEX(GOOGLEFINANCE(""NSE:""&amp;D220,""PRICE"",TODAY()-14),2,2)"),436.0)</f>
        <v>436</v>
      </c>
      <c r="J220" s="17">
        <f>IFERROR(__xludf.DUMMYFUNCTION("INDEX(GOOGLEFINANCE(""NSE:""&amp;D220,""PRICE"",TODAY()-28),2,2)"),351.7)</f>
        <v>351.7</v>
      </c>
      <c r="K220" s="17">
        <f>IFERROR(__xludf.DUMMYFUNCTION("INDEX(GOOGLEFINANCE(""NSE:""&amp;D220,""PRICE"",TODAY()-84),2,2)"),284.85)</f>
        <v>284.85</v>
      </c>
      <c r="L220" s="16">
        <f t="shared" si="1"/>
        <v>0.05453701555</v>
      </c>
      <c r="M220" s="16">
        <f t="shared" si="2"/>
        <v>0.1066731612</v>
      </c>
      <c r="N220" s="16">
        <f t="shared" si="3"/>
        <v>0.04220183486</v>
      </c>
      <c r="O220" s="16">
        <f t="shared" si="4"/>
        <v>0.292010236</v>
      </c>
      <c r="P220" s="16">
        <f t="shared" si="5"/>
        <v>0.5952255573</v>
      </c>
      <c r="Q220" s="30">
        <f t="shared" si="6"/>
        <v>0.09481470409</v>
      </c>
      <c r="R220" s="30">
        <f t="shared" si="7"/>
        <v>0.01841747968</v>
      </c>
      <c r="S220" s="30">
        <f t="shared" si="8"/>
        <v>0.2206380324</v>
      </c>
      <c r="T220" s="30">
        <f t="shared" si="9"/>
        <v>0.4684326906</v>
      </c>
    </row>
    <row r="221">
      <c r="A221" s="1">
        <v>218.0</v>
      </c>
      <c r="B221" s="22" t="s">
        <v>800</v>
      </c>
      <c r="C221" s="22" t="s">
        <v>526</v>
      </c>
      <c r="D221" s="22" t="s">
        <v>465</v>
      </c>
      <c r="E221" s="23">
        <f>IFERROR(__xludf.DUMMYFUNCTION("GOOGLEFINANCE(""NSE:""&amp;D221,""marketcap"")/10000000"),17194.7148)</f>
        <v>17194.7148</v>
      </c>
      <c r="F221" s="17">
        <f>IFERROR(__xludf.DUMMYFUNCTION("GOOGLEFINANCE(""NSE:""&amp;D221)"),580.8)</f>
        <v>580.8</v>
      </c>
      <c r="G221" s="17">
        <f>IFERROR(__xludf.DUMMYFUNCTION("GOOGLEFINANCE(""NSE:""&amp;D221,""closeyest"")"),579.95)</f>
        <v>579.95</v>
      </c>
      <c r="H221" s="17">
        <f>IFERROR(__xludf.DUMMYFUNCTION("INDEX(GOOGLEFINANCE(""NSE:""&amp;D221,""PRICE"",TODAY()-7),2,2)"),581.65)</f>
        <v>581.65</v>
      </c>
      <c r="I221" s="17">
        <f>IFERROR(__xludf.DUMMYFUNCTION("INDEX(GOOGLEFINANCE(""NSE:""&amp;D221,""PRICE"",TODAY()-14),2,2)"),606.7)</f>
        <v>606.7</v>
      </c>
      <c r="J221" s="17">
        <f>IFERROR(__xludf.DUMMYFUNCTION("INDEX(GOOGLEFINANCE(""NSE:""&amp;D221,""PRICE"",TODAY()-28),2,2)"),589.45)</f>
        <v>589.45</v>
      </c>
      <c r="K221" s="17">
        <f>IFERROR(__xludf.DUMMYFUNCTION("INDEX(GOOGLEFINANCE(""NSE:""&amp;D221,""PRICE"",TODAY()-84),2,2)"),572.35)</f>
        <v>572.35</v>
      </c>
      <c r="L221" s="16">
        <f t="shared" si="1"/>
        <v>0.00146564359</v>
      </c>
      <c r="M221" s="16">
        <f t="shared" si="2"/>
        <v>-0.001461359924</v>
      </c>
      <c r="N221" s="16">
        <f t="shared" si="3"/>
        <v>-0.04268996209</v>
      </c>
      <c r="O221" s="16">
        <f t="shared" si="4"/>
        <v>-0.01467469675</v>
      </c>
      <c r="P221" s="16">
        <f t="shared" si="5"/>
        <v>0.01476369354</v>
      </c>
      <c r="Q221" s="30">
        <f t="shared" si="6"/>
        <v>-0.01331981706</v>
      </c>
      <c r="R221" s="30">
        <f t="shared" si="7"/>
        <v>-0.06647431727</v>
      </c>
      <c r="S221" s="30">
        <f t="shared" si="8"/>
        <v>-0.08604690038</v>
      </c>
      <c r="T221" s="30">
        <f t="shared" si="9"/>
        <v>-0.1120291732</v>
      </c>
    </row>
    <row r="222">
      <c r="A222" s="1">
        <v>219.0</v>
      </c>
      <c r="B222" s="22" t="s">
        <v>722</v>
      </c>
      <c r="C222" s="22" t="s">
        <v>528</v>
      </c>
      <c r="D222" s="22" t="s">
        <v>467</v>
      </c>
      <c r="E222" s="23">
        <f>IFERROR(__xludf.DUMMYFUNCTION("GOOGLEFINANCE(""NSE:""&amp;D222,""marketcap"")/10000000"),17200.4988893)</f>
        <v>17200.49889</v>
      </c>
      <c r="F222" s="17">
        <f>IFERROR(__xludf.DUMMYFUNCTION("GOOGLEFINANCE(""NSE:""&amp;D222)"),81.95)</f>
        <v>81.95</v>
      </c>
      <c r="G222" s="17">
        <f>IFERROR(__xludf.DUMMYFUNCTION("GOOGLEFINANCE(""NSE:""&amp;D222,""closeyest"")"),81.1)</f>
        <v>81.1</v>
      </c>
      <c r="H222" s="17">
        <f>IFERROR(__xludf.DUMMYFUNCTION("INDEX(GOOGLEFINANCE(""NSE:""&amp;D222,""PRICE"",TODAY()-7),2,2)"),83.3)</f>
        <v>83.3</v>
      </c>
      <c r="I222" s="17">
        <f>IFERROR(__xludf.DUMMYFUNCTION("INDEX(GOOGLEFINANCE(""NSE:""&amp;D222,""PRICE"",TODAY()-14),2,2)"),82.1)</f>
        <v>82.1</v>
      </c>
      <c r="J222" s="17">
        <f>IFERROR(__xludf.DUMMYFUNCTION("INDEX(GOOGLEFINANCE(""NSE:""&amp;D222,""PRICE"",TODAY()-28),2,2)"),77.95)</f>
        <v>77.95</v>
      </c>
      <c r="K222" s="17">
        <f>IFERROR(__xludf.DUMMYFUNCTION("INDEX(GOOGLEFINANCE(""NSE:""&amp;D222,""PRICE"",TODAY()-84),2,2)"),85.3)</f>
        <v>85.3</v>
      </c>
      <c r="L222" s="16">
        <f t="shared" si="1"/>
        <v>0.01048088779</v>
      </c>
      <c r="M222" s="16">
        <f t="shared" si="2"/>
        <v>-0.01620648259</v>
      </c>
      <c r="N222" s="16">
        <f t="shared" si="3"/>
        <v>-0.001827040195</v>
      </c>
      <c r="O222" s="16">
        <f t="shared" si="4"/>
        <v>0.05131494548</v>
      </c>
      <c r="P222" s="16">
        <f t="shared" si="5"/>
        <v>-0.03927315358</v>
      </c>
      <c r="Q222" s="30">
        <f t="shared" si="6"/>
        <v>-0.02806493973</v>
      </c>
      <c r="R222" s="30">
        <f t="shared" si="7"/>
        <v>-0.02561139537</v>
      </c>
      <c r="S222" s="30">
        <f t="shared" si="8"/>
        <v>-0.02005725815</v>
      </c>
      <c r="T222" s="30">
        <f t="shared" si="9"/>
        <v>-0.1660660203</v>
      </c>
    </row>
    <row r="223">
      <c r="A223" s="1">
        <v>220.0</v>
      </c>
      <c r="B223" s="22" t="s">
        <v>801</v>
      </c>
      <c r="C223" s="22" t="s">
        <v>528</v>
      </c>
      <c r="D223" s="22" t="s">
        <v>460</v>
      </c>
      <c r="E223" s="23">
        <f>IFERROR(__xludf.DUMMYFUNCTION("GOOGLEFINANCE(""NSE:""&amp;D223,""marketcap"")/10000000"),16630.7361412)</f>
        <v>16630.73614</v>
      </c>
      <c r="F223" s="17">
        <f>IFERROR(__xludf.DUMMYFUNCTION("GOOGLEFINANCE(""NSE:""&amp;D223)"),3418.95)</f>
        <v>3418.95</v>
      </c>
      <c r="G223" s="17">
        <f>IFERROR(__xludf.DUMMYFUNCTION("GOOGLEFINANCE(""NSE:""&amp;D223,""closeyest"")"),3433.15)</f>
        <v>3433.15</v>
      </c>
      <c r="H223" s="17">
        <f>IFERROR(__xludf.DUMMYFUNCTION("INDEX(GOOGLEFINANCE(""NSE:""&amp;D223,""PRICE"",TODAY()-7),2,2)"),3609.95)</f>
        <v>3609.95</v>
      </c>
      <c r="I223" s="17">
        <f>IFERROR(__xludf.DUMMYFUNCTION("INDEX(GOOGLEFINANCE(""NSE:""&amp;D223,""PRICE"",TODAY()-14),2,2)"),3603.65)</f>
        <v>3603.65</v>
      </c>
      <c r="J223" s="17">
        <f>IFERROR(__xludf.DUMMYFUNCTION("INDEX(GOOGLEFINANCE(""NSE:""&amp;D223,""PRICE"",TODAY()-28),2,2)"),3435.05)</f>
        <v>3435.05</v>
      </c>
      <c r="K223" s="17">
        <f>IFERROR(__xludf.DUMMYFUNCTION("INDEX(GOOGLEFINANCE(""NSE:""&amp;D223,""PRICE"",TODAY()-84),2,2)"),2870.35)</f>
        <v>2870.35</v>
      </c>
      <c r="L223" s="16">
        <f t="shared" si="1"/>
        <v>-0.004136143192</v>
      </c>
      <c r="M223" s="16">
        <f t="shared" si="2"/>
        <v>-0.05290932007</v>
      </c>
      <c r="N223" s="16">
        <f t="shared" si="3"/>
        <v>-0.05125359011</v>
      </c>
      <c r="O223" s="16">
        <f t="shared" si="4"/>
        <v>-0.0046869769</v>
      </c>
      <c r="P223" s="16">
        <f t="shared" si="5"/>
        <v>0.1911265177</v>
      </c>
      <c r="Q223" s="30">
        <f t="shared" si="6"/>
        <v>-0.06476777721</v>
      </c>
      <c r="R223" s="30">
        <f t="shared" si="7"/>
        <v>-0.07503794529</v>
      </c>
      <c r="S223" s="30">
        <f t="shared" si="8"/>
        <v>-0.07605918053</v>
      </c>
      <c r="T223" s="30">
        <f t="shared" si="9"/>
        <v>0.06433365098</v>
      </c>
    </row>
    <row r="224">
      <c r="A224" s="1">
        <v>221.0</v>
      </c>
      <c r="B224" s="22" t="s">
        <v>802</v>
      </c>
      <c r="C224" s="22" t="s">
        <v>552</v>
      </c>
      <c r="D224" s="22" t="s">
        <v>479</v>
      </c>
      <c r="E224" s="23">
        <f>IFERROR(__xludf.DUMMYFUNCTION("GOOGLEFINANCE(""NSE:""&amp;D224,""marketcap"")/10000000"),16703.9236)</f>
        <v>16703.9236</v>
      </c>
      <c r="F224" s="17">
        <f>IFERROR(__xludf.DUMMYFUNCTION("GOOGLEFINANCE(""NSE:""&amp;D224)"),90.9)</f>
        <v>90.9</v>
      </c>
      <c r="G224" s="17">
        <f>IFERROR(__xludf.DUMMYFUNCTION("GOOGLEFINANCE(""NSE:""&amp;D224,""closeyest"")"),90.75)</f>
        <v>90.75</v>
      </c>
      <c r="H224" s="17">
        <f>IFERROR(__xludf.DUMMYFUNCTION("INDEX(GOOGLEFINANCE(""NSE:""&amp;D224,""PRICE"",TODAY()-7),2,2)"),94.15)</f>
        <v>94.15</v>
      </c>
      <c r="I224" s="17">
        <f>IFERROR(__xludf.DUMMYFUNCTION("INDEX(GOOGLEFINANCE(""NSE:""&amp;D224,""PRICE"",TODAY()-14),2,2)"),100.75)</f>
        <v>100.75</v>
      </c>
      <c r="J224" s="17">
        <f>IFERROR(__xludf.DUMMYFUNCTION("INDEX(GOOGLEFINANCE(""NSE:""&amp;D224,""PRICE"",TODAY()-28),2,2)"),85.0)</f>
        <v>85</v>
      </c>
      <c r="K224" s="17">
        <f>IFERROR(__xludf.DUMMYFUNCTION("INDEX(GOOGLEFINANCE(""NSE:""&amp;D224,""PRICE"",TODAY()-84),2,2)"),79.0)</f>
        <v>79</v>
      </c>
      <c r="L224" s="16">
        <f t="shared" si="1"/>
        <v>0.001652892562</v>
      </c>
      <c r="M224" s="16">
        <f t="shared" si="2"/>
        <v>-0.03451938396</v>
      </c>
      <c r="N224" s="16">
        <f t="shared" si="3"/>
        <v>-0.09776674938</v>
      </c>
      <c r="O224" s="16">
        <f t="shared" si="4"/>
        <v>0.06941176471</v>
      </c>
      <c r="P224" s="16">
        <f t="shared" si="5"/>
        <v>0.1506329114</v>
      </c>
      <c r="Q224" s="30">
        <f t="shared" si="6"/>
        <v>-0.0463778411</v>
      </c>
      <c r="R224" s="30">
        <f t="shared" si="7"/>
        <v>-0.1215511046</v>
      </c>
      <c r="S224" s="30">
        <f t="shared" si="8"/>
        <v>-0.001960438923</v>
      </c>
      <c r="T224" s="30">
        <f t="shared" si="9"/>
        <v>0.0238400447</v>
      </c>
    </row>
    <row r="225">
      <c r="A225" s="1">
        <v>222.0</v>
      </c>
      <c r="B225" s="22" t="s">
        <v>493</v>
      </c>
      <c r="C225" s="22" t="s">
        <v>528</v>
      </c>
      <c r="D225" s="22" t="s">
        <v>494</v>
      </c>
      <c r="E225" s="23">
        <f>IFERROR(__xludf.DUMMYFUNCTION("GOOGLEFINANCE(""NSE:""&amp;D225,""marketcap"")/10000000"),16433.5804199)</f>
        <v>16433.58042</v>
      </c>
      <c r="F225" s="17">
        <f>IFERROR(__xludf.DUMMYFUNCTION("GOOGLEFINANCE(""NSE:""&amp;D225)"),132.0)</f>
        <v>132</v>
      </c>
      <c r="G225" s="17">
        <f>IFERROR(__xludf.DUMMYFUNCTION("GOOGLEFINANCE(""NSE:""&amp;D225,""closeyest"")"),132.0)</f>
        <v>132</v>
      </c>
      <c r="H225" s="17">
        <f>IFERROR(__xludf.DUMMYFUNCTION("INDEX(GOOGLEFINANCE(""NSE:""&amp;D225,""PRICE"",TODAY()-7),2,2)"),137.05)</f>
        <v>137.05</v>
      </c>
      <c r="I225" s="17">
        <f>IFERROR(__xludf.DUMMYFUNCTION("INDEX(GOOGLEFINANCE(""NSE:""&amp;D225,""PRICE"",TODAY()-14),2,2)"),125.0)</f>
        <v>125</v>
      </c>
      <c r="J225" s="17">
        <f>IFERROR(__xludf.DUMMYFUNCTION("INDEX(GOOGLEFINANCE(""NSE:""&amp;D225,""PRICE"",TODAY()-28),2,2)"),123.4)</f>
        <v>123.4</v>
      </c>
      <c r="K225" s="17">
        <f>IFERROR(__xludf.DUMMYFUNCTION("INDEX(GOOGLEFINANCE(""NSE:""&amp;D225,""PRICE"",TODAY()-84),2,2)"),142.15)</f>
        <v>142.15</v>
      </c>
      <c r="L225" s="16">
        <f t="shared" si="1"/>
        <v>0</v>
      </c>
      <c r="M225" s="16">
        <f t="shared" si="2"/>
        <v>-0.03684786574</v>
      </c>
      <c r="N225" s="16">
        <f t="shared" si="3"/>
        <v>0.056</v>
      </c>
      <c r="O225" s="16">
        <f t="shared" si="4"/>
        <v>0.06969205835</v>
      </c>
      <c r="P225" s="16">
        <f t="shared" si="5"/>
        <v>-0.07140344706</v>
      </c>
      <c r="Q225" s="30">
        <f t="shared" si="6"/>
        <v>-0.04870632288</v>
      </c>
      <c r="R225" s="30">
        <f t="shared" si="7"/>
        <v>0.03221564482</v>
      </c>
      <c r="S225" s="30">
        <f t="shared" si="8"/>
        <v>-0.001680145282</v>
      </c>
      <c r="T225" s="30">
        <f t="shared" si="9"/>
        <v>-0.1981963138</v>
      </c>
    </row>
    <row r="226">
      <c r="A226" s="1">
        <v>223.0</v>
      </c>
      <c r="B226" s="22" t="s">
        <v>723</v>
      </c>
      <c r="C226" s="22" t="s">
        <v>549</v>
      </c>
      <c r="D226" s="22" t="s">
        <v>462</v>
      </c>
      <c r="E226" s="23">
        <f>IFERROR(__xludf.DUMMYFUNCTION("GOOGLEFINANCE(""NSE:""&amp;D226,""marketcap"")/10000000"),16111.2175803)</f>
        <v>16111.21758</v>
      </c>
      <c r="F226" s="17">
        <f>IFERROR(__xludf.DUMMYFUNCTION("GOOGLEFINANCE(""NSE:""&amp;D226)"),883.95)</f>
        <v>883.95</v>
      </c>
      <c r="G226" s="17">
        <f>IFERROR(__xludf.DUMMYFUNCTION("GOOGLEFINANCE(""NSE:""&amp;D226,""closeyest"")"),893.95)</f>
        <v>893.95</v>
      </c>
      <c r="H226" s="17">
        <f>IFERROR(__xludf.DUMMYFUNCTION("INDEX(GOOGLEFINANCE(""NSE:""&amp;D226,""PRICE"",TODAY()-7),2,2)"),937.4)</f>
        <v>937.4</v>
      </c>
      <c r="I226" s="17">
        <f>IFERROR(__xludf.DUMMYFUNCTION("INDEX(GOOGLEFINANCE(""NSE:""&amp;D226,""PRICE"",TODAY()-14),2,2)"),970.6)</f>
        <v>970.6</v>
      </c>
      <c r="J226" s="17">
        <f>IFERROR(__xludf.DUMMYFUNCTION("INDEX(GOOGLEFINANCE(""NSE:""&amp;D226,""PRICE"",TODAY()-28),2,2)"),938.1)</f>
        <v>938.1</v>
      </c>
      <c r="K226" s="17">
        <f>IFERROR(__xludf.DUMMYFUNCTION("INDEX(GOOGLEFINANCE(""NSE:""&amp;D226,""PRICE"",TODAY()-84),2,2)"),1150.0)</f>
        <v>1150</v>
      </c>
      <c r="L226" s="16">
        <f t="shared" si="1"/>
        <v>-0.01118630796</v>
      </c>
      <c r="M226" s="16">
        <f t="shared" si="2"/>
        <v>-0.0570194154</v>
      </c>
      <c r="N226" s="16">
        <f t="shared" si="3"/>
        <v>-0.08927467546</v>
      </c>
      <c r="O226" s="16">
        <f t="shared" si="4"/>
        <v>-0.05772305724</v>
      </c>
      <c r="P226" s="16">
        <f t="shared" si="5"/>
        <v>-0.2313478261</v>
      </c>
      <c r="Q226" s="30">
        <f t="shared" si="6"/>
        <v>-0.06887787254</v>
      </c>
      <c r="R226" s="30">
        <f t="shared" si="7"/>
        <v>-0.1130590306</v>
      </c>
      <c r="S226" s="30">
        <f t="shared" si="8"/>
        <v>-0.1290952609</v>
      </c>
      <c r="T226" s="30">
        <f t="shared" si="9"/>
        <v>-0.3581406928</v>
      </c>
    </row>
    <row r="227">
      <c r="A227" s="1">
        <v>224.0</v>
      </c>
      <c r="B227" s="22" t="s">
        <v>803</v>
      </c>
      <c r="C227" s="22" t="s">
        <v>635</v>
      </c>
      <c r="D227" s="22" t="s">
        <v>492</v>
      </c>
      <c r="E227" s="23">
        <f>IFERROR(__xludf.DUMMYFUNCTION("GOOGLEFINANCE(""NSE:""&amp;D227,""marketcap"")/10000000"),16491.7518477)</f>
        <v>16491.75185</v>
      </c>
      <c r="F227" s="17">
        <f>IFERROR(__xludf.DUMMYFUNCTION("GOOGLEFINANCE(""NSE:""&amp;D227)"),874.75)</f>
        <v>874.75</v>
      </c>
      <c r="G227" s="17">
        <f>IFERROR(__xludf.DUMMYFUNCTION("GOOGLEFINANCE(""NSE:""&amp;D227,""closeyest"")"),850.05)</f>
        <v>850.05</v>
      </c>
      <c r="H227" s="17">
        <f>IFERROR(__xludf.DUMMYFUNCTION("INDEX(GOOGLEFINANCE(""NSE:""&amp;D227,""PRICE"",TODAY()-7),2,2)"),859.15)</f>
        <v>859.15</v>
      </c>
      <c r="I227" s="17">
        <f>IFERROR(__xludf.DUMMYFUNCTION("INDEX(GOOGLEFINANCE(""NSE:""&amp;D227,""PRICE"",TODAY()-14),2,2)"),913.75)</f>
        <v>913.75</v>
      </c>
      <c r="J227" s="17">
        <f>IFERROR(__xludf.DUMMYFUNCTION("INDEX(GOOGLEFINANCE(""NSE:""&amp;D227,""PRICE"",TODAY()-28),2,2)"),783.35)</f>
        <v>783.35</v>
      </c>
      <c r="K227" s="17">
        <f>IFERROR(__xludf.DUMMYFUNCTION("INDEX(GOOGLEFINANCE(""NSE:""&amp;D227,""PRICE"",TODAY()-84),2,2)"),656.8)</f>
        <v>656.8</v>
      </c>
      <c r="L227" s="16">
        <f t="shared" si="1"/>
        <v>0.02905711429</v>
      </c>
      <c r="M227" s="16">
        <f t="shared" si="2"/>
        <v>0.01815748123</v>
      </c>
      <c r="N227" s="16">
        <f t="shared" si="3"/>
        <v>-0.04268125855</v>
      </c>
      <c r="O227" s="16">
        <f t="shared" si="4"/>
        <v>0.1166783685</v>
      </c>
      <c r="P227" s="16">
        <f t="shared" si="5"/>
        <v>0.3318361754</v>
      </c>
      <c r="Q227" s="30">
        <f t="shared" si="6"/>
        <v>0.006299024095</v>
      </c>
      <c r="R227" s="30">
        <f t="shared" si="7"/>
        <v>-0.06646561373</v>
      </c>
      <c r="S227" s="30">
        <f t="shared" si="8"/>
        <v>0.04530616492</v>
      </c>
      <c r="T227" s="30">
        <f t="shared" si="9"/>
        <v>0.2050433087</v>
      </c>
    </row>
    <row r="228">
      <c r="A228" s="1">
        <v>225.0</v>
      </c>
      <c r="B228" s="22" t="s">
        <v>804</v>
      </c>
      <c r="C228" s="22" t="s">
        <v>526</v>
      </c>
      <c r="D228" s="22" t="s">
        <v>805</v>
      </c>
      <c r="E228" s="23">
        <f>IFERROR(__xludf.DUMMYFUNCTION("GOOGLEFINANCE(""NSE:""&amp;D228,""marketcap"")/10000000"),15848.6307197)</f>
        <v>15848.63072</v>
      </c>
      <c r="F228" s="17">
        <f>IFERROR(__xludf.DUMMYFUNCTION("GOOGLEFINANCE(""NSE:""&amp;D228)"),1026.9)</f>
        <v>1026.9</v>
      </c>
      <c r="G228" s="17">
        <f>IFERROR(__xludf.DUMMYFUNCTION("GOOGLEFINANCE(""NSE:""&amp;D228,""closeyest"")"),1035.25)</f>
        <v>1035.25</v>
      </c>
      <c r="H228" s="17">
        <f>IFERROR(__xludf.DUMMYFUNCTION("INDEX(GOOGLEFINANCE(""NSE:""&amp;D228,""PRICE"",TODAY()-7),2,2)"),1036.8)</f>
        <v>1036.8</v>
      </c>
      <c r="I228" s="17">
        <f>IFERROR(__xludf.DUMMYFUNCTION("INDEX(GOOGLEFINANCE(""NSE:""&amp;D228,""PRICE"",TODAY()-14),2,2)"),967.25)</f>
        <v>967.25</v>
      </c>
      <c r="J228" s="17">
        <f>IFERROR(__xludf.DUMMYFUNCTION("INDEX(GOOGLEFINANCE(""NSE:""&amp;D228,""PRICE"",TODAY()-28),2,2)"),891.8)</f>
        <v>891.8</v>
      </c>
      <c r="K228" s="17">
        <f>IFERROR(__xludf.DUMMYFUNCTION("INDEX(GOOGLEFINANCE(""NSE:""&amp;D228,""PRICE"",TODAY()-84),2,2)"),876.4)</f>
        <v>876.4</v>
      </c>
      <c r="L228" s="16">
        <f t="shared" si="1"/>
        <v>-0.008065684617</v>
      </c>
      <c r="M228" s="16">
        <f t="shared" si="2"/>
        <v>-0.009548611111</v>
      </c>
      <c r="N228" s="16">
        <f t="shared" si="3"/>
        <v>0.06166968209</v>
      </c>
      <c r="O228" s="16">
        <f t="shared" si="4"/>
        <v>0.1514913658</v>
      </c>
      <c r="P228" s="16">
        <f t="shared" si="5"/>
        <v>0.1717252396</v>
      </c>
      <c r="Q228" s="30">
        <f t="shared" si="6"/>
        <v>-0.02140706825</v>
      </c>
      <c r="R228" s="30">
        <f t="shared" si="7"/>
        <v>0.03788532691</v>
      </c>
      <c r="S228" s="30">
        <f t="shared" si="8"/>
        <v>0.08011916215</v>
      </c>
      <c r="T228" s="30">
        <f t="shared" si="9"/>
        <v>0.04493237292</v>
      </c>
    </row>
    <row r="229">
      <c r="A229" s="1">
        <v>226.0</v>
      </c>
      <c r="B229" s="22" t="s">
        <v>486</v>
      </c>
      <c r="C229" s="22" t="s">
        <v>528</v>
      </c>
      <c r="D229" s="22" t="s">
        <v>487</v>
      </c>
      <c r="E229" s="23">
        <f>IFERROR(__xludf.DUMMYFUNCTION("GOOGLEFINANCE(""NSE:""&amp;D229,""marketcap"")/10000000"),16152.8041709)</f>
        <v>16152.80417</v>
      </c>
      <c r="F229" s="17">
        <f>IFERROR(__xludf.DUMMYFUNCTION("GOOGLEFINANCE(""NSE:""&amp;D229)"),13.5)</f>
        <v>13.5</v>
      </c>
      <c r="G229" s="17">
        <f>IFERROR(__xludf.DUMMYFUNCTION("GOOGLEFINANCE(""NSE:""&amp;D229,""closeyest"")"),13.4)</f>
        <v>13.4</v>
      </c>
      <c r="H229" s="17">
        <f>IFERROR(__xludf.DUMMYFUNCTION("INDEX(GOOGLEFINANCE(""NSE:""&amp;D229,""PRICE"",TODAY()-7),2,2)"),13.9)</f>
        <v>13.9</v>
      </c>
      <c r="I229" s="17">
        <f>IFERROR(__xludf.DUMMYFUNCTION("INDEX(GOOGLEFINANCE(""NSE:""&amp;D229,""PRICE"",TODAY()-14),2,2)"),13.8)</f>
        <v>13.8</v>
      </c>
      <c r="J229" s="17">
        <f>IFERROR(__xludf.DUMMYFUNCTION("INDEX(GOOGLEFINANCE(""NSE:""&amp;D229,""PRICE"",TODAY()-28),2,2)"),12.7)</f>
        <v>12.7</v>
      </c>
      <c r="K229" s="17">
        <f>IFERROR(__xludf.DUMMYFUNCTION("INDEX(GOOGLEFINANCE(""NSE:""&amp;D229,""PRICE"",TODAY()-84),2,2)"),15.1)</f>
        <v>15.1</v>
      </c>
      <c r="L229" s="16">
        <f t="shared" si="1"/>
        <v>0.007462686567</v>
      </c>
      <c r="M229" s="16">
        <f t="shared" si="2"/>
        <v>-0.02877697842</v>
      </c>
      <c r="N229" s="16">
        <f t="shared" si="3"/>
        <v>-0.02173913043</v>
      </c>
      <c r="O229" s="16">
        <f t="shared" si="4"/>
        <v>0.06299212598</v>
      </c>
      <c r="P229" s="16">
        <f t="shared" si="5"/>
        <v>-0.1059602649</v>
      </c>
      <c r="Q229" s="30">
        <f t="shared" si="6"/>
        <v>-0.04063543555</v>
      </c>
      <c r="R229" s="30">
        <f t="shared" si="7"/>
        <v>-0.04552348561</v>
      </c>
      <c r="S229" s="30">
        <f t="shared" si="8"/>
        <v>-0.008380077644</v>
      </c>
      <c r="T229" s="30">
        <f t="shared" si="9"/>
        <v>-0.2327531316</v>
      </c>
    </row>
    <row r="230">
      <c r="A230" s="1">
        <v>227.0</v>
      </c>
      <c r="B230" s="22" t="s">
        <v>724</v>
      </c>
      <c r="C230" s="22" t="s">
        <v>549</v>
      </c>
      <c r="D230" s="22" t="s">
        <v>502</v>
      </c>
      <c r="E230" s="23">
        <f>IFERROR(__xludf.DUMMYFUNCTION("GOOGLEFINANCE(""NSE:""&amp;D230,""marketcap"")/10000000"),16082.928204)</f>
        <v>16082.9282</v>
      </c>
      <c r="F230" s="17">
        <f>IFERROR(__xludf.DUMMYFUNCTION("GOOGLEFINANCE(""NSE:""&amp;D230)"),818.45)</f>
        <v>818.45</v>
      </c>
      <c r="G230" s="17">
        <f>IFERROR(__xludf.DUMMYFUNCTION("GOOGLEFINANCE(""NSE:""&amp;D230,""closeyest"")"),813.35)</f>
        <v>813.35</v>
      </c>
      <c r="H230" s="17">
        <f>IFERROR(__xludf.DUMMYFUNCTION("INDEX(GOOGLEFINANCE(""NSE:""&amp;D230,""PRICE"",TODAY()-7),2,2)"),778.25)</f>
        <v>778.25</v>
      </c>
      <c r="I230" s="17">
        <f>IFERROR(__xludf.DUMMYFUNCTION("INDEX(GOOGLEFINANCE(""NSE:""&amp;D230,""PRICE"",TODAY()-14),2,2)"),773.4)</f>
        <v>773.4</v>
      </c>
      <c r="J230" s="17">
        <f>IFERROR(__xludf.DUMMYFUNCTION("INDEX(GOOGLEFINANCE(""NSE:""&amp;D230,""PRICE"",TODAY()-28),2,2)"),746.15)</f>
        <v>746.15</v>
      </c>
      <c r="K230" s="17">
        <f>IFERROR(__xludf.DUMMYFUNCTION("INDEX(GOOGLEFINANCE(""NSE:""&amp;D230,""PRICE"",TODAY()-84),2,2)"),985.0)</f>
        <v>985</v>
      </c>
      <c r="L230" s="16">
        <f t="shared" si="1"/>
        <v>0.006270363312</v>
      </c>
      <c r="M230" s="16">
        <f t="shared" si="2"/>
        <v>0.05165435271</v>
      </c>
      <c r="N230" s="16">
        <f t="shared" si="3"/>
        <v>0.05824928885</v>
      </c>
      <c r="O230" s="16">
        <f t="shared" si="4"/>
        <v>0.09689740669</v>
      </c>
      <c r="P230" s="16">
        <f t="shared" si="5"/>
        <v>-0.1690862944</v>
      </c>
      <c r="Q230" s="30">
        <f t="shared" si="6"/>
        <v>0.03979589558</v>
      </c>
      <c r="R230" s="30">
        <f t="shared" si="7"/>
        <v>0.03446493367</v>
      </c>
      <c r="S230" s="30">
        <f t="shared" si="8"/>
        <v>0.02552520306</v>
      </c>
      <c r="T230" s="30">
        <f t="shared" si="9"/>
        <v>-0.2958791611</v>
      </c>
    </row>
    <row r="231">
      <c r="A231" s="1">
        <v>228.0</v>
      </c>
      <c r="B231" s="22" t="s">
        <v>806</v>
      </c>
      <c r="C231" s="22" t="s">
        <v>635</v>
      </c>
      <c r="D231" s="22" t="s">
        <v>475</v>
      </c>
      <c r="E231" s="23">
        <f>IFERROR(__xludf.DUMMYFUNCTION("GOOGLEFINANCE(""NSE:""&amp;D231,""marketcap"")/10000000"),15766.072)</f>
        <v>15766.072</v>
      </c>
      <c r="F231" s="17">
        <f>IFERROR(__xludf.DUMMYFUNCTION("GOOGLEFINANCE(""NSE:""&amp;D231)"),1400.0)</f>
        <v>1400</v>
      </c>
      <c r="G231" s="17">
        <f>IFERROR(__xludf.DUMMYFUNCTION("GOOGLEFINANCE(""NSE:""&amp;D231,""closeyest"")"),1406.7)</f>
        <v>1406.7</v>
      </c>
      <c r="H231" s="17">
        <f>IFERROR(__xludf.DUMMYFUNCTION("INDEX(GOOGLEFINANCE(""NSE:""&amp;D231,""PRICE"",TODAY()-7),2,2)"),1476.45)</f>
        <v>1476.45</v>
      </c>
      <c r="I231" s="17">
        <f>IFERROR(__xludf.DUMMYFUNCTION("INDEX(GOOGLEFINANCE(""NSE:""&amp;D231,""PRICE"",TODAY()-14),2,2)"),1430.95)</f>
        <v>1430.95</v>
      </c>
      <c r="J231" s="17">
        <f>IFERROR(__xludf.DUMMYFUNCTION("INDEX(GOOGLEFINANCE(""NSE:""&amp;D231,""PRICE"",TODAY()-28),2,2)"),1373.5)</f>
        <v>1373.5</v>
      </c>
      <c r="K231" s="17">
        <f>IFERROR(__xludf.DUMMYFUNCTION("INDEX(GOOGLEFINANCE(""NSE:""&amp;D231,""PRICE"",TODAY()-84),2,2)"),1490.1)</f>
        <v>1490.1</v>
      </c>
      <c r="L231" s="16">
        <f t="shared" si="1"/>
        <v>-0.00476292031</v>
      </c>
      <c r="M231" s="16">
        <f t="shared" si="2"/>
        <v>-0.05177960649</v>
      </c>
      <c r="N231" s="16">
        <f t="shared" si="3"/>
        <v>-0.02162898774</v>
      </c>
      <c r="O231" s="16">
        <f t="shared" si="4"/>
        <v>0.01929377503</v>
      </c>
      <c r="P231" s="16">
        <f t="shared" si="5"/>
        <v>-0.06046574055</v>
      </c>
      <c r="Q231" s="30">
        <f t="shared" si="6"/>
        <v>-0.06363806362</v>
      </c>
      <c r="R231" s="30">
        <f t="shared" si="7"/>
        <v>-0.04541334292</v>
      </c>
      <c r="S231" s="30">
        <f t="shared" si="8"/>
        <v>-0.0520784286</v>
      </c>
      <c r="T231" s="30">
        <f t="shared" si="9"/>
        <v>-0.1872586073</v>
      </c>
    </row>
    <row r="232">
      <c r="A232" s="1">
        <v>229.0</v>
      </c>
      <c r="B232" s="22" t="s">
        <v>807</v>
      </c>
      <c r="C232" s="22" t="s">
        <v>541</v>
      </c>
      <c r="D232" s="22" t="s">
        <v>498</v>
      </c>
      <c r="E232" s="23">
        <f>IFERROR(__xludf.DUMMYFUNCTION("GOOGLEFINANCE(""NSE:""&amp;D232,""marketcap"")/10000000"),15802.3442818)</f>
        <v>15802.34428</v>
      </c>
      <c r="F232" s="17">
        <f>IFERROR(__xludf.DUMMYFUNCTION("GOOGLEFINANCE(""NSE:""&amp;D232)"),920.0)</f>
        <v>920</v>
      </c>
      <c r="G232" s="17">
        <f>IFERROR(__xludf.DUMMYFUNCTION("GOOGLEFINANCE(""NSE:""&amp;D232,""closeyest"")"),909.2)</f>
        <v>909.2</v>
      </c>
      <c r="H232" s="17">
        <f>IFERROR(__xludf.DUMMYFUNCTION("INDEX(GOOGLEFINANCE(""NSE:""&amp;D232,""PRICE"",TODAY()-7),2,2)"),851.0)</f>
        <v>851</v>
      </c>
      <c r="I232" s="17">
        <f>IFERROR(__xludf.DUMMYFUNCTION("INDEX(GOOGLEFINANCE(""NSE:""&amp;D232,""PRICE"",TODAY()-14),2,2)"),853.3)</f>
        <v>853.3</v>
      </c>
      <c r="J232" s="17">
        <f>IFERROR(__xludf.DUMMYFUNCTION("INDEX(GOOGLEFINANCE(""NSE:""&amp;D232,""PRICE"",TODAY()-28),2,2)"),855.05)</f>
        <v>855.05</v>
      </c>
      <c r="K232" s="17">
        <f>IFERROR(__xludf.DUMMYFUNCTION("INDEX(GOOGLEFINANCE(""NSE:""&amp;D232,""PRICE"",TODAY()-84),2,2)"),826.85)</f>
        <v>826.85</v>
      </c>
      <c r="L232" s="16">
        <f t="shared" si="1"/>
        <v>0.01187857457</v>
      </c>
      <c r="M232" s="16">
        <f t="shared" si="2"/>
        <v>0.08108108108</v>
      </c>
      <c r="N232" s="16">
        <f t="shared" si="3"/>
        <v>0.0781671159</v>
      </c>
      <c r="O232" s="16">
        <f t="shared" si="4"/>
        <v>0.07596047015</v>
      </c>
      <c r="P232" s="16">
        <f t="shared" si="5"/>
        <v>0.1126564673</v>
      </c>
      <c r="Q232" s="30">
        <f t="shared" si="6"/>
        <v>0.06922262394</v>
      </c>
      <c r="R232" s="30">
        <f t="shared" si="7"/>
        <v>0.05438276072</v>
      </c>
      <c r="S232" s="30">
        <f t="shared" si="8"/>
        <v>0.004588266519</v>
      </c>
      <c r="T232" s="30">
        <f t="shared" si="9"/>
        <v>-0.01413639938</v>
      </c>
    </row>
    <row r="233">
      <c r="A233" s="1">
        <v>230.0</v>
      </c>
      <c r="B233" s="22" t="s">
        <v>725</v>
      </c>
      <c r="C233" s="22" t="s">
        <v>545</v>
      </c>
      <c r="D233" s="22" t="s">
        <v>726</v>
      </c>
      <c r="E233" s="23">
        <f>IFERROR(__xludf.DUMMYFUNCTION("GOOGLEFINANCE(""NSE:""&amp;D233,""marketcap"")/10000000"),15444.4997406)</f>
        <v>15444.49974</v>
      </c>
      <c r="F233" s="17">
        <f>IFERROR(__xludf.DUMMYFUNCTION("GOOGLEFINANCE(""NSE:""&amp;D233)"),181.7)</f>
        <v>181.7</v>
      </c>
      <c r="G233" s="17">
        <f>IFERROR(__xludf.DUMMYFUNCTION("GOOGLEFINANCE(""NSE:""&amp;D233,""closeyest"")"),182.5)</f>
        <v>182.5</v>
      </c>
      <c r="H233" s="17">
        <f>IFERROR(__xludf.DUMMYFUNCTION("INDEX(GOOGLEFINANCE(""NSE:""&amp;D233,""PRICE"",TODAY()-7),2,2)"),184.45)</f>
        <v>184.45</v>
      </c>
      <c r="I233" s="17">
        <f>IFERROR(__xludf.DUMMYFUNCTION("INDEX(GOOGLEFINANCE(""NSE:""&amp;D233,""PRICE"",TODAY()-14),2,2)"),184.05)</f>
        <v>184.05</v>
      </c>
      <c r="J233" s="17">
        <f>IFERROR(__xludf.DUMMYFUNCTION("INDEX(GOOGLEFINANCE(""NSE:""&amp;D233,""PRICE"",TODAY()-28),2,2)"),157.6)</f>
        <v>157.6</v>
      </c>
      <c r="K233" s="17">
        <f>IFERROR(__xludf.DUMMYFUNCTION("INDEX(GOOGLEFINANCE(""NSE:""&amp;D233,""PRICE"",TODAY()-84),2,2)"),182.45)</f>
        <v>182.45</v>
      </c>
      <c r="L233" s="16">
        <f t="shared" si="1"/>
        <v>-0.004383561644</v>
      </c>
      <c r="M233" s="16">
        <f t="shared" si="2"/>
        <v>-0.01490918948</v>
      </c>
      <c r="N233" s="16">
        <f t="shared" si="3"/>
        <v>-0.01276826949</v>
      </c>
      <c r="O233" s="16">
        <f t="shared" si="4"/>
        <v>0.1529187817</v>
      </c>
      <c r="P233" s="16">
        <f t="shared" si="5"/>
        <v>-0.004110715264</v>
      </c>
      <c r="Q233" s="30">
        <f t="shared" si="6"/>
        <v>-0.02676764662</v>
      </c>
      <c r="R233" s="30">
        <f t="shared" si="7"/>
        <v>-0.03655262467</v>
      </c>
      <c r="S233" s="30">
        <f t="shared" si="8"/>
        <v>0.0815465781</v>
      </c>
      <c r="T233" s="30">
        <f t="shared" si="9"/>
        <v>-0.130903582</v>
      </c>
    </row>
    <row r="234">
      <c r="A234" s="1">
        <v>231.0</v>
      </c>
      <c r="B234" s="22" t="s">
        <v>808</v>
      </c>
      <c r="C234" s="22" t="s">
        <v>618</v>
      </c>
      <c r="D234" s="22" t="s">
        <v>809</v>
      </c>
      <c r="E234" s="23">
        <f>IFERROR(__xludf.DUMMYFUNCTION("GOOGLEFINANCE(""NSE:""&amp;D234,""marketcap"")/10000000"),15870.9218173)</f>
        <v>15870.92182</v>
      </c>
      <c r="F234" s="17">
        <f>IFERROR(__xludf.DUMMYFUNCTION("GOOGLEFINANCE(""NSE:""&amp;D234)"),3101.6)</f>
        <v>3101.6</v>
      </c>
      <c r="G234" s="17">
        <f>IFERROR(__xludf.DUMMYFUNCTION("GOOGLEFINANCE(""NSE:""&amp;D234,""closeyest"")"),3000.7)</f>
        <v>3000.7</v>
      </c>
      <c r="H234" s="17">
        <f>IFERROR(__xludf.DUMMYFUNCTION("INDEX(GOOGLEFINANCE(""NSE:""&amp;D234,""PRICE"",TODAY()-7),2,2)"),3145.6)</f>
        <v>3145.6</v>
      </c>
      <c r="I234" s="17">
        <f>IFERROR(__xludf.DUMMYFUNCTION("INDEX(GOOGLEFINANCE(""NSE:""&amp;D234,""PRICE"",TODAY()-14),2,2)"),3072.9)</f>
        <v>3072.9</v>
      </c>
      <c r="J234" s="17">
        <f>IFERROR(__xludf.DUMMYFUNCTION("INDEX(GOOGLEFINANCE(""NSE:""&amp;D234,""PRICE"",TODAY()-28),2,2)"),2726.0)</f>
        <v>2726</v>
      </c>
      <c r="K234" s="17">
        <f>IFERROR(__xludf.DUMMYFUNCTION("INDEX(GOOGLEFINANCE(""NSE:""&amp;D234,""PRICE"",TODAY()-84),2,2)"),2884.45)</f>
        <v>2884.45</v>
      </c>
      <c r="L234" s="16">
        <f t="shared" si="1"/>
        <v>0.03362548739</v>
      </c>
      <c r="M234" s="16">
        <f t="shared" si="2"/>
        <v>-0.01398779247</v>
      </c>
      <c r="N234" s="16">
        <f t="shared" si="3"/>
        <v>0.009339711673</v>
      </c>
      <c r="O234" s="16">
        <f t="shared" si="4"/>
        <v>0.1377842993</v>
      </c>
      <c r="P234" s="16">
        <f t="shared" si="5"/>
        <v>0.07528298289</v>
      </c>
      <c r="Q234" s="30">
        <f t="shared" si="6"/>
        <v>-0.02584624961</v>
      </c>
      <c r="R234" s="30">
        <f t="shared" si="7"/>
        <v>-0.01444464351</v>
      </c>
      <c r="S234" s="30">
        <f t="shared" si="8"/>
        <v>0.06641209571</v>
      </c>
      <c r="T234" s="30">
        <f t="shared" si="9"/>
        <v>-0.05150988381</v>
      </c>
    </row>
    <row r="235">
      <c r="A235" s="1">
        <v>232.0</v>
      </c>
      <c r="B235" s="22" t="s">
        <v>810</v>
      </c>
      <c r="C235" s="22" t="s">
        <v>635</v>
      </c>
      <c r="D235" s="22" t="s">
        <v>811</v>
      </c>
      <c r="E235" s="23">
        <f>IFERROR(__xludf.DUMMYFUNCTION("GOOGLEFINANCE(""NSE:""&amp;D235,""marketcap"")/10000000"),15718.3647636)</f>
        <v>15718.36476</v>
      </c>
      <c r="F235" s="17">
        <f>IFERROR(__xludf.DUMMYFUNCTION("GOOGLEFINANCE(""NSE:""&amp;D235)"),1424.0)</f>
        <v>1424</v>
      </c>
      <c r="G235" s="17">
        <f>IFERROR(__xludf.DUMMYFUNCTION("GOOGLEFINANCE(""NSE:""&amp;D235,""closeyest"")"),1374.95)</f>
        <v>1374.95</v>
      </c>
      <c r="H235" s="17">
        <f>IFERROR(__xludf.DUMMYFUNCTION("INDEX(GOOGLEFINANCE(""NSE:""&amp;D235,""PRICE"",TODAY()-7),2,2)"),1450.5)</f>
        <v>1450.5</v>
      </c>
      <c r="I235" s="17">
        <f>IFERROR(__xludf.DUMMYFUNCTION("INDEX(GOOGLEFINANCE(""NSE:""&amp;D235,""PRICE"",TODAY()-14),2,2)"),1484.4)</f>
        <v>1484.4</v>
      </c>
      <c r="J235" s="17">
        <f>IFERROR(__xludf.DUMMYFUNCTION("INDEX(GOOGLEFINANCE(""NSE:""&amp;D235,""PRICE"",TODAY()-28),2,2)"),1260.55)</f>
        <v>1260.55</v>
      </c>
      <c r="K235" s="17">
        <f>IFERROR(__xludf.DUMMYFUNCTION("INDEX(GOOGLEFINANCE(""NSE:""&amp;D235,""PRICE"",TODAY()-84),2,2)"),1256.55)</f>
        <v>1256.55</v>
      </c>
      <c r="L235" s="16">
        <f t="shared" si="1"/>
        <v>0.03567402451</v>
      </c>
      <c r="M235" s="16">
        <f t="shared" si="2"/>
        <v>-0.01826956222</v>
      </c>
      <c r="N235" s="16">
        <f t="shared" si="3"/>
        <v>-0.04068984101</v>
      </c>
      <c r="O235" s="16">
        <f t="shared" si="4"/>
        <v>0.1296656221</v>
      </c>
      <c r="P235" s="16">
        <f t="shared" si="5"/>
        <v>0.1332617086</v>
      </c>
      <c r="Q235" s="30">
        <f t="shared" si="6"/>
        <v>-0.03012801936</v>
      </c>
      <c r="R235" s="30">
        <f t="shared" si="7"/>
        <v>-0.06447419619</v>
      </c>
      <c r="S235" s="30">
        <f t="shared" si="8"/>
        <v>0.05829341852</v>
      </c>
      <c r="T235" s="30">
        <f t="shared" si="9"/>
        <v>0.00646884195</v>
      </c>
    </row>
    <row r="236">
      <c r="A236" s="1">
        <v>233.0</v>
      </c>
      <c r="B236" s="22" t="s">
        <v>812</v>
      </c>
      <c r="C236" s="22" t="s">
        <v>555</v>
      </c>
      <c r="D236" s="22" t="s">
        <v>813</v>
      </c>
      <c r="E236" s="23">
        <f>IFERROR(__xludf.DUMMYFUNCTION("GOOGLEFINANCE(""NSE:""&amp;D236,""marketcap"")/10000000"),15280.78692)</f>
        <v>15280.78692</v>
      </c>
      <c r="F236" s="17">
        <f>IFERROR(__xludf.DUMMYFUNCTION("GOOGLEFINANCE(""NSE:""&amp;D236)"),6440.0)</f>
        <v>6440</v>
      </c>
      <c r="G236" s="17">
        <f>IFERROR(__xludf.DUMMYFUNCTION("GOOGLEFINANCE(""NSE:""&amp;D236,""closeyest"")"),6421.2)</f>
        <v>6421.2</v>
      </c>
      <c r="H236" s="17">
        <f>IFERROR(__xludf.DUMMYFUNCTION("INDEX(GOOGLEFINANCE(""NSE:""&amp;D236,""PRICE"",TODAY()-7),2,2)"),6483.35)</f>
        <v>6483.35</v>
      </c>
      <c r="I236" s="17">
        <f>IFERROR(__xludf.DUMMYFUNCTION("INDEX(GOOGLEFINANCE(""NSE:""&amp;D236,""PRICE"",TODAY()-14),2,2)"),6379.8)</f>
        <v>6379.8</v>
      </c>
      <c r="J236" s="17">
        <f>IFERROR(__xludf.DUMMYFUNCTION("INDEX(GOOGLEFINANCE(""NSE:""&amp;D236,""PRICE"",TODAY()-28),2,2)"),5690.9)</f>
        <v>5690.9</v>
      </c>
      <c r="K236" s="17">
        <f>IFERROR(__xludf.DUMMYFUNCTION("INDEX(GOOGLEFINANCE(""NSE:""&amp;D236,""PRICE"",TODAY()-84),2,2)"),5920.85)</f>
        <v>5920.85</v>
      </c>
      <c r="L236" s="16">
        <f t="shared" si="1"/>
        <v>0.002927801657</v>
      </c>
      <c r="M236" s="16">
        <f t="shared" si="2"/>
        <v>-0.006686358133</v>
      </c>
      <c r="N236" s="16">
        <f t="shared" si="3"/>
        <v>0.009436032478</v>
      </c>
      <c r="O236" s="16">
        <f t="shared" si="4"/>
        <v>0.1316312007</v>
      </c>
      <c r="P236" s="16">
        <f t="shared" si="5"/>
        <v>0.08768166733</v>
      </c>
      <c r="Q236" s="30">
        <f t="shared" si="6"/>
        <v>-0.01854481527</v>
      </c>
      <c r="R236" s="30">
        <f t="shared" si="7"/>
        <v>-0.0143483227</v>
      </c>
      <c r="S236" s="30">
        <f t="shared" si="8"/>
        <v>0.06025899706</v>
      </c>
      <c r="T236" s="30">
        <f t="shared" si="9"/>
        <v>-0.03911119937</v>
      </c>
    </row>
    <row r="237">
      <c r="A237" s="1">
        <v>234.0</v>
      </c>
      <c r="B237" s="22" t="s">
        <v>814</v>
      </c>
      <c r="C237" s="22" t="s">
        <v>526</v>
      </c>
      <c r="D237" s="22" t="s">
        <v>815</v>
      </c>
      <c r="E237" s="23">
        <f>IFERROR(__xludf.DUMMYFUNCTION("GOOGLEFINANCE(""NSE:""&amp;D237,""marketcap"")/10000000"),14996.667168)</f>
        <v>14996.66717</v>
      </c>
      <c r="F237" s="17">
        <f>IFERROR(__xludf.DUMMYFUNCTION("GOOGLEFINANCE(""NSE:""&amp;D237)"),2345.2)</f>
        <v>2345.2</v>
      </c>
      <c r="G237" s="17">
        <f>IFERROR(__xludf.DUMMYFUNCTION("GOOGLEFINANCE(""NSE:""&amp;D237,""closeyest"")"),2369.85)</f>
        <v>2369.85</v>
      </c>
      <c r="H237" s="17">
        <f>IFERROR(__xludf.DUMMYFUNCTION("INDEX(GOOGLEFINANCE(""NSE:""&amp;D237,""PRICE"",TODAY()-7),2,2)"),2406.3)</f>
        <v>2406.3</v>
      </c>
      <c r="I237" s="17">
        <f>IFERROR(__xludf.DUMMYFUNCTION("INDEX(GOOGLEFINANCE(""NSE:""&amp;D237,""PRICE"",TODAY()-14),2,2)"),2402.35)</f>
        <v>2402.35</v>
      </c>
      <c r="J237" s="17">
        <f>IFERROR(__xludf.DUMMYFUNCTION("INDEX(GOOGLEFINANCE(""NSE:""&amp;D237,""PRICE"",TODAY()-28),2,2)"),2310.5)</f>
        <v>2310.5</v>
      </c>
      <c r="K237" s="17">
        <f>IFERROR(__xludf.DUMMYFUNCTION("INDEX(GOOGLEFINANCE(""NSE:""&amp;D237,""PRICE"",TODAY()-84),2,2)"),2138.75)</f>
        <v>2138.75</v>
      </c>
      <c r="L237" s="16">
        <f t="shared" si="1"/>
        <v>-0.0104015022</v>
      </c>
      <c r="M237" s="16">
        <f t="shared" si="2"/>
        <v>-0.02539168017</v>
      </c>
      <c r="N237" s="16">
        <f t="shared" si="3"/>
        <v>-0.0237892064</v>
      </c>
      <c r="O237" s="16">
        <f t="shared" si="4"/>
        <v>0.01501839429</v>
      </c>
      <c r="P237" s="16">
        <f t="shared" si="5"/>
        <v>0.096528346</v>
      </c>
      <c r="Q237" s="30">
        <f t="shared" si="6"/>
        <v>-0.03725013731</v>
      </c>
      <c r="R237" s="30">
        <f t="shared" si="7"/>
        <v>-0.04757356158</v>
      </c>
      <c r="S237" s="30">
        <f t="shared" si="8"/>
        <v>-0.05635380934</v>
      </c>
      <c r="T237" s="30">
        <f t="shared" si="9"/>
        <v>-0.0302645207</v>
      </c>
    </row>
    <row r="238">
      <c r="A238" s="1">
        <v>235.0</v>
      </c>
      <c r="B238" s="22" t="s">
        <v>816</v>
      </c>
      <c r="C238" s="22" t="s">
        <v>603</v>
      </c>
      <c r="D238" s="22" t="s">
        <v>817</v>
      </c>
      <c r="E238" s="23">
        <f>IFERROR(__xludf.DUMMYFUNCTION("GOOGLEFINANCE(""NSE:""&amp;D238,""marketcap"")/10000000"),15123.3604875)</f>
        <v>15123.36049</v>
      </c>
      <c r="F238" s="17">
        <f>IFERROR(__xludf.DUMMYFUNCTION("GOOGLEFINANCE(""NSE:""&amp;D238)"),4675.0)</f>
        <v>4675</v>
      </c>
      <c r="G238" s="17">
        <f>IFERROR(__xludf.DUMMYFUNCTION("GOOGLEFINANCE(""NSE:""&amp;D238,""closeyest"")"),4650.3)</f>
        <v>4650.3</v>
      </c>
      <c r="H238" s="17">
        <f>IFERROR(__xludf.DUMMYFUNCTION("INDEX(GOOGLEFINANCE(""NSE:""&amp;D238,""PRICE"",TODAY()-7),2,2)"),4780.95)</f>
        <v>4780.95</v>
      </c>
      <c r="I238" s="17">
        <f>IFERROR(__xludf.DUMMYFUNCTION("INDEX(GOOGLEFINANCE(""NSE:""&amp;D238,""PRICE"",TODAY()-14),2,2)"),4645.35)</f>
        <v>4645.35</v>
      </c>
      <c r="J238" s="17">
        <f>IFERROR(__xludf.DUMMYFUNCTION("INDEX(GOOGLEFINANCE(""NSE:""&amp;D238,""PRICE"",TODAY()-28),2,2)"),3788.7)</f>
        <v>3788.7</v>
      </c>
      <c r="K238" s="17">
        <f>IFERROR(__xludf.DUMMYFUNCTION("INDEX(GOOGLEFINANCE(""NSE:""&amp;D238,""PRICE"",TODAY()-84),2,2)"),2785.15)</f>
        <v>2785.15</v>
      </c>
      <c r="L238" s="16">
        <f t="shared" si="1"/>
        <v>0.005311485281</v>
      </c>
      <c r="M238" s="16">
        <f t="shared" si="2"/>
        <v>-0.02216086761</v>
      </c>
      <c r="N238" s="16">
        <f t="shared" si="3"/>
        <v>0.006382726813</v>
      </c>
      <c r="O238" s="16">
        <f t="shared" si="4"/>
        <v>0.2339324834</v>
      </c>
      <c r="P238" s="16">
        <f t="shared" si="5"/>
        <v>0.6785451412</v>
      </c>
      <c r="Q238" s="30">
        <f t="shared" si="6"/>
        <v>-0.03401932475</v>
      </c>
      <c r="R238" s="30">
        <f t="shared" si="7"/>
        <v>-0.01740162837</v>
      </c>
      <c r="S238" s="30">
        <f t="shared" si="8"/>
        <v>0.1625602798</v>
      </c>
      <c r="T238" s="30">
        <f t="shared" si="9"/>
        <v>0.5517522745</v>
      </c>
    </row>
    <row r="239">
      <c r="A239" s="1">
        <v>236.0</v>
      </c>
      <c r="B239" s="22" t="s">
        <v>727</v>
      </c>
      <c r="C239" s="22" t="s">
        <v>545</v>
      </c>
      <c r="D239" s="22" t="s">
        <v>728</v>
      </c>
      <c r="E239" s="23">
        <f>IFERROR(__xludf.DUMMYFUNCTION("GOOGLEFINANCE(""NSE:""&amp;D239,""marketcap"")/10000000"),15042.6136338)</f>
        <v>15042.61363</v>
      </c>
      <c r="F239" s="17">
        <f>IFERROR(__xludf.DUMMYFUNCTION("GOOGLEFINANCE(""NSE:""&amp;D239)"),236.6)</f>
        <v>236.6</v>
      </c>
      <c r="G239" s="17">
        <f>IFERROR(__xludf.DUMMYFUNCTION("GOOGLEFINANCE(""NSE:""&amp;D239,""closeyest"")"),232.55)</f>
        <v>232.55</v>
      </c>
      <c r="H239" s="17">
        <f>IFERROR(__xludf.DUMMYFUNCTION("INDEX(GOOGLEFINANCE(""NSE:""&amp;D239,""PRICE"",TODAY()-7),2,2)"),223.6)</f>
        <v>223.6</v>
      </c>
      <c r="I239" s="17">
        <f>IFERROR(__xludf.DUMMYFUNCTION("INDEX(GOOGLEFINANCE(""NSE:""&amp;D239,""PRICE"",TODAY()-14),2,2)"),214.9)</f>
        <v>214.9</v>
      </c>
      <c r="J239" s="17">
        <f>IFERROR(__xludf.DUMMYFUNCTION("INDEX(GOOGLEFINANCE(""NSE:""&amp;D239,""PRICE"",TODAY()-28),2,2)"),208.95)</f>
        <v>208.95</v>
      </c>
      <c r="K239" s="17">
        <f>IFERROR(__xludf.DUMMYFUNCTION("INDEX(GOOGLEFINANCE(""NSE:""&amp;D239,""PRICE"",TODAY()-84),2,2)"),227.45)</f>
        <v>227.45</v>
      </c>
      <c r="L239" s="16">
        <f t="shared" si="1"/>
        <v>0.01741560955</v>
      </c>
      <c r="M239" s="16">
        <f t="shared" si="2"/>
        <v>0.05813953488</v>
      </c>
      <c r="N239" s="16">
        <f t="shared" si="3"/>
        <v>0.1009771987</v>
      </c>
      <c r="O239" s="16">
        <f t="shared" si="4"/>
        <v>0.1323283082</v>
      </c>
      <c r="P239" s="16">
        <f t="shared" si="5"/>
        <v>0.04022862168</v>
      </c>
      <c r="Q239" s="30">
        <f t="shared" si="6"/>
        <v>0.04628107775</v>
      </c>
      <c r="R239" s="30">
        <f t="shared" si="7"/>
        <v>0.07719284352</v>
      </c>
      <c r="S239" s="30">
        <f t="shared" si="8"/>
        <v>0.06095610458</v>
      </c>
      <c r="T239" s="30">
        <f t="shared" si="9"/>
        <v>-0.08656424502</v>
      </c>
    </row>
    <row r="240">
      <c r="A240" s="1">
        <v>237.0</v>
      </c>
      <c r="B240" s="22" t="s">
        <v>818</v>
      </c>
      <c r="C240" s="22" t="s">
        <v>635</v>
      </c>
      <c r="D240" s="22" t="s">
        <v>496</v>
      </c>
      <c r="E240" s="23">
        <f>IFERROR(__xludf.DUMMYFUNCTION("GOOGLEFINANCE(""NSE:""&amp;D240,""marketcap"")/10000000"),14831.385)</f>
        <v>14831.385</v>
      </c>
      <c r="F240" s="17">
        <f>IFERROR(__xludf.DUMMYFUNCTION("GOOGLEFINANCE(""NSE:""&amp;D240)"),3000.0)</f>
        <v>3000</v>
      </c>
      <c r="G240" s="17">
        <f>IFERROR(__xludf.DUMMYFUNCTION("GOOGLEFINANCE(""NSE:""&amp;D240,""closeyest"")"),2997.35)</f>
        <v>2997.35</v>
      </c>
      <c r="H240" s="17">
        <f>IFERROR(__xludf.DUMMYFUNCTION("INDEX(GOOGLEFINANCE(""NSE:""&amp;D240,""PRICE"",TODAY()-7),2,2)"),3032.1)</f>
        <v>3032.1</v>
      </c>
      <c r="I240" s="17">
        <f>IFERROR(__xludf.DUMMYFUNCTION("INDEX(GOOGLEFINANCE(""NSE:""&amp;D240,""PRICE"",TODAY()-14),2,2)"),3195.85)</f>
        <v>3195.85</v>
      </c>
      <c r="J240" s="17">
        <f>IFERROR(__xludf.DUMMYFUNCTION("INDEX(GOOGLEFINANCE(""NSE:""&amp;D240,""PRICE"",TODAY()-28),2,2)"),2977.05)</f>
        <v>2977.05</v>
      </c>
      <c r="K240" s="17">
        <f>IFERROR(__xludf.DUMMYFUNCTION("INDEX(GOOGLEFINANCE(""NSE:""&amp;D240,""PRICE"",TODAY()-84),2,2)"),2737.0)</f>
        <v>2737</v>
      </c>
      <c r="L240" s="16">
        <f t="shared" si="1"/>
        <v>0.000884114301</v>
      </c>
      <c r="M240" s="16">
        <f t="shared" si="2"/>
        <v>-0.01058672207</v>
      </c>
      <c r="N240" s="16">
        <f t="shared" si="3"/>
        <v>-0.06128260087</v>
      </c>
      <c r="O240" s="16">
        <f t="shared" si="4"/>
        <v>0.007708973648</v>
      </c>
      <c r="P240" s="16">
        <f t="shared" si="5"/>
        <v>0.09609061016</v>
      </c>
      <c r="Q240" s="30">
        <f t="shared" si="6"/>
        <v>-0.02244517921</v>
      </c>
      <c r="R240" s="30">
        <f t="shared" si="7"/>
        <v>-0.08506695605</v>
      </c>
      <c r="S240" s="30">
        <f t="shared" si="8"/>
        <v>-0.06366322998</v>
      </c>
      <c r="T240" s="30">
        <f t="shared" si="9"/>
        <v>-0.03070225654</v>
      </c>
    </row>
    <row r="241">
      <c r="A241" s="1">
        <v>238.0</v>
      </c>
      <c r="B241" s="22" t="s">
        <v>819</v>
      </c>
      <c r="C241" s="22" t="s">
        <v>665</v>
      </c>
      <c r="D241" s="22" t="s">
        <v>820</v>
      </c>
      <c r="E241" s="23">
        <f>IFERROR(__xludf.DUMMYFUNCTION("GOOGLEFINANCE(""NSE:""&amp;D241,""marketcap"")/10000000"),14559.5051121)</f>
        <v>14559.50511</v>
      </c>
      <c r="F241" s="17">
        <f>IFERROR(__xludf.DUMMYFUNCTION("GOOGLEFINANCE(""NSE:""&amp;D241)"),2115.9)</f>
        <v>2115.9</v>
      </c>
      <c r="G241" s="17">
        <f>IFERROR(__xludf.DUMMYFUNCTION("GOOGLEFINANCE(""NSE:""&amp;D241,""closeyest"")"),2118.8)</f>
        <v>2118.8</v>
      </c>
      <c r="H241" s="17">
        <f>IFERROR(__xludf.DUMMYFUNCTION("INDEX(GOOGLEFINANCE(""NSE:""&amp;D241,""PRICE"",TODAY()-7),2,2)"),2222.05)</f>
        <v>2222.05</v>
      </c>
      <c r="I241" s="17">
        <f>IFERROR(__xludf.DUMMYFUNCTION("INDEX(GOOGLEFINANCE(""NSE:""&amp;D241,""PRICE"",TODAY()-14),2,2)"),2183.05)</f>
        <v>2183.05</v>
      </c>
      <c r="J241" s="17">
        <f>IFERROR(__xludf.DUMMYFUNCTION("INDEX(GOOGLEFINANCE(""NSE:""&amp;D241,""PRICE"",TODAY()-28),2,2)"),1717.25)</f>
        <v>1717.25</v>
      </c>
      <c r="K241" s="17">
        <f>IFERROR(__xludf.DUMMYFUNCTION("INDEX(GOOGLEFINANCE(""NSE:""&amp;D241,""PRICE"",TODAY()-84),2,2)"),1535.65)</f>
        <v>1535.65</v>
      </c>
      <c r="L241" s="16">
        <f t="shared" si="1"/>
        <v>-0.001368699264</v>
      </c>
      <c r="M241" s="16">
        <f t="shared" si="2"/>
        <v>-0.04777120227</v>
      </c>
      <c r="N241" s="16">
        <f t="shared" si="3"/>
        <v>-0.03075971691</v>
      </c>
      <c r="O241" s="16">
        <f t="shared" si="4"/>
        <v>0.2321444169</v>
      </c>
      <c r="P241" s="16">
        <f t="shared" si="5"/>
        <v>0.3778530264</v>
      </c>
      <c r="Q241" s="30">
        <f t="shared" si="6"/>
        <v>-0.0596296594</v>
      </c>
      <c r="R241" s="30">
        <f t="shared" si="7"/>
        <v>-0.05454407209</v>
      </c>
      <c r="S241" s="30">
        <f t="shared" si="8"/>
        <v>0.1607722133</v>
      </c>
      <c r="T241" s="30">
        <f t="shared" si="9"/>
        <v>0.2510601597</v>
      </c>
    </row>
    <row r="242">
      <c r="A242" s="1">
        <v>239.0</v>
      </c>
      <c r="B242" s="22" t="s">
        <v>821</v>
      </c>
      <c r="C242" s="22" t="s">
        <v>603</v>
      </c>
      <c r="D242" s="22" t="s">
        <v>483</v>
      </c>
      <c r="E242" s="23">
        <f>IFERROR(__xludf.DUMMYFUNCTION("GOOGLEFINANCE(""NSE:""&amp;D242,""marketcap"")/10000000"),14868.61047)</f>
        <v>14868.61047</v>
      </c>
      <c r="F242" s="17">
        <f>IFERROR(__xludf.DUMMYFUNCTION("GOOGLEFINANCE(""NSE:""&amp;D242)"),3435.0)</f>
        <v>3435</v>
      </c>
      <c r="G242" s="17">
        <f>IFERROR(__xludf.DUMMYFUNCTION("GOOGLEFINANCE(""NSE:""&amp;D242,""closeyest"")"),3396.1)</f>
        <v>3396.1</v>
      </c>
      <c r="H242" s="17">
        <f>IFERROR(__xludf.DUMMYFUNCTION("INDEX(GOOGLEFINANCE(""NSE:""&amp;D242,""PRICE"",TODAY()-7),2,2)"),3425.35)</f>
        <v>3425.35</v>
      </c>
      <c r="I242" s="17">
        <f>IFERROR(__xludf.DUMMYFUNCTION("INDEX(GOOGLEFINANCE(""NSE:""&amp;D242,""PRICE"",TODAY()-14),2,2)"),3420.45)</f>
        <v>3420.45</v>
      </c>
      <c r="J242" s="17">
        <f>IFERROR(__xludf.DUMMYFUNCTION("INDEX(GOOGLEFINANCE(""NSE:""&amp;D242,""PRICE"",TODAY()-28),2,2)"),3432.9)</f>
        <v>3432.9</v>
      </c>
      <c r="K242" s="17">
        <f>IFERROR(__xludf.DUMMYFUNCTION("INDEX(GOOGLEFINANCE(""NSE:""&amp;D242,""PRICE"",TODAY()-84),2,2)"),2626.15)</f>
        <v>2626.15</v>
      </c>
      <c r="L242" s="16">
        <f t="shared" si="1"/>
        <v>0.01145431524</v>
      </c>
      <c r="M242" s="16">
        <f t="shared" si="2"/>
        <v>0.002817230356</v>
      </c>
      <c r="N242" s="16">
        <f t="shared" si="3"/>
        <v>0.004253826251</v>
      </c>
      <c r="O242" s="16">
        <f t="shared" si="4"/>
        <v>0.0006117276938</v>
      </c>
      <c r="P242" s="16">
        <f t="shared" si="5"/>
        <v>0.3079984007</v>
      </c>
      <c r="Q242" s="30">
        <f t="shared" si="6"/>
        <v>-0.00904122678</v>
      </c>
      <c r="R242" s="30">
        <f t="shared" si="7"/>
        <v>-0.01953052893</v>
      </c>
      <c r="S242" s="30">
        <f t="shared" si="8"/>
        <v>-0.07076047593</v>
      </c>
      <c r="T242" s="30">
        <f t="shared" si="9"/>
        <v>0.181205534</v>
      </c>
    </row>
    <row r="243">
      <c r="A243" s="1">
        <v>240.0</v>
      </c>
      <c r="B243" s="22" t="s">
        <v>729</v>
      </c>
      <c r="C243" s="22" t="s">
        <v>528</v>
      </c>
      <c r="D243" s="22" t="s">
        <v>730</v>
      </c>
      <c r="E243" s="23">
        <f>IFERROR(__xludf.DUMMYFUNCTION("GOOGLEFINANCE(""NSE:""&amp;D243,""marketcap"")/10000000"),14723.0390272)</f>
        <v>14723.03903</v>
      </c>
      <c r="F243" s="17">
        <f>IFERROR(__xludf.DUMMYFUNCTION("GOOGLEFINANCE(""NSE:""&amp;D243)"),173.9)</f>
        <v>173.9</v>
      </c>
      <c r="G243" s="17">
        <f>IFERROR(__xludf.DUMMYFUNCTION("GOOGLEFINANCE(""NSE:""&amp;D243,""closeyest"")"),171.35)</f>
        <v>171.35</v>
      </c>
      <c r="H243" s="17">
        <f>IFERROR(__xludf.DUMMYFUNCTION("INDEX(GOOGLEFINANCE(""NSE:""&amp;D243,""PRICE"",TODAY()-7),2,2)"),163.75)</f>
        <v>163.75</v>
      </c>
      <c r="I243" s="17">
        <f>IFERROR(__xludf.DUMMYFUNCTION("INDEX(GOOGLEFINANCE(""NSE:""&amp;D243,""PRICE"",TODAY()-14),2,2)"),165.3)</f>
        <v>165.3</v>
      </c>
      <c r="J243" s="17">
        <f>IFERROR(__xludf.DUMMYFUNCTION("INDEX(GOOGLEFINANCE(""NSE:""&amp;D243,""PRICE"",TODAY()-28),2,2)"),160.35)</f>
        <v>160.35</v>
      </c>
      <c r="K243" s="17">
        <f>IFERROR(__xludf.DUMMYFUNCTION("INDEX(GOOGLEFINANCE(""NSE:""&amp;D243,""PRICE"",TODAY()-84),2,2)"),173.1)</f>
        <v>173.1</v>
      </c>
      <c r="L243" s="16">
        <f t="shared" si="1"/>
        <v>0.01488182083</v>
      </c>
      <c r="M243" s="16">
        <f t="shared" si="2"/>
        <v>0.06198473282</v>
      </c>
      <c r="N243" s="16">
        <f t="shared" si="3"/>
        <v>0.05202661827</v>
      </c>
      <c r="O243" s="16">
        <f t="shared" si="4"/>
        <v>0.08450265045</v>
      </c>
      <c r="P243" s="16">
        <f t="shared" si="5"/>
        <v>0.004621606008</v>
      </c>
      <c r="Q243" s="30">
        <f t="shared" si="6"/>
        <v>0.05012627569</v>
      </c>
      <c r="R243" s="30">
        <f t="shared" si="7"/>
        <v>0.02824226309</v>
      </c>
      <c r="S243" s="30">
        <f t="shared" si="8"/>
        <v>0.01313044682</v>
      </c>
      <c r="T243" s="30">
        <f t="shared" si="9"/>
        <v>-0.1221712607</v>
      </c>
    </row>
    <row r="244">
      <c r="A244" s="1">
        <v>241.0</v>
      </c>
      <c r="B244" s="22" t="s">
        <v>822</v>
      </c>
      <c r="C244" s="22" t="s">
        <v>528</v>
      </c>
      <c r="D244" s="22" t="s">
        <v>823</v>
      </c>
      <c r="E244" s="23">
        <f>IFERROR(__xludf.DUMMYFUNCTION("GOOGLEFINANCE(""NSE:""&amp;D244,""marketcap"")/10000000"),14375.889)</f>
        <v>14375.889</v>
      </c>
      <c r="F244" s="17">
        <f>IFERROR(__xludf.DUMMYFUNCTION("GOOGLEFINANCE(""NSE:""&amp;D244)"),2178.0)</f>
        <v>2178</v>
      </c>
      <c r="G244" s="17">
        <f>IFERROR(__xludf.DUMMYFUNCTION("GOOGLEFINANCE(""NSE:""&amp;D244,""closeyest"")"),2193.1)</f>
        <v>2193.1</v>
      </c>
      <c r="H244" s="17">
        <f>IFERROR(__xludf.DUMMYFUNCTION("INDEX(GOOGLEFINANCE(""NSE:""&amp;D244,""PRICE"",TODAY()-7),2,2)"),2394.6)</f>
        <v>2394.6</v>
      </c>
      <c r="I244" s="17">
        <f>IFERROR(__xludf.DUMMYFUNCTION("INDEX(GOOGLEFINANCE(""NSE:""&amp;D244,""PRICE"",TODAY()-14),2,2)"),2474.25)</f>
        <v>2474.25</v>
      </c>
      <c r="J244" s="17">
        <f>IFERROR(__xludf.DUMMYFUNCTION("INDEX(GOOGLEFINANCE(""NSE:""&amp;D244,""PRICE"",TODAY()-28),2,2)"),2057.9)</f>
        <v>2057.9</v>
      </c>
      <c r="K244" s="17">
        <f>IFERROR(__xludf.DUMMYFUNCTION("INDEX(GOOGLEFINANCE(""NSE:""&amp;D244,""PRICE"",TODAY()-84),2,2)"),1685.75)</f>
        <v>1685.75</v>
      </c>
      <c r="L244" s="16">
        <f t="shared" si="1"/>
        <v>-0.006885230952</v>
      </c>
      <c r="M244" s="16">
        <f t="shared" si="2"/>
        <v>-0.09045352042</v>
      </c>
      <c r="N244" s="16">
        <f t="shared" si="3"/>
        <v>-0.1197332525</v>
      </c>
      <c r="O244" s="16">
        <f t="shared" si="4"/>
        <v>0.05836046455</v>
      </c>
      <c r="P244" s="16">
        <f t="shared" si="5"/>
        <v>0.2920065253</v>
      </c>
      <c r="Q244" s="30">
        <f t="shared" si="6"/>
        <v>-0.1023119776</v>
      </c>
      <c r="R244" s="30">
        <f t="shared" si="7"/>
        <v>-0.1435176077</v>
      </c>
      <c r="S244" s="30">
        <f t="shared" si="8"/>
        <v>-0.01301173908</v>
      </c>
      <c r="T244" s="30">
        <f t="shared" si="9"/>
        <v>0.1652136586</v>
      </c>
    </row>
    <row r="245">
      <c r="A245" s="1">
        <v>242.0</v>
      </c>
      <c r="B245" s="22" t="s">
        <v>731</v>
      </c>
      <c r="C245" s="22" t="s">
        <v>549</v>
      </c>
      <c r="D245" s="22" t="s">
        <v>500</v>
      </c>
      <c r="E245" s="23">
        <f>IFERROR(__xludf.DUMMYFUNCTION("GOOGLEFINANCE(""NSE:""&amp;D245,""marketcap"")/10000000"),14451.25135)</f>
        <v>14451.25135</v>
      </c>
      <c r="F245" s="17">
        <f>IFERROR(__xludf.DUMMYFUNCTION("GOOGLEFINANCE(""NSE:""&amp;D245)"),512.0)</f>
        <v>512</v>
      </c>
      <c r="G245" s="17">
        <f>IFERROR(__xludf.DUMMYFUNCTION("GOOGLEFINANCE(""NSE:""&amp;D245,""closeyest"")"),511.95)</f>
        <v>511.95</v>
      </c>
      <c r="H245" s="17">
        <f>IFERROR(__xludf.DUMMYFUNCTION("INDEX(GOOGLEFINANCE(""NSE:""&amp;D245,""PRICE"",TODAY()-7),2,2)"),518.85)</f>
        <v>518.85</v>
      </c>
      <c r="I245" s="17">
        <f>IFERROR(__xludf.DUMMYFUNCTION("INDEX(GOOGLEFINANCE(""NSE:""&amp;D245,""PRICE"",TODAY()-14),2,2)"),518.7)</f>
        <v>518.7</v>
      </c>
      <c r="J245" s="17">
        <f>IFERROR(__xludf.DUMMYFUNCTION("INDEX(GOOGLEFINANCE(""NSE:""&amp;D245,""PRICE"",TODAY()-28),2,2)"),516.6)</f>
        <v>516.6</v>
      </c>
      <c r="K245" s="17">
        <f>IFERROR(__xludf.DUMMYFUNCTION("INDEX(GOOGLEFINANCE(""NSE:""&amp;D245,""PRICE"",TODAY()-84),2,2)"),662.7)</f>
        <v>662.7</v>
      </c>
      <c r="L245" s="16">
        <f t="shared" si="1"/>
        <v>0.00009766578767</v>
      </c>
      <c r="M245" s="16">
        <f t="shared" si="2"/>
        <v>-0.01320227426</v>
      </c>
      <c r="N245" s="16">
        <f t="shared" si="3"/>
        <v>-0.01291690765</v>
      </c>
      <c r="O245" s="16">
        <f t="shared" si="4"/>
        <v>-0.008904374758</v>
      </c>
      <c r="P245" s="16">
        <f t="shared" si="5"/>
        <v>-0.2274030481</v>
      </c>
      <c r="Q245" s="30">
        <f t="shared" si="6"/>
        <v>-0.0250607314</v>
      </c>
      <c r="R245" s="30">
        <f t="shared" si="7"/>
        <v>-0.03670126283</v>
      </c>
      <c r="S245" s="30">
        <f t="shared" si="8"/>
        <v>-0.08027657839</v>
      </c>
      <c r="T245" s="30">
        <f t="shared" si="9"/>
        <v>-0.3541959148</v>
      </c>
    </row>
    <row r="246">
      <c r="A246" s="1">
        <v>243.0</v>
      </c>
      <c r="B246" s="22" t="s">
        <v>824</v>
      </c>
      <c r="C246" s="22" t="s">
        <v>555</v>
      </c>
      <c r="D246" s="22" t="s">
        <v>825</v>
      </c>
      <c r="E246" s="23">
        <f>IFERROR(__xludf.DUMMYFUNCTION("GOOGLEFINANCE(""NSE:""&amp;D246,""marketcap"")/10000000"),13778.1023173)</f>
        <v>13778.10232</v>
      </c>
      <c r="F246" s="17">
        <f>IFERROR(__xludf.DUMMYFUNCTION("GOOGLEFINANCE(""NSE:""&amp;D246)"),929.0)</f>
        <v>929</v>
      </c>
      <c r="G246" s="17">
        <f>IFERROR(__xludf.DUMMYFUNCTION("GOOGLEFINANCE(""NSE:""&amp;D246,""closeyest"")"),959.65)</f>
        <v>959.65</v>
      </c>
      <c r="H246" s="17">
        <f>IFERROR(__xludf.DUMMYFUNCTION("INDEX(GOOGLEFINANCE(""NSE:""&amp;D246,""PRICE"",TODAY()-7),2,2)"),972.2)</f>
        <v>972.2</v>
      </c>
      <c r="I246" s="17">
        <f>IFERROR(__xludf.DUMMYFUNCTION("INDEX(GOOGLEFINANCE(""NSE:""&amp;D246,""PRICE"",TODAY()-14),2,2)"),845.6)</f>
        <v>845.6</v>
      </c>
      <c r="J246" s="17">
        <f>IFERROR(__xludf.DUMMYFUNCTION("INDEX(GOOGLEFINANCE(""NSE:""&amp;D246,""PRICE"",TODAY()-28),2,2)"),839.3)</f>
        <v>839.3</v>
      </c>
      <c r="K246" s="17">
        <f>IFERROR(__xludf.DUMMYFUNCTION("INDEX(GOOGLEFINANCE(""NSE:""&amp;D246,""PRICE"",TODAY()-84),2,2)"),804.2)</f>
        <v>804.2</v>
      </c>
      <c r="L246" s="16">
        <f t="shared" si="1"/>
        <v>-0.03193872766</v>
      </c>
      <c r="M246" s="16">
        <f t="shared" si="2"/>
        <v>-0.04443530138</v>
      </c>
      <c r="N246" s="16">
        <f t="shared" si="3"/>
        <v>0.098628193</v>
      </c>
      <c r="O246" s="16">
        <f t="shared" si="4"/>
        <v>0.1068747766</v>
      </c>
      <c r="P246" s="16">
        <f t="shared" si="5"/>
        <v>0.1551852773</v>
      </c>
      <c r="Q246" s="30">
        <f t="shared" si="6"/>
        <v>-0.05629375851</v>
      </c>
      <c r="R246" s="30">
        <f t="shared" si="7"/>
        <v>0.07484383782</v>
      </c>
      <c r="S246" s="30">
        <f t="shared" si="8"/>
        <v>0.03550257297</v>
      </c>
      <c r="T246" s="30">
        <f t="shared" si="9"/>
        <v>0.0283924106</v>
      </c>
    </row>
    <row r="247">
      <c r="A247" s="1">
        <v>244.0</v>
      </c>
      <c r="B247" s="22" t="s">
        <v>826</v>
      </c>
      <c r="C247" s="22" t="s">
        <v>528</v>
      </c>
      <c r="D247" s="22" t="s">
        <v>827</v>
      </c>
      <c r="E247" s="23">
        <f>IFERROR(__xludf.DUMMYFUNCTION("GOOGLEFINANCE(""NSE:""&amp;D247,""marketcap"")/10000000"),14099.1761993)</f>
        <v>14099.1762</v>
      </c>
      <c r="F247" s="17">
        <f>IFERROR(__xludf.DUMMYFUNCTION("GOOGLEFINANCE(""NSE:""&amp;D247)"),1602.0)</f>
        <v>1602</v>
      </c>
      <c r="G247" s="17">
        <f>IFERROR(__xludf.DUMMYFUNCTION("GOOGLEFINANCE(""NSE:""&amp;D247,""closeyest"")"),1590.2)</f>
        <v>1590.2</v>
      </c>
      <c r="H247" s="17">
        <f>IFERROR(__xludf.DUMMYFUNCTION("INDEX(GOOGLEFINANCE(""NSE:""&amp;D247,""PRICE"",TODAY()-7),2,2)"),1654.2)</f>
        <v>1654.2</v>
      </c>
      <c r="I247" s="17">
        <f>IFERROR(__xludf.DUMMYFUNCTION("INDEX(GOOGLEFINANCE(""NSE:""&amp;D247,""PRICE"",TODAY()-14),2,2)"),1690.85)</f>
        <v>1690.85</v>
      </c>
      <c r="J247" s="17">
        <f>IFERROR(__xludf.DUMMYFUNCTION("INDEX(GOOGLEFINANCE(""NSE:""&amp;D247,""PRICE"",TODAY()-28),2,2)"),1503.7)</f>
        <v>1503.7</v>
      </c>
      <c r="K247" s="17">
        <f>IFERROR(__xludf.DUMMYFUNCTION("INDEX(GOOGLEFINANCE(""NSE:""&amp;D247,""PRICE"",TODAY()-84),2,2)"),1150.2)</f>
        <v>1150.2</v>
      </c>
      <c r="L247" s="16">
        <f t="shared" si="1"/>
        <v>0.007420450258</v>
      </c>
      <c r="M247" s="16">
        <f t="shared" si="2"/>
        <v>-0.03155603917</v>
      </c>
      <c r="N247" s="16">
        <f t="shared" si="3"/>
        <v>-0.05254753526</v>
      </c>
      <c r="O247" s="16">
        <f t="shared" si="4"/>
        <v>0.0653720822</v>
      </c>
      <c r="P247" s="16">
        <f t="shared" si="5"/>
        <v>0.392801252</v>
      </c>
      <c r="Q247" s="30">
        <f t="shared" si="6"/>
        <v>-0.04341449631</v>
      </c>
      <c r="R247" s="30">
        <f t="shared" si="7"/>
        <v>-0.07633189044</v>
      </c>
      <c r="S247" s="30">
        <f t="shared" si="8"/>
        <v>-0.006000121431</v>
      </c>
      <c r="T247" s="30">
        <f t="shared" si="9"/>
        <v>0.2660083853</v>
      </c>
    </row>
    <row r="248">
      <c r="A248" s="1">
        <v>245.0</v>
      </c>
      <c r="B248" s="22" t="s">
        <v>828</v>
      </c>
      <c r="C248" s="22" t="s">
        <v>665</v>
      </c>
      <c r="D248" s="22" t="s">
        <v>829</v>
      </c>
      <c r="E248" s="23">
        <f>IFERROR(__xludf.DUMMYFUNCTION("GOOGLEFINANCE(""NSE:""&amp;D248,""marketcap"")/10000000"),15824.41875)</f>
        <v>15824.41875</v>
      </c>
      <c r="F248" s="17">
        <f>IFERROR(__xludf.DUMMYFUNCTION("GOOGLEFINANCE(""NSE:""&amp;D248)"),159.5)</f>
        <v>159.5</v>
      </c>
      <c r="G248" s="17">
        <f>IFERROR(__xludf.DUMMYFUNCTION("GOOGLEFINANCE(""NSE:""&amp;D248,""closeyest"")"),139.2)</f>
        <v>139.2</v>
      </c>
      <c r="H248" s="17">
        <f>IFERROR(__xludf.DUMMYFUNCTION("INDEX(GOOGLEFINANCE(""NSE:""&amp;D248,""PRICE"",TODAY()-7),2,2)"),131.55)</f>
        <v>131.55</v>
      </c>
      <c r="I248" s="17">
        <f>IFERROR(__xludf.DUMMYFUNCTION("INDEX(GOOGLEFINANCE(""NSE:""&amp;D248,""PRICE"",TODAY()-14),2,2)"),133.65)</f>
        <v>133.65</v>
      </c>
      <c r="J248" s="17">
        <f>IFERROR(__xludf.DUMMYFUNCTION("INDEX(GOOGLEFINANCE(""NSE:""&amp;D248,""PRICE"",TODAY()-28),2,2)"),125.4)</f>
        <v>125.4</v>
      </c>
      <c r="K248" s="17">
        <f>IFERROR(__xludf.DUMMYFUNCTION("INDEX(GOOGLEFINANCE(""NSE:""&amp;D248,""PRICE"",TODAY()-84),2,2)"),102.8)</f>
        <v>102.8</v>
      </c>
      <c r="L248" s="16">
        <f t="shared" si="1"/>
        <v>0.1458333333</v>
      </c>
      <c r="M248" s="16">
        <f t="shared" si="2"/>
        <v>0.2124667427</v>
      </c>
      <c r="N248" s="16">
        <f t="shared" si="3"/>
        <v>0.1934156379</v>
      </c>
      <c r="O248" s="16">
        <f t="shared" si="4"/>
        <v>0.2719298246</v>
      </c>
      <c r="P248" s="16">
        <f t="shared" si="5"/>
        <v>0.5515564202</v>
      </c>
      <c r="Q248" s="30">
        <f t="shared" si="6"/>
        <v>0.2006082855</v>
      </c>
      <c r="R248" s="30">
        <f t="shared" si="7"/>
        <v>0.1696312827</v>
      </c>
      <c r="S248" s="30">
        <f t="shared" si="8"/>
        <v>0.2005576209</v>
      </c>
      <c r="T248" s="30">
        <f t="shared" si="9"/>
        <v>0.4247635535</v>
      </c>
    </row>
    <row r="249">
      <c r="A249" s="1">
        <v>246.0</v>
      </c>
      <c r="B249" s="22" t="s">
        <v>732</v>
      </c>
      <c r="C249" s="22" t="s">
        <v>522</v>
      </c>
      <c r="D249" s="22" t="s">
        <v>733</v>
      </c>
      <c r="E249" s="23">
        <f>IFERROR(__xludf.DUMMYFUNCTION("GOOGLEFINANCE(""NSE:""&amp;D249,""marketcap"")/10000000"),13956.38773)</f>
        <v>13956.38773</v>
      </c>
      <c r="F249" s="17">
        <f>IFERROR(__xludf.DUMMYFUNCTION("GOOGLEFINANCE(""NSE:""&amp;D249)"),141.0)</f>
        <v>141</v>
      </c>
      <c r="G249" s="17">
        <f>IFERROR(__xludf.DUMMYFUNCTION("GOOGLEFINANCE(""NSE:""&amp;D249,""closeyest"")"),139.2)</f>
        <v>139.2</v>
      </c>
      <c r="H249" s="17">
        <f>IFERROR(__xludf.DUMMYFUNCTION("INDEX(GOOGLEFINANCE(""NSE:""&amp;D249,""PRICE"",TODAY()-7),2,2)"),136.45)</f>
        <v>136.45</v>
      </c>
      <c r="I249" s="17">
        <f>IFERROR(__xludf.DUMMYFUNCTION("INDEX(GOOGLEFINANCE(""NSE:""&amp;D249,""PRICE"",TODAY()-14),2,2)"),138.9)</f>
        <v>138.9</v>
      </c>
      <c r="J249" s="17">
        <f>IFERROR(__xludf.DUMMYFUNCTION("INDEX(GOOGLEFINANCE(""NSE:""&amp;D249,""PRICE"",TODAY()-28),2,2)"),133.65)</f>
        <v>133.65</v>
      </c>
      <c r="K249" s="17">
        <f>IFERROR(__xludf.DUMMYFUNCTION("INDEX(GOOGLEFINANCE(""NSE:""&amp;D249,""PRICE"",TODAY()-84),2,2)"),142.9)</f>
        <v>142.9</v>
      </c>
      <c r="L249" s="16">
        <f t="shared" si="1"/>
        <v>0.01293103448</v>
      </c>
      <c r="M249" s="16">
        <f t="shared" si="2"/>
        <v>0.03334554782</v>
      </c>
      <c r="N249" s="16">
        <f t="shared" si="3"/>
        <v>0.0151187905</v>
      </c>
      <c r="O249" s="16">
        <f t="shared" si="4"/>
        <v>0.05499438833</v>
      </c>
      <c r="P249" s="16">
        <f t="shared" si="5"/>
        <v>-0.0132960112</v>
      </c>
      <c r="Q249" s="30">
        <f t="shared" si="6"/>
        <v>0.02148709068</v>
      </c>
      <c r="R249" s="30">
        <f t="shared" si="7"/>
        <v>-0.008665564683</v>
      </c>
      <c r="S249" s="30">
        <f t="shared" si="8"/>
        <v>-0.0163778153</v>
      </c>
      <c r="T249" s="30">
        <f t="shared" si="9"/>
        <v>-0.1400888779</v>
      </c>
    </row>
    <row r="250">
      <c r="A250" s="1">
        <v>247.0</v>
      </c>
      <c r="B250" s="22" t="s">
        <v>830</v>
      </c>
      <c r="C250" s="22" t="s">
        <v>524</v>
      </c>
      <c r="D250" s="22" t="s">
        <v>831</v>
      </c>
      <c r="E250" s="23">
        <f>IFERROR(__xludf.DUMMYFUNCTION("GOOGLEFINANCE(""NSE:""&amp;D250,""marketcap"")/10000000"),13578.011895)</f>
        <v>13578.0119</v>
      </c>
      <c r="F250" s="17">
        <f>IFERROR(__xludf.DUMMYFUNCTION("GOOGLEFINANCE(""NSE:""&amp;D250)"),199.05)</f>
        <v>199.05</v>
      </c>
      <c r="G250" s="17">
        <f>IFERROR(__xludf.DUMMYFUNCTION("GOOGLEFINANCE(""NSE:""&amp;D250,""closeyest"")"),201.0)</f>
        <v>201</v>
      </c>
      <c r="H250" s="17">
        <f>IFERROR(__xludf.DUMMYFUNCTION("INDEX(GOOGLEFINANCE(""NSE:""&amp;D250,""PRICE"",TODAY()-7),2,2)"),207.8)</f>
        <v>207.8</v>
      </c>
      <c r="I250" s="17">
        <f>IFERROR(__xludf.DUMMYFUNCTION("INDEX(GOOGLEFINANCE(""NSE:""&amp;D250,""PRICE"",TODAY()-14),2,2)"),202.2)</f>
        <v>202.2</v>
      </c>
      <c r="J250" s="17">
        <f>IFERROR(__xludf.DUMMYFUNCTION("INDEX(GOOGLEFINANCE(""NSE:""&amp;D250,""PRICE"",TODAY()-28),2,2)"),181.85)</f>
        <v>181.85</v>
      </c>
      <c r="K250" s="17">
        <f>IFERROR(__xludf.DUMMYFUNCTION("INDEX(GOOGLEFINANCE(""NSE:""&amp;D250,""PRICE"",TODAY()-84),2,2)"),189.3)</f>
        <v>189.3</v>
      </c>
      <c r="L250" s="16">
        <f t="shared" si="1"/>
        <v>-0.009701492537</v>
      </c>
      <c r="M250" s="16">
        <f t="shared" si="2"/>
        <v>-0.04210779596</v>
      </c>
      <c r="N250" s="16">
        <f t="shared" si="3"/>
        <v>-0.01557863501</v>
      </c>
      <c r="O250" s="16">
        <f t="shared" si="4"/>
        <v>0.0945834479</v>
      </c>
      <c r="P250" s="16">
        <f t="shared" si="5"/>
        <v>0.05150554675</v>
      </c>
      <c r="Q250" s="30">
        <f t="shared" si="6"/>
        <v>-0.05396625309</v>
      </c>
      <c r="R250" s="30">
        <f t="shared" si="7"/>
        <v>-0.03936299019</v>
      </c>
      <c r="S250" s="30">
        <f t="shared" si="8"/>
        <v>0.02321124427</v>
      </c>
      <c r="T250" s="30">
        <f t="shared" si="9"/>
        <v>-0.07528731995</v>
      </c>
    </row>
    <row r="251">
      <c r="A251" s="1">
        <v>248.0</v>
      </c>
      <c r="B251" s="22" t="s">
        <v>832</v>
      </c>
      <c r="C251" s="22" t="s">
        <v>549</v>
      </c>
      <c r="D251" s="22" t="s">
        <v>833</v>
      </c>
      <c r="E251" s="23">
        <f>IFERROR(__xludf.DUMMYFUNCTION("GOOGLEFINANCE(""NSE:""&amp;D251,""marketcap"")/10000000"),13698.1420285)</f>
        <v>13698.14203</v>
      </c>
      <c r="F251" s="17">
        <f>IFERROR(__xludf.DUMMYFUNCTION("GOOGLEFINANCE(""NSE:""&amp;D251)"),538.1)</f>
        <v>538.1</v>
      </c>
      <c r="G251" s="17">
        <f>IFERROR(__xludf.DUMMYFUNCTION("GOOGLEFINANCE(""NSE:""&amp;D251,""closeyest"")"),537.85)</f>
        <v>537.85</v>
      </c>
      <c r="H251" s="17">
        <f>IFERROR(__xludf.DUMMYFUNCTION("INDEX(GOOGLEFINANCE(""NSE:""&amp;D251,""PRICE"",TODAY()-7),2,2)"),525.65)</f>
        <v>525.65</v>
      </c>
      <c r="I251" s="17">
        <f>IFERROR(__xludf.DUMMYFUNCTION("INDEX(GOOGLEFINANCE(""NSE:""&amp;D251,""PRICE"",TODAY()-14),2,2)"),532.25)</f>
        <v>532.25</v>
      </c>
      <c r="J251" s="17">
        <f>IFERROR(__xludf.DUMMYFUNCTION("INDEX(GOOGLEFINANCE(""NSE:""&amp;D251,""PRICE"",TODAY()-28),2,2)"),551.6)</f>
        <v>551.6</v>
      </c>
      <c r="K251" s="17">
        <f>IFERROR(__xludf.DUMMYFUNCTION("INDEX(GOOGLEFINANCE(""NSE:""&amp;D251,""PRICE"",TODAY()-84),2,2)"),490.2)</f>
        <v>490.2</v>
      </c>
      <c r="L251" s="16">
        <f t="shared" si="1"/>
        <v>0.0004648136097</v>
      </c>
      <c r="M251" s="16">
        <f t="shared" si="2"/>
        <v>0.02368496148</v>
      </c>
      <c r="N251" s="16">
        <f t="shared" si="3"/>
        <v>0.01099107562</v>
      </c>
      <c r="O251" s="16">
        <f t="shared" si="4"/>
        <v>-0.02447425671</v>
      </c>
      <c r="P251" s="16">
        <f t="shared" si="5"/>
        <v>0.09771521828</v>
      </c>
      <c r="Q251" s="30">
        <f t="shared" si="6"/>
        <v>0.01182650434</v>
      </c>
      <c r="R251" s="30">
        <f t="shared" si="7"/>
        <v>-0.01279327956</v>
      </c>
      <c r="S251" s="30">
        <f t="shared" si="8"/>
        <v>-0.09584646034</v>
      </c>
      <c r="T251" s="30">
        <f t="shared" si="9"/>
        <v>-0.02907764842</v>
      </c>
    </row>
    <row r="252">
      <c r="A252" s="1">
        <v>249.0</v>
      </c>
      <c r="B252" s="22" t="s">
        <v>834</v>
      </c>
      <c r="C252" s="22" t="s">
        <v>528</v>
      </c>
      <c r="D252" s="22" t="s">
        <v>504</v>
      </c>
      <c r="E252" s="23">
        <f>IFERROR(__xludf.DUMMYFUNCTION("GOOGLEFINANCE(""NSE:""&amp;D252,""marketcap"")/10000000"),14101.8836)</f>
        <v>14101.8836</v>
      </c>
      <c r="F252" s="17">
        <f>IFERROR(__xludf.DUMMYFUNCTION("GOOGLEFINANCE(""NSE:""&amp;D252)"),1112.0)</f>
        <v>1112</v>
      </c>
      <c r="G252" s="17">
        <f>IFERROR(__xludf.DUMMYFUNCTION("GOOGLEFINANCE(""NSE:""&amp;D252,""closeyest"")"),1072.65)</f>
        <v>1072.65</v>
      </c>
      <c r="H252" s="17">
        <f>IFERROR(__xludf.DUMMYFUNCTION("INDEX(GOOGLEFINANCE(""NSE:""&amp;D252,""PRICE"",TODAY()-7),2,2)"),1176.9)</f>
        <v>1176.9</v>
      </c>
      <c r="I252" s="17">
        <f>IFERROR(__xludf.DUMMYFUNCTION("INDEX(GOOGLEFINANCE(""NSE:""&amp;D252,""PRICE"",TODAY()-14),2,2)"),1180.05)</f>
        <v>1180.05</v>
      </c>
      <c r="J252" s="17">
        <f>IFERROR(__xludf.DUMMYFUNCTION("INDEX(GOOGLEFINANCE(""NSE:""&amp;D252,""PRICE"",TODAY()-28),2,2)"),1146.9)</f>
        <v>1146.9</v>
      </c>
      <c r="K252" s="17">
        <f>IFERROR(__xludf.DUMMYFUNCTION("INDEX(GOOGLEFINANCE(""NSE:""&amp;D252,""PRICE"",TODAY()-84),2,2)"),849.25)</f>
        <v>849.25</v>
      </c>
      <c r="L252" s="16">
        <f t="shared" si="1"/>
        <v>0.03668484594</v>
      </c>
      <c r="M252" s="16">
        <f t="shared" si="2"/>
        <v>-0.05514487212</v>
      </c>
      <c r="N252" s="16">
        <f t="shared" si="3"/>
        <v>-0.05766704801</v>
      </c>
      <c r="O252" s="16">
        <f t="shared" si="4"/>
        <v>-0.03042985439</v>
      </c>
      <c r="P252" s="16">
        <f t="shared" si="5"/>
        <v>0.3093906388</v>
      </c>
      <c r="Q252" s="30">
        <f t="shared" si="6"/>
        <v>-0.06700332926</v>
      </c>
      <c r="R252" s="30">
        <f t="shared" si="7"/>
        <v>-0.08145140319</v>
      </c>
      <c r="S252" s="30">
        <f t="shared" si="8"/>
        <v>-0.101802058</v>
      </c>
      <c r="T252" s="30">
        <f t="shared" si="9"/>
        <v>0.1825977721</v>
      </c>
    </row>
    <row r="253">
      <c r="A253" s="1">
        <v>250.0</v>
      </c>
      <c r="B253" s="22" t="s">
        <v>835</v>
      </c>
      <c r="C253" s="22" t="s">
        <v>524</v>
      </c>
      <c r="D253" s="22" t="s">
        <v>836</v>
      </c>
      <c r="E253" s="23">
        <f>IFERROR(__xludf.DUMMYFUNCTION("GOOGLEFINANCE(""NSE:""&amp;D253,""marketcap"")/10000000"),13793.0841874)</f>
        <v>13793.08419</v>
      </c>
      <c r="F253" s="17">
        <f>IFERROR(__xludf.DUMMYFUNCTION("GOOGLEFINANCE(""NSE:""&amp;D253)"),5166.0)</f>
        <v>5166</v>
      </c>
      <c r="G253" s="17">
        <f>IFERROR(__xludf.DUMMYFUNCTION("GOOGLEFINANCE(""NSE:""&amp;D253,""closeyest"")"),5048.5)</f>
        <v>5048.5</v>
      </c>
      <c r="H253" s="17">
        <f>IFERROR(__xludf.DUMMYFUNCTION("INDEX(GOOGLEFINANCE(""NSE:""&amp;D253,""PRICE"",TODAY()-7),2,2)"),4934.6)</f>
        <v>4934.6</v>
      </c>
      <c r="I253" s="17">
        <f>IFERROR(__xludf.DUMMYFUNCTION("INDEX(GOOGLEFINANCE(""NSE:""&amp;D253,""PRICE"",TODAY()-14),2,2)"),4908.95)</f>
        <v>4908.95</v>
      </c>
      <c r="J253" s="17">
        <f>IFERROR(__xludf.DUMMYFUNCTION("INDEX(GOOGLEFINANCE(""NSE:""&amp;D253,""PRICE"",TODAY()-28),2,2)"),4363.35)</f>
        <v>4363.35</v>
      </c>
      <c r="K253" s="17">
        <f>IFERROR(__xludf.DUMMYFUNCTION("INDEX(GOOGLEFINANCE(""NSE:""&amp;D253,""PRICE"",TODAY()-84),2,2)"),4418.65)</f>
        <v>4418.65</v>
      </c>
      <c r="L253" s="16">
        <f t="shared" si="1"/>
        <v>0.02327423987</v>
      </c>
      <c r="M253" s="16">
        <f t="shared" si="2"/>
        <v>0.04689336522</v>
      </c>
      <c r="N253" s="16">
        <f t="shared" si="3"/>
        <v>0.05236354006</v>
      </c>
      <c r="O253" s="16">
        <f t="shared" si="4"/>
        <v>0.1839526969</v>
      </c>
      <c r="P253" s="16">
        <f t="shared" si="5"/>
        <v>0.1691353694</v>
      </c>
      <c r="Q253" s="30">
        <f t="shared" si="6"/>
        <v>0.03503490808</v>
      </c>
      <c r="R253" s="30">
        <f t="shared" si="7"/>
        <v>0.02857918488</v>
      </c>
      <c r="S253" s="30">
        <f t="shared" si="8"/>
        <v>0.1125804933</v>
      </c>
      <c r="T253" s="30">
        <f t="shared" si="9"/>
        <v>0.0423425027</v>
      </c>
    </row>
    <row r="254">
      <c r="A254" s="1">
        <v>251.0</v>
      </c>
      <c r="B254" s="22" t="s">
        <v>837</v>
      </c>
      <c r="C254" s="22" t="s">
        <v>549</v>
      </c>
      <c r="D254" s="22" t="s">
        <v>838</v>
      </c>
      <c r="E254" s="23">
        <f>IFERROR(__xludf.DUMMYFUNCTION("GOOGLEFINANCE(""NSE:""&amp;D254,""marketcap"")/10000000"),13524.3675)</f>
        <v>13524.3675</v>
      </c>
      <c r="F254" s="17">
        <f>IFERROR(__xludf.DUMMYFUNCTION("GOOGLEFINANCE(""NSE:""&amp;D254)"),1750.0)</f>
        <v>1750</v>
      </c>
      <c r="G254" s="17">
        <f>IFERROR(__xludf.DUMMYFUNCTION("GOOGLEFINANCE(""NSE:""&amp;D254,""closeyest"")"),1734.4)</f>
        <v>1734.4</v>
      </c>
      <c r="H254" s="17">
        <f>IFERROR(__xludf.DUMMYFUNCTION("INDEX(GOOGLEFINANCE(""NSE:""&amp;D254,""PRICE"",TODAY()-7),2,2)"),1740.7)</f>
        <v>1740.7</v>
      </c>
      <c r="I254" s="17">
        <f>IFERROR(__xludf.DUMMYFUNCTION("INDEX(GOOGLEFINANCE(""NSE:""&amp;D254,""PRICE"",TODAY()-14),2,2)"),1765.15)</f>
        <v>1765.15</v>
      </c>
      <c r="J254" s="17">
        <f>IFERROR(__xludf.DUMMYFUNCTION("INDEX(GOOGLEFINANCE(""NSE:""&amp;D254,""PRICE"",TODAY()-28),2,2)"),1678.15)</f>
        <v>1678.15</v>
      </c>
      <c r="K254" s="17">
        <f>IFERROR(__xludf.DUMMYFUNCTION("INDEX(GOOGLEFINANCE(""NSE:""&amp;D254,""PRICE"",TODAY()-84),2,2)"),1862.15)</f>
        <v>1862.15</v>
      </c>
      <c r="L254" s="16">
        <f t="shared" si="1"/>
        <v>0.008994464945</v>
      </c>
      <c r="M254" s="16">
        <f t="shared" si="2"/>
        <v>0.005342678233</v>
      </c>
      <c r="N254" s="16">
        <f t="shared" si="3"/>
        <v>-0.008582839985</v>
      </c>
      <c r="O254" s="16">
        <f t="shared" si="4"/>
        <v>0.04281500462</v>
      </c>
      <c r="P254" s="16">
        <f t="shared" si="5"/>
        <v>-0.06022608275</v>
      </c>
      <c r="Q254" s="30">
        <f t="shared" si="6"/>
        <v>-0.006515778903</v>
      </c>
      <c r="R254" s="30">
        <f t="shared" si="7"/>
        <v>-0.03236719516</v>
      </c>
      <c r="S254" s="30">
        <f t="shared" si="8"/>
        <v>-0.02855719901</v>
      </c>
      <c r="T254" s="30">
        <f t="shared" si="9"/>
        <v>-0.1870189495</v>
      </c>
    </row>
    <row r="255">
      <c r="A255" s="1">
        <v>252.0</v>
      </c>
      <c r="B255" s="22" t="s">
        <v>839</v>
      </c>
      <c r="C255" s="22" t="s">
        <v>545</v>
      </c>
      <c r="D255" s="22" t="s">
        <v>840</v>
      </c>
      <c r="E255" s="23">
        <f>IFERROR(__xludf.DUMMYFUNCTION("GOOGLEFINANCE(""NSE:""&amp;D255,""marketcap"")/10000000"),13497.5121395)</f>
        <v>13497.51214</v>
      </c>
      <c r="F255" s="17">
        <f>IFERROR(__xludf.DUMMYFUNCTION("GOOGLEFINANCE(""NSE:""&amp;D255)"),7115.95)</f>
        <v>7115.95</v>
      </c>
      <c r="G255" s="17">
        <f>IFERROR(__xludf.DUMMYFUNCTION("GOOGLEFINANCE(""NSE:""&amp;D255,""closeyest"")"),7049.7)</f>
        <v>7049.7</v>
      </c>
      <c r="H255" s="17">
        <f>IFERROR(__xludf.DUMMYFUNCTION("INDEX(GOOGLEFINANCE(""NSE:""&amp;D255,""PRICE"",TODAY()-7),2,2)"),7163.7)</f>
        <v>7163.7</v>
      </c>
      <c r="I255" s="17">
        <f>IFERROR(__xludf.DUMMYFUNCTION("INDEX(GOOGLEFINANCE(""NSE:""&amp;D255,""PRICE"",TODAY()-14),2,2)"),7308.6)</f>
        <v>7308.6</v>
      </c>
      <c r="J255" s="17">
        <f>IFERROR(__xludf.DUMMYFUNCTION("INDEX(GOOGLEFINANCE(""NSE:""&amp;D255,""PRICE"",TODAY()-28),2,2)"),6985.4)</f>
        <v>6985.4</v>
      </c>
      <c r="K255" s="17">
        <f>IFERROR(__xludf.DUMMYFUNCTION("INDEX(GOOGLEFINANCE(""NSE:""&amp;D255,""PRICE"",TODAY()-84),2,2)"),7050.6)</f>
        <v>7050.6</v>
      </c>
      <c r="L255" s="16">
        <f t="shared" si="1"/>
        <v>0.009397563017</v>
      </c>
      <c r="M255" s="16">
        <f t="shared" si="2"/>
        <v>-0.006665549925</v>
      </c>
      <c r="N255" s="16">
        <f t="shared" si="3"/>
        <v>-0.02635935747</v>
      </c>
      <c r="O255" s="16">
        <f t="shared" si="4"/>
        <v>0.01868897987</v>
      </c>
      <c r="P255" s="16">
        <f t="shared" si="5"/>
        <v>0.009268714719</v>
      </c>
      <c r="Q255" s="30">
        <f t="shared" si="6"/>
        <v>-0.01852400706</v>
      </c>
      <c r="R255" s="30">
        <f t="shared" si="7"/>
        <v>-0.05014371265</v>
      </c>
      <c r="S255" s="30">
        <f t="shared" si="8"/>
        <v>-0.05268322376</v>
      </c>
      <c r="T255" s="30">
        <f t="shared" si="9"/>
        <v>-0.117524152</v>
      </c>
    </row>
    <row r="256">
      <c r="A256" s="1">
        <v>253.0</v>
      </c>
      <c r="B256" s="22" t="s">
        <v>841</v>
      </c>
      <c r="C256" s="22" t="s">
        <v>635</v>
      </c>
      <c r="D256" s="22" t="s">
        <v>842</v>
      </c>
      <c r="E256" s="23">
        <f>IFERROR(__xludf.DUMMYFUNCTION("GOOGLEFINANCE(""NSE:""&amp;D256,""marketcap"")/10000000"),13227.8403827)</f>
        <v>13227.84038</v>
      </c>
      <c r="F256" s="17">
        <f>IFERROR(__xludf.DUMMYFUNCTION("GOOGLEFINANCE(""NSE:""&amp;D256)"),1765.2)</f>
        <v>1765.2</v>
      </c>
      <c r="G256" s="17">
        <f>IFERROR(__xludf.DUMMYFUNCTION("GOOGLEFINANCE(""NSE:""&amp;D256,""closeyest"")"),1776.75)</f>
        <v>1776.75</v>
      </c>
      <c r="H256" s="17">
        <f>IFERROR(__xludf.DUMMYFUNCTION("INDEX(GOOGLEFINANCE(""NSE:""&amp;D256,""PRICE"",TODAY()-7),2,2)"),1682.8)</f>
        <v>1682.8</v>
      </c>
      <c r="I256" s="17">
        <f>IFERROR(__xludf.DUMMYFUNCTION("INDEX(GOOGLEFINANCE(""NSE:""&amp;D256,""PRICE"",TODAY()-14),2,2)"),1724.7)</f>
        <v>1724.7</v>
      </c>
      <c r="J256" s="17">
        <f>IFERROR(__xludf.DUMMYFUNCTION("INDEX(GOOGLEFINANCE(""NSE:""&amp;D256,""PRICE"",TODAY()-28),2,2)"),1665.9)</f>
        <v>1665.9</v>
      </c>
      <c r="K256" s="17">
        <f>IFERROR(__xludf.DUMMYFUNCTION("INDEX(GOOGLEFINANCE(""NSE:""&amp;D256,""PRICE"",TODAY()-84),2,2)"),1458.5)</f>
        <v>1458.5</v>
      </c>
      <c r="L256" s="16">
        <f t="shared" si="1"/>
        <v>-0.006500633179</v>
      </c>
      <c r="M256" s="16">
        <f t="shared" si="2"/>
        <v>0.04896600903</v>
      </c>
      <c r="N256" s="16">
        <f t="shared" si="3"/>
        <v>0.02348234476</v>
      </c>
      <c r="O256" s="16">
        <f t="shared" si="4"/>
        <v>0.05960741941</v>
      </c>
      <c r="P256" s="16">
        <f t="shared" si="5"/>
        <v>0.2102845389</v>
      </c>
      <c r="Q256" s="30">
        <f t="shared" si="6"/>
        <v>0.0371075519</v>
      </c>
      <c r="R256" s="30">
        <f t="shared" si="7"/>
        <v>-0.0003020104241</v>
      </c>
      <c r="S256" s="30">
        <f t="shared" si="8"/>
        <v>-0.01176478422</v>
      </c>
      <c r="T256" s="30">
        <f t="shared" si="9"/>
        <v>0.08349167221</v>
      </c>
    </row>
    <row r="257">
      <c r="A257" s="1">
        <v>254.0</v>
      </c>
      <c r="B257" s="22" t="s">
        <v>843</v>
      </c>
      <c r="C257" s="22" t="s">
        <v>528</v>
      </c>
      <c r="D257" s="22" t="s">
        <v>844</v>
      </c>
      <c r="E257" s="23">
        <f>IFERROR(__xludf.DUMMYFUNCTION("GOOGLEFINANCE(""NSE:""&amp;D257,""marketcap"")/10000000"),13354.5769897)</f>
        <v>13354.57699</v>
      </c>
      <c r="F257" s="17">
        <f>IFERROR(__xludf.DUMMYFUNCTION("GOOGLEFINANCE(""NSE:""&amp;D257)"),1277.95)</f>
        <v>1277.95</v>
      </c>
      <c r="G257" s="17">
        <f>IFERROR(__xludf.DUMMYFUNCTION("GOOGLEFINANCE(""NSE:""&amp;D257,""closeyest"")"),1271.0)</f>
        <v>1271</v>
      </c>
      <c r="H257" s="17">
        <f>IFERROR(__xludf.DUMMYFUNCTION("INDEX(GOOGLEFINANCE(""NSE:""&amp;D257,""PRICE"",TODAY()-7),2,2)"),1348.85)</f>
        <v>1348.85</v>
      </c>
      <c r="I257" s="17">
        <f>IFERROR(__xludf.DUMMYFUNCTION("INDEX(GOOGLEFINANCE(""NSE:""&amp;D257,""PRICE"",TODAY()-14),2,2)"),1378.05)</f>
        <v>1378.05</v>
      </c>
      <c r="J257" s="17">
        <f>IFERROR(__xludf.DUMMYFUNCTION("INDEX(GOOGLEFINANCE(""NSE:""&amp;D257,""PRICE"",TODAY()-28),2,2)"),1168.15)</f>
        <v>1168.15</v>
      </c>
      <c r="K257" s="17">
        <f>IFERROR(__xludf.DUMMYFUNCTION("INDEX(GOOGLEFINANCE(""NSE:""&amp;D257,""PRICE"",TODAY()-84),2,2)"),1034.75)</f>
        <v>1034.75</v>
      </c>
      <c r="L257" s="16">
        <f t="shared" si="1"/>
        <v>0.005468135327</v>
      </c>
      <c r="M257" s="16">
        <f t="shared" si="2"/>
        <v>-0.05256329466</v>
      </c>
      <c r="N257" s="16">
        <f t="shared" si="3"/>
        <v>-0.07263887377</v>
      </c>
      <c r="O257" s="16">
        <f t="shared" si="4"/>
        <v>0.09399477807</v>
      </c>
      <c r="P257" s="16">
        <f t="shared" si="5"/>
        <v>0.2350326166</v>
      </c>
      <c r="Q257" s="30">
        <f t="shared" si="6"/>
        <v>-0.06442175179</v>
      </c>
      <c r="R257" s="30">
        <f t="shared" si="7"/>
        <v>-0.09642322895</v>
      </c>
      <c r="S257" s="30">
        <f t="shared" si="8"/>
        <v>0.02262257444</v>
      </c>
      <c r="T257" s="30">
        <f t="shared" si="9"/>
        <v>0.1082397499</v>
      </c>
    </row>
    <row r="258">
      <c r="A258" s="1">
        <v>255.0</v>
      </c>
      <c r="B258" s="22" t="s">
        <v>845</v>
      </c>
      <c r="C258" s="22" t="s">
        <v>528</v>
      </c>
      <c r="D258" s="22" t="s">
        <v>846</v>
      </c>
      <c r="E258" s="23">
        <f>IFERROR(__xludf.DUMMYFUNCTION("GOOGLEFINANCE(""NSE:""&amp;D258,""marketcap"")/10000000"),12943.9835)</f>
        <v>12943.9835</v>
      </c>
      <c r="F258" s="17">
        <f>IFERROR(__xludf.DUMMYFUNCTION("GOOGLEFINANCE(""NSE:""&amp;D258)"),689.5)</f>
        <v>689.5</v>
      </c>
      <c r="G258" s="17">
        <f>IFERROR(__xludf.DUMMYFUNCTION("GOOGLEFINANCE(""NSE:""&amp;D258,""closeyest"")"),700.15)</f>
        <v>700.15</v>
      </c>
      <c r="H258" s="17">
        <f>IFERROR(__xludf.DUMMYFUNCTION("INDEX(GOOGLEFINANCE(""NSE:""&amp;D258,""PRICE"",TODAY()-7),2,2)"),694.05)</f>
        <v>694.05</v>
      </c>
      <c r="I258" s="17">
        <f>IFERROR(__xludf.DUMMYFUNCTION("INDEX(GOOGLEFINANCE(""NSE:""&amp;D258,""PRICE"",TODAY()-14),2,2)"),667.2)</f>
        <v>667.2</v>
      </c>
      <c r="J258" s="17">
        <f>IFERROR(__xludf.DUMMYFUNCTION("INDEX(GOOGLEFINANCE(""NSE:""&amp;D258,""PRICE"",TODAY()-28),2,2)"),652.4)</f>
        <v>652.4</v>
      </c>
      <c r="K258" s="17">
        <f>IFERROR(__xludf.DUMMYFUNCTION("INDEX(GOOGLEFINANCE(""NSE:""&amp;D258,""PRICE"",TODAY()-84),2,2)"),654.25)</f>
        <v>654.25</v>
      </c>
      <c r="L258" s="16">
        <f t="shared" si="1"/>
        <v>-0.01521102621</v>
      </c>
      <c r="M258" s="16">
        <f t="shared" si="2"/>
        <v>-0.006555723651</v>
      </c>
      <c r="N258" s="16">
        <f t="shared" si="3"/>
        <v>0.03342326139</v>
      </c>
      <c r="O258" s="16">
        <f t="shared" si="4"/>
        <v>0.05686695279</v>
      </c>
      <c r="P258" s="16">
        <f t="shared" si="5"/>
        <v>0.05387848682</v>
      </c>
      <c r="Q258" s="30">
        <f t="shared" si="6"/>
        <v>-0.01841418079</v>
      </c>
      <c r="R258" s="30">
        <f t="shared" si="7"/>
        <v>0.009638906211</v>
      </c>
      <c r="S258" s="30">
        <f t="shared" si="8"/>
        <v>-0.01450525084</v>
      </c>
      <c r="T258" s="30">
        <f t="shared" si="9"/>
        <v>-0.07291437988</v>
      </c>
    </row>
    <row r="259">
      <c r="A259" s="1">
        <v>256.0</v>
      </c>
      <c r="B259" s="22" t="s">
        <v>847</v>
      </c>
      <c r="C259" s="22" t="s">
        <v>578</v>
      </c>
      <c r="D259" s="22" t="s">
        <v>848</v>
      </c>
      <c r="E259" s="23">
        <f>IFERROR(__xludf.DUMMYFUNCTION("GOOGLEFINANCE(""NSE:""&amp;D259,""marketcap"")/10000000"),12735.2246663)</f>
        <v>12735.22467</v>
      </c>
      <c r="F259" s="17">
        <f>IFERROR(__xludf.DUMMYFUNCTION("GOOGLEFINANCE(""NSE:""&amp;D259)"),307.0)</f>
        <v>307</v>
      </c>
      <c r="G259" s="17">
        <f>IFERROR(__xludf.DUMMYFUNCTION("GOOGLEFINANCE(""NSE:""&amp;D259,""closeyest"")"),305.95)</f>
        <v>305.95</v>
      </c>
      <c r="H259" s="17">
        <f>IFERROR(__xludf.DUMMYFUNCTION("INDEX(GOOGLEFINANCE(""NSE:""&amp;D259,""PRICE"",TODAY()-7),2,2)"),312.6)</f>
        <v>312.6</v>
      </c>
      <c r="I259" s="17">
        <f>IFERROR(__xludf.DUMMYFUNCTION("INDEX(GOOGLEFINANCE(""NSE:""&amp;D259,""PRICE"",TODAY()-14),2,2)"),315.4)</f>
        <v>315.4</v>
      </c>
      <c r="J259" s="17">
        <f>IFERROR(__xludf.DUMMYFUNCTION("INDEX(GOOGLEFINANCE(""NSE:""&amp;D259,""PRICE"",TODAY()-28),2,2)"),322.55)</f>
        <v>322.55</v>
      </c>
      <c r="K259" s="17">
        <f>IFERROR(__xludf.DUMMYFUNCTION("INDEX(GOOGLEFINANCE(""NSE:""&amp;D259,""PRICE"",TODAY()-84),2,2)"),294.9)</f>
        <v>294.9</v>
      </c>
      <c r="L259" s="16">
        <f t="shared" si="1"/>
        <v>0.003431933322</v>
      </c>
      <c r="M259" s="16">
        <f t="shared" si="2"/>
        <v>-0.01791426743</v>
      </c>
      <c r="N259" s="16">
        <f t="shared" si="3"/>
        <v>-0.02663284718</v>
      </c>
      <c r="O259" s="16">
        <f t="shared" si="4"/>
        <v>-0.04820957991</v>
      </c>
      <c r="P259" s="16">
        <f t="shared" si="5"/>
        <v>0.04103085792</v>
      </c>
      <c r="Q259" s="30">
        <f t="shared" si="6"/>
        <v>-0.02977272457</v>
      </c>
      <c r="R259" s="30">
        <f t="shared" si="7"/>
        <v>-0.05041720236</v>
      </c>
      <c r="S259" s="30">
        <f t="shared" si="8"/>
        <v>-0.1195817835</v>
      </c>
      <c r="T259" s="30">
        <f t="shared" si="9"/>
        <v>-0.08576200878</v>
      </c>
    </row>
    <row r="260">
      <c r="A260" s="1">
        <v>257.0</v>
      </c>
      <c r="B260" s="22" t="s">
        <v>734</v>
      </c>
      <c r="C260" s="22" t="s">
        <v>545</v>
      </c>
      <c r="D260" s="22" t="s">
        <v>735</v>
      </c>
      <c r="E260" s="23">
        <f>IFERROR(__xludf.DUMMYFUNCTION("GOOGLEFINANCE(""NSE:""&amp;D260,""marketcap"")/10000000"),12547.8784869)</f>
        <v>12547.87849</v>
      </c>
      <c r="F260" s="17">
        <f>IFERROR(__xludf.DUMMYFUNCTION("GOOGLEFINANCE(""NSE:""&amp;D260)"),734.6)</f>
        <v>734.6</v>
      </c>
      <c r="G260" s="17">
        <f>IFERROR(__xludf.DUMMYFUNCTION("GOOGLEFINANCE(""NSE:""&amp;D260,""closeyest"")"),735.75)</f>
        <v>735.75</v>
      </c>
      <c r="H260" s="17">
        <f>IFERROR(__xludf.DUMMYFUNCTION("INDEX(GOOGLEFINANCE(""NSE:""&amp;D260,""PRICE"",TODAY()-7),2,2)"),728.45)</f>
        <v>728.45</v>
      </c>
      <c r="I260" s="17">
        <f>IFERROR(__xludf.DUMMYFUNCTION("INDEX(GOOGLEFINANCE(""NSE:""&amp;D260,""PRICE"",TODAY()-14),2,2)"),718.05)</f>
        <v>718.05</v>
      </c>
      <c r="J260" s="17">
        <f>IFERROR(__xludf.DUMMYFUNCTION("INDEX(GOOGLEFINANCE(""NSE:""&amp;D260,""PRICE"",TODAY()-28),2,2)"),682.85)</f>
        <v>682.85</v>
      </c>
      <c r="K260" s="17">
        <f>IFERROR(__xludf.DUMMYFUNCTION("INDEX(GOOGLEFINANCE(""NSE:""&amp;D260,""PRICE"",TODAY()-84),2,2)"),746.55)</f>
        <v>746.55</v>
      </c>
      <c r="L260" s="16">
        <f t="shared" si="1"/>
        <v>-0.001563030921</v>
      </c>
      <c r="M260" s="16">
        <f t="shared" si="2"/>
        <v>0.008442583568</v>
      </c>
      <c r="N260" s="16">
        <f t="shared" si="3"/>
        <v>0.02304853422</v>
      </c>
      <c r="O260" s="16">
        <f t="shared" si="4"/>
        <v>0.07578531156</v>
      </c>
      <c r="P260" s="16">
        <f t="shared" si="5"/>
        <v>-0.01600696537</v>
      </c>
      <c r="Q260" s="30">
        <f t="shared" si="6"/>
        <v>-0.003415873568</v>
      </c>
      <c r="R260" s="30">
        <f t="shared" si="7"/>
        <v>-0.0007358209551</v>
      </c>
      <c r="S260" s="30">
        <f t="shared" si="8"/>
        <v>0.004413107933</v>
      </c>
      <c r="T260" s="30">
        <f t="shared" si="9"/>
        <v>-0.1427998321</v>
      </c>
    </row>
    <row r="261">
      <c r="A261" s="1">
        <v>258.0</v>
      </c>
      <c r="B261" s="22" t="s">
        <v>849</v>
      </c>
      <c r="C261" s="22" t="s">
        <v>526</v>
      </c>
      <c r="D261" s="22" t="s">
        <v>850</v>
      </c>
      <c r="E261" s="23">
        <f>IFERROR(__xludf.DUMMYFUNCTION("GOOGLEFINANCE(""NSE:""&amp;D261,""marketcap"")/10000000"),12404.7640562)</f>
        <v>12404.76406</v>
      </c>
      <c r="F261" s="17">
        <f>IFERROR(__xludf.DUMMYFUNCTION("GOOGLEFINANCE(""NSE:""&amp;D261)"),8950.0)</f>
        <v>8950</v>
      </c>
      <c r="G261" s="17">
        <f>IFERROR(__xludf.DUMMYFUNCTION("GOOGLEFINANCE(""NSE:""&amp;D261,""closeyest"")"),9010.45)</f>
        <v>9010.45</v>
      </c>
      <c r="H261" s="17">
        <f>IFERROR(__xludf.DUMMYFUNCTION("INDEX(GOOGLEFINANCE(""NSE:""&amp;D261,""PRICE"",TODAY()-7),2,2)"),9168.55)</f>
        <v>9168.55</v>
      </c>
      <c r="I261" s="17">
        <f>IFERROR(__xludf.DUMMYFUNCTION("INDEX(GOOGLEFINANCE(""NSE:""&amp;D261,""PRICE"",TODAY()-14),2,2)"),9241.3)</f>
        <v>9241.3</v>
      </c>
      <c r="J261" s="17">
        <f>IFERROR(__xludf.DUMMYFUNCTION("INDEX(GOOGLEFINANCE(""NSE:""&amp;D261,""PRICE"",TODAY()-28),2,2)"),8795.25)</f>
        <v>8795.25</v>
      </c>
      <c r="K261" s="17">
        <f>IFERROR(__xludf.DUMMYFUNCTION("INDEX(GOOGLEFINANCE(""NSE:""&amp;D261,""PRICE"",TODAY()-84),2,2)"),9425.65)</f>
        <v>9425.65</v>
      </c>
      <c r="L261" s="16">
        <f t="shared" si="1"/>
        <v>-0.006708876915</v>
      </c>
      <c r="M261" s="16">
        <f t="shared" si="2"/>
        <v>-0.02383692078</v>
      </c>
      <c r="N261" s="16">
        <f t="shared" si="3"/>
        <v>-0.03152153918</v>
      </c>
      <c r="O261" s="16">
        <f t="shared" si="4"/>
        <v>0.01759472443</v>
      </c>
      <c r="P261" s="16">
        <f t="shared" si="5"/>
        <v>-0.05046336327</v>
      </c>
      <c r="Q261" s="30">
        <f t="shared" si="6"/>
        <v>-0.03569537791</v>
      </c>
      <c r="R261" s="30">
        <f t="shared" si="7"/>
        <v>-0.05530589436</v>
      </c>
      <c r="S261" s="30">
        <f t="shared" si="8"/>
        <v>-0.0537774792</v>
      </c>
      <c r="T261" s="30">
        <f t="shared" si="9"/>
        <v>-0.17725623</v>
      </c>
    </row>
    <row r="262">
      <c r="A262" s="1">
        <v>259.0</v>
      </c>
      <c r="B262" s="22" t="s">
        <v>736</v>
      </c>
      <c r="C262" s="22" t="s">
        <v>526</v>
      </c>
      <c r="D262" s="22" t="s">
        <v>737</v>
      </c>
      <c r="E262" s="23">
        <f>IFERROR(__xludf.DUMMYFUNCTION("GOOGLEFINANCE(""NSE:""&amp;D262,""marketcap"")/10000000"),12439.3291263)</f>
        <v>12439.32913</v>
      </c>
      <c r="F262" s="17">
        <f>IFERROR(__xludf.DUMMYFUNCTION("GOOGLEFINANCE(""NSE:""&amp;D262)"),647.0)</f>
        <v>647</v>
      </c>
      <c r="G262" s="17">
        <f>IFERROR(__xludf.DUMMYFUNCTION("GOOGLEFINANCE(""NSE:""&amp;D262,""closeyest"")"),650.65)</f>
        <v>650.65</v>
      </c>
      <c r="H262" s="17">
        <f>IFERROR(__xludf.DUMMYFUNCTION("INDEX(GOOGLEFINANCE(""NSE:""&amp;D262,""PRICE"",TODAY()-7),2,2)"),670.55)</f>
        <v>670.55</v>
      </c>
      <c r="I262" s="17">
        <f>IFERROR(__xludf.DUMMYFUNCTION("INDEX(GOOGLEFINANCE(""NSE:""&amp;D262,""PRICE"",TODAY()-14),2,2)"),654.3)</f>
        <v>654.3</v>
      </c>
      <c r="J262" s="17">
        <f>IFERROR(__xludf.DUMMYFUNCTION("INDEX(GOOGLEFINANCE(""NSE:""&amp;D262,""PRICE"",TODAY()-28),2,2)"),621.7)</f>
        <v>621.7</v>
      </c>
      <c r="K262" s="17">
        <f>IFERROR(__xludf.DUMMYFUNCTION("INDEX(GOOGLEFINANCE(""NSE:""&amp;D262,""PRICE"",TODAY()-84),2,2)"),636.75)</f>
        <v>636.75</v>
      </c>
      <c r="L262" s="16">
        <f t="shared" si="1"/>
        <v>-0.005609774841</v>
      </c>
      <c r="M262" s="16">
        <f t="shared" si="2"/>
        <v>-0.03512042353</v>
      </c>
      <c r="N262" s="16">
        <f t="shared" si="3"/>
        <v>-0.01115696164</v>
      </c>
      <c r="O262" s="16">
        <f t="shared" si="4"/>
        <v>0.04069486891</v>
      </c>
      <c r="P262" s="16">
        <f t="shared" si="5"/>
        <v>0.01609736945</v>
      </c>
      <c r="Q262" s="30">
        <f t="shared" si="6"/>
        <v>-0.04697888067</v>
      </c>
      <c r="R262" s="30">
        <f t="shared" si="7"/>
        <v>-0.03494131682</v>
      </c>
      <c r="S262" s="30">
        <f t="shared" si="8"/>
        <v>-0.03067733472</v>
      </c>
      <c r="T262" s="30">
        <f t="shared" si="9"/>
        <v>-0.1106954972</v>
      </c>
    </row>
    <row r="263">
      <c r="A263" s="1">
        <v>260.0</v>
      </c>
      <c r="B263" s="22" t="s">
        <v>851</v>
      </c>
      <c r="C263" s="22" t="s">
        <v>528</v>
      </c>
      <c r="D263" s="22" t="s">
        <v>852</v>
      </c>
      <c r="E263" s="23">
        <f>IFERROR(__xludf.DUMMYFUNCTION("GOOGLEFINANCE(""NSE:""&amp;D263,""marketcap"")/10000000"),12785.5635)</f>
        <v>12785.5635</v>
      </c>
      <c r="F263" s="17">
        <f>IFERROR(__xludf.DUMMYFUNCTION("GOOGLEFINANCE(""NSE:""&amp;D263)"),870.0)</f>
        <v>870</v>
      </c>
      <c r="G263" s="17">
        <f>IFERROR(__xludf.DUMMYFUNCTION("GOOGLEFINANCE(""NSE:""&amp;D263,""closeyest"")"),839.85)</f>
        <v>839.85</v>
      </c>
      <c r="H263" s="17">
        <f>IFERROR(__xludf.DUMMYFUNCTION("INDEX(GOOGLEFINANCE(""NSE:""&amp;D263,""PRICE"",TODAY()-7),2,2)"),818.3)</f>
        <v>818.3</v>
      </c>
      <c r="I263" s="17">
        <f>IFERROR(__xludf.DUMMYFUNCTION("INDEX(GOOGLEFINANCE(""NSE:""&amp;D263,""PRICE"",TODAY()-14),2,2)"),767.9)</f>
        <v>767.9</v>
      </c>
      <c r="J263" s="17">
        <f>IFERROR(__xludf.DUMMYFUNCTION("INDEX(GOOGLEFINANCE(""NSE:""&amp;D263,""PRICE"",TODAY()-28),2,2)"),787.25)</f>
        <v>787.25</v>
      </c>
      <c r="K263" s="17">
        <f>IFERROR(__xludf.DUMMYFUNCTION("INDEX(GOOGLEFINANCE(""NSE:""&amp;D263,""PRICE"",TODAY()-84),2,2)"),811.15)</f>
        <v>811.15</v>
      </c>
      <c r="L263" s="16">
        <f t="shared" si="1"/>
        <v>0.03589926773</v>
      </c>
      <c r="M263" s="16">
        <f t="shared" si="2"/>
        <v>0.06317976292</v>
      </c>
      <c r="N263" s="16">
        <f t="shared" si="3"/>
        <v>0.1329600208</v>
      </c>
      <c r="O263" s="16">
        <f t="shared" si="4"/>
        <v>0.1051127342</v>
      </c>
      <c r="P263" s="16">
        <f t="shared" si="5"/>
        <v>0.07255131603</v>
      </c>
      <c r="Q263" s="30">
        <f t="shared" si="6"/>
        <v>0.05132130579</v>
      </c>
      <c r="R263" s="30">
        <f t="shared" si="7"/>
        <v>0.1091756657</v>
      </c>
      <c r="S263" s="30">
        <f t="shared" si="8"/>
        <v>0.03374053057</v>
      </c>
      <c r="T263" s="30">
        <f t="shared" si="9"/>
        <v>-0.05424155066</v>
      </c>
    </row>
    <row r="264">
      <c r="A264" s="1">
        <v>261.0</v>
      </c>
      <c r="B264" s="22" t="s">
        <v>853</v>
      </c>
      <c r="C264" s="22" t="s">
        <v>528</v>
      </c>
      <c r="D264" s="22" t="s">
        <v>854</v>
      </c>
      <c r="E264" s="23">
        <f>IFERROR(__xludf.DUMMYFUNCTION("GOOGLEFINANCE(""NSE:""&amp;D264,""marketcap"")/10000000"),12316.8053365)</f>
        <v>12316.80534</v>
      </c>
      <c r="F264" s="17">
        <f>IFERROR(__xludf.DUMMYFUNCTION("GOOGLEFINANCE(""NSE:""&amp;D264)"),18.35)</f>
        <v>18.35</v>
      </c>
      <c r="G264" s="17">
        <f>IFERROR(__xludf.DUMMYFUNCTION("GOOGLEFINANCE(""NSE:""&amp;D264,""closeyest"")"),18.3)</f>
        <v>18.3</v>
      </c>
      <c r="H264" s="17">
        <f>IFERROR(__xludf.DUMMYFUNCTION("INDEX(GOOGLEFINANCE(""NSE:""&amp;D264,""PRICE"",TODAY()-7),2,2)"),19.3)</f>
        <v>19.3</v>
      </c>
      <c r="I264" s="17">
        <f>IFERROR(__xludf.DUMMYFUNCTION("INDEX(GOOGLEFINANCE(""NSE:""&amp;D264,""PRICE"",TODAY()-14),2,2)"),18.05)</f>
        <v>18.05</v>
      </c>
      <c r="J264" s="17">
        <f>IFERROR(__xludf.DUMMYFUNCTION("INDEX(GOOGLEFINANCE(""NSE:""&amp;D264,""PRICE"",TODAY()-28),2,2)"),18.05)</f>
        <v>18.05</v>
      </c>
      <c r="K264" s="17">
        <f>IFERROR(__xludf.DUMMYFUNCTION("INDEX(GOOGLEFINANCE(""NSE:""&amp;D264,""PRICE"",TODAY()-84),2,2)"),25.1)</f>
        <v>25.1</v>
      </c>
      <c r="L264" s="16">
        <f t="shared" si="1"/>
        <v>0.002732240437</v>
      </c>
      <c r="M264" s="16">
        <f t="shared" si="2"/>
        <v>-0.04922279793</v>
      </c>
      <c r="N264" s="16">
        <f t="shared" si="3"/>
        <v>0.01662049861</v>
      </c>
      <c r="O264" s="16">
        <f t="shared" si="4"/>
        <v>0.01662049861</v>
      </c>
      <c r="P264" s="16">
        <f t="shared" si="5"/>
        <v>-0.2689243028</v>
      </c>
      <c r="Q264" s="30">
        <f t="shared" si="6"/>
        <v>-0.06108125506</v>
      </c>
      <c r="R264" s="30">
        <f t="shared" si="7"/>
        <v>-0.007163856565</v>
      </c>
      <c r="S264" s="30">
        <f t="shared" si="8"/>
        <v>-0.05475170501</v>
      </c>
      <c r="T264" s="30">
        <f t="shared" si="9"/>
        <v>-0.3957171695</v>
      </c>
    </row>
    <row r="265">
      <c r="A265" s="1">
        <v>262.0</v>
      </c>
      <c r="B265" s="22" t="s">
        <v>855</v>
      </c>
      <c r="C265" s="22" t="s">
        <v>603</v>
      </c>
      <c r="D265" s="22" t="s">
        <v>856</v>
      </c>
      <c r="E265" s="23">
        <f>IFERROR(__xludf.DUMMYFUNCTION("GOOGLEFINANCE(""NSE:""&amp;D265,""marketcap"")/10000000"),11916.334753)</f>
        <v>11916.33475</v>
      </c>
      <c r="F265" s="17">
        <f>IFERROR(__xludf.DUMMYFUNCTION("GOOGLEFINANCE(""NSE:""&amp;D265)"),3361.0)</f>
        <v>3361</v>
      </c>
      <c r="G265" s="17">
        <f>IFERROR(__xludf.DUMMYFUNCTION("GOOGLEFINANCE(""NSE:""&amp;D265,""closeyest"")"),3418.0)</f>
        <v>3418</v>
      </c>
      <c r="H265" s="17">
        <f>IFERROR(__xludf.DUMMYFUNCTION("INDEX(GOOGLEFINANCE(""NSE:""&amp;D265,""PRICE"",TODAY()-7),2,2)"),3370.8)</f>
        <v>3370.8</v>
      </c>
      <c r="I265" s="17">
        <f>IFERROR(__xludf.DUMMYFUNCTION("INDEX(GOOGLEFINANCE(""NSE:""&amp;D265,""PRICE"",TODAY()-14),2,2)"),3226.15)</f>
        <v>3226.15</v>
      </c>
      <c r="J265" s="17">
        <f>IFERROR(__xludf.DUMMYFUNCTION("INDEX(GOOGLEFINANCE(""NSE:""&amp;D265,""PRICE"",TODAY()-28),2,2)"),3095.0)</f>
        <v>3095</v>
      </c>
      <c r="K265" s="17">
        <f>IFERROR(__xludf.DUMMYFUNCTION("INDEX(GOOGLEFINANCE(""NSE:""&amp;D265,""PRICE"",TODAY()-84),2,2)"),3056.15)</f>
        <v>3056.15</v>
      </c>
      <c r="L265" s="16">
        <f t="shared" si="1"/>
        <v>-0.01667641896</v>
      </c>
      <c r="M265" s="16">
        <f t="shared" si="2"/>
        <v>-0.002907321704</v>
      </c>
      <c r="N265" s="16">
        <f t="shared" si="3"/>
        <v>0.0417990484</v>
      </c>
      <c r="O265" s="16">
        <f t="shared" si="4"/>
        <v>0.0859450727</v>
      </c>
      <c r="P265" s="16">
        <f t="shared" si="5"/>
        <v>0.09974968506</v>
      </c>
      <c r="Q265" s="30">
        <f t="shared" si="6"/>
        <v>-0.01476577884</v>
      </c>
      <c r="R265" s="30">
        <f t="shared" si="7"/>
        <v>0.01801469322</v>
      </c>
      <c r="S265" s="30">
        <f t="shared" si="8"/>
        <v>0.01457286907</v>
      </c>
      <c r="T265" s="30">
        <f t="shared" si="9"/>
        <v>-0.02704318164</v>
      </c>
    </row>
    <row r="266">
      <c r="A266" s="1">
        <v>263.0</v>
      </c>
      <c r="B266" s="22" t="s">
        <v>857</v>
      </c>
      <c r="C266" s="22" t="s">
        <v>524</v>
      </c>
      <c r="D266" s="22" t="s">
        <v>858</v>
      </c>
      <c r="E266" s="23">
        <f>IFERROR(__xludf.DUMMYFUNCTION("GOOGLEFINANCE(""NSE:""&amp;D266,""marketcap"")/10000000"),12184.7116735)</f>
        <v>12184.71167</v>
      </c>
      <c r="F266" s="17">
        <f>IFERROR(__xludf.DUMMYFUNCTION("GOOGLEFINANCE(""NSE:""&amp;D266)"),438.1)</f>
        <v>438.1</v>
      </c>
      <c r="G266" s="17">
        <f>IFERROR(__xludf.DUMMYFUNCTION("GOOGLEFINANCE(""NSE:""&amp;D266,""closeyest"")"),434.85)</f>
        <v>434.85</v>
      </c>
      <c r="H266" s="17">
        <f>IFERROR(__xludf.DUMMYFUNCTION("INDEX(GOOGLEFINANCE(""NSE:""&amp;D266,""PRICE"",TODAY()-7),2,2)"),420.45)</f>
        <v>420.45</v>
      </c>
      <c r="I266" s="17">
        <f>IFERROR(__xludf.DUMMYFUNCTION("INDEX(GOOGLEFINANCE(""NSE:""&amp;D266,""PRICE"",TODAY()-14),2,2)"),408.75)</f>
        <v>408.75</v>
      </c>
      <c r="J266" s="17">
        <f>IFERROR(__xludf.DUMMYFUNCTION("INDEX(GOOGLEFINANCE(""NSE:""&amp;D266,""PRICE"",TODAY()-28),2,2)"),407.0)</f>
        <v>407</v>
      </c>
      <c r="K266" s="17">
        <f>IFERROR(__xludf.DUMMYFUNCTION("INDEX(GOOGLEFINANCE(""NSE:""&amp;D266,""PRICE"",TODAY()-84),2,2)"),397.4)</f>
        <v>397.4</v>
      </c>
      <c r="L266" s="16">
        <f t="shared" si="1"/>
        <v>0.007473841555</v>
      </c>
      <c r="M266" s="16">
        <f t="shared" si="2"/>
        <v>0.0419788322</v>
      </c>
      <c r="N266" s="16">
        <f t="shared" si="3"/>
        <v>0.07180428135</v>
      </c>
      <c r="O266" s="16">
        <f t="shared" si="4"/>
        <v>0.07641277641</v>
      </c>
      <c r="P266" s="16">
        <f t="shared" si="5"/>
        <v>0.1024157021</v>
      </c>
      <c r="Q266" s="30">
        <f t="shared" si="6"/>
        <v>0.03012037507</v>
      </c>
      <c r="R266" s="30">
        <f t="shared" si="7"/>
        <v>0.04801992617</v>
      </c>
      <c r="S266" s="30">
        <f t="shared" si="8"/>
        <v>0.005040572784</v>
      </c>
      <c r="T266" s="30">
        <f t="shared" si="9"/>
        <v>-0.02437716463</v>
      </c>
    </row>
    <row r="267">
      <c r="A267" s="1">
        <v>264.0</v>
      </c>
      <c r="B267" s="22" t="s">
        <v>859</v>
      </c>
      <c r="C267" s="22" t="s">
        <v>635</v>
      </c>
      <c r="D267" s="22" t="s">
        <v>860</v>
      </c>
      <c r="E267" s="23">
        <f>IFERROR(__xludf.DUMMYFUNCTION("GOOGLEFINANCE(""NSE:""&amp;D267,""marketcap"")/10000000"),11952.5239867)</f>
        <v>11952.52399</v>
      </c>
      <c r="F267" s="17">
        <f>IFERROR(__xludf.DUMMYFUNCTION("GOOGLEFINANCE(""NSE:""&amp;D267)"),193.3)</f>
        <v>193.3</v>
      </c>
      <c r="G267" s="17">
        <f>IFERROR(__xludf.DUMMYFUNCTION("GOOGLEFINANCE(""NSE:""&amp;D267,""closeyest"")"),194.7)</f>
        <v>194.7</v>
      </c>
      <c r="H267" s="17">
        <f>IFERROR(__xludf.DUMMYFUNCTION("INDEX(GOOGLEFINANCE(""NSE:""&amp;D267,""PRICE"",TODAY()-7),2,2)"),189.4)</f>
        <v>189.4</v>
      </c>
      <c r="I267" s="17">
        <f>IFERROR(__xludf.DUMMYFUNCTION("INDEX(GOOGLEFINANCE(""NSE:""&amp;D267,""PRICE"",TODAY()-14),2,2)"),181.95)</f>
        <v>181.95</v>
      </c>
      <c r="J267" s="17">
        <f>IFERROR(__xludf.DUMMYFUNCTION("INDEX(GOOGLEFINANCE(""NSE:""&amp;D267,""PRICE"",TODAY()-28),2,2)"),168.75)</f>
        <v>168.75</v>
      </c>
      <c r="K267" s="17" t="str">
        <f>IFERROR(__xludf.DUMMYFUNCTION("INDEX(GOOGLEFINANCE(""NSE:""&amp;D267,""PRICE"",TODAY()-84),2,2)"),"#N/A")</f>
        <v>#N/A</v>
      </c>
      <c r="L267" s="16">
        <f t="shared" si="1"/>
        <v>-0.007190549563</v>
      </c>
      <c r="M267" s="16">
        <f t="shared" si="2"/>
        <v>0.02059134108</v>
      </c>
      <c r="N267" s="16">
        <f t="shared" si="3"/>
        <v>0.06237977466</v>
      </c>
      <c r="O267" s="16">
        <f t="shared" si="4"/>
        <v>0.1454814815</v>
      </c>
      <c r="P267" s="16" t="str">
        <f t="shared" si="5"/>
        <v>#N/A</v>
      </c>
      <c r="Q267" s="30">
        <f t="shared" si="6"/>
        <v>0.008732883941</v>
      </c>
      <c r="R267" s="30">
        <f t="shared" si="7"/>
        <v>0.03859541948</v>
      </c>
      <c r="S267" s="30">
        <f t="shared" si="8"/>
        <v>0.07410927785</v>
      </c>
      <c r="T267" s="32" t="str">
        <f t="shared" si="9"/>
        <v>#N/A</v>
      </c>
    </row>
    <row r="268">
      <c r="A268" s="1">
        <v>265.0</v>
      </c>
      <c r="B268" s="22" t="s">
        <v>861</v>
      </c>
      <c r="C268" s="22" t="s">
        <v>524</v>
      </c>
      <c r="D268" s="22" t="s">
        <v>862</v>
      </c>
      <c r="E268" s="23">
        <f>IFERROR(__xludf.DUMMYFUNCTION("GOOGLEFINANCE(""NSE:""&amp;D268,""marketcap"")/10000000"),11764.9414641)</f>
        <v>11764.94146</v>
      </c>
      <c r="F268" s="17">
        <f>IFERROR(__xludf.DUMMYFUNCTION("GOOGLEFINANCE(""NSE:""&amp;D268)"),1063.0)</f>
        <v>1063</v>
      </c>
      <c r="G268" s="17">
        <f>IFERROR(__xludf.DUMMYFUNCTION("GOOGLEFINANCE(""NSE:""&amp;D268,""closeyest"")"),1090.9)</f>
        <v>1090.9</v>
      </c>
      <c r="H268" s="17">
        <f>IFERROR(__xludf.DUMMYFUNCTION("INDEX(GOOGLEFINANCE(""NSE:""&amp;D268,""PRICE"",TODAY()-7),2,2)"),1113.7)</f>
        <v>1113.7</v>
      </c>
      <c r="I268" s="17">
        <f>IFERROR(__xludf.DUMMYFUNCTION("INDEX(GOOGLEFINANCE(""NSE:""&amp;D268,""PRICE"",TODAY()-14),2,2)"),1049.95)</f>
        <v>1049.95</v>
      </c>
      <c r="J268" s="17">
        <f>IFERROR(__xludf.DUMMYFUNCTION("INDEX(GOOGLEFINANCE(""NSE:""&amp;D268,""PRICE"",TODAY()-28),2,2)"),945.25)</f>
        <v>945.25</v>
      </c>
      <c r="K268" s="17">
        <f>IFERROR(__xludf.DUMMYFUNCTION("INDEX(GOOGLEFINANCE(""NSE:""&amp;D268,""PRICE"",TODAY()-84),2,2)"),875.0)</f>
        <v>875</v>
      </c>
      <c r="L268" s="16">
        <f t="shared" si="1"/>
        <v>-0.02557521313</v>
      </c>
      <c r="M268" s="16">
        <f t="shared" si="2"/>
        <v>-0.04552392924</v>
      </c>
      <c r="N268" s="16">
        <f t="shared" si="3"/>
        <v>0.01242916329</v>
      </c>
      <c r="O268" s="16">
        <f t="shared" si="4"/>
        <v>0.1245702195</v>
      </c>
      <c r="P268" s="16">
        <f t="shared" si="5"/>
        <v>0.2148571429</v>
      </c>
      <c r="Q268" s="30">
        <f t="shared" si="6"/>
        <v>-0.05738238638</v>
      </c>
      <c r="R268" s="30">
        <f t="shared" si="7"/>
        <v>-0.01135519189</v>
      </c>
      <c r="S268" s="30">
        <f t="shared" si="8"/>
        <v>0.05319801589</v>
      </c>
      <c r="T268" s="30">
        <f t="shared" si="9"/>
        <v>0.08806427616</v>
      </c>
    </row>
    <row r="269">
      <c r="A269" s="1">
        <v>266.0</v>
      </c>
      <c r="B269" s="22" t="s">
        <v>863</v>
      </c>
      <c r="C269" s="22" t="s">
        <v>665</v>
      </c>
      <c r="D269" s="22" t="s">
        <v>864</v>
      </c>
      <c r="E269" s="23">
        <f>IFERROR(__xludf.DUMMYFUNCTION("GOOGLEFINANCE(""NSE:""&amp;D269,""marketcap"")/10000000"),12165.1457455)</f>
        <v>12165.14575</v>
      </c>
      <c r="F269" s="17">
        <f>IFERROR(__xludf.DUMMYFUNCTION("GOOGLEFINANCE(""NSE:""&amp;D269)"),24.45)</f>
        <v>24.45</v>
      </c>
      <c r="G269" s="17">
        <f>IFERROR(__xludf.DUMMYFUNCTION("GOOGLEFINANCE(""NSE:""&amp;D269,""closeyest"")"),23.95)</f>
        <v>23.95</v>
      </c>
      <c r="H269" s="17">
        <f>IFERROR(__xludf.DUMMYFUNCTION("INDEX(GOOGLEFINANCE(""NSE:""&amp;D269,""PRICE"",TODAY()-7),2,2)"),23.75)</f>
        <v>23.75</v>
      </c>
      <c r="I269" s="17">
        <f>IFERROR(__xludf.DUMMYFUNCTION("INDEX(GOOGLEFINANCE(""NSE:""&amp;D269,""PRICE"",TODAY()-14),2,2)"),25.25)</f>
        <v>25.25</v>
      </c>
      <c r="J269" s="17">
        <f>IFERROR(__xludf.DUMMYFUNCTION("INDEX(GOOGLEFINANCE(""NSE:""&amp;D269,""PRICE"",TODAY()-28),2,2)"),20.15)</f>
        <v>20.15</v>
      </c>
      <c r="K269" s="17">
        <f>IFERROR(__xludf.DUMMYFUNCTION("INDEX(GOOGLEFINANCE(""NSE:""&amp;D269,""PRICE"",TODAY()-84),2,2)"),16.4)</f>
        <v>16.4</v>
      </c>
      <c r="L269" s="16">
        <f t="shared" si="1"/>
        <v>0.02087682672</v>
      </c>
      <c r="M269" s="16">
        <f t="shared" si="2"/>
        <v>0.02947368421</v>
      </c>
      <c r="N269" s="16">
        <f t="shared" si="3"/>
        <v>-0.03168316832</v>
      </c>
      <c r="O269" s="16">
        <f t="shared" si="4"/>
        <v>0.2133995037</v>
      </c>
      <c r="P269" s="16">
        <f t="shared" si="5"/>
        <v>0.4908536585</v>
      </c>
      <c r="Q269" s="30">
        <f t="shared" si="6"/>
        <v>0.01761522707</v>
      </c>
      <c r="R269" s="30">
        <f t="shared" si="7"/>
        <v>-0.0554675235</v>
      </c>
      <c r="S269" s="30">
        <f t="shared" si="8"/>
        <v>0.1420273001</v>
      </c>
      <c r="T269" s="30">
        <f t="shared" si="9"/>
        <v>0.3640607918</v>
      </c>
    </row>
    <row r="270">
      <c r="A270" s="1">
        <v>267.0</v>
      </c>
      <c r="B270" s="22" t="s">
        <v>865</v>
      </c>
      <c r="C270" s="22" t="s">
        <v>526</v>
      </c>
      <c r="D270" s="22" t="s">
        <v>866</v>
      </c>
      <c r="E270" s="23">
        <f>IFERROR(__xludf.DUMMYFUNCTION("GOOGLEFINANCE(""NSE:""&amp;D270,""marketcap"")/10000000"),12030.5508622)</f>
        <v>12030.55086</v>
      </c>
      <c r="F270" s="17">
        <f>IFERROR(__xludf.DUMMYFUNCTION("GOOGLEFINANCE(""NSE:""&amp;D270)"),897.0)</f>
        <v>897</v>
      </c>
      <c r="G270" s="17">
        <f>IFERROR(__xludf.DUMMYFUNCTION("GOOGLEFINANCE(""NSE:""&amp;D270,""closeyest"")"),888.3)</f>
        <v>888.3</v>
      </c>
      <c r="H270" s="17">
        <f>IFERROR(__xludf.DUMMYFUNCTION("INDEX(GOOGLEFINANCE(""NSE:""&amp;D270,""PRICE"",TODAY()-7),2,2)"),924.85)</f>
        <v>924.85</v>
      </c>
      <c r="I270" s="17">
        <f>IFERROR(__xludf.DUMMYFUNCTION("INDEX(GOOGLEFINANCE(""NSE:""&amp;D270,""PRICE"",TODAY()-14),2,2)"),897.6)</f>
        <v>897.6</v>
      </c>
      <c r="J270" s="17">
        <f>IFERROR(__xludf.DUMMYFUNCTION("INDEX(GOOGLEFINANCE(""NSE:""&amp;D270,""PRICE"",TODAY()-28),2,2)"),865.4)</f>
        <v>865.4</v>
      </c>
      <c r="K270" s="17">
        <f>IFERROR(__xludf.DUMMYFUNCTION("INDEX(GOOGLEFINANCE(""NSE:""&amp;D270,""PRICE"",TODAY()-84),2,2)"),761.5)</f>
        <v>761.5</v>
      </c>
      <c r="L270" s="16">
        <f t="shared" si="1"/>
        <v>0.009793988517</v>
      </c>
      <c r="M270" s="16">
        <f t="shared" si="2"/>
        <v>-0.0301129913</v>
      </c>
      <c r="N270" s="16">
        <f t="shared" si="3"/>
        <v>-0.0006684491979</v>
      </c>
      <c r="O270" s="16">
        <f t="shared" si="4"/>
        <v>0.0365149064</v>
      </c>
      <c r="P270" s="16">
        <f t="shared" si="5"/>
        <v>0.1779382797</v>
      </c>
      <c r="Q270" s="30">
        <f t="shared" si="6"/>
        <v>-0.04197144843</v>
      </c>
      <c r="R270" s="30">
        <f t="shared" si="7"/>
        <v>-0.02445280438</v>
      </c>
      <c r="S270" s="30">
        <f t="shared" si="8"/>
        <v>-0.03485729723</v>
      </c>
      <c r="T270" s="30">
        <f t="shared" si="9"/>
        <v>0.05114541301</v>
      </c>
    </row>
    <row r="271">
      <c r="A271" s="1">
        <v>268.0</v>
      </c>
      <c r="B271" s="22" t="s">
        <v>738</v>
      </c>
      <c r="C271" s="22" t="s">
        <v>528</v>
      </c>
      <c r="D271" s="22" t="s">
        <v>739</v>
      </c>
      <c r="E271" s="23">
        <f>IFERROR(__xludf.DUMMYFUNCTION("GOOGLEFINANCE(""NSE:""&amp;D271,""marketcap"")/10000000"),11716.9731992)</f>
        <v>11716.9732</v>
      </c>
      <c r="F271" s="17">
        <f>IFERROR(__xludf.DUMMYFUNCTION("GOOGLEFINANCE(""NSE:""&amp;D271)"),180.5)</f>
        <v>180.5</v>
      </c>
      <c r="G271" s="17">
        <f>IFERROR(__xludf.DUMMYFUNCTION("GOOGLEFINANCE(""NSE:""&amp;D271,""closeyest"")"),181.4)</f>
        <v>181.4</v>
      </c>
      <c r="H271" s="17">
        <f>IFERROR(__xludf.DUMMYFUNCTION("INDEX(GOOGLEFINANCE(""NSE:""&amp;D271,""PRICE"",TODAY()-7),2,2)"),189.45)</f>
        <v>189.45</v>
      </c>
      <c r="I271" s="17">
        <f>IFERROR(__xludf.DUMMYFUNCTION("INDEX(GOOGLEFINANCE(""NSE:""&amp;D271,""PRICE"",TODAY()-14),2,2)"),198.05)</f>
        <v>198.05</v>
      </c>
      <c r="J271" s="17">
        <f>IFERROR(__xludf.DUMMYFUNCTION("INDEX(GOOGLEFINANCE(""NSE:""&amp;D271,""PRICE"",TODAY()-28),2,2)"),186.15)</f>
        <v>186.15</v>
      </c>
      <c r="K271" s="17">
        <f>IFERROR(__xludf.DUMMYFUNCTION("INDEX(GOOGLEFINANCE(""NSE:""&amp;D271,""PRICE"",TODAY()-84),2,2)"),175.05)</f>
        <v>175.05</v>
      </c>
      <c r="L271" s="16">
        <f t="shared" si="1"/>
        <v>-0.004961411246</v>
      </c>
      <c r="M271" s="16">
        <f t="shared" si="2"/>
        <v>-0.04724201636</v>
      </c>
      <c r="N271" s="16">
        <f t="shared" si="3"/>
        <v>-0.08861398637</v>
      </c>
      <c r="O271" s="16">
        <f t="shared" si="4"/>
        <v>-0.03035186677</v>
      </c>
      <c r="P271" s="16">
        <f t="shared" si="5"/>
        <v>0.03113396173</v>
      </c>
      <c r="Q271" s="30">
        <f t="shared" si="6"/>
        <v>-0.0591004735</v>
      </c>
      <c r="R271" s="30">
        <f t="shared" si="7"/>
        <v>-0.1123983415</v>
      </c>
      <c r="S271" s="30">
        <f t="shared" si="8"/>
        <v>-0.1017240704</v>
      </c>
      <c r="T271" s="30">
        <f t="shared" si="9"/>
        <v>-0.09565890497</v>
      </c>
    </row>
    <row r="272">
      <c r="A272" s="1">
        <v>269.0</v>
      </c>
      <c r="B272" s="22" t="s">
        <v>867</v>
      </c>
      <c r="C272" s="22" t="s">
        <v>590</v>
      </c>
      <c r="D272" s="22" t="s">
        <v>868</v>
      </c>
      <c r="E272" s="23">
        <f>IFERROR(__xludf.DUMMYFUNCTION("GOOGLEFINANCE(""NSE:""&amp;D272,""marketcap"")/10000000"),11793.6392908)</f>
        <v>11793.63929</v>
      </c>
      <c r="F272" s="17">
        <f>IFERROR(__xludf.DUMMYFUNCTION("GOOGLEFINANCE(""NSE:""&amp;D272)"),721.35)</f>
        <v>721.35</v>
      </c>
      <c r="G272" s="17">
        <f>IFERROR(__xludf.DUMMYFUNCTION("GOOGLEFINANCE(""NSE:""&amp;D272,""closeyest"")"),719.85)</f>
        <v>719.85</v>
      </c>
      <c r="H272" s="17">
        <f>IFERROR(__xludf.DUMMYFUNCTION("INDEX(GOOGLEFINANCE(""NSE:""&amp;D272,""PRICE"",TODAY()-7),2,2)"),718.1)</f>
        <v>718.1</v>
      </c>
      <c r="I272" s="17">
        <f>IFERROR(__xludf.DUMMYFUNCTION("INDEX(GOOGLEFINANCE(""NSE:""&amp;D272,""PRICE"",TODAY()-14),2,2)"),777.0)</f>
        <v>777</v>
      </c>
      <c r="J272" s="17">
        <f>IFERROR(__xludf.DUMMYFUNCTION("INDEX(GOOGLEFINANCE(""NSE:""&amp;D272,""PRICE"",TODAY()-28),2,2)"),730.05)</f>
        <v>730.05</v>
      </c>
      <c r="K272" s="17">
        <f>IFERROR(__xludf.DUMMYFUNCTION("INDEX(GOOGLEFINANCE(""NSE:""&amp;D272,""PRICE"",TODAY()-84),2,2)"),817.15)</f>
        <v>817.15</v>
      </c>
      <c r="L272" s="16">
        <f t="shared" si="1"/>
        <v>0.002083767452</v>
      </c>
      <c r="M272" s="16">
        <f t="shared" si="2"/>
        <v>0.004525832057</v>
      </c>
      <c r="N272" s="16">
        <f t="shared" si="3"/>
        <v>-0.07162162162</v>
      </c>
      <c r="O272" s="16">
        <f t="shared" si="4"/>
        <v>-0.01191699199</v>
      </c>
      <c r="P272" s="16">
        <f t="shared" si="5"/>
        <v>-0.1172367374</v>
      </c>
      <c r="Q272" s="30">
        <f t="shared" si="6"/>
        <v>-0.007332625079</v>
      </c>
      <c r="R272" s="30">
        <f t="shared" si="7"/>
        <v>-0.0954059768</v>
      </c>
      <c r="S272" s="30">
        <f t="shared" si="8"/>
        <v>-0.08328919562</v>
      </c>
      <c r="T272" s="30">
        <f t="shared" si="9"/>
        <v>-0.2440296041</v>
      </c>
    </row>
    <row r="273">
      <c r="A273" s="1">
        <v>270.0</v>
      </c>
      <c r="B273" s="22" t="s">
        <v>869</v>
      </c>
      <c r="C273" s="22" t="s">
        <v>635</v>
      </c>
      <c r="D273" s="22" t="s">
        <v>870</v>
      </c>
      <c r="E273" s="23">
        <f>IFERROR(__xludf.DUMMYFUNCTION("GOOGLEFINANCE(""NSE:""&amp;D273,""marketcap"")/10000000"),11902.2817904)</f>
        <v>11902.28179</v>
      </c>
      <c r="F273" s="17">
        <f>IFERROR(__xludf.DUMMYFUNCTION("GOOGLEFINANCE(""NSE:""&amp;D273)"),609.2)</f>
        <v>609.2</v>
      </c>
      <c r="G273" s="17">
        <f>IFERROR(__xludf.DUMMYFUNCTION("GOOGLEFINANCE(""NSE:""&amp;D273,""closeyest"")"),599.7)</f>
        <v>599.7</v>
      </c>
      <c r="H273" s="17">
        <f>IFERROR(__xludf.DUMMYFUNCTION("INDEX(GOOGLEFINANCE(""NSE:""&amp;D273,""PRICE"",TODAY()-7),2,2)"),622.35)</f>
        <v>622.35</v>
      </c>
      <c r="I273" s="17">
        <f>IFERROR(__xludf.DUMMYFUNCTION("INDEX(GOOGLEFINANCE(""NSE:""&amp;D273,""PRICE"",TODAY()-14),2,2)"),636.85)</f>
        <v>636.85</v>
      </c>
      <c r="J273" s="17">
        <f>IFERROR(__xludf.DUMMYFUNCTION("INDEX(GOOGLEFINANCE(""NSE:""&amp;D273,""PRICE"",TODAY()-28),2,2)"),644.95)</f>
        <v>644.95</v>
      </c>
      <c r="K273" s="17">
        <f>IFERROR(__xludf.DUMMYFUNCTION("INDEX(GOOGLEFINANCE(""NSE:""&amp;D273,""PRICE"",TODAY()-84),2,2)"),665.6)</f>
        <v>665.6</v>
      </c>
      <c r="L273" s="16">
        <f t="shared" si="1"/>
        <v>0.01584125396</v>
      </c>
      <c r="M273" s="16">
        <f t="shared" si="2"/>
        <v>-0.02112958946</v>
      </c>
      <c r="N273" s="16">
        <f t="shared" si="3"/>
        <v>-0.04341681715</v>
      </c>
      <c r="O273" s="16">
        <f t="shared" si="4"/>
        <v>-0.05543065354</v>
      </c>
      <c r="P273" s="16">
        <f t="shared" si="5"/>
        <v>-0.08473557692</v>
      </c>
      <c r="Q273" s="30">
        <f t="shared" si="6"/>
        <v>-0.0329880466</v>
      </c>
      <c r="R273" s="30">
        <f t="shared" si="7"/>
        <v>-0.06720117233</v>
      </c>
      <c r="S273" s="30">
        <f t="shared" si="8"/>
        <v>-0.1268028572</v>
      </c>
      <c r="T273" s="30">
        <f t="shared" si="9"/>
        <v>-0.2115284436</v>
      </c>
    </row>
    <row r="274">
      <c r="A274" s="1">
        <v>271.0</v>
      </c>
      <c r="B274" s="22" t="s">
        <v>579</v>
      </c>
      <c r="C274" s="22" t="s">
        <v>528</v>
      </c>
      <c r="D274" s="22" t="s">
        <v>26</v>
      </c>
      <c r="E274" s="23">
        <f>IFERROR(__xludf.DUMMYFUNCTION("GOOGLEFINANCE(""NSE:""&amp;D274,""marketcap"")/10000000"),11908.7788472)</f>
        <v>11908.77885</v>
      </c>
      <c r="F274" s="17">
        <f>IFERROR(__xludf.DUMMYFUNCTION("GOOGLEFINANCE(""NSE:""&amp;D274)"),1571.6)</f>
        <v>1571.6</v>
      </c>
      <c r="G274" s="17">
        <f>IFERROR(__xludf.DUMMYFUNCTION("GOOGLEFINANCE(""NSE:""&amp;D274,""closeyest"")"),1533.7)</f>
        <v>1533.7</v>
      </c>
      <c r="H274" s="17">
        <f>IFERROR(__xludf.DUMMYFUNCTION("INDEX(GOOGLEFINANCE(""NSE:""&amp;D274,""PRICE"",TODAY()-7),2,2)"),1582.15)</f>
        <v>1582.15</v>
      </c>
      <c r="I274" s="17">
        <f>IFERROR(__xludf.DUMMYFUNCTION("INDEX(GOOGLEFINANCE(""NSE:""&amp;D274,""PRICE"",TODAY()-14),2,2)"),1555.55)</f>
        <v>1555.55</v>
      </c>
      <c r="J274" s="17">
        <f>IFERROR(__xludf.DUMMYFUNCTION("INDEX(GOOGLEFINANCE(""NSE:""&amp;D274,""PRICE"",TODAY()-28),2,2)"),1548.45)</f>
        <v>1548.45</v>
      </c>
      <c r="K274" s="17">
        <f>IFERROR(__xludf.DUMMYFUNCTION("INDEX(GOOGLEFINANCE(""NSE:""&amp;D274,""PRICE"",TODAY()-84),2,2)"),1480.4)</f>
        <v>1480.4</v>
      </c>
      <c r="L274" s="16">
        <f t="shared" si="1"/>
        <v>0.02471148204</v>
      </c>
      <c r="M274" s="16">
        <f t="shared" si="2"/>
        <v>-0.006668141453</v>
      </c>
      <c r="N274" s="16">
        <f t="shared" si="3"/>
        <v>0.01031789399</v>
      </c>
      <c r="O274" s="16">
        <f t="shared" si="4"/>
        <v>0.01495043431</v>
      </c>
      <c r="P274" s="16">
        <f t="shared" si="5"/>
        <v>0.06160497163</v>
      </c>
      <c r="Q274" s="30">
        <f t="shared" si="6"/>
        <v>-0.01852659859</v>
      </c>
      <c r="R274" s="30">
        <f t="shared" si="7"/>
        <v>-0.01346646119</v>
      </c>
      <c r="S274" s="30">
        <f t="shared" si="8"/>
        <v>-0.05642176932</v>
      </c>
      <c r="T274" s="30">
        <f t="shared" si="9"/>
        <v>-0.06518789507</v>
      </c>
    </row>
    <row r="275">
      <c r="A275" s="1">
        <v>272.0</v>
      </c>
      <c r="B275" s="22" t="s">
        <v>871</v>
      </c>
      <c r="C275" s="22" t="s">
        <v>524</v>
      </c>
      <c r="D275" s="22" t="s">
        <v>872</v>
      </c>
      <c r="E275" s="23">
        <f>IFERROR(__xludf.DUMMYFUNCTION("GOOGLEFINANCE(""NSE:""&amp;D275,""marketcap"")/10000000"),11472.1132)</f>
        <v>11472.1132</v>
      </c>
      <c r="F275" s="17">
        <f>IFERROR(__xludf.DUMMYFUNCTION("GOOGLEFINANCE(""NSE:""&amp;D275)"),509.0)</f>
        <v>509</v>
      </c>
      <c r="G275" s="17">
        <f>IFERROR(__xludf.DUMMYFUNCTION("GOOGLEFINANCE(""NSE:""&amp;D275,""closeyest"")"),514.45)</f>
        <v>514.45</v>
      </c>
      <c r="H275" s="17">
        <f>IFERROR(__xludf.DUMMYFUNCTION("INDEX(GOOGLEFINANCE(""NSE:""&amp;D275,""PRICE"",TODAY()-7),2,2)"),547.15)</f>
        <v>547.15</v>
      </c>
      <c r="I275" s="17">
        <f>IFERROR(__xludf.DUMMYFUNCTION("INDEX(GOOGLEFINANCE(""NSE:""&amp;D275,""PRICE"",TODAY()-14),2,2)"),488.35)</f>
        <v>488.35</v>
      </c>
      <c r="J275" s="17">
        <f>IFERROR(__xludf.DUMMYFUNCTION("INDEX(GOOGLEFINANCE(""NSE:""&amp;D275,""PRICE"",TODAY()-28),2,2)"),455.4)</f>
        <v>455.4</v>
      </c>
      <c r="K275" s="17">
        <f>IFERROR(__xludf.DUMMYFUNCTION("INDEX(GOOGLEFINANCE(""NSE:""&amp;D275,""PRICE"",TODAY()-84),2,2)"),335.5)</f>
        <v>335.5</v>
      </c>
      <c r="L275" s="16">
        <f t="shared" si="1"/>
        <v>-0.01059383808</v>
      </c>
      <c r="M275" s="16">
        <f t="shared" si="2"/>
        <v>-0.06972493832</v>
      </c>
      <c r="N275" s="16">
        <f t="shared" si="3"/>
        <v>0.04228524624</v>
      </c>
      <c r="O275" s="16">
        <f t="shared" si="4"/>
        <v>0.1176987264</v>
      </c>
      <c r="P275" s="16">
        <f t="shared" si="5"/>
        <v>0.5171385991</v>
      </c>
      <c r="Q275" s="30">
        <f t="shared" si="6"/>
        <v>-0.08158339545</v>
      </c>
      <c r="R275" s="30">
        <f t="shared" si="7"/>
        <v>0.01850089106</v>
      </c>
      <c r="S275" s="30">
        <f t="shared" si="8"/>
        <v>0.04632652277</v>
      </c>
      <c r="T275" s="30">
        <f t="shared" si="9"/>
        <v>0.3903457324</v>
      </c>
    </row>
    <row r="276">
      <c r="A276" s="1">
        <v>273.0</v>
      </c>
      <c r="B276" s="22" t="s">
        <v>873</v>
      </c>
      <c r="C276" s="22" t="s">
        <v>526</v>
      </c>
      <c r="D276" s="22" t="s">
        <v>874</v>
      </c>
      <c r="E276" s="23">
        <f>IFERROR(__xludf.DUMMYFUNCTION("GOOGLEFINANCE(""NSE:""&amp;D276,""marketcap"")/10000000"),12024.96513)</f>
        <v>12024.96513</v>
      </c>
      <c r="F276" s="17">
        <f>IFERROR(__xludf.DUMMYFUNCTION("GOOGLEFINANCE(""NSE:""&amp;D276)"),2465.0)</f>
        <v>2465</v>
      </c>
      <c r="G276" s="17">
        <f>IFERROR(__xludf.DUMMYFUNCTION("GOOGLEFINANCE(""NSE:""&amp;D276,""closeyest"")"),2357.65)</f>
        <v>2357.65</v>
      </c>
      <c r="H276" s="17">
        <f>IFERROR(__xludf.DUMMYFUNCTION("INDEX(GOOGLEFINANCE(""NSE:""&amp;D276,""PRICE"",TODAY()-7),2,2)"),2255.5)</f>
        <v>2255.5</v>
      </c>
      <c r="I276" s="17">
        <f>IFERROR(__xludf.DUMMYFUNCTION("INDEX(GOOGLEFINANCE(""NSE:""&amp;D276,""PRICE"",TODAY()-14),2,2)"),2287.6)</f>
        <v>2287.6</v>
      </c>
      <c r="J276" s="17">
        <f>IFERROR(__xludf.DUMMYFUNCTION("INDEX(GOOGLEFINANCE(""NSE:""&amp;D276,""PRICE"",TODAY()-28),2,2)"),2340.75)</f>
        <v>2340.75</v>
      </c>
      <c r="K276" s="17">
        <f>IFERROR(__xludf.DUMMYFUNCTION("INDEX(GOOGLEFINANCE(""NSE:""&amp;D276,""PRICE"",TODAY()-84),2,2)"),2276.75)</f>
        <v>2276.75</v>
      </c>
      <c r="L276" s="16">
        <f t="shared" si="1"/>
        <v>0.04553262783</v>
      </c>
      <c r="M276" s="16">
        <f t="shared" si="2"/>
        <v>0.09288406118</v>
      </c>
      <c r="N276" s="16">
        <f t="shared" si="3"/>
        <v>0.07754852247</v>
      </c>
      <c r="O276" s="16">
        <f t="shared" si="4"/>
        <v>0.05308127737</v>
      </c>
      <c r="P276" s="16">
        <f t="shared" si="5"/>
        <v>0.08268364994</v>
      </c>
      <c r="Q276" s="30">
        <f t="shared" si="6"/>
        <v>0.08102560405</v>
      </c>
      <c r="R276" s="30">
        <f t="shared" si="7"/>
        <v>0.05376416729</v>
      </c>
      <c r="S276" s="30">
        <f t="shared" si="8"/>
        <v>-0.01829092626</v>
      </c>
      <c r="T276" s="30">
        <f t="shared" si="9"/>
        <v>-0.04410921676</v>
      </c>
    </row>
    <row r="277">
      <c r="A277" s="1">
        <v>274.0</v>
      </c>
      <c r="B277" s="22" t="s">
        <v>875</v>
      </c>
      <c r="C277" s="22" t="s">
        <v>524</v>
      </c>
      <c r="D277" s="22" t="s">
        <v>876</v>
      </c>
      <c r="E277" s="23">
        <f>IFERROR(__xludf.DUMMYFUNCTION("GOOGLEFINANCE(""NSE:""&amp;D277,""marketcap"")/10000000"),11524.147)</f>
        <v>11524.147</v>
      </c>
      <c r="F277" s="17">
        <f>IFERROR(__xludf.DUMMYFUNCTION("GOOGLEFINANCE(""NSE:""&amp;D277)"),846.5)</f>
        <v>846.5</v>
      </c>
      <c r="G277" s="17">
        <f>IFERROR(__xludf.DUMMYFUNCTION("GOOGLEFINANCE(""NSE:""&amp;D277,""closeyest"")"),847.0)</f>
        <v>847</v>
      </c>
      <c r="H277" s="17">
        <f>IFERROR(__xludf.DUMMYFUNCTION("INDEX(GOOGLEFINANCE(""NSE:""&amp;D277,""PRICE"",TODAY()-7),2,2)"),834.15)</f>
        <v>834.15</v>
      </c>
      <c r="I277" s="17">
        <f>IFERROR(__xludf.DUMMYFUNCTION("INDEX(GOOGLEFINANCE(""NSE:""&amp;D277,""PRICE"",TODAY()-14),2,2)"),887.6)</f>
        <v>887.6</v>
      </c>
      <c r="J277" s="17">
        <f>IFERROR(__xludf.DUMMYFUNCTION("INDEX(GOOGLEFINANCE(""NSE:""&amp;D277,""PRICE"",TODAY()-28),2,2)"),893.85)</f>
        <v>893.85</v>
      </c>
      <c r="K277" s="17">
        <f>IFERROR(__xludf.DUMMYFUNCTION("INDEX(GOOGLEFINANCE(""NSE:""&amp;D277,""PRICE"",TODAY()-84),2,2)"),842.85)</f>
        <v>842.85</v>
      </c>
      <c r="L277" s="16">
        <f t="shared" si="1"/>
        <v>-0.0005903187721</v>
      </c>
      <c r="M277" s="16">
        <f t="shared" si="2"/>
        <v>0.01480549062</v>
      </c>
      <c r="N277" s="16">
        <f t="shared" si="3"/>
        <v>-0.04630464173</v>
      </c>
      <c r="O277" s="16">
        <f t="shared" si="4"/>
        <v>-0.05297309392</v>
      </c>
      <c r="P277" s="16">
        <f t="shared" si="5"/>
        <v>0.004330545174</v>
      </c>
      <c r="Q277" s="30">
        <f t="shared" si="6"/>
        <v>0.002947033483</v>
      </c>
      <c r="R277" s="30">
        <f t="shared" si="7"/>
        <v>-0.07008899691</v>
      </c>
      <c r="S277" s="30">
        <f t="shared" si="8"/>
        <v>-0.1243452975</v>
      </c>
      <c r="T277" s="30">
        <f t="shared" si="9"/>
        <v>-0.1224623215</v>
      </c>
    </row>
    <row r="278">
      <c r="A278" s="1">
        <v>275.0</v>
      </c>
      <c r="B278" s="22" t="s">
        <v>877</v>
      </c>
      <c r="C278" s="22" t="s">
        <v>524</v>
      </c>
      <c r="D278" s="22" t="s">
        <v>878</v>
      </c>
      <c r="E278" s="23">
        <f>IFERROR(__xludf.DUMMYFUNCTION("GOOGLEFINANCE(""NSE:""&amp;D278,""marketcap"")/10000000"),11521.257979)</f>
        <v>11521.25798</v>
      </c>
      <c r="F278" s="17">
        <f>IFERROR(__xludf.DUMMYFUNCTION("GOOGLEFINANCE(""NSE:""&amp;D278)"),1990.0)</f>
        <v>1990</v>
      </c>
      <c r="G278" s="17">
        <f>IFERROR(__xludf.DUMMYFUNCTION("GOOGLEFINANCE(""NSE:""&amp;D278,""closeyest"")"),1981.35)</f>
        <v>1981.35</v>
      </c>
      <c r="H278" s="17">
        <f>IFERROR(__xludf.DUMMYFUNCTION("INDEX(GOOGLEFINANCE(""NSE:""&amp;D278,""PRICE"",TODAY()-7),2,2)"),2007.35)</f>
        <v>2007.35</v>
      </c>
      <c r="I278" s="17">
        <f>IFERROR(__xludf.DUMMYFUNCTION("INDEX(GOOGLEFINANCE(""NSE:""&amp;D278,""PRICE"",TODAY()-14),2,2)"),2022.6)</f>
        <v>2022.6</v>
      </c>
      <c r="J278" s="17">
        <f>IFERROR(__xludf.DUMMYFUNCTION("INDEX(GOOGLEFINANCE(""NSE:""&amp;D278,""PRICE"",TODAY()-28),2,2)"),1888.55)</f>
        <v>1888.55</v>
      </c>
      <c r="K278" s="17">
        <f>IFERROR(__xludf.DUMMYFUNCTION("INDEX(GOOGLEFINANCE(""NSE:""&amp;D278,""PRICE"",TODAY()-84),2,2)"),2102.2)</f>
        <v>2102.2</v>
      </c>
      <c r="L278" s="16">
        <f t="shared" si="1"/>
        <v>0.004365710248</v>
      </c>
      <c r="M278" s="16">
        <f t="shared" si="2"/>
        <v>-0.008643236107</v>
      </c>
      <c r="N278" s="16">
        <f t="shared" si="3"/>
        <v>-0.01611786809</v>
      </c>
      <c r="O278" s="16">
        <f t="shared" si="4"/>
        <v>0.05371846125</v>
      </c>
      <c r="P278" s="16">
        <f t="shared" si="5"/>
        <v>-0.05337265722</v>
      </c>
      <c r="Q278" s="30">
        <f t="shared" si="6"/>
        <v>-0.02050169324</v>
      </c>
      <c r="R278" s="30">
        <f t="shared" si="7"/>
        <v>-0.03990222327</v>
      </c>
      <c r="S278" s="30">
        <f t="shared" si="8"/>
        <v>-0.01765374238</v>
      </c>
      <c r="T278" s="30">
        <f t="shared" si="9"/>
        <v>-0.1801655239</v>
      </c>
    </row>
    <row r="279">
      <c r="A279" s="1">
        <v>276.0</v>
      </c>
      <c r="B279" s="22" t="s">
        <v>879</v>
      </c>
      <c r="C279" s="22" t="s">
        <v>665</v>
      </c>
      <c r="D279" s="22" t="s">
        <v>880</v>
      </c>
      <c r="E279" s="23">
        <f>IFERROR(__xludf.DUMMYFUNCTION("GOOGLEFINANCE(""NSE:""&amp;D279,""marketcap"")/10000000"),11395.2281)</f>
        <v>11395.2281</v>
      </c>
      <c r="F279" s="17">
        <f>IFERROR(__xludf.DUMMYFUNCTION("GOOGLEFINANCE(""NSE:""&amp;D279)"),23.0)</f>
        <v>23</v>
      </c>
      <c r="G279" s="17">
        <f>IFERROR(__xludf.DUMMYFUNCTION("GOOGLEFINANCE(""NSE:""&amp;D279,""closeyest"")"),23.1)</f>
        <v>23.1</v>
      </c>
      <c r="H279" s="17">
        <f>IFERROR(__xludf.DUMMYFUNCTION("INDEX(GOOGLEFINANCE(""NSE:""&amp;D279,""PRICE"",TODAY()-7),2,2)"),23.8)</f>
        <v>23.8</v>
      </c>
      <c r="I279" s="17">
        <f>IFERROR(__xludf.DUMMYFUNCTION("INDEX(GOOGLEFINANCE(""NSE:""&amp;D279,""PRICE"",TODAY()-14),2,2)"),24.25)</f>
        <v>24.25</v>
      </c>
      <c r="J279" s="17">
        <f>IFERROR(__xludf.DUMMYFUNCTION("INDEX(GOOGLEFINANCE(""NSE:""&amp;D279,""PRICE"",TODAY()-28),2,2)"),22.05)</f>
        <v>22.05</v>
      </c>
      <c r="K279" s="17">
        <f>IFERROR(__xludf.DUMMYFUNCTION("INDEX(GOOGLEFINANCE(""NSE:""&amp;D279,""PRICE"",TODAY()-84),2,2)"),26.7)</f>
        <v>26.7</v>
      </c>
      <c r="L279" s="16">
        <f t="shared" si="1"/>
        <v>-0.004329004329</v>
      </c>
      <c r="M279" s="16">
        <f t="shared" si="2"/>
        <v>-0.03361344538</v>
      </c>
      <c r="N279" s="16">
        <f t="shared" si="3"/>
        <v>-0.05154639175</v>
      </c>
      <c r="O279" s="16">
        <f t="shared" si="4"/>
        <v>0.04308390023</v>
      </c>
      <c r="P279" s="16">
        <f t="shared" si="5"/>
        <v>-0.138576779</v>
      </c>
      <c r="Q279" s="30">
        <f t="shared" si="6"/>
        <v>-0.04547190251</v>
      </c>
      <c r="R279" s="30">
        <f t="shared" si="7"/>
        <v>-0.07533074693</v>
      </c>
      <c r="S279" s="30">
        <f t="shared" si="8"/>
        <v>-0.0282883034</v>
      </c>
      <c r="T279" s="30">
        <f t="shared" si="9"/>
        <v>-0.2653696457</v>
      </c>
    </row>
    <row r="280">
      <c r="A280" s="1">
        <v>277.0</v>
      </c>
      <c r="B280" s="22" t="s">
        <v>740</v>
      </c>
      <c r="C280" s="22" t="s">
        <v>560</v>
      </c>
      <c r="D280" s="22" t="s">
        <v>741</v>
      </c>
      <c r="E280" s="23">
        <f>IFERROR(__xludf.DUMMYFUNCTION("GOOGLEFINANCE(""NSE:""&amp;D280,""marketcap"")/10000000"),11413.1574977)</f>
        <v>11413.1575</v>
      </c>
      <c r="F280" s="17">
        <f>IFERROR(__xludf.DUMMYFUNCTION("GOOGLEFINANCE(""NSE:""&amp;D280)"),86.1)</f>
        <v>86.1</v>
      </c>
      <c r="G280" s="17">
        <f>IFERROR(__xludf.DUMMYFUNCTION("GOOGLEFINANCE(""NSE:""&amp;D280,""closeyest"")"),85.95)</f>
        <v>85.95</v>
      </c>
      <c r="H280" s="17">
        <f>IFERROR(__xludf.DUMMYFUNCTION("INDEX(GOOGLEFINANCE(""NSE:""&amp;D280,""PRICE"",TODAY()-7),2,2)"),92.2)</f>
        <v>92.2</v>
      </c>
      <c r="I280" s="17">
        <f>IFERROR(__xludf.DUMMYFUNCTION("INDEX(GOOGLEFINANCE(""NSE:""&amp;D280,""PRICE"",TODAY()-14),2,2)"),83.83)</f>
        <v>83.83</v>
      </c>
      <c r="J280" s="17">
        <f>IFERROR(__xludf.DUMMYFUNCTION("INDEX(GOOGLEFINANCE(""NSE:""&amp;D280,""PRICE"",TODAY()-28),2,2)"),75.86)</f>
        <v>75.86</v>
      </c>
      <c r="K280" s="17">
        <f>IFERROR(__xludf.DUMMYFUNCTION("INDEX(GOOGLEFINANCE(""NSE:""&amp;D280,""PRICE"",TODAY()-84),2,2)"),76.15)</f>
        <v>76.15</v>
      </c>
      <c r="L280" s="16">
        <f t="shared" si="1"/>
        <v>0.001745200698</v>
      </c>
      <c r="M280" s="16">
        <f t="shared" si="2"/>
        <v>-0.06616052061</v>
      </c>
      <c r="N280" s="16">
        <f t="shared" si="3"/>
        <v>0.02707861148</v>
      </c>
      <c r="O280" s="16">
        <f t="shared" si="4"/>
        <v>0.1349854996</v>
      </c>
      <c r="P280" s="16">
        <f t="shared" si="5"/>
        <v>0.1306631648</v>
      </c>
      <c r="Q280" s="30">
        <f t="shared" si="6"/>
        <v>-0.07801897774</v>
      </c>
      <c r="R280" s="30">
        <f t="shared" si="7"/>
        <v>0.003294256296</v>
      </c>
      <c r="S280" s="30">
        <f t="shared" si="8"/>
        <v>0.06361329598</v>
      </c>
      <c r="T280" s="30">
        <f t="shared" si="9"/>
        <v>0.003870298109</v>
      </c>
    </row>
    <row r="281">
      <c r="A281" s="1">
        <v>278.0</v>
      </c>
      <c r="B281" s="22" t="s">
        <v>881</v>
      </c>
      <c r="C281" s="22" t="s">
        <v>560</v>
      </c>
      <c r="D281" s="22" t="s">
        <v>882</v>
      </c>
      <c r="E281" s="23">
        <f>IFERROR(__xludf.DUMMYFUNCTION("GOOGLEFINANCE(""NSE:""&amp;D281,""marketcap"")/10000000"),11649.9618025)</f>
        <v>11649.9618</v>
      </c>
      <c r="F281" s="17">
        <f>IFERROR(__xludf.DUMMYFUNCTION("GOOGLEFINANCE(""NSE:""&amp;D281)"),454.25)</f>
        <v>454.25</v>
      </c>
      <c r="G281" s="17">
        <f>IFERROR(__xludf.DUMMYFUNCTION("GOOGLEFINANCE(""NSE:""&amp;D281,""closeyest"")"),441.7)</f>
        <v>441.7</v>
      </c>
      <c r="H281" s="17">
        <f>IFERROR(__xludf.DUMMYFUNCTION("INDEX(GOOGLEFINANCE(""NSE:""&amp;D281,""PRICE"",TODAY()-7),2,2)"),416.8)</f>
        <v>416.8</v>
      </c>
      <c r="I281" s="17">
        <f>IFERROR(__xludf.DUMMYFUNCTION("INDEX(GOOGLEFINANCE(""NSE:""&amp;D281,""PRICE"",TODAY()-14),2,2)"),440.7)</f>
        <v>440.7</v>
      </c>
      <c r="J281" s="17">
        <f>IFERROR(__xludf.DUMMYFUNCTION("INDEX(GOOGLEFINANCE(""NSE:""&amp;D281,""PRICE"",TODAY()-28),2,2)"),402.75)</f>
        <v>402.75</v>
      </c>
      <c r="K281" s="17">
        <f>IFERROR(__xludf.DUMMYFUNCTION("INDEX(GOOGLEFINANCE(""NSE:""&amp;D281,""PRICE"",TODAY()-84),2,2)"),429.9)</f>
        <v>429.9</v>
      </c>
      <c r="L281" s="16">
        <f t="shared" si="1"/>
        <v>0.02841294997</v>
      </c>
      <c r="M281" s="16">
        <f t="shared" si="2"/>
        <v>0.0898512476</v>
      </c>
      <c r="N281" s="16">
        <f t="shared" si="3"/>
        <v>0.0307465396</v>
      </c>
      <c r="O281" s="16">
        <f t="shared" si="4"/>
        <v>0.1278708876</v>
      </c>
      <c r="P281" s="16">
        <f t="shared" si="5"/>
        <v>0.05664107932</v>
      </c>
      <c r="Q281" s="30">
        <f t="shared" si="6"/>
        <v>0.07799279046</v>
      </c>
      <c r="R281" s="30">
        <f t="shared" si="7"/>
        <v>0.006962184416</v>
      </c>
      <c r="S281" s="30">
        <f t="shared" si="8"/>
        <v>0.05649868402</v>
      </c>
      <c r="T281" s="30">
        <f t="shared" si="9"/>
        <v>-0.07015178738</v>
      </c>
    </row>
    <row r="282">
      <c r="A282" s="1">
        <v>279.0</v>
      </c>
      <c r="B282" s="22" t="s">
        <v>883</v>
      </c>
      <c r="C282" s="22" t="s">
        <v>555</v>
      </c>
      <c r="D282" s="22" t="s">
        <v>884</v>
      </c>
      <c r="E282" s="23">
        <f>IFERROR(__xludf.DUMMYFUNCTION("GOOGLEFINANCE(""NSE:""&amp;D282,""marketcap"")/10000000"),11266.2650095)</f>
        <v>11266.26501</v>
      </c>
      <c r="F282" s="17">
        <f>IFERROR(__xludf.DUMMYFUNCTION("GOOGLEFINANCE(""NSE:""&amp;D282)"),144.2)</f>
        <v>144.2</v>
      </c>
      <c r="G282" s="17">
        <f>IFERROR(__xludf.DUMMYFUNCTION("GOOGLEFINANCE(""NSE:""&amp;D282,""closeyest"")"),143.65)</f>
        <v>143.65</v>
      </c>
      <c r="H282" s="17">
        <f>IFERROR(__xludf.DUMMYFUNCTION("INDEX(GOOGLEFINANCE(""NSE:""&amp;D282,""PRICE"",TODAY()-7),2,2)"),143.4)</f>
        <v>143.4</v>
      </c>
      <c r="I282" s="17">
        <f>IFERROR(__xludf.DUMMYFUNCTION("INDEX(GOOGLEFINANCE(""NSE:""&amp;D282,""PRICE"",TODAY()-14),2,2)"),145.4)</f>
        <v>145.4</v>
      </c>
      <c r="J282" s="17">
        <f>IFERROR(__xludf.DUMMYFUNCTION("INDEX(GOOGLEFINANCE(""NSE:""&amp;D282,""PRICE"",TODAY()-28),2,2)"),152.65)</f>
        <v>152.65</v>
      </c>
      <c r="K282" s="17">
        <f>IFERROR(__xludf.DUMMYFUNCTION("INDEX(GOOGLEFINANCE(""NSE:""&amp;D282,""PRICE"",TODAY()-84),2,2)"),146.5)</f>
        <v>146.5</v>
      </c>
      <c r="L282" s="16">
        <f t="shared" si="1"/>
        <v>0.003828750435</v>
      </c>
      <c r="M282" s="16">
        <f t="shared" si="2"/>
        <v>0.005578800558</v>
      </c>
      <c r="N282" s="16">
        <f t="shared" si="3"/>
        <v>-0.008253094911</v>
      </c>
      <c r="O282" s="16">
        <f t="shared" si="4"/>
        <v>-0.05535538814</v>
      </c>
      <c r="P282" s="16">
        <f t="shared" si="5"/>
        <v>-0.0156996587</v>
      </c>
      <c r="Q282" s="30">
        <f t="shared" si="6"/>
        <v>-0.006279656578</v>
      </c>
      <c r="R282" s="30">
        <f t="shared" si="7"/>
        <v>-0.03203745009</v>
      </c>
      <c r="S282" s="30">
        <f t="shared" si="8"/>
        <v>-0.1267275918</v>
      </c>
      <c r="T282" s="30">
        <f t="shared" si="9"/>
        <v>-0.1424925254</v>
      </c>
    </row>
    <row r="283">
      <c r="A283" s="1">
        <v>280.0</v>
      </c>
      <c r="B283" s="22" t="s">
        <v>885</v>
      </c>
      <c r="C283" s="22" t="s">
        <v>665</v>
      </c>
      <c r="D283" s="22" t="s">
        <v>886</v>
      </c>
      <c r="E283" s="23">
        <f>IFERROR(__xludf.DUMMYFUNCTION("GOOGLEFINANCE(""NSE:""&amp;D283,""marketcap"")/10000000"),11081.41408)</f>
        <v>11081.41408</v>
      </c>
      <c r="F283" s="17">
        <f>IFERROR(__xludf.DUMMYFUNCTION("GOOGLEFINANCE(""NSE:""&amp;D283)"),3685.0)</f>
        <v>3685</v>
      </c>
      <c r="G283" s="17">
        <f>IFERROR(__xludf.DUMMYFUNCTION("GOOGLEFINANCE(""NSE:""&amp;D283,""closeyest"")"),3721.75)</f>
        <v>3721.75</v>
      </c>
      <c r="H283" s="17">
        <f>IFERROR(__xludf.DUMMYFUNCTION("INDEX(GOOGLEFINANCE(""NSE:""&amp;D283,""PRICE"",TODAY()-7),2,2)"),4000.3)</f>
        <v>4000.3</v>
      </c>
      <c r="I283" s="17">
        <f>IFERROR(__xludf.DUMMYFUNCTION("INDEX(GOOGLEFINANCE(""NSE:""&amp;D283,""PRICE"",TODAY()-14),2,2)"),4156.05)</f>
        <v>4156.05</v>
      </c>
      <c r="J283" s="17">
        <f>IFERROR(__xludf.DUMMYFUNCTION("INDEX(GOOGLEFINANCE(""NSE:""&amp;D283,""PRICE"",TODAY()-28),2,2)"),3892.75)</f>
        <v>3892.75</v>
      </c>
      <c r="K283" s="17">
        <f>IFERROR(__xludf.DUMMYFUNCTION("INDEX(GOOGLEFINANCE(""NSE:""&amp;D283,""PRICE"",TODAY()-84),2,2)"),3703.4)</f>
        <v>3703.4</v>
      </c>
      <c r="L283" s="16">
        <f t="shared" si="1"/>
        <v>-0.009874387049</v>
      </c>
      <c r="M283" s="16">
        <f t="shared" si="2"/>
        <v>-0.07881908857</v>
      </c>
      <c r="N283" s="16">
        <f t="shared" si="3"/>
        <v>-0.1133407923</v>
      </c>
      <c r="O283" s="16">
        <f t="shared" si="4"/>
        <v>-0.05336844133</v>
      </c>
      <c r="P283" s="16">
        <f t="shared" si="5"/>
        <v>-0.004968407409</v>
      </c>
      <c r="Q283" s="30">
        <f t="shared" si="6"/>
        <v>-0.0906775457</v>
      </c>
      <c r="R283" s="30">
        <f t="shared" si="7"/>
        <v>-0.1371251475</v>
      </c>
      <c r="S283" s="30">
        <f t="shared" si="8"/>
        <v>-0.124740645</v>
      </c>
      <c r="T283" s="30">
        <f t="shared" si="9"/>
        <v>-0.1317612741</v>
      </c>
    </row>
    <row r="284">
      <c r="A284" s="1">
        <v>281.0</v>
      </c>
      <c r="B284" s="22" t="s">
        <v>742</v>
      </c>
      <c r="C284" s="22" t="s">
        <v>528</v>
      </c>
      <c r="D284" s="22" t="s">
        <v>743</v>
      </c>
      <c r="E284" s="23">
        <f>IFERROR(__xludf.DUMMYFUNCTION("GOOGLEFINANCE(""NSE:""&amp;D284,""marketcap"")/10000000"),11281.8147685)</f>
        <v>11281.81477</v>
      </c>
      <c r="F284" s="17">
        <f>IFERROR(__xludf.DUMMYFUNCTION("GOOGLEFINANCE(""NSE:""&amp;D284)"),152.7)</f>
        <v>152.7</v>
      </c>
      <c r="G284" s="17">
        <f>IFERROR(__xludf.DUMMYFUNCTION("GOOGLEFINANCE(""NSE:""&amp;D284,""closeyest"")"),149.85)</f>
        <v>149.85</v>
      </c>
      <c r="H284" s="17">
        <f>IFERROR(__xludf.DUMMYFUNCTION("INDEX(GOOGLEFINANCE(""NSE:""&amp;D284,""PRICE"",TODAY()-7),2,2)"),153.55)</f>
        <v>153.55</v>
      </c>
      <c r="I284" s="17">
        <f>IFERROR(__xludf.DUMMYFUNCTION("INDEX(GOOGLEFINANCE(""NSE:""&amp;D284,""PRICE"",TODAY()-14),2,2)"),155.55)</f>
        <v>155.55</v>
      </c>
      <c r="J284" s="17">
        <f>IFERROR(__xludf.DUMMYFUNCTION("INDEX(GOOGLEFINANCE(""NSE:""&amp;D284,""PRICE"",TODAY()-28),2,2)"),148.3)</f>
        <v>148.3</v>
      </c>
      <c r="K284" s="17">
        <f>IFERROR(__xludf.DUMMYFUNCTION("INDEX(GOOGLEFINANCE(""NSE:""&amp;D284,""PRICE"",TODAY()-84),2,2)"),164.25)</f>
        <v>164.25</v>
      </c>
      <c r="L284" s="16">
        <f t="shared" si="1"/>
        <v>0.01901901902</v>
      </c>
      <c r="M284" s="16">
        <f t="shared" si="2"/>
        <v>-0.005535656138</v>
      </c>
      <c r="N284" s="16">
        <f t="shared" si="3"/>
        <v>-0.01832208293</v>
      </c>
      <c r="O284" s="16">
        <f t="shared" si="4"/>
        <v>0.02966958867</v>
      </c>
      <c r="P284" s="16">
        <f t="shared" si="5"/>
        <v>-0.0703196347</v>
      </c>
      <c r="Q284" s="30">
        <f t="shared" si="6"/>
        <v>-0.01739411327</v>
      </c>
      <c r="R284" s="30">
        <f t="shared" si="7"/>
        <v>-0.04210643811</v>
      </c>
      <c r="S284" s="30">
        <f t="shared" si="8"/>
        <v>-0.04170261496</v>
      </c>
      <c r="T284" s="30">
        <f t="shared" si="9"/>
        <v>-0.1971125014</v>
      </c>
    </row>
    <row r="285">
      <c r="A285" s="1">
        <v>282.0</v>
      </c>
      <c r="B285" s="22" t="s">
        <v>887</v>
      </c>
      <c r="C285" s="22" t="s">
        <v>528</v>
      </c>
      <c r="D285" s="22" t="s">
        <v>888</v>
      </c>
      <c r="E285" s="23">
        <f>IFERROR(__xludf.DUMMYFUNCTION("GOOGLEFINANCE(""NSE:""&amp;D285,""marketcap"")/10000000"),11256.98568)</f>
        <v>11256.98568</v>
      </c>
      <c r="F285" s="17">
        <f>IFERROR(__xludf.DUMMYFUNCTION("GOOGLEFINANCE(""NSE:""&amp;D285)"),668.0)</f>
        <v>668</v>
      </c>
      <c r="G285" s="17">
        <f>IFERROR(__xludf.DUMMYFUNCTION("GOOGLEFINANCE(""NSE:""&amp;D285,""closeyest"")"),659.6)</f>
        <v>659.6</v>
      </c>
      <c r="H285" s="17">
        <f>IFERROR(__xludf.DUMMYFUNCTION("INDEX(GOOGLEFINANCE(""NSE:""&amp;D285,""PRICE"",TODAY()-7),2,2)"),660.65)</f>
        <v>660.65</v>
      </c>
      <c r="I285" s="17">
        <f>IFERROR(__xludf.DUMMYFUNCTION("INDEX(GOOGLEFINANCE(""NSE:""&amp;D285,""PRICE"",TODAY()-14),2,2)"),636.5)</f>
        <v>636.5</v>
      </c>
      <c r="J285" s="17">
        <f>IFERROR(__xludf.DUMMYFUNCTION("INDEX(GOOGLEFINANCE(""NSE:""&amp;D285,""PRICE"",TODAY()-28),2,2)"),650.8)</f>
        <v>650.8</v>
      </c>
      <c r="K285" s="17">
        <f>IFERROR(__xludf.DUMMYFUNCTION("INDEX(GOOGLEFINANCE(""NSE:""&amp;D285,""PRICE"",TODAY()-84),2,2)"),692.75)</f>
        <v>692.75</v>
      </c>
      <c r="L285" s="16">
        <f t="shared" si="1"/>
        <v>0.0127349909</v>
      </c>
      <c r="M285" s="16">
        <f t="shared" si="2"/>
        <v>0.0111254068</v>
      </c>
      <c r="N285" s="16">
        <f t="shared" si="3"/>
        <v>0.04948939513</v>
      </c>
      <c r="O285" s="16">
        <f t="shared" si="4"/>
        <v>0.02642901045</v>
      </c>
      <c r="P285" s="16">
        <f t="shared" si="5"/>
        <v>-0.03572717431</v>
      </c>
      <c r="Q285" s="30">
        <f t="shared" si="6"/>
        <v>-0.0007330503399</v>
      </c>
      <c r="R285" s="30">
        <f t="shared" si="7"/>
        <v>0.02570503995</v>
      </c>
      <c r="S285" s="30">
        <f t="shared" si="8"/>
        <v>-0.04494319318</v>
      </c>
      <c r="T285" s="30">
        <f t="shared" si="9"/>
        <v>-0.162520041</v>
      </c>
    </row>
    <row r="286">
      <c r="A286" s="1">
        <v>283.0</v>
      </c>
      <c r="B286" s="22" t="s">
        <v>889</v>
      </c>
      <c r="C286" s="22" t="s">
        <v>531</v>
      </c>
      <c r="D286" s="22" t="s">
        <v>890</v>
      </c>
      <c r="E286" s="23">
        <f>IFERROR(__xludf.DUMMYFUNCTION("GOOGLEFINANCE(""NSE:""&amp;D286,""marketcap"")/10000000"),11076.2457914)</f>
        <v>11076.24579</v>
      </c>
      <c r="F286" s="17">
        <f>IFERROR(__xludf.DUMMYFUNCTION("GOOGLEFINANCE(""NSE:""&amp;D286)"),118.25)</f>
        <v>118.25</v>
      </c>
      <c r="G286" s="17">
        <f>IFERROR(__xludf.DUMMYFUNCTION("GOOGLEFINANCE(""NSE:""&amp;D286,""closeyest"")"),118.35)</f>
        <v>118.35</v>
      </c>
      <c r="H286" s="17">
        <f>IFERROR(__xludf.DUMMYFUNCTION("INDEX(GOOGLEFINANCE(""NSE:""&amp;D286,""PRICE"",TODAY()-7),2,2)"),118.6)</f>
        <v>118.6</v>
      </c>
      <c r="I286" s="17">
        <f>IFERROR(__xludf.DUMMYFUNCTION("INDEX(GOOGLEFINANCE(""NSE:""&amp;D286,""PRICE"",TODAY()-14),2,2)"),121.0)</f>
        <v>121</v>
      </c>
      <c r="J286" s="17">
        <f>IFERROR(__xludf.DUMMYFUNCTION("INDEX(GOOGLEFINANCE(""NSE:""&amp;D286,""PRICE"",TODAY()-28),2,2)"),114.15)</f>
        <v>114.15</v>
      </c>
      <c r="K286" s="17">
        <f>IFERROR(__xludf.DUMMYFUNCTION("INDEX(GOOGLEFINANCE(""NSE:""&amp;D286,""PRICE"",TODAY()-84),2,2)"),131.25)</f>
        <v>131.25</v>
      </c>
      <c r="L286" s="16">
        <f t="shared" si="1"/>
        <v>-0.0008449514153</v>
      </c>
      <c r="M286" s="16">
        <f t="shared" si="2"/>
        <v>-0.002951096121</v>
      </c>
      <c r="N286" s="16">
        <f t="shared" si="3"/>
        <v>-0.02272727273</v>
      </c>
      <c r="O286" s="16">
        <f t="shared" si="4"/>
        <v>0.03591765221</v>
      </c>
      <c r="P286" s="16">
        <f t="shared" si="5"/>
        <v>-0.09904761905</v>
      </c>
      <c r="Q286" s="30">
        <f t="shared" si="6"/>
        <v>-0.01480955326</v>
      </c>
      <c r="R286" s="30">
        <f t="shared" si="7"/>
        <v>-0.04651162791</v>
      </c>
      <c r="S286" s="30">
        <f t="shared" si="8"/>
        <v>-0.03545455142</v>
      </c>
      <c r="T286" s="30">
        <f t="shared" si="9"/>
        <v>-0.2258404857</v>
      </c>
    </row>
    <row r="287">
      <c r="A287" s="1">
        <v>284.0</v>
      </c>
      <c r="B287" s="22" t="s">
        <v>744</v>
      </c>
      <c r="C287" s="22" t="s">
        <v>526</v>
      </c>
      <c r="D287" s="22" t="s">
        <v>745</v>
      </c>
      <c r="E287" s="23">
        <f>IFERROR(__xludf.DUMMYFUNCTION("GOOGLEFINANCE(""NSE:""&amp;D287,""marketcap"")/10000000"),11111.9064342)</f>
        <v>11111.90643</v>
      </c>
      <c r="F287" s="17">
        <f>IFERROR(__xludf.DUMMYFUNCTION("GOOGLEFINANCE(""NSE:""&amp;D287)"),258.0)</f>
        <v>258</v>
      </c>
      <c r="G287" s="17">
        <f>IFERROR(__xludf.DUMMYFUNCTION("GOOGLEFINANCE(""NSE:""&amp;D287,""closeyest"")"),254.7)</f>
        <v>254.7</v>
      </c>
      <c r="H287" s="17">
        <f>IFERROR(__xludf.DUMMYFUNCTION("INDEX(GOOGLEFINANCE(""NSE:""&amp;D287,""PRICE"",TODAY()-7),2,2)"),259.6)</f>
        <v>259.6</v>
      </c>
      <c r="I287" s="17">
        <f>IFERROR(__xludf.DUMMYFUNCTION("INDEX(GOOGLEFINANCE(""NSE:""&amp;D287,""PRICE"",TODAY()-14),2,2)"),260.6)</f>
        <v>260.6</v>
      </c>
      <c r="J287" s="17">
        <f>IFERROR(__xludf.DUMMYFUNCTION("INDEX(GOOGLEFINANCE(""NSE:""&amp;D287,""PRICE"",TODAY()-28),2,2)"),240.35)</f>
        <v>240.35</v>
      </c>
      <c r="K287" s="17">
        <f>IFERROR(__xludf.DUMMYFUNCTION("INDEX(GOOGLEFINANCE(""NSE:""&amp;D287,""PRICE"",TODAY()-84),2,2)"),264.9)</f>
        <v>264.9</v>
      </c>
      <c r="L287" s="16">
        <f t="shared" si="1"/>
        <v>0.01295641932</v>
      </c>
      <c r="M287" s="16">
        <f t="shared" si="2"/>
        <v>-0.006163328197</v>
      </c>
      <c r="N287" s="16">
        <f t="shared" si="3"/>
        <v>-0.009976976209</v>
      </c>
      <c r="O287" s="16">
        <f t="shared" si="4"/>
        <v>0.07343457458</v>
      </c>
      <c r="P287" s="16">
        <f t="shared" si="5"/>
        <v>-0.02604756512</v>
      </c>
      <c r="Q287" s="30">
        <f t="shared" si="6"/>
        <v>-0.01802178533</v>
      </c>
      <c r="R287" s="30">
        <f t="shared" si="7"/>
        <v>-0.03376133139</v>
      </c>
      <c r="S287" s="30">
        <f t="shared" si="8"/>
        <v>0.00206237095</v>
      </c>
      <c r="T287" s="30">
        <f t="shared" si="9"/>
        <v>-0.1528404318</v>
      </c>
    </row>
    <row r="288">
      <c r="A288" s="1">
        <v>285.0</v>
      </c>
      <c r="B288" s="22" t="s">
        <v>891</v>
      </c>
      <c r="C288" s="22" t="s">
        <v>618</v>
      </c>
      <c r="D288" s="22" t="s">
        <v>892</v>
      </c>
      <c r="E288" s="23">
        <f>IFERROR(__xludf.DUMMYFUNCTION("GOOGLEFINANCE(""NSE:""&amp;D288,""marketcap"")/10000000"),11332.977154)</f>
        <v>11332.97715</v>
      </c>
      <c r="F288" s="17">
        <f>IFERROR(__xludf.DUMMYFUNCTION("GOOGLEFINANCE(""NSE:""&amp;D288)"),554.1)</f>
        <v>554.1</v>
      </c>
      <c r="G288" s="17">
        <f>IFERROR(__xludf.DUMMYFUNCTION("GOOGLEFINANCE(""NSE:""&amp;D288,""closeyest"")"),530.8)</f>
        <v>530.8</v>
      </c>
      <c r="H288" s="17">
        <f>IFERROR(__xludf.DUMMYFUNCTION("INDEX(GOOGLEFINANCE(""NSE:""&amp;D288,""PRICE"",TODAY()-7),2,2)"),532.8)</f>
        <v>532.8</v>
      </c>
      <c r="I288" s="17">
        <f>IFERROR(__xludf.DUMMYFUNCTION("INDEX(GOOGLEFINANCE(""NSE:""&amp;D288,""PRICE"",TODAY()-14),2,2)"),526.5)</f>
        <v>526.5</v>
      </c>
      <c r="J288" s="17">
        <f>IFERROR(__xludf.DUMMYFUNCTION("INDEX(GOOGLEFINANCE(""NSE:""&amp;D288,""PRICE"",TODAY()-28),2,2)"),511.75)</f>
        <v>511.75</v>
      </c>
      <c r="K288" s="17">
        <f>IFERROR(__xludf.DUMMYFUNCTION("INDEX(GOOGLEFINANCE(""NSE:""&amp;D288,""PRICE"",TODAY()-84),2,2)"),477.25)</f>
        <v>477.25</v>
      </c>
      <c r="L288" s="16">
        <f t="shared" si="1"/>
        <v>0.04389600603</v>
      </c>
      <c r="M288" s="16">
        <f t="shared" si="2"/>
        <v>0.03997747748</v>
      </c>
      <c r="N288" s="16">
        <f t="shared" si="3"/>
        <v>0.05242165242</v>
      </c>
      <c r="O288" s="16">
        <f t="shared" si="4"/>
        <v>0.08275525159</v>
      </c>
      <c r="P288" s="16">
        <f t="shared" si="5"/>
        <v>0.1610267156</v>
      </c>
      <c r="Q288" s="30">
        <f t="shared" si="6"/>
        <v>0.02811902034</v>
      </c>
      <c r="R288" s="30">
        <f t="shared" si="7"/>
        <v>0.02863729724</v>
      </c>
      <c r="S288" s="30">
        <f t="shared" si="8"/>
        <v>0.01138304796</v>
      </c>
      <c r="T288" s="30">
        <f t="shared" si="9"/>
        <v>0.03423384886</v>
      </c>
    </row>
    <row r="289">
      <c r="A289" s="1">
        <v>286.0</v>
      </c>
      <c r="B289" s="22" t="s">
        <v>746</v>
      </c>
      <c r="C289" s="22" t="s">
        <v>522</v>
      </c>
      <c r="D289" s="22" t="s">
        <v>747</v>
      </c>
      <c r="E289" s="23">
        <f>IFERROR(__xludf.DUMMYFUNCTION("GOOGLEFINANCE(""NSE:""&amp;D289,""marketcap"")/10000000"),10952.9683498)</f>
        <v>10952.96835</v>
      </c>
      <c r="F289" s="17">
        <f>IFERROR(__xludf.DUMMYFUNCTION("GOOGLEFINANCE(""NSE:""&amp;D289)"),1108.85)</f>
        <v>1108.85</v>
      </c>
      <c r="G289" s="17">
        <f>IFERROR(__xludf.DUMMYFUNCTION("GOOGLEFINANCE(""NSE:""&amp;D289,""closeyest"")"),1094.3)</f>
        <v>1094.3</v>
      </c>
      <c r="H289" s="17">
        <f>IFERROR(__xludf.DUMMYFUNCTION("INDEX(GOOGLEFINANCE(""NSE:""&amp;D289,""PRICE"",TODAY()-7),2,2)"),1135.9)</f>
        <v>1135.9</v>
      </c>
      <c r="I289" s="17">
        <f>IFERROR(__xludf.DUMMYFUNCTION("INDEX(GOOGLEFINANCE(""NSE:""&amp;D289,""PRICE"",TODAY()-14),2,2)"),1181.65)</f>
        <v>1181.65</v>
      </c>
      <c r="J289" s="17">
        <f>IFERROR(__xludf.DUMMYFUNCTION("INDEX(GOOGLEFINANCE(""NSE:""&amp;D289,""PRICE"",TODAY()-28),2,2)"),1131.9)</f>
        <v>1131.9</v>
      </c>
      <c r="K289" s="17">
        <f>IFERROR(__xludf.DUMMYFUNCTION("INDEX(GOOGLEFINANCE(""NSE:""&amp;D289,""PRICE"",TODAY()-84),2,2)"),1141.55)</f>
        <v>1141.55</v>
      </c>
      <c r="L289" s="16">
        <f t="shared" si="1"/>
        <v>0.01329617107</v>
      </c>
      <c r="M289" s="16">
        <f t="shared" si="2"/>
        <v>-0.023813716</v>
      </c>
      <c r="N289" s="16">
        <f t="shared" si="3"/>
        <v>-0.0616087674</v>
      </c>
      <c r="O289" s="16">
        <f t="shared" si="4"/>
        <v>-0.02036398975</v>
      </c>
      <c r="P289" s="16">
        <f t="shared" si="5"/>
        <v>-0.02864526302</v>
      </c>
      <c r="Q289" s="30">
        <f t="shared" si="6"/>
        <v>-0.03567217313</v>
      </c>
      <c r="R289" s="30">
        <f t="shared" si="7"/>
        <v>-0.08539312258</v>
      </c>
      <c r="S289" s="30">
        <f t="shared" si="8"/>
        <v>-0.09173619338</v>
      </c>
      <c r="T289" s="30">
        <f t="shared" si="9"/>
        <v>-0.1554381297</v>
      </c>
    </row>
    <row r="290">
      <c r="A290" s="1">
        <v>287.0</v>
      </c>
      <c r="B290" s="22" t="s">
        <v>893</v>
      </c>
      <c r="C290" s="22" t="s">
        <v>552</v>
      </c>
      <c r="D290" s="22" t="s">
        <v>894</v>
      </c>
      <c r="E290" s="23">
        <f>IFERROR(__xludf.DUMMYFUNCTION("GOOGLEFINANCE(""NSE:""&amp;D290,""marketcap"")/10000000"),10937.0390304)</f>
        <v>10937.03903</v>
      </c>
      <c r="F290" s="17">
        <f>IFERROR(__xludf.DUMMYFUNCTION("GOOGLEFINANCE(""NSE:""&amp;D290)"),112.9)</f>
        <v>112.9</v>
      </c>
      <c r="G290" s="17">
        <f>IFERROR(__xludf.DUMMYFUNCTION("GOOGLEFINANCE(""NSE:""&amp;D290,""closeyest"")"),111.4)</f>
        <v>111.4</v>
      </c>
      <c r="H290" s="17">
        <f>IFERROR(__xludf.DUMMYFUNCTION("INDEX(GOOGLEFINANCE(""NSE:""&amp;D290,""PRICE"",TODAY()-7),2,2)"),116.8)</f>
        <v>116.8</v>
      </c>
      <c r="I290" s="17">
        <f>IFERROR(__xludf.DUMMYFUNCTION("INDEX(GOOGLEFINANCE(""NSE:""&amp;D290,""PRICE"",TODAY()-14),2,2)"),124.6)</f>
        <v>124.6</v>
      </c>
      <c r="J290" s="17">
        <f>IFERROR(__xludf.DUMMYFUNCTION("INDEX(GOOGLEFINANCE(""NSE:""&amp;D290,""PRICE"",TODAY()-28),2,2)"),115.7)</f>
        <v>115.7</v>
      </c>
      <c r="K290" s="17">
        <f>IFERROR(__xludf.DUMMYFUNCTION("INDEX(GOOGLEFINANCE(""NSE:""&amp;D290,""PRICE"",TODAY()-84),2,2)"),140.8)</f>
        <v>140.8</v>
      </c>
      <c r="L290" s="16">
        <f t="shared" si="1"/>
        <v>0.01346499102</v>
      </c>
      <c r="M290" s="16">
        <f t="shared" si="2"/>
        <v>-0.03339041096</v>
      </c>
      <c r="N290" s="16">
        <f t="shared" si="3"/>
        <v>-0.09390048154</v>
      </c>
      <c r="O290" s="16">
        <f t="shared" si="4"/>
        <v>-0.02420051858</v>
      </c>
      <c r="P290" s="16">
        <f t="shared" si="5"/>
        <v>-0.1981534091</v>
      </c>
      <c r="Q290" s="30">
        <f t="shared" si="6"/>
        <v>-0.0452488681</v>
      </c>
      <c r="R290" s="30">
        <f t="shared" si="7"/>
        <v>-0.1176848367</v>
      </c>
      <c r="S290" s="30">
        <f t="shared" si="8"/>
        <v>-0.09557272221</v>
      </c>
      <c r="T290" s="30">
        <f t="shared" si="9"/>
        <v>-0.3249462758</v>
      </c>
    </row>
    <row r="291">
      <c r="A291" s="1">
        <v>288.0</v>
      </c>
      <c r="B291" s="22" t="s">
        <v>895</v>
      </c>
      <c r="C291" s="22" t="s">
        <v>531</v>
      </c>
      <c r="D291" s="22" t="s">
        <v>896</v>
      </c>
      <c r="E291" s="23">
        <f>IFERROR(__xludf.DUMMYFUNCTION("GOOGLEFINANCE(""NSE:""&amp;D291,""marketcap"")/10000000"),11203.1821684)</f>
        <v>11203.18217</v>
      </c>
      <c r="F291" s="17">
        <f>IFERROR(__xludf.DUMMYFUNCTION("GOOGLEFINANCE(""NSE:""&amp;D291)"),281.0)</f>
        <v>281</v>
      </c>
      <c r="G291" s="17">
        <f>IFERROR(__xludf.DUMMYFUNCTION("GOOGLEFINANCE(""NSE:""&amp;D291,""closeyest"")"),272.5)</f>
        <v>272.5</v>
      </c>
      <c r="H291" s="17">
        <f>IFERROR(__xludf.DUMMYFUNCTION("INDEX(GOOGLEFINANCE(""NSE:""&amp;D291,""PRICE"",TODAY()-7),2,2)"),277.85)</f>
        <v>277.85</v>
      </c>
      <c r="I291" s="17">
        <f>IFERROR(__xludf.DUMMYFUNCTION("INDEX(GOOGLEFINANCE(""NSE:""&amp;D291,""PRICE"",TODAY()-14),2,2)"),276.7)</f>
        <v>276.7</v>
      </c>
      <c r="J291" s="17">
        <f>IFERROR(__xludf.DUMMYFUNCTION("INDEX(GOOGLEFINANCE(""NSE:""&amp;D291,""PRICE"",TODAY()-28),2,2)"),260.65)</f>
        <v>260.65</v>
      </c>
      <c r="K291" s="17">
        <f>IFERROR(__xludf.DUMMYFUNCTION("INDEX(GOOGLEFINANCE(""NSE:""&amp;D291,""PRICE"",TODAY()-84),2,2)"),281.35)</f>
        <v>281.35</v>
      </c>
      <c r="L291" s="16">
        <f t="shared" si="1"/>
        <v>0.03119266055</v>
      </c>
      <c r="M291" s="16">
        <f t="shared" si="2"/>
        <v>0.01133705237</v>
      </c>
      <c r="N291" s="16">
        <f t="shared" si="3"/>
        <v>0.01554029635</v>
      </c>
      <c r="O291" s="16">
        <f t="shared" si="4"/>
        <v>0.07807404566</v>
      </c>
      <c r="P291" s="16">
        <f t="shared" si="5"/>
        <v>-0.001244002133</v>
      </c>
      <c r="Q291" s="30">
        <f t="shared" si="6"/>
        <v>-0.0005214047698</v>
      </c>
      <c r="R291" s="30">
        <f t="shared" si="7"/>
        <v>-0.00824405883</v>
      </c>
      <c r="S291" s="30">
        <f t="shared" si="8"/>
        <v>0.006701842026</v>
      </c>
      <c r="T291" s="30">
        <f t="shared" si="9"/>
        <v>-0.1280368688</v>
      </c>
    </row>
    <row r="292">
      <c r="A292" s="1">
        <v>289.0</v>
      </c>
      <c r="B292" s="22" t="s">
        <v>748</v>
      </c>
      <c r="C292" s="22" t="s">
        <v>528</v>
      </c>
      <c r="D292" s="22" t="s">
        <v>749</v>
      </c>
      <c r="E292" s="23">
        <f>IFERROR(__xludf.DUMMYFUNCTION("GOOGLEFINANCE(""NSE:""&amp;D292,""marketcap"")/10000000"),11183.0346819)</f>
        <v>11183.03468</v>
      </c>
      <c r="F292" s="17">
        <f>IFERROR(__xludf.DUMMYFUNCTION("GOOGLEFINANCE(""NSE:""&amp;D292)"),187.05)</f>
        <v>187.05</v>
      </c>
      <c r="G292" s="17">
        <f>IFERROR(__xludf.DUMMYFUNCTION("GOOGLEFINANCE(""NSE:""&amp;D292,""closeyest"")"),179.1)</f>
        <v>179.1</v>
      </c>
      <c r="H292" s="17">
        <f>IFERROR(__xludf.DUMMYFUNCTION("INDEX(GOOGLEFINANCE(""NSE:""&amp;D292,""PRICE"",TODAY()-7),2,2)"),181.0)</f>
        <v>181</v>
      </c>
      <c r="I292" s="17">
        <f>IFERROR(__xludf.DUMMYFUNCTION("INDEX(GOOGLEFINANCE(""NSE:""&amp;D292,""PRICE"",TODAY()-14),2,2)"),172.25)</f>
        <v>172.25</v>
      </c>
      <c r="J292" s="17">
        <f>IFERROR(__xludf.DUMMYFUNCTION("INDEX(GOOGLEFINANCE(""NSE:""&amp;D292,""PRICE"",TODAY()-28),2,2)"),162.75)</f>
        <v>162.75</v>
      </c>
      <c r="K292" s="17">
        <f>IFERROR(__xludf.DUMMYFUNCTION("INDEX(GOOGLEFINANCE(""NSE:""&amp;D292,""PRICE"",TODAY()-84),2,2)"),210.9)</f>
        <v>210.9</v>
      </c>
      <c r="L292" s="16">
        <f t="shared" si="1"/>
        <v>0.04438860972</v>
      </c>
      <c r="M292" s="16">
        <f t="shared" si="2"/>
        <v>0.03342541436</v>
      </c>
      <c r="N292" s="16">
        <f t="shared" si="3"/>
        <v>0.08592162554</v>
      </c>
      <c r="O292" s="16">
        <f t="shared" si="4"/>
        <v>0.1493087558</v>
      </c>
      <c r="P292" s="16">
        <f t="shared" si="5"/>
        <v>-0.113086771</v>
      </c>
      <c r="Q292" s="30">
        <f t="shared" si="6"/>
        <v>0.02156695723</v>
      </c>
      <c r="R292" s="30">
        <f t="shared" si="7"/>
        <v>0.06213727036</v>
      </c>
      <c r="S292" s="30">
        <f t="shared" si="8"/>
        <v>0.07793655213</v>
      </c>
      <c r="T292" s="30">
        <f t="shared" si="9"/>
        <v>-0.2398796377</v>
      </c>
    </row>
    <row r="293">
      <c r="A293" s="1">
        <v>290.0</v>
      </c>
      <c r="B293" s="22" t="s">
        <v>897</v>
      </c>
      <c r="C293" s="22" t="s">
        <v>528</v>
      </c>
      <c r="D293" s="22" t="s">
        <v>898</v>
      </c>
      <c r="E293" s="23">
        <f>IFERROR(__xludf.DUMMYFUNCTION("GOOGLEFINANCE(""NSE:""&amp;D293,""marketcap"")/10000000"),10437.0052042)</f>
        <v>10437.0052</v>
      </c>
      <c r="F293" s="17">
        <f>IFERROR(__xludf.DUMMYFUNCTION("GOOGLEFINANCE(""NSE:""&amp;D293)"),270.0)</f>
        <v>270</v>
      </c>
      <c r="G293" s="17">
        <f>IFERROR(__xludf.DUMMYFUNCTION("GOOGLEFINANCE(""NSE:""&amp;D293,""closeyest"")"),277.35)</f>
        <v>277.35</v>
      </c>
      <c r="H293" s="17">
        <f>IFERROR(__xludf.DUMMYFUNCTION("INDEX(GOOGLEFINANCE(""NSE:""&amp;D293,""PRICE"",TODAY()-7),2,2)"),280.5)</f>
        <v>280.5</v>
      </c>
      <c r="I293" s="17">
        <f>IFERROR(__xludf.DUMMYFUNCTION("INDEX(GOOGLEFINANCE(""NSE:""&amp;D293,""PRICE"",TODAY()-14),2,2)"),309.4)</f>
        <v>309.4</v>
      </c>
      <c r="J293" s="17">
        <f>IFERROR(__xludf.DUMMYFUNCTION("INDEX(GOOGLEFINANCE(""NSE:""&amp;D293,""PRICE"",TODAY()-28),2,2)"),283.7)</f>
        <v>283.7</v>
      </c>
      <c r="K293" s="17">
        <f>IFERROR(__xludf.DUMMYFUNCTION("INDEX(GOOGLEFINANCE(""NSE:""&amp;D293,""PRICE"",TODAY()-84),2,2)"),264.2)</f>
        <v>264.2</v>
      </c>
      <c r="L293" s="16">
        <f t="shared" si="1"/>
        <v>-0.02650081125</v>
      </c>
      <c r="M293" s="16">
        <f t="shared" si="2"/>
        <v>-0.03743315508</v>
      </c>
      <c r="N293" s="16">
        <f t="shared" si="3"/>
        <v>-0.127343245</v>
      </c>
      <c r="O293" s="16">
        <f t="shared" si="4"/>
        <v>-0.04829044766</v>
      </c>
      <c r="P293" s="16">
        <f t="shared" si="5"/>
        <v>0.02195306586</v>
      </c>
      <c r="Q293" s="30">
        <f t="shared" si="6"/>
        <v>-0.04929161222</v>
      </c>
      <c r="R293" s="30">
        <f t="shared" si="7"/>
        <v>-0.1511276002</v>
      </c>
      <c r="S293" s="30">
        <f t="shared" si="8"/>
        <v>-0.1196626513</v>
      </c>
      <c r="T293" s="30">
        <f t="shared" si="9"/>
        <v>-0.1048398008</v>
      </c>
    </row>
    <row r="294">
      <c r="A294" s="1">
        <v>291.0</v>
      </c>
      <c r="B294" s="22" t="s">
        <v>899</v>
      </c>
      <c r="C294" s="22" t="s">
        <v>560</v>
      </c>
      <c r="D294" s="22" t="s">
        <v>900</v>
      </c>
      <c r="E294" s="23">
        <f>IFERROR(__xludf.DUMMYFUNCTION("GOOGLEFINANCE(""NSE:""&amp;D294,""marketcap"")/10000000"),10630.17)</f>
        <v>10630.17</v>
      </c>
      <c r="F294" s="17">
        <f>IFERROR(__xludf.DUMMYFUNCTION("GOOGLEFINANCE(""NSE:""&amp;D294)"),27.0)</f>
        <v>27</v>
      </c>
      <c r="G294" s="17">
        <f>IFERROR(__xludf.DUMMYFUNCTION("GOOGLEFINANCE(""NSE:""&amp;D294,""closeyest"")"),26.85)</f>
        <v>26.85</v>
      </c>
      <c r="H294" s="17">
        <f>IFERROR(__xludf.DUMMYFUNCTION("INDEX(GOOGLEFINANCE(""NSE:""&amp;D294,""PRICE"",TODAY()-7),2,2)"),27.2)</f>
        <v>27.2</v>
      </c>
      <c r="I294" s="17">
        <f>IFERROR(__xludf.DUMMYFUNCTION("INDEX(GOOGLEFINANCE(""NSE:""&amp;D294,""PRICE"",TODAY()-14),2,2)"),26.95)</f>
        <v>26.95</v>
      </c>
      <c r="J294" s="17">
        <f>IFERROR(__xludf.DUMMYFUNCTION("INDEX(GOOGLEFINANCE(""NSE:""&amp;D294,""PRICE"",TODAY()-28),2,2)"),26.0)</f>
        <v>26</v>
      </c>
      <c r="K294" s="17">
        <f>IFERROR(__xludf.DUMMYFUNCTION("INDEX(GOOGLEFINANCE(""NSE:""&amp;D294,""PRICE"",TODAY()-84),2,2)"),27.8)</f>
        <v>27.8</v>
      </c>
      <c r="L294" s="16">
        <f t="shared" si="1"/>
        <v>0.005586592179</v>
      </c>
      <c r="M294" s="16">
        <f t="shared" si="2"/>
        <v>-0.007352941176</v>
      </c>
      <c r="N294" s="16">
        <f t="shared" si="3"/>
        <v>0.00185528757</v>
      </c>
      <c r="O294" s="16">
        <f t="shared" si="4"/>
        <v>0.03846153846</v>
      </c>
      <c r="P294" s="16">
        <f t="shared" si="5"/>
        <v>-0.02877697842</v>
      </c>
      <c r="Q294" s="30">
        <f t="shared" si="6"/>
        <v>-0.01921139831</v>
      </c>
      <c r="R294" s="30">
        <f t="shared" si="7"/>
        <v>-0.02192906761</v>
      </c>
      <c r="S294" s="30">
        <f t="shared" si="8"/>
        <v>-0.03291066517</v>
      </c>
      <c r="T294" s="30">
        <f t="shared" si="9"/>
        <v>-0.1555698451</v>
      </c>
    </row>
    <row r="295">
      <c r="A295" s="1">
        <v>292.0</v>
      </c>
      <c r="B295" s="22" t="s">
        <v>901</v>
      </c>
      <c r="C295" s="22" t="s">
        <v>665</v>
      </c>
      <c r="D295" s="22" t="s">
        <v>902</v>
      </c>
      <c r="E295" s="23">
        <f>IFERROR(__xludf.DUMMYFUNCTION("GOOGLEFINANCE(""NSE:""&amp;D295,""marketcap"")/10000000"),10455.1357552)</f>
        <v>10455.13576</v>
      </c>
      <c r="F295" s="17">
        <f>IFERROR(__xludf.DUMMYFUNCTION("GOOGLEFINANCE(""NSE:""&amp;D295)"),1813.2)</f>
        <v>1813.2</v>
      </c>
      <c r="G295" s="17">
        <f>IFERROR(__xludf.DUMMYFUNCTION("GOOGLEFINANCE(""NSE:""&amp;D295,""closeyest"")"),1808.05)</f>
        <v>1808.05</v>
      </c>
      <c r="H295" s="17">
        <f>IFERROR(__xludf.DUMMYFUNCTION("INDEX(GOOGLEFINANCE(""NSE:""&amp;D295,""PRICE"",TODAY()-7),2,2)"),1911.9)</f>
        <v>1911.9</v>
      </c>
      <c r="I295" s="17">
        <f>IFERROR(__xludf.DUMMYFUNCTION("INDEX(GOOGLEFINANCE(""NSE:""&amp;D295,""PRICE"",TODAY()-14),2,2)"),1922.3)</f>
        <v>1922.3</v>
      </c>
      <c r="J295" s="17">
        <f>IFERROR(__xludf.DUMMYFUNCTION("INDEX(GOOGLEFINANCE(""NSE:""&amp;D295,""PRICE"",TODAY()-28),2,2)"),1753.65)</f>
        <v>1753.65</v>
      </c>
      <c r="K295" s="17">
        <f>IFERROR(__xludf.DUMMYFUNCTION("INDEX(GOOGLEFINANCE(""NSE:""&amp;D295,""PRICE"",TODAY()-84),2,2)"),1383.2)</f>
        <v>1383.2</v>
      </c>
      <c r="L295" s="16">
        <f t="shared" si="1"/>
        <v>0.002848372556</v>
      </c>
      <c r="M295" s="16">
        <f t="shared" si="2"/>
        <v>-0.05162403891</v>
      </c>
      <c r="N295" s="16">
        <f t="shared" si="3"/>
        <v>-0.05675492899</v>
      </c>
      <c r="O295" s="16">
        <f t="shared" si="4"/>
        <v>0.03395774527</v>
      </c>
      <c r="P295" s="16">
        <f t="shared" si="5"/>
        <v>0.3108733372</v>
      </c>
      <c r="Q295" s="30">
        <f t="shared" si="6"/>
        <v>-0.06348249605</v>
      </c>
      <c r="R295" s="30">
        <f t="shared" si="7"/>
        <v>-0.08053928417</v>
      </c>
      <c r="S295" s="30">
        <f t="shared" si="8"/>
        <v>-0.03741445835</v>
      </c>
      <c r="T295" s="30">
        <f t="shared" si="9"/>
        <v>0.1840804705</v>
      </c>
    </row>
    <row r="296">
      <c r="A296" s="1">
        <v>293.0</v>
      </c>
      <c r="B296" s="22" t="s">
        <v>903</v>
      </c>
      <c r="C296" s="22" t="s">
        <v>618</v>
      </c>
      <c r="D296" s="22" t="s">
        <v>904</v>
      </c>
      <c r="E296" s="23">
        <f>IFERROR(__xludf.DUMMYFUNCTION("GOOGLEFINANCE(""NSE:""&amp;D296,""marketcap"")/10000000"),10460.8962708)</f>
        <v>10460.89627</v>
      </c>
      <c r="F296" s="17">
        <f>IFERROR(__xludf.DUMMYFUNCTION("GOOGLEFINANCE(""NSE:""&amp;D296)"),212.0)</f>
        <v>212</v>
      </c>
      <c r="G296" s="17">
        <f>IFERROR(__xludf.DUMMYFUNCTION("GOOGLEFINANCE(""NSE:""&amp;D296,""closeyest"")"),209.2)</f>
        <v>209.2</v>
      </c>
      <c r="H296" s="17">
        <f>IFERROR(__xludf.DUMMYFUNCTION("INDEX(GOOGLEFINANCE(""NSE:""&amp;D296,""PRICE"",TODAY()-7),2,2)"),216.35)</f>
        <v>216.35</v>
      </c>
      <c r="I296" s="17">
        <f>IFERROR(__xludf.DUMMYFUNCTION("INDEX(GOOGLEFINANCE(""NSE:""&amp;D296,""PRICE"",TODAY()-14),2,2)"),229.35)</f>
        <v>229.35</v>
      </c>
      <c r="J296" s="17">
        <f>IFERROR(__xludf.DUMMYFUNCTION("INDEX(GOOGLEFINANCE(""NSE:""&amp;D296,""PRICE"",TODAY()-28),2,2)"),195.25)</f>
        <v>195.25</v>
      </c>
      <c r="K296" s="17">
        <f>IFERROR(__xludf.DUMMYFUNCTION("INDEX(GOOGLEFINANCE(""NSE:""&amp;D296,""PRICE"",TODAY()-84),2,2)"),154.7)</f>
        <v>154.7</v>
      </c>
      <c r="L296" s="16">
        <f t="shared" si="1"/>
        <v>0.01338432122</v>
      </c>
      <c r="M296" s="16">
        <f t="shared" si="2"/>
        <v>-0.02010630922</v>
      </c>
      <c r="N296" s="16">
        <f t="shared" si="3"/>
        <v>-0.07564857205</v>
      </c>
      <c r="O296" s="16">
        <f t="shared" si="4"/>
        <v>0.08578745198</v>
      </c>
      <c r="P296" s="16">
        <f t="shared" si="5"/>
        <v>0.3703943116</v>
      </c>
      <c r="Q296" s="30">
        <f t="shared" si="6"/>
        <v>-0.03196476636</v>
      </c>
      <c r="R296" s="30">
        <f t="shared" si="7"/>
        <v>-0.09943292723</v>
      </c>
      <c r="S296" s="30">
        <f t="shared" si="8"/>
        <v>0.01441524836</v>
      </c>
      <c r="T296" s="30">
        <f t="shared" si="9"/>
        <v>0.2436014449</v>
      </c>
    </row>
    <row r="297">
      <c r="A297" s="1">
        <v>294.0</v>
      </c>
      <c r="B297" s="22" t="s">
        <v>905</v>
      </c>
      <c r="C297" s="22" t="s">
        <v>526</v>
      </c>
      <c r="D297" s="22" t="s">
        <v>906</v>
      </c>
      <c r="E297" s="23">
        <f>IFERROR(__xludf.DUMMYFUNCTION("GOOGLEFINANCE(""NSE:""&amp;D297,""marketcap"")/10000000"),10567.4090519)</f>
        <v>10567.40905</v>
      </c>
      <c r="F297" s="17">
        <f>IFERROR(__xludf.DUMMYFUNCTION("GOOGLEFINANCE(""NSE:""&amp;D297)"),3135.0)</f>
        <v>3135</v>
      </c>
      <c r="G297" s="17">
        <f>IFERROR(__xludf.DUMMYFUNCTION("GOOGLEFINANCE(""NSE:""&amp;D297,""closeyest"")"),3093.1)</f>
        <v>3093.1</v>
      </c>
      <c r="H297" s="17">
        <f>IFERROR(__xludf.DUMMYFUNCTION("INDEX(GOOGLEFINANCE(""NSE:""&amp;D297,""PRICE"",TODAY()-7),2,2)"),3208.9)</f>
        <v>3208.9</v>
      </c>
      <c r="I297" s="17">
        <f>IFERROR(__xludf.DUMMYFUNCTION("INDEX(GOOGLEFINANCE(""NSE:""&amp;D297,""PRICE"",TODAY()-14),2,2)"),3206.55)</f>
        <v>3206.55</v>
      </c>
      <c r="J297" s="17">
        <f>IFERROR(__xludf.DUMMYFUNCTION("INDEX(GOOGLEFINANCE(""NSE:""&amp;D297,""PRICE"",TODAY()-28),2,2)"),2898.05)</f>
        <v>2898.05</v>
      </c>
      <c r="K297" s="17">
        <f>IFERROR(__xludf.DUMMYFUNCTION("INDEX(GOOGLEFINANCE(""NSE:""&amp;D297,""PRICE"",TODAY()-84),2,2)"),2956.5)</f>
        <v>2956.5</v>
      </c>
      <c r="L297" s="16">
        <f t="shared" si="1"/>
        <v>0.01354628043</v>
      </c>
      <c r="M297" s="16">
        <f t="shared" si="2"/>
        <v>-0.02302969865</v>
      </c>
      <c r="N297" s="16">
        <f t="shared" si="3"/>
        <v>-0.02231370164</v>
      </c>
      <c r="O297" s="16">
        <f t="shared" si="4"/>
        <v>0.08176187436</v>
      </c>
      <c r="P297" s="16">
        <f t="shared" si="5"/>
        <v>0.06037544394</v>
      </c>
      <c r="Q297" s="30">
        <f t="shared" si="6"/>
        <v>-0.03488815579</v>
      </c>
      <c r="R297" s="30">
        <f t="shared" si="7"/>
        <v>-0.04609805682</v>
      </c>
      <c r="S297" s="30">
        <f t="shared" si="8"/>
        <v>0.01038967074</v>
      </c>
      <c r="T297" s="30">
        <f t="shared" si="9"/>
        <v>-0.06641742276</v>
      </c>
    </row>
    <row r="298">
      <c r="A298" s="1">
        <v>295.0</v>
      </c>
      <c r="B298" s="22" t="s">
        <v>907</v>
      </c>
      <c r="C298" s="22" t="s">
        <v>543</v>
      </c>
      <c r="D298" s="22" t="s">
        <v>908</v>
      </c>
      <c r="E298" s="23">
        <f>IFERROR(__xludf.DUMMYFUNCTION("GOOGLEFINANCE(""NSE:""&amp;D298,""marketcap"")/10000000"),10018.893059)</f>
        <v>10018.89306</v>
      </c>
      <c r="F298" s="17">
        <f>IFERROR(__xludf.DUMMYFUNCTION("GOOGLEFINANCE(""NSE:""&amp;D298)"),1304.0)</f>
        <v>1304</v>
      </c>
      <c r="G298" s="17">
        <f>IFERROR(__xludf.DUMMYFUNCTION("GOOGLEFINANCE(""NSE:""&amp;D298,""closeyest"")"),1321.5)</f>
        <v>1321.5</v>
      </c>
      <c r="H298" s="17">
        <f>IFERROR(__xludf.DUMMYFUNCTION("INDEX(GOOGLEFINANCE(""NSE:""&amp;D298,""PRICE"",TODAY()-7),2,2)"),1303.6)</f>
        <v>1303.6</v>
      </c>
      <c r="I298" s="17">
        <f>IFERROR(__xludf.DUMMYFUNCTION("INDEX(GOOGLEFINANCE(""NSE:""&amp;D298,""PRICE"",TODAY()-14),2,2)"),1328.7)</f>
        <v>1328.7</v>
      </c>
      <c r="J298" s="17">
        <f>IFERROR(__xludf.DUMMYFUNCTION("INDEX(GOOGLEFINANCE(""NSE:""&amp;D298,""PRICE"",TODAY()-28),2,2)"),1300.6)</f>
        <v>1300.6</v>
      </c>
      <c r="K298" s="17">
        <f>IFERROR(__xludf.DUMMYFUNCTION("INDEX(GOOGLEFINANCE(""NSE:""&amp;D298,""PRICE"",TODAY()-84),2,2)"),1226.2)</f>
        <v>1226.2</v>
      </c>
      <c r="L298" s="16">
        <f t="shared" si="1"/>
        <v>-0.01324252743</v>
      </c>
      <c r="M298" s="16">
        <f t="shared" si="2"/>
        <v>0.0003068425898</v>
      </c>
      <c r="N298" s="16">
        <f t="shared" si="3"/>
        <v>-0.01858959886</v>
      </c>
      <c r="O298" s="16">
        <f t="shared" si="4"/>
        <v>0.002614178072</v>
      </c>
      <c r="P298" s="16">
        <f t="shared" si="5"/>
        <v>0.06344805089</v>
      </c>
      <c r="Q298" s="30">
        <f t="shared" si="6"/>
        <v>-0.01155161455</v>
      </c>
      <c r="R298" s="30">
        <f t="shared" si="7"/>
        <v>-0.04237395404</v>
      </c>
      <c r="S298" s="30">
        <f t="shared" si="8"/>
        <v>-0.06875802556</v>
      </c>
      <c r="T298" s="30">
        <f t="shared" si="9"/>
        <v>-0.06334481581</v>
      </c>
    </row>
    <row r="299">
      <c r="A299" s="1">
        <v>296.0</v>
      </c>
      <c r="B299" s="22" t="s">
        <v>909</v>
      </c>
      <c r="C299" s="22" t="s">
        <v>549</v>
      </c>
      <c r="D299" s="22" t="s">
        <v>910</v>
      </c>
      <c r="E299" s="23">
        <f>IFERROR(__xludf.DUMMYFUNCTION("GOOGLEFINANCE(""NSE:""&amp;D299,""marketcap"")/10000000"),10135.4171)</f>
        <v>10135.4171</v>
      </c>
      <c r="F299" s="17">
        <f>IFERROR(__xludf.DUMMYFUNCTION("GOOGLEFINANCE(""NSE:""&amp;D299)"),746.0)</f>
        <v>746</v>
      </c>
      <c r="G299" s="17">
        <f>IFERROR(__xludf.DUMMYFUNCTION("GOOGLEFINANCE(""NSE:""&amp;D299,""closeyest"")"),750.25)</f>
        <v>750.25</v>
      </c>
      <c r="H299" s="17">
        <f>IFERROR(__xludf.DUMMYFUNCTION("INDEX(GOOGLEFINANCE(""NSE:""&amp;D299,""PRICE"",TODAY()-7),2,2)"),766.75)</f>
        <v>766.75</v>
      </c>
      <c r="I299" s="17">
        <f>IFERROR(__xludf.DUMMYFUNCTION("INDEX(GOOGLEFINANCE(""NSE:""&amp;D299,""PRICE"",TODAY()-14),2,2)"),760.5)</f>
        <v>760.5</v>
      </c>
      <c r="J299" s="17">
        <f>IFERROR(__xludf.DUMMYFUNCTION("INDEX(GOOGLEFINANCE(""NSE:""&amp;D299,""PRICE"",TODAY()-28),2,2)"),727.1)</f>
        <v>727.1</v>
      </c>
      <c r="K299" s="17">
        <f>IFERROR(__xludf.DUMMYFUNCTION("INDEX(GOOGLEFINANCE(""NSE:""&amp;D299,""PRICE"",TODAY()-84),2,2)"),758.65)</f>
        <v>758.65</v>
      </c>
      <c r="L299" s="16">
        <f t="shared" si="1"/>
        <v>-0.005664778407</v>
      </c>
      <c r="M299" s="16">
        <f t="shared" si="2"/>
        <v>-0.02706227584</v>
      </c>
      <c r="N299" s="16">
        <f t="shared" si="3"/>
        <v>-0.01906640368</v>
      </c>
      <c r="O299" s="16">
        <f t="shared" si="4"/>
        <v>0.0259936735</v>
      </c>
      <c r="P299" s="16">
        <f t="shared" si="5"/>
        <v>-0.01667435576</v>
      </c>
      <c r="Q299" s="30">
        <f t="shared" si="6"/>
        <v>-0.03892073298</v>
      </c>
      <c r="R299" s="30">
        <f t="shared" si="7"/>
        <v>-0.04285075886</v>
      </c>
      <c r="S299" s="30">
        <f t="shared" si="8"/>
        <v>-0.04537853013</v>
      </c>
      <c r="T299" s="30">
        <f t="shared" si="9"/>
        <v>-0.1434672225</v>
      </c>
    </row>
    <row r="300">
      <c r="A300" s="1">
        <v>297.0</v>
      </c>
      <c r="B300" s="22" t="s">
        <v>911</v>
      </c>
      <c r="C300" s="22" t="s">
        <v>552</v>
      </c>
      <c r="D300" s="22" t="s">
        <v>912</v>
      </c>
      <c r="E300" s="23">
        <f>IFERROR(__xludf.DUMMYFUNCTION("GOOGLEFINANCE(""NSE:""&amp;D300,""marketcap"")/10000000"),10200.724583)</f>
        <v>10200.72458</v>
      </c>
      <c r="F300" s="17">
        <f>IFERROR(__xludf.DUMMYFUNCTION("GOOGLEFINANCE(""NSE:""&amp;D300)"),2183.0)</f>
        <v>2183</v>
      </c>
      <c r="G300" s="17">
        <f>IFERROR(__xludf.DUMMYFUNCTION("GOOGLEFINANCE(""NSE:""&amp;D300,""closeyest"")"),2175.35)</f>
        <v>2175.35</v>
      </c>
      <c r="H300" s="17">
        <f>IFERROR(__xludf.DUMMYFUNCTION("INDEX(GOOGLEFINANCE(""NSE:""&amp;D300,""PRICE"",TODAY()-7),2,2)"),2193.9)</f>
        <v>2193.9</v>
      </c>
      <c r="I300" s="17">
        <f>IFERROR(__xludf.DUMMYFUNCTION("INDEX(GOOGLEFINANCE(""NSE:""&amp;D300,""PRICE"",TODAY()-14),2,2)"),2160.05)</f>
        <v>2160.05</v>
      </c>
      <c r="J300" s="17">
        <f>IFERROR(__xludf.DUMMYFUNCTION("INDEX(GOOGLEFINANCE(""NSE:""&amp;D300,""PRICE"",TODAY()-28),2,2)"),2169.85)</f>
        <v>2169.85</v>
      </c>
      <c r="K300" s="17">
        <f>IFERROR(__xludf.DUMMYFUNCTION("INDEX(GOOGLEFINANCE(""NSE:""&amp;D300,""PRICE"",TODAY()-84),2,2)"),2056.95)</f>
        <v>2056.95</v>
      </c>
      <c r="L300" s="16">
        <f t="shared" si="1"/>
        <v>0.003516675478</v>
      </c>
      <c r="M300" s="16">
        <f t="shared" si="2"/>
        <v>-0.004968321254</v>
      </c>
      <c r="N300" s="16">
        <f t="shared" si="3"/>
        <v>0.01062475406</v>
      </c>
      <c r="O300" s="16">
        <f t="shared" si="4"/>
        <v>0.006060326751</v>
      </c>
      <c r="P300" s="16">
        <f t="shared" si="5"/>
        <v>0.06128005056</v>
      </c>
      <c r="Q300" s="30">
        <f t="shared" si="6"/>
        <v>-0.01682677839</v>
      </c>
      <c r="R300" s="30">
        <f t="shared" si="7"/>
        <v>-0.01315960112</v>
      </c>
      <c r="S300" s="30">
        <f t="shared" si="8"/>
        <v>-0.06531187688</v>
      </c>
      <c r="T300" s="30">
        <f t="shared" si="9"/>
        <v>-0.06551281614</v>
      </c>
    </row>
    <row r="301">
      <c r="A301" s="1">
        <v>298.0</v>
      </c>
      <c r="B301" s="22" t="s">
        <v>913</v>
      </c>
      <c r="C301" s="22" t="s">
        <v>914</v>
      </c>
      <c r="D301" s="22" t="s">
        <v>915</v>
      </c>
      <c r="E301" s="23">
        <f>IFERROR(__xludf.DUMMYFUNCTION("GOOGLEFINANCE(""NSE:""&amp;D301,""marketcap"")/10000000"),10491.9228)</f>
        <v>10491.9228</v>
      </c>
      <c r="F301" s="17">
        <f>IFERROR(__xludf.DUMMYFUNCTION("GOOGLEFINANCE(""NSE:""&amp;D301)"),936.1)</f>
        <v>936.1</v>
      </c>
      <c r="G301" s="17">
        <f>IFERROR(__xludf.DUMMYFUNCTION("GOOGLEFINANCE(""NSE:""&amp;D301,""closeyest"")"),911.55)</f>
        <v>911.55</v>
      </c>
      <c r="H301" s="17">
        <f>IFERROR(__xludf.DUMMYFUNCTION("INDEX(GOOGLEFINANCE(""NSE:""&amp;D301,""PRICE"",TODAY()-7),2,2)"),850.0)</f>
        <v>850</v>
      </c>
      <c r="I301" s="17">
        <f>IFERROR(__xludf.DUMMYFUNCTION("INDEX(GOOGLEFINANCE(""NSE:""&amp;D301,""PRICE"",TODAY()-14),2,2)"),848.6)</f>
        <v>848.6</v>
      </c>
      <c r="J301" s="17">
        <f>IFERROR(__xludf.DUMMYFUNCTION("INDEX(GOOGLEFINANCE(""NSE:""&amp;D301,""PRICE"",TODAY()-28),2,2)"),747.1)</f>
        <v>747.1</v>
      </c>
      <c r="K301" s="17">
        <f>IFERROR(__xludf.DUMMYFUNCTION("INDEX(GOOGLEFINANCE(""NSE:""&amp;D301,""PRICE"",TODAY()-84),2,2)"),613.25)</f>
        <v>613.25</v>
      </c>
      <c r="L301" s="16">
        <f t="shared" si="1"/>
        <v>0.02693214854</v>
      </c>
      <c r="M301" s="16">
        <f t="shared" si="2"/>
        <v>0.1012941176</v>
      </c>
      <c r="N301" s="16">
        <f t="shared" si="3"/>
        <v>0.1031110064</v>
      </c>
      <c r="O301" s="16">
        <f t="shared" si="4"/>
        <v>0.2529781823</v>
      </c>
      <c r="P301" s="16">
        <f t="shared" si="5"/>
        <v>0.5264573991</v>
      </c>
      <c r="Q301" s="30">
        <f t="shared" si="6"/>
        <v>0.08943566051</v>
      </c>
      <c r="R301" s="30">
        <f t="shared" si="7"/>
        <v>0.07932665118</v>
      </c>
      <c r="S301" s="30">
        <f t="shared" si="8"/>
        <v>0.1816059787</v>
      </c>
      <c r="T301" s="30">
        <f t="shared" si="9"/>
        <v>0.3996645324</v>
      </c>
    </row>
    <row r="302">
      <c r="A302" s="1">
        <v>299.0</v>
      </c>
      <c r="B302" s="22" t="s">
        <v>916</v>
      </c>
      <c r="C302" s="22" t="s">
        <v>528</v>
      </c>
      <c r="D302" s="22" t="s">
        <v>917</v>
      </c>
      <c r="E302" s="23">
        <f>IFERROR(__xludf.DUMMYFUNCTION("GOOGLEFINANCE(""NSE:""&amp;D302,""marketcap"")/10000000"),10296.3848566)</f>
        <v>10296.38486</v>
      </c>
      <c r="F302" s="17">
        <f>IFERROR(__xludf.DUMMYFUNCTION("GOOGLEFINANCE(""NSE:""&amp;D302)"),1246.05)</f>
        <v>1246.05</v>
      </c>
      <c r="G302" s="17">
        <f>IFERROR(__xludf.DUMMYFUNCTION("GOOGLEFINANCE(""NSE:""&amp;D302,""closeyest"")"),1225.95)</f>
        <v>1225.95</v>
      </c>
      <c r="H302" s="17">
        <f>IFERROR(__xludf.DUMMYFUNCTION("INDEX(GOOGLEFINANCE(""NSE:""&amp;D302,""PRICE"",TODAY()-7),2,2)"),1298.4)</f>
        <v>1298.4</v>
      </c>
      <c r="I302" s="17">
        <f>IFERROR(__xludf.DUMMYFUNCTION("INDEX(GOOGLEFINANCE(""NSE:""&amp;D302,""PRICE"",TODAY()-14),2,2)"),1295.6)</f>
        <v>1295.6</v>
      </c>
      <c r="J302" s="17">
        <f>IFERROR(__xludf.DUMMYFUNCTION("INDEX(GOOGLEFINANCE(""NSE:""&amp;D302,""PRICE"",TODAY()-28),2,2)"),1091.55)</f>
        <v>1091.55</v>
      </c>
      <c r="K302" s="17">
        <f>IFERROR(__xludf.DUMMYFUNCTION("INDEX(GOOGLEFINANCE(""NSE:""&amp;D302,""PRICE"",TODAY()-84),2,2)"),877.05)</f>
        <v>877.05</v>
      </c>
      <c r="L302" s="16">
        <f t="shared" si="1"/>
        <v>0.01639544843</v>
      </c>
      <c r="M302" s="16">
        <f t="shared" si="2"/>
        <v>-0.04031885397</v>
      </c>
      <c r="N302" s="16">
        <f t="shared" si="3"/>
        <v>-0.03824482865</v>
      </c>
      <c r="O302" s="16">
        <f t="shared" si="4"/>
        <v>0.1415418442</v>
      </c>
      <c r="P302" s="16">
        <f t="shared" si="5"/>
        <v>0.4207285788</v>
      </c>
      <c r="Q302" s="30">
        <f t="shared" si="6"/>
        <v>-0.05217731111</v>
      </c>
      <c r="R302" s="30">
        <f t="shared" si="7"/>
        <v>-0.06202918383</v>
      </c>
      <c r="S302" s="30">
        <f t="shared" si="8"/>
        <v>0.07016964054</v>
      </c>
      <c r="T302" s="30">
        <f t="shared" si="9"/>
        <v>0.2939357121</v>
      </c>
    </row>
    <row r="303">
      <c r="A303" s="1">
        <v>300.0</v>
      </c>
      <c r="B303" s="22" t="s">
        <v>918</v>
      </c>
      <c r="C303" s="22" t="s">
        <v>528</v>
      </c>
      <c r="D303" s="22" t="s">
        <v>919</v>
      </c>
      <c r="E303" s="23">
        <f>IFERROR(__xludf.DUMMYFUNCTION("GOOGLEFINANCE(""NSE:""&amp;D303,""marketcap"")/10000000"),10177.89654)</f>
        <v>10177.89654</v>
      </c>
      <c r="F303" s="17">
        <f>IFERROR(__xludf.DUMMYFUNCTION("GOOGLEFINANCE(""NSE:""&amp;D303)"),653.5)</f>
        <v>653.5</v>
      </c>
      <c r="G303" s="17">
        <f>IFERROR(__xludf.DUMMYFUNCTION("GOOGLEFINANCE(""NSE:""&amp;D303,""closeyest"")"),648.4)</f>
        <v>648.4</v>
      </c>
      <c r="H303" s="17">
        <f>IFERROR(__xludf.DUMMYFUNCTION("INDEX(GOOGLEFINANCE(""NSE:""&amp;D303,""PRICE"",TODAY()-7),2,2)"),636.3)</f>
        <v>636.3</v>
      </c>
      <c r="I303" s="17">
        <f>IFERROR(__xludf.DUMMYFUNCTION("INDEX(GOOGLEFINANCE(""NSE:""&amp;D303,""PRICE"",TODAY()-14),2,2)"),675.85)</f>
        <v>675.85</v>
      </c>
      <c r="J303" s="17">
        <f>IFERROR(__xludf.DUMMYFUNCTION("INDEX(GOOGLEFINANCE(""NSE:""&amp;D303,""PRICE"",TODAY()-28),2,2)"),663.15)</f>
        <v>663.15</v>
      </c>
      <c r="K303" s="17">
        <f>IFERROR(__xludf.DUMMYFUNCTION("INDEX(GOOGLEFINANCE(""NSE:""&amp;D303,""PRICE"",TODAY()-84),2,2)"),720.45)</f>
        <v>720.45</v>
      </c>
      <c r="L303" s="16">
        <f t="shared" si="1"/>
        <v>0.007865515114</v>
      </c>
      <c r="M303" s="16">
        <f t="shared" si="2"/>
        <v>0.02703127456</v>
      </c>
      <c r="N303" s="16">
        <f t="shared" si="3"/>
        <v>-0.03306946808</v>
      </c>
      <c r="O303" s="16">
        <f t="shared" si="4"/>
        <v>-0.01455176054</v>
      </c>
      <c r="P303" s="16">
        <f t="shared" si="5"/>
        <v>-0.09292803109</v>
      </c>
      <c r="Q303" s="30">
        <f t="shared" si="6"/>
        <v>0.01517281742</v>
      </c>
      <c r="R303" s="30">
        <f t="shared" si="7"/>
        <v>-0.05685382326</v>
      </c>
      <c r="S303" s="30">
        <f t="shared" si="8"/>
        <v>-0.08592396417</v>
      </c>
      <c r="T303" s="30">
        <f t="shared" si="9"/>
        <v>-0.2197208978</v>
      </c>
    </row>
    <row r="304">
      <c r="A304" s="1">
        <v>301.0</v>
      </c>
      <c r="B304" s="22" t="s">
        <v>920</v>
      </c>
      <c r="C304" s="22" t="s">
        <v>526</v>
      </c>
      <c r="D304" s="22" t="s">
        <v>921</v>
      </c>
      <c r="E304" s="23">
        <f>IFERROR(__xludf.DUMMYFUNCTION("GOOGLEFINANCE(""NSE:""&amp;D304,""marketcap"")/10000000"),10086.6559043)</f>
        <v>10086.6559</v>
      </c>
      <c r="F304" s="17">
        <f>IFERROR(__xludf.DUMMYFUNCTION("GOOGLEFINANCE(""NSE:""&amp;D304)"),2197.0)</f>
        <v>2197</v>
      </c>
      <c r="G304" s="17">
        <f>IFERROR(__xludf.DUMMYFUNCTION("GOOGLEFINANCE(""NSE:""&amp;D304,""closeyest"")"),2201.85)</f>
        <v>2201.85</v>
      </c>
      <c r="H304" s="17">
        <f>IFERROR(__xludf.DUMMYFUNCTION("INDEX(GOOGLEFINANCE(""NSE:""&amp;D304,""PRICE"",TODAY()-7),2,2)"),2211.15)</f>
        <v>2211.15</v>
      </c>
      <c r="I304" s="17">
        <f>IFERROR(__xludf.DUMMYFUNCTION("INDEX(GOOGLEFINANCE(""NSE:""&amp;D304,""PRICE"",TODAY()-14),2,2)"),2204.5)</f>
        <v>2204.5</v>
      </c>
      <c r="J304" s="17">
        <f>IFERROR(__xludf.DUMMYFUNCTION("INDEX(GOOGLEFINANCE(""NSE:""&amp;D304,""PRICE"",TODAY()-28),2,2)"),2201.2)</f>
        <v>2201.2</v>
      </c>
      <c r="K304" s="17">
        <f>IFERROR(__xludf.DUMMYFUNCTION("INDEX(GOOGLEFINANCE(""NSE:""&amp;D304,""PRICE"",TODAY()-84),2,2)"),2348.55)</f>
        <v>2348.55</v>
      </c>
      <c r="L304" s="16">
        <f t="shared" si="1"/>
        <v>-0.00220269319</v>
      </c>
      <c r="M304" s="16">
        <f t="shared" si="2"/>
        <v>-0.006399384935</v>
      </c>
      <c r="N304" s="16">
        <f t="shared" si="3"/>
        <v>-0.003402132003</v>
      </c>
      <c r="O304" s="16">
        <f t="shared" si="4"/>
        <v>-0.001908050154</v>
      </c>
      <c r="P304" s="16">
        <f t="shared" si="5"/>
        <v>-0.06452917758</v>
      </c>
      <c r="Q304" s="30">
        <f t="shared" si="6"/>
        <v>-0.01825784207</v>
      </c>
      <c r="R304" s="30">
        <f t="shared" si="7"/>
        <v>-0.02718648718</v>
      </c>
      <c r="S304" s="30">
        <f t="shared" si="8"/>
        <v>-0.07328025378</v>
      </c>
      <c r="T304" s="30">
        <f t="shared" si="9"/>
        <v>-0.1913220443</v>
      </c>
    </row>
    <row r="305">
      <c r="A305" s="1">
        <v>302.0</v>
      </c>
      <c r="B305" s="22" t="s">
        <v>922</v>
      </c>
      <c r="C305" s="22" t="s">
        <v>635</v>
      </c>
      <c r="D305" s="22" t="s">
        <v>923</v>
      </c>
      <c r="E305" s="23">
        <f>IFERROR(__xludf.DUMMYFUNCTION("GOOGLEFINANCE(""NSE:""&amp;D305,""marketcap"")/10000000"),10117.282095)</f>
        <v>10117.2821</v>
      </c>
      <c r="F305" s="17">
        <f>IFERROR(__xludf.DUMMYFUNCTION("GOOGLEFINANCE(""NSE:""&amp;D305)"),2374.9)</f>
        <v>2374.9</v>
      </c>
      <c r="G305" s="17">
        <f>IFERROR(__xludf.DUMMYFUNCTION("GOOGLEFINANCE(""NSE:""&amp;D305,""closeyest"")"),2329.3)</f>
        <v>2329.3</v>
      </c>
      <c r="H305" s="17">
        <f>IFERROR(__xludf.DUMMYFUNCTION("INDEX(GOOGLEFINANCE(""NSE:""&amp;D305,""PRICE"",TODAY()-7),2,2)"),2408.8)</f>
        <v>2408.8</v>
      </c>
      <c r="I305" s="17">
        <f>IFERROR(__xludf.DUMMYFUNCTION("INDEX(GOOGLEFINANCE(""NSE:""&amp;D305,""PRICE"",TODAY()-14),2,2)"),2326.3)</f>
        <v>2326.3</v>
      </c>
      <c r="J305" s="17">
        <f>IFERROR(__xludf.DUMMYFUNCTION("INDEX(GOOGLEFINANCE(""NSE:""&amp;D305,""PRICE"",TODAY()-28),2,2)"),2224.8)</f>
        <v>2224.8</v>
      </c>
      <c r="K305" s="17">
        <f>IFERROR(__xludf.DUMMYFUNCTION("INDEX(GOOGLEFINANCE(""NSE:""&amp;D305,""PRICE"",TODAY()-84),2,2)"),1874.55)</f>
        <v>1874.55</v>
      </c>
      <c r="L305" s="16">
        <f t="shared" si="1"/>
        <v>0.01957669686</v>
      </c>
      <c r="M305" s="16">
        <f t="shared" si="2"/>
        <v>-0.01407339754</v>
      </c>
      <c r="N305" s="16">
        <f t="shared" si="3"/>
        <v>0.02089154451</v>
      </c>
      <c r="O305" s="16">
        <f t="shared" si="4"/>
        <v>0.06746673858</v>
      </c>
      <c r="P305" s="16">
        <f t="shared" si="5"/>
        <v>0.2669173935</v>
      </c>
      <c r="Q305" s="30">
        <f t="shared" si="6"/>
        <v>-0.02593185468</v>
      </c>
      <c r="R305" s="30">
        <f t="shared" si="7"/>
        <v>-0.002892810667</v>
      </c>
      <c r="S305" s="30">
        <f t="shared" si="8"/>
        <v>-0.003905465045</v>
      </c>
      <c r="T305" s="30">
        <f t="shared" si="9"/>
        <v>0.1401245268</v>
      </c>
    </row>
    <row r="306">
      <c r="A306" s="1">
        <v>303.0</v>
      </c>
      <c r="B306" s="22" t="s">
        <v>750</v>
      </c>
      <c r="C306" s="22" t="s">
        <v>528</v>
      </c>
      <c r="D306" s="22" t="s">
        <v>751</v>
      </c>
      <c r="E306" s="23">
        <f>IFERROR(__xludf.DUMMYFUNCTION("GOOGLEFINANCE(""NSE:""&amp;D306,""marketcap"")/10000000"),10231.2476775)</f>
        <v>10231.24768</v>
      </c>
      <c r="F306" s="17">
        <f>IFERROR(__xludf.DUMMYFUNCTION("GOOGLEFINANCE(""NSE:""&amp;D306)"),229.3)</f>
        <v>229.3</v>
      </c>
      <c r="G306" s="17">
        <f>IFERROR(__xludf.DUMMYFUNCTION("GOOGLEFINANCE(""NSE:""&amp;D306,""closeyest"")"),220.9)</f>
        <v>220.9</v>
      </c>
      <c r="H306" s="17">
        <f>IFERROR(__xludf.DUMMYFUNCTION("INDEX(GOOGLEFINANCE(""NSE:""&amp;D306,""PRICE"",TODAY()-7),2,2)"),228.75)</f>
        <v>228.75</v>
      </c>
      <c r="I306" s="17">
        <f>IFERROR(__xludf.DUMMYFUNCTION("INDEX(GOOGLEFINANCE(""NSE:""&amp;D306,""PRICE"",TODAY()-14),2,2)"),228.95)</f>
        <v>228.95</v>
      </c>
      <c r="J306" s="17">
        <f>IFERROR(__xludf.DUMMYFUNCTION("INDEX(GOOGLEFINANCE(""NSE:""&amp;D306,""PRICE"",TODAY()-28),2,2)"),220.0)</f>
        <v>220</v>
      </c>
      <c r="K306" s="17">
        <f>IFERROR(__xludf.DUMMYFUNCTION("INDEX(GOOGLEFINANCE(""NSE:""&amp;D306,""PRICE"",TODAY()-84),2,2)"),260.0)</f>
        <v>260</v>
      </c>
      <c r="L306" s="16">
        <f t="shared" si="1"/>
        <v>0.03802625622</v>
      </c>
      <c r="M306" s="16">
        <f t="shared" si="2"/>
        <v>0.002404371585</v>
      </c>
      <c r="N306" s="16">
        <f t="shared" si="3"/>
        <v>0.001528718061</v>
      </c>
      <c r="O306" s="16">
        <f t="shared" si="4"/>
        <v>0.04227272727</v>
      </c>
      <c r="P306" s="16">
        <f t="shared" si="5"/>
        <v>-0.1180769231</v>
      </c>
      <c r="Q306" s="30">
        <f t="shared" si="6"/>
        <v>-0.009454085552</v>
      </c>
      <c r="R306" s="30">
        <f t="shared" si="7"/>
        <v>-0.02225563712</v>
      </c>
      <c r="S306" s="30">
        <f t="shared" si="8"/>
        <v>-0.02909947636</v>
      </c>
      <c r="T306" s="30">
        <f t="shared" si="9"/>
        <v>-0.2448697898</v>
      </c>
    </row>
    <row r="307">
      <c r="A307" s="1">
        <v>304.0</v>
      </c>
      <c r="B307" s="22" t="s">
        <v>580</v>
      </c>
      <c r="C307" s="22" t="s">
        <v>524</v>
      </c>
      <c r="D307" s="22" t="s">
        <v>28</v>
      </c>
      <c r="E307" s="23">
        <f>IFERROR(__xludf.DUMMYFUNCTION("GOOGLEFINANCE(""NSE:""&amp;D307,""marketcap"")/10000000"),10066.141614)</f>
        <v>10066.14161</v>
      </c>
      <c r="F307" s="17">
        <f>IFERROR(__xludf.DUMMYFUNCTION("GOOGLEFINANCE(""NSE:""&amp;D307)"),1742.1)</f>
        <v>1742.1</v>
      </c>
      <c r="G307" s="17">
        <f>IFERROR(__xludf.DUMMYFUNCTION("GOOGLEFINANCE(""NSE:""&amp;D307,""closeyest"")"),1716.9)</f>
        <v>1716.9</v>
      </c>
      <c r="H307" s="17">
        <f>IFERROR(__xludf.DUMMYFUNCTION("INDEX(GOOGLEFINANCE(""NSE:""&amp;D307,""PRICE"",TODAY()-7),2,2)"),1691.3)</f>
        <v>1691.3</v>
      </c>
      <c r="I307" s="17">
        <f>IFERROR(__xludf.DUMMYFUNCTION("INDEX(GOOGLEFINANCE(""NSE:""&amp;D307,""PRICE"",TODAY()-14),2,2)"),1691.9)</f>
        <v>1691.9</v>
      </c>
      <c r="J307" s="17">
        <f>IFERROR(__xludf.DUMMYFUNCTION("INDEX(GOOGLEFINANCE(""NSE:""&amp;D307,""PRICE"",TODAY()-28),2,2)"),1708.8)</f>
        <v>1708.8</v>
      </c>
      <c r="K307" s="17">
        <f>IFERROR(__xludf.DUMMYFUNCTION("INDEX(GOOGLEFINANCE(""NSE:""&amp;D307,""PRICE"",TODAY()-84),2,2)"),1567.8)</f>
        <v>1567.8</v>
      </c>
      <c r="L307" s="16">
        <f t="shared" si="1"/>
        <v>0.01467761663</v>
      </c>
      <c r="M307" s="16">
        <f t="shared" si="2"/>
        <v>0.03003606693</v>
      </c>
      <c r="N307" s="16">
        <f t="shared" si="3"/>
        <v>0.02967078433</v>
      </c>
      <c r="O307" s="16">
        <f t="shared" si="4"/>
        <v>0.01948735955</v>
      </c>
      <c r="P307" s="16">
        <f t="shared" si="5"/>
        <v>0.1111748948</v>
      </c>
      <c r="Q307" s="30">
        <f t="shared" si="6"/>
        <v>0.01817760979</v>
      </c>
      <c r="R307" s="30">
        <f t="shared" si="7"/>
        <v>0.005886429146</v>
      </c>
      <c r="S307" s="30">
        <f t="shared" si="8"/>
        <v>-0.05188484408</v>
      </c>
      <c r="T307" s="30">
        <f t="shared" si="9"/>
        <v>-0.01561797194</v>
      </c>
    </row>
    <row r="308">
      <c r="A308" s="1">
        <v>305.0</v>
      </c>
      <c r="B308" s="22" t="s">
        <v>924</v>
      </c>
      <c r="C308" s="22" t="s">
        <v>603</v>
      </c>
      <c r="D308" s="22" t="s">
        <v>925</v>
      </c>
      <c r="E308" s="23">
        <f>IFERROR(__xludf.DUMMYFUNCTION("GOOGLEFINANCE(""NSE:""&amp;D308,""marketcap"")/10000000"),9706.7768913)</f>
        <v>9706.776891</v>
      </c>
      <c r="F308" s="17">
        <f>IFERROR(__xludf.DUMMYFUNCTION("GOOGLEFINANCE(""NSE:""&amp;D308)"),3165.0)</f>
        <v>3165</v>
      </c>
      <c r="G308" s="17">
        <f>IFERROR(__xludf.DUMMYFUNCTION("GOOGLEFINANCE(""NSE:""&amp;D308,""closeyest"")"),3164.9)</f>
        <v>3164.9</v>
      </c>
      <c r="H308" s="17">
        <f>IFERROR(__xludf.DUMMYFUNCTION("INDEX(GOOGLEFINANCE(""NSE:""&amp;D308,""PRICE"",TODAY()-7),2,2)"),3183.65)</f>
        <v>3183.65</v>
      </c>
      <c r="I308" s="17">
        <f>IFERROR(__xludf.DUMMYFUNCTION("INDEX(GOOGLEFINANCE(""NSE:""&amp;D308,""PRICE"",TODAY()-14),2,2)"),3174.25)</f>
        <v>3174.25</v>
      </c>
      <c r="J308" s="17">
        <f>IFERROR(__xludf.DUMMYFUNCTION("INDEX(GOOGLEFINANCE(""NSE:""&amp;D308,""PRICE"",TODAY()-28),2,2)"),2845.65)</f>
        <v>2845.65</v>
      </c>
      <c r="K308" s="17">
        <f>IFERROR(__xludf.DUMMYFUNCTION("INDEX(GOOGLEFINANCE(""NSE:""&amp;D308,""PRICE"",TODAY()-84),2,2)"),2947.3)</f>
        <v>2947.3</v>
      </c>
      <c r="L308" s="16">
        <f t="shared" si="1"/>
        <v>0.00003159657493</v>
      </c>
      <c r="M308" s="16">
        <f t="shared" si="2"/>
        <v>-0.005858056005</v>
      </c>
      <c r="N308" s="16">
        <f t="shared" si="3"/>
        <v>-0.002914074191</v>
      </c>
      <c r="O308" s="16">
        <f t="shared" si="4"/>
        <v>0.1122239207</v>
      </c>
      <c r="P308" s="16">
        <f t="shared" si="5"/>
        <v>0.0738642147</v>
      </c>
      <c r="Q308" s="30">
        <f t="shared" si="6"/>
        <v>-0.01771651314</v>
      </c>
      <c r="R308" s="30">
        <f t="shared" si="7"/>
        <v>-0.02669842937</v>
      </c>
      <c r="S308" s="30">
        <f t="shared" si="8"/>
        <v>0.04085171709</v>
      </c>
      <c r="T308" s="30">
        <f t="shared" si="9"/>
        <v>-0.05292865199</v>
      </c>
    </row>
    <row r="309">
      <c r="A309" s="1">
        <v>306.0</v>
      </c>
      <c r="B309" s="22" t="s">
        <v>926</v>
      </c>
      <c r="C309" s="22" t="s">
        <v>524</v>
      </c>
      <c r="D309" s="22" t="s">
        <v>927</v>
      </c>
      <c r="E309" s="23">
        <f>IFERROR(__xludf.DUMMYFUNCTION("GOOGLEFINANCE(""NSE:""&amp;D309,""marketcap"")/10000000"),9648.6298448)</f>
        <v>9648.629845</v>
      </c>
      <c r="F309" s="17">
        <f>IFERROR(__xludf.DUMMYFUNCTION("GOOGLEFINANCE(""NSE:""&amp;D309)"),929.0)</f>
        <v>929</v>
      </c>
      <c r="G309" s="17">
        <f>IFERROR(__xludf.DUMMYFUNCTION("GOOGLEFINANCE(""NSE:""&amp;D309,""closeyest"")"),929.9)</f>
        <v>929.9</v>
      </c>
      <c r="H309" s="17">
        <f>IFERROR(__xludf.DUMMYFUNCTION("INDEX(GOOGLEFINANCE(""NSE:""&amp;D309,""PRICE"",TODAY()-7),2,2)"),875.8)</f>
        <v>875.8</v>
      </c>
      <c r="I309" s="17">
        <f>IFERROR(__xludf.DUMMYFUNCTION("INDEX(GOOGLEFINANCE(""NSE:""&amp;D309,""PRICE"",TODAY()-14),2,2)"),854.9)</f>
        <v>854.9</v>
      </c>
      <c r="J309" s="17">
        <f>IFERROR(__xludf.DUMMYFUNCTION("INDEX(GOOGLEFINANCE(""NSE:""&amp;D309,""PRICE"",TODAY()-28),2,2)"),858.5)</f>
        <v>858.5</v>
      </c>
      <c r="K309" s="17">
        <f>IFERROR(__xludf.DUMMYFUNCTION("INDEX(GOOGLEFINANCE(""NSE:""&amp;D309,""PRICE"",TODAY()-84),2,2)"),753.4)</f>
        <v>753.4</v>
      </c>
      <c r="L309" s="16">
        <f t="shared" si="1"/>
        <v>-0.0009678460049</v>
      </c>
      <c r="M309" s="16">
        <f t="shared" si="2"/>
        <v>0.06074446221</v>
      </c>
      <c r="N309" s="16">
        <f t="shared" si="3"/>
        <v>0.0866768043</v>
      </c>
      <c r="O309" s="16">
        <f t="shared" si="4"/>
        <v>0.0821199767</v>
      </c>
      <c r="P309" s="16">
        <f t="shared" si="5"/>
        <v>0.2330767189</v>
      </c>
      <c r="Q309" s="30">
        <f t="shared" si="6"/>
        <v>0.04888600507</v>
      </c>
      <c r="R309" s="30">
        <f t="shared" si="7"/>
        <v>0.06289244912</v>
      </c>
      <c r="S309" s="30">
        <f t="shared" si="8"/>
        <v>0.01074777307</v>
      </c>
      <c r="T309" s="30">
        <f t="shared" si="9"/>
        <v>0.1062838522</v>
      </c>
    </row>
    <row r="310">
      <c r="A310" s="1">
        <v>307.0</v>
      </c>
      <c r="B310" s="22" t="s">
        <v>928</v>
      </c>
      <c r="C310" s="22" t="s">
        <v>526</v>
      </c>
      <c r="D310" s="22" t="s">
        <v>929</v>
      </c>
      <c r="E310" s="23">
        <f>IFERROR(__xludf.DUMMYFUNCTION("GOOGLEFINANCE(""NSE:""&amp;D310,""marketcap"")/10000000"),9666.85275)</f>
        <v>9666.85275</v>
      </c>
      <c r="F310" s="17">
        <f>IFERROR(__xludf.DUMMYFUNCTION("GOOGLEFINANCE(""NSE:""&amp;D310)"),435.0)</f>
        <v>435</v>
      </c>
      <c r="G310" s="17">
        <f>IFERROR(__xludf.DUMMYFUNCTION("GOOGLEFINANCE(""NSE:""&amp;D310,""closeyest"")"),429.95)</f>
        <v>429.95</v>
      </c>
      <c r="H310" s="17">
        <f>IFERROR(__xludf.DUMMYFUNCTION("INDEX(GOOGLEFINANCE(""NSE:""&amp;D310,""PRICE"",TODAY()-7),2,2)"),418.25)</f>
        <v>418.25</v>
      </c>
      <c r="I310" s="17">
        <f>IFERROR(__xludf.DUMMYFUNCTION("INDEX(GOOGLEFINANCE(""NSE:""&amp;D310,""PRICE"",TODAY()-14),2,2)"),412.05)</f>
        <v>412.05</v>
      </c>
      <c r="J310" s="17">
        <f>IFERROR(__xludf.DUMMYFUNCTION("INDEX(GOOGLEFINANCE(""NSE:""&amp;D310,""PRICE"",TODAY()-28),2,2)"),395.15)</f>
        <v>395.15</v>
      </c>
      <c r="K310" s="17">
        <f>IFERROR(__xludf.DUMMYFUNCTION("INDEX(GOOGLEFINANCE(""NSE:""&amp;D310,""PRICE"",TODAY()-84),2,2)"),407.95)</f>
        <v>407.95</v>
      </c>
      <c r="L310" s="16">
        <f t="shared" si="1"/>
        <v>0.01174555181</v>
      </c>
      <c r="M310" s="16">
        <f t="shared" si="2"/>
        <v>0.04004781829</v>
      </c>
      <c r="N310" s="16">
        <f t="shared" si="3"/>
        <v>0.05569712414</v>
      </c>
      <c r="O310" s="16">
        <f t="shared" si="4"/>
        <v>0.1008477793</v>
      </c>
      <c r="P310" s="16">
        <f t="shared" si="5"/>
        <v>0.06630714548</v>
      </c>
      <c r="Q310" s="30">
        <f t="shared" si="6"/>
        <v>0.02818936115</v>
      </c>
      <c r="R310" s="30">
        <f t="shared" si="7"/>
        <v>0.03191276896</v>
      </c>
      <c r="S310" s="30">
        <f t="shared" si="8"/>
        <v>0.0294755757</v>
      </c>
      <c r="T310" s="30">
        <f t="shared" si="9"/>
        <v>-0.06048572121</v>
      </c>
    </row>
    <row r="311">
      <c r="A311" s="1">
        <v>308.0</v>
      </c>
      <c r="B311" s="22" t="s">
        <v>930</v>
      </c>
      <c r="C311" s="22" t="s">
        <v>712</v>
      </c>
      <c r="D311" s="22" t="s">
        <v>931</v>
      </c>
      <c r="E311" s="23">
        <f>IFERROR(__xludf.DUMMYFUNCTION("GOOGLEFINANCE(""NSE:""&amp;D311,""marketcap"")/10000000"),9514.377015)</f>
        <v>9514.377015</v>
      </c>
      <c r="F311" s="17">
        <f>IFERROR(__xludf.DUMMYFUNCTION("GOOGLEFINANCE(""NSE:""&amp;D311)"),1566.0)</f>
        <v>1566</v>
      </c>
      <c r="G311" s="17">
        <f>IFERROR(__xludf.DUMMYFUNCTION("GOOGLEFINANCE(""NSE:""&amp;D311,""closeyest"")"),1568.35)</f>
        <v>1568.35</v>
      </c>
      <c r="H311" s="17">
        <f>IFERROR(__xludf.DUMMYFUNCTION("INDEX(GOOGLEFINANCE(""NSE:""&amp;D311,""PRICE"",TODAY()-7),2,2)"),1392.0)</f>
        <v>1392</v>
      </c>
      <c r="I311" s="17">
        <f>IFERROR(__xludf.DUMMYFUNCTION("INDEX(GOOGLEFINANCE(""NSE:""&amp;D311,""PRICE"",TODAY()-14),2,2)"),1394.25)</f>
        <v>1394.25</v>
      </c>
      <c r="J311" s="17">
        <f>IFERROR(__xludf.DUMMYFUNCTION("INDEX(GOOGLEFINANCE(""NSE:""&amp;D311,""PRICE"",TODAY()-28),2,2)"),1324.35)</f>
        <v>1324.35</v>
      </c>
      <c r="K311" s="17">
        <f>IFERROR(__xludf.DUMMYFUNCTION("INDEX(GOOGLEFINANCE(""NSE:""&amp;D311,""PRICE"",TODAY()-84),2,2)"),1354.5)</f>
        <v>1354.5</v>
      </c>
      <c r="L311" s="16">
        <f t="shared" si="1"/>
        <v>-0.001498390028</v>
      </c>
      <c r="M311" s="16">
        <f t="shared" si="2"/>
        <v>0.125</v>
      </c>
      <c r="N311" s="16">
        <f t="shared" si="3"/>
        <v>0.1231845078</v>
      </c>
      <c r="O311" s="16">
        <f t="shared" si="4"/>
        <v>0.1824668705</v>
      </c>
      <c r="P311" s="16">
        <f t="shared" si="5"/>
        <v>0.1561461794</v>
      </c>
      <c r="Q311" s="30">
        <f t="shared" si="6"/>
        <v>0.1131415429</v>
      </c>
      <c r="R311" s="30">
        <f t="shared" si="7"/>
        <v>0.09940015262</v>
      </c>
      <c r="S311" s="30">
        <f t="shared" si="8"/>
        <v>0.1110946669</v>
      </c>
      <c r="T311" s="30">
        <f t="shared" si="9"/>
        <v>0.0293533127</v>
      </c>
    </row>
    <row r="312">
      <c r="A312" s="1">
        <v>309.0</v>
      </c>
      <c r="B312" s="22" t="s">
        <v>932</v>
      </c>
      <c r="C312" s="22" t="s">
        <v>531</v>
      </c>
      <c r="D312" s="22" t="s">
        <v>933</v>
      </c>
      <c r="E312" s="23">
        <f>IFERROR(__xludf.DUMMYFUNCTION("GOOGLEFINANCE(""NSE:""&amp;D312,""marketcap"")/10000000"),9373.5536729)</f>
        <v>9373.553673</v>
      </c>
      <c r="F312" s="17">
        <f>IFERROR(__xludf.DUMMYFUNCTION("GOOGLEFINANCE(""NSE:""&amp;D312)"),73.1)</f>
        <v>73.1</v>
      </c>
      <c r="G312" s="17">
        <f>IFERROR(__xludf.DUMMYFUNCTION("GOOGLEFINANCE(""NSE:""&amp;D312,""closeyest"")"),73.15)</f>
        <v>73.15</v>
      </c>
      <c r="H312" s="17">
        <f>IFERROR(__xludf.DUMMYFUNCTION("INDEX(GOOGLEFINANCE(""NSE:""&amp;D312,""PRICE"",TODAY()-7),2,2)"),74.3)</f>
        <v>74.3</v>
      </c>
      <c r="I312" s="17">
        <f>IFERROR(__xludf.DUMMYFUNCTION("INDEX(GOOGLEFINANCE(""NSE:""&amp;D312,""PRICE"",TODAY()-14),2,2)"),78.1)</f>
        <v>78.1</v>
      </c>
      <c r="J312" s="17">
        <f>IFERROR(__xludf.DUMMYFUNCTION("INDEX(GOOGLEFINANCE(""NSE:""&amp;D312,""PRICE"",TODAY()-28),2,2)"),68.4)</f>
        <v>68.4</v>
      </c>
      <c r="K312" s="17">
        <f>IFERROR(__xludf.DUMMYFUNCTION("INDEX(GOOGLEFINANCE(""NSE:""&amp;D312,""PRICE"",TODAY()-84),2,2)"),72.6)</f>
        <v>72.6</v>
      </c>
      <c r="L312" s="16">
        <f t="shared" si="1"/>
        <v>-0.0006835269993</v>
      </c>
      <c r="M312" s="16">
        <f t="shared" si="2"/>
        <v>-0.01615074024</v>
      </c>
      <c r="N312" s="16">
        <f t="shared" si="3"/>
        <v>-0.06402048656</v>
      </c>
      <c r="O312" s="16">
        <f t="shared" si="4"/>
        <v>0.06871345029</v>
      </c>
      <c r="P312" s="16">
        <f t="shared" si="5"/>
        <v>0.006887052342</v>
      </c>
      <c r="Q312" s="30">
        <f t="shared" si="6"/>
        <v>-0.02800919738</v>
      </c>
      <c r="R312" s="30">
        <f t="shared" si="7"/>
        <v>-0.08780484174</v>
      </c>
      <c r="S312" s="30">
        <f t="shared" si="8"/>
        <v>-0.002658753336</v>
      </c>
      <c r="T312" s="30">
        <f t="shared" si="9"/>
        <v>-0.1199058144</v>
      </c>
    </row>
    <row r="313">
      <c r="A313" s="1">
        <v>310.0</v>
      </c>
      <c r="B313" s="22" t="s">
        <v>934</v>
      </c>
      <c r="C313" s="22" t="s">
        <v>541</v>
      </c>
      <c r="D313" s="22" t="s">
        <v>935</v>
      </c>
      <c r="E313" s="23">
        <f>IFERROR(__xludf.DUMMYFUNCTION("GOOGLEFINANCE(""NSE:""&amp;D313,""marketcap"")/10000000"),9671.75509)</f>
        <v>9671.75509</v>
      </c>
      <c r="F313" s="17">
        <f>IFERROR(__xludf.DUMMYFUNCTION("GOOGLEFINANCE(""NSE:""&amp;D313)"),421.0)</f>
        <v>421</v>
      </c>
      <c r="G313" s="17">
        <f>IFERROR(__xludf.DUMMYFUNCTION("GOOGLEFINANCE(""NSE:""&amp;D313,""closeyest"")"),407.15)</f>
        <v>407.15</v>
      </c>
      <c r="H313" s="17">
        <f>IFERROR(__xludf.DUMMYFUNCTION("INDEX(GOOGLEFINANCE(""NSE:""&amp;D313,""PRICE"",TODAY()-7),2,2)"),374.8)</f>
        <v>374.8</v>
      </c>
      <c r="I313" s="17">
        <f>IFERROR(__xludf.DUMMYFUNCTION("INDEX(GOOGLEFINANCE(""NSE:""&amp;D313,""PRICE"",TODAY()-14),2,2)"),400.75)</f>
        <v>400.75</v>
      </c>
      <c r="J313" s="17">
        <f>IFERROR(__xludf.DUMMYFUNCTION("INDEX(GOOGLEFINANCE(""NSE:""&amp;D313,""PRICE"",TODAY()-28),2,2)"),301.0)</f>
        <v>301</v>
      </c>
      <c r="K313" s="17">
        <f>IFERROR(__xludf.DUMMYFUNCTION("INDEX(GOOGLEFINANCE(""NSE:""&amp;D313,""PRICE"",TODAY()-84),2,2)"),280.1)</f>
        <v>280.1</v>
      </c>
      <c r="L313" s="16">
        <f t="shared" si="1"/>
        <v>0.03401694707</v>
      </c>
      <c r="M313" s="16">
        <f t="shared" si="2"/>
        <v>0.1232657417</v>
      </c>
      <c r="N313" s="16">
        <f t="shared" si="3"/>
        <v>0.05053025577</v>
      </c>
      <c r="O313" s="16">
        <f t="shared" si="4"/>
        <v>0.3986710963</v>
      </c>
      <c r="P313" s="16">
        <f t="shared" si="5"/>
        <v>0.5030346305</v>
      </c>
      <c r="Q313" s="30">
        <f t="shared" si="6"/>
        <v>0.1114072846</v>
      </c>
      <c r="R313" s="30">
        <f t="shared" si="7"/>
        <v>0.02674590059</v>
      </c>
      <c r="S313" s="30">
        <f t="shared" si="8"/>
        <v>0.3272988927</v>
      </c>
      <c r="T313" s="30">
        <f t="shared" si="9"/>
        <v>0.3762417638</v>
      </c>
    </row>
    <row r="314">
      <c r="A314" s="1">
        <v>311.0</v>
      </c>
      <c r="B314" s="22" t="s">
        <v>936</v>
      </c>
      <c r="C314" s="22" t="s">
        <v>618</v>
      </c>
      <c r="D314" s="22" t="s">
        <v>937</v>
      </c>
      <c r="E314" s="23">
        <f>IFERROR(__xludf.DUMMYFUNCTION("GOOGLEFINANCE(""NSE:""&amp;D314,""marketcap"")/10000000"),9141.559056)</f>
        <v>9141.559056</v>
      </c>
      <c r="F314" s="17">
        <f>IFERROR(__xludf.DUMMYFUNCTION("GOOGLEFINANCE(""NSE:""&amp;D314)"),951.0)</f>
        <v>951</v>
      </c>
      <c r="G314" s="17">
        <f>IFERROR(__xludf.DUMMYFUNCTION("GOOGLEFINANCE(""NSE:""&amp;D314,""closeyest"")"),951.2)</f>
        <v>951.2</v>
      </c>
      <c r="H314" s="17">
        <f>IFERROR(__xludf.DUMMYFUNCTION("INDEX(GOOGLEFINANCE(""NSE:""&amp;D314,""PRICE"",TODAY()-7),2,2)"),951.3)</f>
        <v>951.3</v>
      </c>
      <c r="I314" s="17">
        <f>IFERROR(__xludf.DUMMYFUNCTION("INDEX(GOOGLEFINANCE(""NSE:""&amp;D314,""PRICE"",TODAY()-14),2,2)"),999.35)</f>
        <v>999.35</v>
      </c>
      <c r="J314" s="17" t="str">
        <f>IFERROR(__xludf.DUMMYFUNCTION("INDEX(GOOGLEFINANCE(""NSE:""&amp;D314,""PRICE"",TODAY()-28),2,2)"),"#N/A")</f>
        <v>#N/A</v>
      </c>
      <c r="K314" s="17">
        <f>IFERROR(__xludf.DUMMYFUNCTION("INDEX(GOOGLEFINANCE(""NSE:""&amp;D314,""PRICE"",TODAY()-84),2,2)"),1002.45)</f>
        <v>1002.45</v>
      </c>
      <c r="L314" s="16">
        <f t="shared" si="1"/>
        <v>-0.0002102607233</v>
      </c>
      <c r="M314" s="16">
        <f t="shared" si="2"/>
        <v>-0.0003153579313</v>
      </c>
      <c r="N314" s="16">
        <f t="shared" si="3"/>
        <v>-0.04838144794</v>
      </c>
      <c r="O314" s="16" t="str">
        <f t="shared" si="4"/>
        <v>#N/A</v>
      </c>
      <c r="P314" s="16">
        <f t="shared" si="5"/>
        <v>-0.05132425557</v>
      </c>
      <c r="Q314" s="30">
        <f t="shared" si="6"/>
        <v>-0.01217381507</v>
      </c>
      <c r="R314" s="30">
        <f t="shared" si="7"/>
        <v>-0.07216580312</v>
      </c>
      <c r="S314" s="32" t="str">
        <f t="shared" si="8"/>
        <v>#N/A</v>
      </c>
      <c r="T314" s="30">
        <f t="shared" si="9"/>
        <v>-0.1781171223</v>
      </c>
    </row>
    <row r="315">
      <c r="A315" s="1">
        <v>312.0</v>
      </c>
      <c r="B315" s="22" t="s">
        <v>938</v>
      </c>
      <c r="C315" s="22" t="s">
        <v>541</v>
      </c>
      <c r="D315" s="22" t="s">
        <v>939</v>
      </c>
      <c r="E315" s="23">
        <f>IFERROR(__xludf.DUMMYFUNCTION("GOOGLEFINANCE(""NSE:""&amp;D315,""marketcap"")/10000000"),9119.9657972)</f>
        <v>9119.965797</v>
      </c>
      <c r="F315" s="17">
        <f>IFERROR(__xludf.DUMMYFUNCTION("GOOGLEFINANCE(""NSE:""&amp;D315)"),353.6)</f>
        <v>353.6</v>
      </c>
      <c r="G315" s="17">
        <f>IFERROR(__xludf.DUMMYFUNCTION("GOOGLEFINANCE(""NSE:""&amp;D315,""closeyest"")"),359.55)</f>
        <v>359.55</v>
      </c>
      <c r="H315" s="17">
        <f>IFERROR(__xludf.DUMMYFUNCTION("INDEX(GOOGLEFINANCE(""NSE:""&amp;D315,""PRICE"",TODAY()-7),2,2)"),372.65)</f>
        <v>372.65</v>
      </c>
      <c r="I315" s="17">
        <f>IFERROR(__xludf.DUMMYFUNCTION("INDEX(GOOGLEFINANCE(""NSE:""&amp;D315,""PRICE"",TODAY()-14),2,2)"),362.25)</f>
        <v>362.25</v>
      </c>
      <c r="J315" s="17">
        <f>IFERROR(__xludf.DUMMYFUNCTION("INDEX(GOOGLEFINANCE(""NSE:""&amp;D315,""PRICE"",TODAY()-28),2,2)"),304.45)</f>
        <v>304.45</v>
      </c>
      <c r="K315" s="17">
        <f>IFERROR(__xludf.DUMMYFUNCTION("INDEX(GOOGLEFINANCE(""NSE:""&amp;D315,""PRICE"",TODAY()-84),2,2)"),291.2)</f>
        <v>291.2</v>
      </c>
      <c r="L315" s="16">
        <f t="shared" si="1"/>
        <v>-0.01654846336</v>
      </c>
      <c r="M315" s="16">
        <f t="shared" si="2"/>
        <v>-0.05112035422</v>
      </c>
      <c r="N315" s="16">
        <f t="shared" si="3"/>
        <v>-0.02387853692</v>
      </c>
      <c r="O315" s="16">
        <f t="shared" si="4"/>
        <v>0.1614386599</v>
      </c>
      <c r="P315" s="16">
        <f t="shared" si="5"/>
        <v>0.2142857143</v>
      </c>
      <c r="Q315" s="30">
        <f t="shared" si="6"/>
        <v>-0.06297881136</v>
      </c>
      <c r="R315" s="30">
        <f t="shared" si="7"/>
        <v>-0.0476628921</v>
      </c>
      <c r="S315" s="30">
        <f t="shared" si="8"/>
        <v>0.09006645625</v>
      </c>
      <c r="T315" s="30">
        <f t="shared" si="9"/>
        <v>0.08749284759</v>
      </c>
    </row>
    <row r="316">
      <c r="A316" s="1">
        <v>313.0</v>
      </c>
      <c r="B316" s="22" t="s">
        <v>940</v>
      </c>
      <c r="C316" s="22" t="s">
        <v>524</v>
      </c>
      <c r="D316" s="22" t="s">
        <v>941</v>
      </c>
      <c r="E316" s="23">
        <f>IFERROR(__xludf.DUMMYFUNCTION("GOOGLEFINANCE(""NSE:""&amp;D316,""marketcap"")/10000000"),9214.4609953)</f>
        <v>9214.460995</v>
      </c>
      <c r="F316" s="17">
        <f>IFERROR(__xludf.DUMMYFUNCTION("GOOGLEFINANCE(""NSE:""&amp;D316)"),691.8)</f>
        <v>691.8</v>
      </c>
      <c r="G316" s="17">
        <f>IFERROR(__xludf.DUMMYFUNCTION("GOOGLEFINANCE(""NSE:""&amp;D316,""closeyest"")"),686.55)</f>
        <v>686.55</v>
      </c>
      <c r="H316" s="17">
        <f>IFERROR(__xludf.DUMMYFUNCTION("INDEX(GOOGLEFINANCE(""NSE:""&amp;D316,""PRICE"",TODAY()-7),2,2)"),677.6)</f>
        <v>677.6</v>
      </c>
      <c r="I316" s="17">
        <f>IFERROR(__xludf.DUMMYFUNCTION("INDEX(GOOGLEFINANCE(""NSE:""&amp;D316,""PRICE"",TODAY()-14),2,2)"),643.7)</f>
        <v>643.7</v>
      </c>
      <c r="J316" s="17">
        <f>IFERROR(__xludf.DUMMYFUNCTION("INDEX(GOOGLEFINANCE(""NSE:""&amp;D316,""PRICE"",TODAY()-28),2,2)"),652.15)</f>
        <v>652.15</v>
      </c>
      <c r="K316" s="17">
        <f>IFERROR(__xludf.DUMMYFUNCTION("INDEX(GOOGLEFINANCE(""NSE:""&amp;D316,""PRICE"",TODAY()-84),2,2)"),738.3)</f>
        <v>738.3</v>
      </c>
      <c r="L316" s="16">
        <f t="shared" si="1"/>
        <v>0.007646930304</v>
      </c>
      <c r="M316" s="16">
        <f t="shared" si="2"/>
        <v>0.02095631641</v>
      </c>
      <c r="N316" s="16">
        <f t="shared" si="3"/>
        <v>0.07472425043</v>
      </c>
      <c r="O316" s="16">
        <f t="shared" si="4"/>
        <v>0.06079889596</v>
      </c>
      <c r="P316" s="16">
        <f t="shared" si="5"/>
        <v>-0.06298252743</v>
      </c>
      <c r="Q316" s="30">
        <f t="shared" si="6"/>
        <v>0.009097859275</v>
      </c>
      <c r="R316" s="30">
        <f t="shared" si="7"/>
        <v>0.05093989525</v>
      </c>
      <c r="S316" s="30">
        <f t="shared" si="8"/>
        <v>-0.01057330767</v>
      </c>
      <c r="T316" s="30">
        <f t="shared" si="9"/>
        <v>-0.1897753941</v>
      </c>
    </row>
    <row r="317">
      <c r="A317" s="1">
        <v>314.0</v>
      </c>
      <c r="B317" s="22" t="s">
        <v>942</v>
      </c>
      <c r="C317" s="22" t="s">
        <v>524</v>
      </c>
      <c r="D317" s="22" t="s">
        <v>943</v>
      </c>
      <c r="E317" s="23">
        <f>IFERROR(__xludf.DUMMYFUNCTION("GOOGLEFINANCE(""NSE:""&amp;D317,""marketcap"")/10000000"),9372.0690201)</f>
        <v>9372.06902</v>
      </c>
      <c r="F317" s="17">
        <f>IFERROR(__xludf.DUMMYFUNCTION("GOOGLEFINANCE(""NSE:""&amp;D317)"),348.9)</f>
        <v>348.9</v>
      </c>
      <c r="G317" s="17">
        <f>IFERROR(__xludf.DUMMYFUNCTION("GOOGLEFINANCE(""NSE:""&amp;D317,""closeyest"")"),338.1)</f>
        <v>338.1</v>
      </c>
      <c r="H317" s="17">
        <f>IFERROR(__xludf.DUMMYFUNCTION("INDEX(GOOGLEFINANCE(""NSE:""&amp;D317,""PRICE"",TODAY()-7),2,2)"),319.45)</f>
        <v>319.45</v>
      </c>
      <c r="I317" s="17">
        <f>IFERROR(__xludf.DUMMYFUNCTION("INDEX(GOOGLEFINANCE(""NSE:""&amp;D317,""PRICE"",TODAY()-14),2,2)"),327.45)</f>
        <v>327.45</v>
      </c>
      <c r="J317" s="17">
        <f>IFERROR(__xludf.DUMMYFUNCTION("INDEX(GOOGLEFINANCE(""NSE:""&amp;D317,""PRICE"",TODAY()-28),2,2)"),335.15)</f>
        <v>335.15</v>
      </c>
      <c r="K317" s="17" t="str">
        <f>IFERROR(__xludf.DUMMYFUNCTION("INDEX(GOOGLEFINANCE(""NSE:""&amp;D317,""PRICE"",TODAY()-84),2,2)"),"#N/A")</f>
        <v>#N/A</v>
      </c>
      <c r="L317" s="16">
        <f t="shared" si="1"/>
        <v>0.03194321207</v>
      </c>
      <c r="M317" s="16">
        <f t="shared" si="2"/>
        <v>0.09218970105</v>
      </c>
      <c r="N317" s="16">
        <f t="shared" si="3"/>
        <v>0.06550618415</v>
      </c>
      <c r="O317" s="16">
        <f t="shared" si="4"/>
        <v>0.04102640609</v>
      </c>
      <c r="P317" s="16" t="str">
        <f t="shared" si="5"/>
        <v>#N/A</v>
      </c>
      <c r="Q317" s="30">
        <f t="shared" si="6"/>
        <v>0.08033124391</v>
      </c>
      <c r="R317" s="30">
        <f t="shared" si="7"/>
        <v>0.04172182897</v>
      </c>
      <c r="S317" s="30">
        <f t="shared" si="8"/>
        <v>-0.03034579754</v>
      </c>
      <c r="T317" s="32" t="str">
        <f t="shared" si="9"/>
        <v>#N/A</v>
      </c>
    </row>
    <row r="318">
      <c r="A318" s="1">
        <v>315.0</v>
      </c>
      <c r="B318" s="22" t="s">
        <v>944</v>
      </c>
      <c r="C318" s="22" t="s">
        <v>549</v>
      </c>
      <c r="D318" s="22" t="s">
        <v>945</v>
      </c>
      <c r="E318" s="23">
        <f>IFERROR(__xludf.DUMMYFUNCTION("GOOGLEFINANCE(""NSE:""&amp;D318,""marketcap"")/10000000"),8888.6412088)</f>
        <v>8888.641209</v>
      </c>
      <c r="F318" s="17">
        <f>IFERROR(__xludf.DUMMYFUNCTION("GOOGLEFINANCE(""NSE:""&amp;D318)"),5369.55)</f>
        <v>5369.55</v>
      </c>
      <c r="G318" s="17">
        <f>IFERROR(__xludf.DUMMYFUNCTION("GOOGLEFINANCE(""NSE:""&amp;D318,""closeyest"")"),5371.5)</f>
        <v>5371.5</v>
      </c>
      <c r="H318" s="17">
        <f>IFERROR(__xludf.DUMMYFUNCTION("INDEX(GOOGLEFINANCE(""NSE:""&amp;D318,""PRICE"",TODAY()-7),2,2)"),5399.65)</f>
        <v>5399.65</v>
      </c>
      <c r="I318" s="17">
        <f>IFERROR(__xludf.DUMMYFUNCTION("INDEX(GOOGLEFINANCE(""NSE:""&amp;D318,""PRICE"",TODAY()-14),2,2)"),5491.35)</f>
        <v>5491.35</v>
      </c>
      <c r="J318" s="17">
        <f>IFERROR(__xludf.DUMMYFUNCTION("INDEX(GOOGLEFINANCE(""NSE:""&amp;D318,""PRICE"",TODAY()-28),2,2)"),5542.45)</f>
        <v>5542.45</v>
      </c>
      <c r="K318" s="17">
        <f>IFERROR(__xludf.DUMMYFUNCTION("INDEX(GOOGLEFINANCE(""NSE:""&amp;D318,""PRICE"",TODAY()-84),2,2)"),5696.6)</f>
        <v>5696.6</v>
      </c>
      <c r="L318" s="16">
        <f t="shared" si="1"/>
        <v>-0.0003630270874</v>
      </c>
      <c r="M318" s="16">
        <f t="shared" si="2"/>
        <v>-0.00557443538</v>
      </c>
      <c r="N318" s="16">
        <f t="shared" si="3"/>
        <v>-0.02218033817</v>
      </c>
      <c r="O318" s="16">
        <f t="shared" si="4"/>
        <v>-0.0311955904</v>
      </c>
      <c r="P318" s="16">
        <f t="shared" si="5"/>
        <v>-0.0574114384</v>
      </c>
      <c r="Q318" s="30">
        <f t="shared" si="6"/>
        <v>-0.01743289252</v>
      </c>
      <c r="R318" s="30">
        <f t="shared" si="7"/>
        <v>-0.04596469335</v>
      </c>
      <c r="S318" s="30">
        <f t="shared" si="8"/>
        <v>-0.102567794</v>
      </c>
      <c r="T318" s="30">
        <f t="shared" si="9"/>
        <v>-0.1842043051</v>
      </c>
    </row>
    <row r="319">
      <c r="A319" s="1">
        <v>316.0</v>
      </c>
      <c r="B319" s="22" t="s">
        <v>946</v>
      </c>
      <c r="C319" s="22" t="s">
        <v>528</v>
      </c>
      <c r="D319" s="22" t="s">
        <v>947</v>
      </c>
      <c r="E319" s="23">
        <f>IFERROR(__xludf.DUMMYFUNCTION("GOOGLEFINANCE(""NSE:""&amp;D319,""marketcap"")/10000000"),8828.1697766)</f>
        <v>8828.169777</v>
      </c>
      <c r="F319" s="17">
        <f>IFERROR(__xludf.DUMMYFUNCTION("GOOGLEFINANCE(""NSE:""&amp;D319)"),55.25)</f>
        <v>55.25</v>
      </c>
      <c r="G319" s="17">
        <f>IFERROR(__xludf.DUMMYFUNCTION("GOOGLEFINANCE(""NSE:""&amp;D319,""closeyest"")"),55.65)</f>
        <v>55.65</v>
      </c>
      <c r="H319" s="17">
        <f>IFERROR(__xludf.DUMMYFUNCTION("INDEX(GOOGLEFINANCE(""NSE:""&amp;D319,""PRICE"",TODAY()-7),2,2)"),56.45)</f>
        <v>56.45</v>
      </c>
      <c r="I319" s="17">
        <f>IFERROR(__xludf.DUMMYFUNCTION("INDEX(GOOGLEFINANCE(""NSE:""&amp;D319,""PRICE"",TODAY()-14),2,2)"),56.6)</f>
        <v>56.6</v>
      </c>
      <c r="J319" s="17">
        <f>IFERROR(__xludf.DUMMYFUNCTION("INDEX(GOOGLEFINANCE(""NSE:""&amp;D319,""PRICE"",TODAY()-28),2,2)"),48.45)</f>
        <v>48.45</v>
      </c>
      <c r="K319" s="17">
        <f>IFERROR(__xludf.DUMMYFUNCTION("INDEX(GOOGLEFINANCE(""NSE:""&amp;D319,""PRICE"",TODAY()-84),2,2)"),53.2)</f>
        <v>53.2</v>
      </c>
      <c r="L319" s="16">
        <f t="shared" si="1"/>
        <v>-0.007187780773</v>
      </c>
      <c r="M319" s="16">
        <f t="shared" si="2"/>
        <v>-0.02125775022</v>
      </c>
      <c r="N319" s="16">
        <f t="shared" si="3"/>
        <v>-0.02385159011</v>
      </c>
      <c r="O319" s="16">
        <f t="shared" si="4"/>
        <v>0.1403508772</v>
      </c>
      <c r="P319" s="16">
        <f t="shared" si="5"/>
        <v>0.03853383459</v>
      </c>
      <c r="Q319" s="30">
        <f t="shared" si="6"/>
        <v>-0.03311620736</v>
      </c>
      <c r="R319" s="30">
        <f t="shared" si="7"/>
        <v>-0.04763594529</v>
      </c>
      <c r="S319" s="30">
        <f t="shared" si="8"/>
        <v>0.06897867356</v>
      </c>
      <c r="T319" s="30">
        <f t="shared" si="9"/>
        <v>-0.08825903211</v>
      </c>
    </row>
    <row r="320">
      <c r="A320" s="1">
        <v>317.0</v>
      </c>
      <c r="B320" s="22" t="s">
        <v>948</v>
      </c>
      <c r="C320" s="22" t="s">
        <v>528</v>
      </c>
      <c r="D320" s="22" t="s">
        <v>949</v>
      </c>
      <c r="E320" s="23">
        <f>IFERROR(__xludf.DUMMYFUNCTION("GOOGLEFINANCE(""NSE:""&amp;D320,""marketcap"")/10000000"),8945.737391)</f>
        <v>8945.737391</v>
      </c>
      <c r="F320" s="17">
        <f>IFERROR(__xludf.DUMMYFUNCTION("GOOGLEFINANCE(""NSE:""&amp;D320)"),514.9)</f>
        <v>514.9</v>
      </c>
      <c r="G320" s="17">
        <f>IFERROR(__xludf.DUMMYFUNCTION("GOOGLEFINANCE(""NSE:""&amp;D320,""closeyest"")"),502.2)</f>
        <v>502.2</v>
      </c>
      <c r="H320" s="17">
        <f>IFERROR(__xludf.DUMMYFUNCTION("INDEX(GOOGLEFINANCE(""NSE:""&amp;D320,""PRICE"",TODAY()-7),2,2)"),502.35)</f>
        <v>502.35</v>
      </c>
      <c r="I320" s="17">
        <f>IFERROR(__xludf.DUMMYFUNCTION("INDEX(GOOGLEFINANCE(""NSE:""&amp;D320,""PRICE"",TODAY()-14),2,2)"),501.75)</f>
        <v>501.75</v>
      </c>
      <c r="J320" s="17">
        <f>IFERROR(__xludf.DUMMYFUNCTION("INDEX(GOOGLEFINANCE(""NSE:""&amp;D320,""PRICE"",TODAY()-28),2,2)"),515.4)</f>
        <v>515.4</v>
      </c>
      <c r="K320" s="17">
        <f>IFERROR(__xludf.DUMMYFUNCTION("INDEX(GOOGLEFINANCE(""NSE:""&amp;D320,""PRICE"",TODAY()-84),2,2)"),525.3)</f>
        <v>525.3</v>
      </c>
      <c r="L320" s="16">
        <f t="shared" si="1"/>
        <v>0.02528872959</v>
      </c>
      <c r="M320" s="16">
        <f t="shared" si="2"/>
        <v>0.02498258187</v>
      </c>
      <c r="N320" s="16">
        <f t="shared" si="3"/>
        <v>0.02620827105</v>
      </c>
      <c r="O320" s="16">
        <f t="shared" si="4"/>
        <v>-0.0009701202949</v>
      </c>
      <c r="P320" s="16">
        <f t="shared" si="5"/>
        <v>-0.01979821055</v>
      </c>
      <c r="Q320" s="30">
        <f t="shared" si="6"/>
        <v>0.01312412473</v>
      </c>
      <c r="R320" s="30">
        <f t="shared" si="7"/>
        <v>0.002423915872</v>
      </c>
      <c r="S320" s="30">
        <f t="shared" si="8"/>
        <v>-0.07234232392</v>
      </c>
      <c r="T320" s="30">
        <f t="shared" si="9"/>
        <v>-0.1465910772</v>
      </c>
    </row>
    <row r="321">
      <c r="A321" s="1">
        <v>318.0</v>
      </c>
      <c r="B321" s="22" t="s">
        <v>950</v>
      </c>
      <c r="C321" s="22" t="s">
        <v>528</v>
      </c>
      <c r="D321" s="22" t="s">
        <v>951</v>
      </c>
      <c r="E321" s="23">
        <f>IFERROR(__xludf.DUMMYFUNCTION("GOOGLEFINANCE(""NSE:""&amp;D321,""marketcap"")/10000000"),9063.58199)</f>
        <v>9063.58199</v>
      </c>
      <c r="F321" s="17">
        <f>IFERROR(__xludf.DUMMYFUNCTION("GOOGLEFINANCE(""NSE:""&amp;D321)"),678.65)</f>
        <v>678.65</v>
      </c>
      <c r="G321" s="17">
        <f>IFERROR(__xludf.DUMMYFUNCTION("GOOGLEFINANCE(""NSE:""&amp;D321,""closeyest"")"),653.6)</f>
        <v>653.6</v>
      </c>
      <c r="H321" s="17">
        <f>IFERROR(__xludf.DUMMYFUNCTION("INDEX(GOOGLEFINANCE(""NSE:""&amp;D321,""PRICE"",TODAY()-7),2,2)"),608.0)</f>
        <v>608</v>
      </c>
      <c r="I321" s="17">
        <f>IFERROR(__xludf.DUMMYFUNCTION("INDEX(GOOGLEFINANCE(""NSE:""&amp;D321,""PRICE"",TODAY()-14),2,2)"),631.75)</f>
        <v>631.75</v>
      </c>
      <c r="J321" s="17">
        <f>IFERROR(__xludf.DUMMYFUNCTION("INDEX(GOOGLEFINANCE(""NSE:""&amp;D321,""PRICE"",TODAY()-28),2,2)"),525.25)</f>
        <v>525.25</v>
      </c>
      <c r="K321" s="17">
        <f>IFERROR(__xludf.DUMMYFUNCTION("INDEX(GOOGLEFINANCE(""NSE:""&amp;D321,""PRICE"",TODAY()-84),2,2)"),518.3)</f>
        <v>518.3</v>
      </c>
      <c r="L321" s="16">
        <f t="shared" si="1"/>
        <v>0.03832619339</v>
      </c>
      <c r="M321" s="16">
        <f t="shared" si="2"/>
        <v>0.1162006579</v>
      </c>
      <c r="N321" s="16">
        <f t="shared" si="3"/>
        <v>0.07423822715</v>
      </c>
      <c r="O321" s="16">
        <f t="shared" si="4"/>
        <v>0.2920514041</v>
      </c>
      <c r="P321" s="16">
        <f t="shared" si="5"/>
        <v>0.3093768088</v>
      </c>
      <c r="Q321" s="30">
        <f t="shared" si="6"/>
        <v>0.1043422008</v>
      </c>
      <c r="R321" s="30">
        <f t="shared" si="7"/>
        <v>0.05045387197</v>
      </c>
      <c r="S321" s="30">
        <f t="shared" si="8"/>
        <v>0.2206792005</v>
      </c>
      <c r="T321" s="30">
        <f t="shared" si="9"/>
        <v>0.1825839421</v>
      </c>
    </row>
    <row r="322">
      <c r="A322" s="1">
        <v>319.0</v>
      </c>
      <c r="B322" s="22" t="s">
        <v>952</v>
      </c>
      <c r="C322" s="22" t="s">
        <v>528</v>
      </c>
      <c r="D322" s="22" t="s">
        <v>953</v>
      </c>
      <c r="E322" s="23">
        <f>IFERROR(__xludf.DUMMYFUNCTION("GOOGLEFINANCE(""NSE:""&amp;D322,""marketcap"")/10000000"),9287.9842225)</f>
        <v>9287.984223</v>
      </c>
      <c r="F322" s="17">
        <f>IFERROR(__xludf.DUMMYFUNCTION("GOOGLEFINANCE(""NSE:""&amp;D322)"),46.45)</f>
        <v>46.45</v>
      </c>
      <c r="G322" s="17">
        <f>IFERROR(__xludf.DUMMYFUNCTION("GOOGLEFINANCE(""NSE:""&amp;D322,""closeyest"")"),43.35)</f>
        <v>43.35</v>
      </c>
      <c r="H322" s="17">
        <f>IFERROR(__xludf.DUMMYFUNCTION("INDEX(GOOGLEFINANCE(""NSE:""&amp;D322,""PRICE"",TODAY()-7),2,2)"),44.75)</f>
        <v>44.75</v>
      </c>
      <c r="I322" s="17">
        <f>IFERROR(__xludf.DUMMYFUNCTION("INDEX(GOOGLEFINANCE(""NSE:""&amp;D322,""PRICE"",TODAY()-14),2,2)"),43.15)</f>
        <v>43.15</v>
      </c>
      <c r="J322" s="17">
        <f>IFERROR(__xludf.DUMMYFUNCTION("INDEX(GOOGLEFINANCE(""NSE:""&amp;D322,""PRICE"",TODAY()-28),2,2)"),42.15)</f>
        <v>42.15</v>
      </c>
      <c r="K322" s="17">
        <f>IFERROR(__xludf.DUMMYFUNCTION("INDEX(GOOGLEFINANCE(""NSE:""&amp;D322,""PRICE"",TODAY()-84),2,2)"),53.6)</f>
        <v>53.6</v>
      </c>
      <c r="L322" s="16">
        <f t="shared" si="1"/>
        <v>0.07151095732</v>
      </c>
      <c r="M322" s="16">
        <f t="shared" si="2"/>
        <v>0.03798882682</v>
      </c>
      <c r="N322" s="16">
        <f t="shared" si="3"/>
        <v>0.0764774044</v>
      </c>
      <c r="O322" s="16">
        <f t="shared" si="4"/>
        <v>0.1020166074</v>
      </c>
      <c r="P322" s="16">
        <f t="shared" si="5"/>
        <v>-0.1333955224</v>
      </c>
      <c r="Q322" s="30">
        <f t="shared" si="6"/>
        <v>0.02613036968</v>
      </c>
      <c r="R322" s="30">
        <f t="shared" si="7"/>
        <v>0.05269304922</v>
      </c>
      <c r="S322" s="30">
        <f t="shared" si="8"/>
        <v>0.03064440373</v>
      </c>
      <c r="T322" s="30">
        <f t="shared" si="9"/>
        <v>-0.2601883891</v>
      </c>
    </row>
    <row r="323">
      <c r="A323" s="1">
        <v>320.0</v>
      </c>
      <c r="B323" s="22" t="s">
        <v>954</v>
      </c>
      <c r="C323" s="22" t="s">
        <v>545</v>
      </c>
      <c r="D323" s="22" t="s">
        <v>955</v>
      </c>
      <c r="E323" s="23">
        <f>IFERROR(__xludf.DUMMYFUNCTION("GOOGLEFINANCE(""NSE:""&amp;D323,""marketcap"")/10000000"),8728.1425627)</f>
        <v>8728.142563</v>
      </c>
      <c r="F323" s="17">
        <f>IFERROR(__xludf.DUMMYFUNCTION("GOOGLEFINANCE(""NSE:""&amp;D323)"),359.05)</f>
        <v>359.05</v>
      </c>
      <c r="G323" s="17">
        <f>IFERROR(__xludf.DUMMYFUNCTION("GOOGLEFINANCE(""NSE:""&amp;D323,""closeyest"")"),358.2)</f>
        <v>358.2</v>
      </c>
      <c r="H323" s="17">
        <f>IFERROR(__xludf.DUMMYFUNCTION("INDEX(GOOGLEFINANCE(""NSE:""&amp;D323,""PRICE"",TODAY()-7),2,2)"),368.3)</f>
        <v>368.3</v>
      </c>
      <c r="I323" s="17">
        <f>IFERROR(__xludf.DUMMYFUNCTION("INDEX(GOOGLEFINANCE(""NSE:""&amp;D323,""PRICE"",TODAY()-14),2,2)"),377.85)</f>
        <v>377.85</v>
      </c>
      <c r="J323" s="17">
        <f>IFERROR(__xludf.DUMMYFUNCTION("INDEX(GOOGLEFINANCE(""NSE:""&amp;D323,""PRICE"",TODAY()-28),2,2)"),363.05)</f>
        <v>363.05</v>
      </c>
      <c r="K323" s="17">
        <f>IFERROR(__xludf.DUMMYFUNCTION("INDEX(GOOGLEFINANCE(""NSE:""&amp;D323,""PRICE"",TODAY()-84),2,2)"),342.3)</f>
        <v>342.3</v>
      </c>
      <c r="L323" s="16">
        <f t="shared" si="1"/>
        <v>0.002372975991</v>
      </c>
      <c r="M323" s="16">
        <f t="shared" si="2"/>
        <v>-0.02511539506</v>
      </c>
      <c r="N323" s="16">
        <f t="shared" si="3"/>
        <v>-0.04975519386</v>
      </c>
      <c r="O323" s="16">
        <f t="shared" si="4"/>
        <v>-0.01101776615</v>
      </c>
      <c r="P323" s="16">
        <f t="shared" si="5"/>
        <v>0.0489336839</v>
      </c>
      <c r="Q323" s="30">
        <f t="shared" si="6"/>
        <v>-0.03697385219</v>
      </c>
      <c r="R323" s="30">
        <f t="shared" si="7"/>
        <v>-0.07353954904</v>
      </c>
      <c r="S323" s="30">
        <f t="shared" si="8"/>
        <v>-0.08238996978</v>
      </c>
      <c r="T323" s="30">
        <f t="shared" si="9"/>
        <v>-0.07785918279</v>
      </c>
    </row>
    <row r="324">
      <c r="A324" s="1">
        <v>321.0</v>
      </c>
      <c r="B324" s="22" t="s">
        <v>956</v>
      </c>
      <c r="C324" s="22" t="s">
        <v>635</v>
      </c>
      <c r="D324" s="22" t="s">
        <v>957</v>
      </c>
      <c r="E324" s="23">
        <f>IFERROR(__xludf.DUMMYFUNCTION("GOOGLEFINANCE(""NSE:""&amp;D324,""marketcap"")/10000000"),8867.8956898)</f>
        <v>8867.89569</v>
      </c>
      <c r="F324" s="17">
        <f>IFERROR(__xludf.DUMMYFUNCTION("GOOGLEFINANCE(""NSE:""&amp;D324)"),233.95)</f>
        <v>233.95</v>
      </c>
      <c r="G324" s="17">
        <f>IFERROR(__xludf.DUMMYFUNCTION("GOOGLEFINANCE(""NSE:""&amp;D324,""closeyest"")"),227.0)</f>
        <v>227</v>
      </c>
      <c r="H324" s="17">
        <f>IFERROR(__xludf.DUMMYFUNCTION("INDEX(GOOGLEFINANCE(""NSE:""&amp;D324,""PRICE"",TODAY()-7),2,2)"),236.0)</f>
        <v>236</v>
      </c>
      <c r="I324" s="17">
        <f>IFERROR(__xludf.DUMMYFUNCTION("INDEX(GOOGLEFINANCE(""NSE:""&amp;D324,""PRICE"",TODAY()-14),2,2)"),232.5)</f>
        <v>232.5</v>
      </c>
      <c r="J324" s="17">
        <f>IFERROR(__xludf.DUMMYFUNCTION("INDEX(GOOGLEFINANCE(""NSE:""&amp;D324,""PRICE"",TODAY()-28),2,2)"),226.1)</f>
        <v>226.1</v>
      </c>
      <c r="K324" s="17">
        <f>IFERROR(__xludf.DUMMYFUNCTION("INDEX(GOOGLEFINANCE(""NSE:""&amp;D324,""PRICE"",TODAY()-84),2,2)"),234.25)</f>
        <v>234.25</v>
      </c>
      <c r="L324" s="16">
        <f t="shared" si="1"/>
        <v>0.03061674009</v>
      </c>
      <c r="M324" s="16">
        <f t="shared" si="2"/>
        <v>-0.008686440678</v>
      </c>
      <c r="N324" s="16">
        <f t="shared" si="3"/>
        <v>0.00623655914</v>
      </c>
      <c r="O324" s="16">
        <f t="shared" si="4"/>
        <v>0.03471915082</v>
      </c>
      <c r="P324" s="16">
        <f t="shared" si="5"/>
        <v>-0.001280683031</v>
      </c>
      <c r="Q324" s="30">
        <f t="shared" si="6"/>
        <v>-0.02054489781</v>
      </c>
      <c r="R324" s="30">
        <f t="shared" si="7"/>
        <v>-0.01754779604</v>
      </c>
      <c r="S324" s="30">
        <f t="shared" si="8"/>
        <v>-0.03665305281</v>
      </c>
      <c r="T324" s="30">
        <f t="shared" si="9"/>
        <v>-0.1280735497</v>
      </c>
    </row>
    <row r="325">
      <c r="A325" s="1">
        <v>322.0</v>
      </c>
      <c r="B325" s="22" t="s">
        <v>958</v>
      </c>
      <c r="C325" s="22" t="s">
        <v>528</v>
      </c>
      <c r="D325" s="22" t="s">
        <v>959</v>
      </c>
      <c r="E325" s="23">
        <f>IFERROR(__xludf.DUMMYFUNCTION("GOOGLEFINANCE(""NSE:""&amp;D325,""marketcap"")/10000000"),8710.9332911)</f>
        <v>8710.933291</v>
      </c>
      <c r="F325" s="17">
        <f>IFERROR(__xludf.DUMMYFUNCTION("GOOGLEFINANCE(""NSE:""&amp;D325)"),91.75)</f>
        <v>91.75</v>
      </c>
      <c r="G325" s="17">
        <f>IFERROR(__xludf.DUMMYFUNCTION("GOOGLEFINANCE(""NSE:""&amp;D325,""closeyest"")"),90.05)</f>
        <v>90.05</v>
      </c>
      <c r="H325" s="17">
        <f>IFERROR(__xludf.DUMMYFUNCTION("INDEX(GOOGLEFINANCE(""NSE:""&amp;D325,""PRICE"",TODAY()-7),2,2)"),90.55)</f>
        <v>90.55</v>
      </c>
      <c r="I325" s="17">
        <f>IFERROR(__xludf.DUMMYFUNCTION("INDEX(GOOGLEFINANCE(""NSE:""&amp;D325,""PRICE"",TODAY()-14),2,2)"),88.45)</f>
        <v>88.45</v>
      </c>
      <c r="J325" s="17">
        <f>IFERROR(__xludf.DUMMYFUNCTION("INDEX(GOOGLEFINANCE(""NSE:""&amp;D325,""PRICE"",TODAY()-28),2,2)"),89.5)</f>
        <v>89.5</v>
      </c>
      <c r="K325" s="17">
        <f>IFERROR(__xludf.DUMMYFUNCTION("INDEX(GOOGLEFINANCE(""NSE:""&amp;D325,""PRICE"",TODAY()-84),2,2)"),90.15)</f>
        <v>90.15</v>
      </c>
      <c r="L325" s="16">
        <f t="shared" si="1"/>
        <v>0.01887840089</v>
      </c>
      <c r="M325" s="16">
        <f t="shared" si="2"/>
        <v>0.01325234677</v>
      </c>
      <c r="N325" s="16">
        <f t="shared" si="3"/>
        <v>0.03730921425</v>
      </c>
      <c r="O325" s="16">
        <f t="shared" si="4"/>
        <v>0.0251396648</v>
      </c>
      <c r="P325" s="16">
        <f t="shared" si="5"/>
        <v>0.01774819745</v>
      </c>
      <c r="Q325" s="30">
        <f t="shared" si="6"/>
        <v>0.001393889634</v>
      </c>
      <c r="R325" s="30">
        <f t="shared" si="7"/>
        <v>0.01352485907</v>
      </c>
      <c r="S325" s="30">
        <f t="shared" si="8"/>
        <v>-0.04623253882</v>
      </c>
      <c r="T325" s="30">
        <f t="shared" si="9"/>
        <v>-0.1090446692</v>
      </c>
    </row>
    <row r="326">
      <c r="A326" s="1">
        <v>323.0</v>
      </c>
      <c r="B326" s="22" t="s">
        <v>960</v>
      </c>
      <c r="C326" s="22" t="s">
        <v>635</v>
      </c>
      <c r="D326" s="22" t="s">
        <v>961</v>
      </c>
      <c r="E326" s="23">
        <f>IFERROR(__xludf.DUMMYFUNCTION("GOOGLEFINANCE(""NSE:""&amp;D326,""marketcap"")/10000000"),8487.7504343)</f>
        <v>8487.750434</v>
      </c>
      <c r="F326" s="17">
        <f>IFERROR(__xludf.DUMMYFUNCTION("GOOGLEFINANCE(""NSE:""&amp;D326)"),7945.1)</f>
        <v>7945.1</v>
      </c>
      <c r="G326" s="17">
        <f>IFERROR(__xludf.DUMMYFUNCTION("GOOGLEFINANCE(""NSE:""&amp;D326,""closeyest"")"),7940.7)</f>
        <v>7940.7</v>
      </c>
      <c r="H326" s="17">
        <f>IFERROR(__xludf.DUMMYFUNCTION("INDEX(GOOGLEFINANCE(""NSE:""&amp;D326,""PRICE"",TODAY()-7),2,2)"),8278.1)</f>
        <v>8278.1</v>
      </c>
      <c r="I326" s="17">
        <f>IFERROR(__xludf.DUMMYFUNCTION("INDEX(GOOGLEFINANCE(""NSE:""&amp;D326,""PRICE"",TODAY()-14),2,2)"),7879.0)</f>
        <v>7879</v>
      </c>
      <c r="J326" s="17">
        <f>IFERROR(__xludf.DUMMYFUNCTION("INDEX(GOOGLEFINANCE(""NSE:""&amp;D326,""PRICE"",TODAY()-28),2,2)"),7853.75)</f>
        <v>7853.75</v>
      </c>
      <c r="K326" s="17">
        <f>IFERROR(__xludf.DUMMYFUNCTION("INDEX(GOOGLEFINANCE(""NSE:""&amp;D326,""PRICE"",TODAY()-84),2,2)"),6779.15)</f>
        <v>6779.15</v>
      </c>
      <c r="L326" s="16">
        <f t="shared" si="1"/>
        <v>0.0005541073205</v>
      </c>
      <c r="M326" s="16">
        <f t="shared" si="2"/>
        <v>-0.04022662205</v>
      </c>
      <c r="N326" s="16">
        <f t="shared" si="3"/>
        <v>0.008389389516</v>
      </c>
      <c r="O326" s="16">
        <f t="shared" si="4"/>
        <v>0.01163138628</v>
      </c>
      <c r="P326" s="16">
        <f t="shared" si="5"/>
        <v>0.1719905888</v>
      </c>
      <c r="Q326" s="30">
        <f t="shared" si="6"/>
        <v>-0.05208507919</v>
      </c>
      <c r="R326" s="30">
        <f t="shared" si="7"/>
        <v>-0.01539496566</v>
      </c>
      <c r="S326" s="30">
        <f t="shared" si="8"/>
        <v>-0.05974081735</v>
      </c>
      <c r="T326" s="30">
        <f t="shared" si="9"/>
        <v>0.04519772209</v>
      </c>
    </row>
    <row r="327">
      <c r="A327" s="1">
        <v>324.0</v>
      </c>
      <c r="B327" s="22" t="s">
        <v>962</v>
      </c>
      <c r="C327" s="22" t="s">
        <v>590</v>
      </c>
      <c r="D327" s="22" t="s">
        <v>963</v>
      </c>
      <c r="E327" s="23">
        <f>IFERROR(__xludf.DUMMYFUNCTION("GOOGLEFINANCE(""NSE:""&amp;D327,""marketcap"")/10000000"),8881.8597)</f>
        <v>8881.8597</v>
      </c>
      <c r="F327" s="17">
        <f>IFERROR(__xludf.DUMMYFUNCTION("GOOGLEFINANCE(""NSE:""&amp;D327)"),570.0)</f>
        <v>570</v>
      </c>
      <c r="G327" s="17">
        <f>IFERROR(__xludf.DUMMYFUNCTION("GOOGLEFINANCE(""NSE:""&amp;D327,""closeyest"")"),538.15)</f>
        <v>538.15</v>
      </c>
      <c r="H327" s="17">
        <f>IFERROR(__xludf.DUMMYFUNCTION("INDEX(GOOGLEFINANCE(""NSE:""&amp;D327,""PRICE"",TODAY()-7),2,2)"),543.4)</f>
        <v>543.4</v>
      </c>
      <c r="I327" s="17">
        <f>IFERROR(__xludf.DUMMYFUNCTION("INDEX(GOOGLEFINANCE(""NSE:""&amp;D327,""PRICE"",TODAY()-14),2,2)"),529.85)</f>
        <v>529.85</v>
      </c>
      <c r="J327" s="17">
        <f>IFERROR(__xludf.DUMMYFUNCTION("INDEX(GOOGLEFINANCE(""NSE:""&amp;D327,""PRICE"",TODAY()-28),2,2)"),534.3)</f>
        <v>534.3</v>
      </c>
      <c r="K327" s="17">
        <f>IFERROR(__xludf.DUMMYFUNCTION("INDEX(GOOGLEFINANCE(""NSE:""&amp;D327,""PRICE"",TODAY()-84),2,2)"),495.75)</f>
        <v>495.75</v>
      </c>
      <c r="L327" s="16">
        <f t="shared" si="1"/>
        <v>0.05918424231</v>
      </c>
      <c r="M327" s="16">
        <f t="shared" si="2"/>
        <v>0.04895104895</v>
      </c>
      <c r="N327" s="16">
        <f t="shared" si="3"/>
        <v>0.07577616307</v>
      </c>
      <c r="O327" s="16">
        <f t="shared" si="4"/>
        <v>0.06681639528</v>
      </c>
      <c r="P327" s="16">
        <f t="shared" si="5"/>
        <v>0.1497730711</v>
      </c>
      <c r="Q327" s="30">
        <f t="shared" si="6"/>
        <v>0.03709259181</v>
      </c>
      <c r="R327" s="30">
        <f t="shared" si="7"/>
        <v>0.05199180789</v>
      </c>
      <c r="S327" s="30">
        <f t="shared" si="8"/>
        <v>-0.004555808345</v>
      </c>
      <c r="T327" s="30">
        <f t="shared" si="9"/>
        <v>0.02298020441</v>
      </c>
    </row>
    <row r="328">
      <c r="A328" s="1">
        <v>325.0</v>
      </c>
      <c r="B328" s="22" t="s">
        <v>964</v>
      </c>
      <c r="C328" s="22" t="s">
        <v>555</v>
      </c>
      <c r="D328" s="22" t="s">
        <v>965</v>
      </c>
      <c r="E328" s="23">
        <f>IFERROR(__xludf.DUMMYFUNCTION("GOOGLEFINANCE(""NSE:""&amp;D328,""marketcap"")/10000000"),8366.0852142)</f>
        <v>8366.085214</v>
      </c>
      <c r="F328" s="17">
        <f>IFERROR(__xludf.DUMMYFUNCTION("GOOGLEFINANCE(""NSE:""&amp;D328)"),238.35)</f>
        <v>238.35</v>
      </c>
      <c r="G328" s="17">
        <f>IFERROR(__xludf.DUMMYFUNCTION("GOOGLEFINANCE(""NSE:""&amp;D328,""closeyest"")"),239.05)</f>
        <v>239.05</v>
      </c>
      <c r="H328" s="17">
        <f>IFERROR(__xludf.DUMMYFUNCTION("INDEX(GOOGLEFINANCE(""NSE:""&amp;D328,""PRICE"",TODAY()-7),2,2)"),241.7)</f>
        <v>241.7</v>
      </c>
      <c r="I328" s="17">
        <f>IFERROR(__xludf.DUMMYFUNCTION("INDEX(GOOGLEFINANCE(""NSE:""&amp;D328,""PRICE"",TODAY()-14),2,2)"),244.8)</f>
        <v>244.8</v>
      </c>
      <c r="J328" s="17">
        <f>IFERROR(__xludf.DUMMYFUNCTION("INDEX(GOOGLEFINANCE(""NSE:""&amp;D328,""PRICE"",TODAY()-28),2,2)"),269.8)</f>
        <v>269.8</v>
      </c>
      <c r="K328" s="17">
        <f>IFERROR(__xludf.DUMMYFUNCTION("INDEX(GOOGLEFINANCE(""NSE:""&amp;D328,""PRICE"",TODAY()-84),2,2)"),354.05)</f>
        <v>354.05</v>
      </c>
      <c r="L328" s="16">
        <f t="shared" si="1"/>
        <v>-0.002928257687</v>
      </c>
      <c r="M328" s="16">
        <f t="shared" si="2"/>
        <v>-0.01386015722</v>
      </c>
      <c r="N328" s="16">
        <f t="shared" si="3"/>
        <v>-0.02634803922</v>
      </c>
      <c r="O328" s="16">
        <f t="shared" si="4"/>
        <v>-0.116567828</v>
      </c>
      <c r="P328" s="16">
        <f t="shared" si="5"/>
        <v>-0.3267900014</v>
      </c>
      <c r="Q328" s="30">
        <f t="shared" si="6"/>
        <v>-0.02571861436</v>
      </c>
      <c r="R328" s="30">
        <f t="shared" si="7"/>
        <v>-0.0501323944</v>
      </c>
      <c r="S328" s="30">
        <f t="shared" si="8"/>
        <v>-0.1879400316</v>
      </c>
      <c r="T328" s="30">
        <f t="shared" si="9"/>
        <v>-0.4535828681</v>
      </c>
    </row>
    <row r="329">
      <c r="A329" s="1">
        <v>326.0</v>
      </c>
      <c r="B329" s="22" t="s">
        <v>966</v>
      </c>
      <c r="C329" s="22" t="s">
        <v>635</v>
      </c>
      <c r="D329" s="22" t="s">
        <v>967</v>
      </c>
      <c r="E329" s="23">
        <f>IFERROR(__xludf.DUMMYFUNCTION("GOOGLEFINANCE(""NSE:""&amp;D329,""marketcap"")/10000000"),8664.68975)</f>
        <v>8664.68975</v>
      </c>
      <c r="F329" s="17">
        <f>IFERROR(__xludf.DUMMYFUNCTION("GOOGLEFINANCE(""NSE:""&amp;D329)"),2245.0)</f>
        <v>2245</v>
      </c>
      <c r="G329" s="17">
        <f>IFERROR(__xludf.DUMMYFUNCTION("GOOGLEFINANCE(""NSE:""&amp;D329,""closeyest"")"),2168.9)</f>
        <v>2168.9</v>
      </c>
      <c r="H329" s="17">
        <f>IFERROR(__xludf.DUMMYFUNCTION("INDEX(GOOGLEFINANCE(""NSE:""&amp;D329,""PRICE"",TODAY()-7),2,2)"),2210.0)</f>
        <v>2210</v>
      </c>
      <c r="I329" s="17">
        <f>IFERROR(__xludf.DUMMYFUNCTION("INDEX(GOOGLEFINANCE(""NSE:""&amp;D329,""PRICE"",TODAY()-14),2,2)"),2264.6)</f>
        <v>2264.6</v>
      </c>
      <c r="J329" s="17">
        <f>IFERROR(__xludf.DUMMYFUNCTION("INDEX(GOOGLEFINANCE(""NSE:""&amp;D329,""PRICE"",TODAY()-28),2,2)"),2241.85)</f>
        <v>2241.85</v>
      </c>
      <c r="K329" s="17">
        <f>IFERROR(__xludf.DUMMYFUNCTION("INDEX(GOOGLEFINANCE(""NSE:""&amp;D329,""PRICE"",TODAY()-84),2,2)"),2194.7)</f>
        <v>2194.7</v>
      </c>
      <c r="L329" s="16">
        <f t="shared" si="1"/>
        <v>0.03508691042</v>
      </c>
      <c r="M329" s="16">
        <f t="shared" si="2"/>
        <v>0.01583710407</v>
      </c>
      <c r="N329" s="16">
        <f t="shared" si="3"/>
        <v>-0.008654950102</v>
      </c>
      <c r="O329" s="16">
        <f t="shared" si="4"/>
        <v>0.001405089547</v>
      </c>
      <c r="P329" s="16">
        <f t="shared" si="5"/>
        <v>0.02291884996</v>
      </c>
      <c r="Q329" s="30">
        <f t="shared" si="6"/>
        <v>0.003978646936</v>
      </c>
      <c r="R329" s="30">
        <f t="shared" si="7"/>
        <v>-0.03243930528</v>
      </c>
      <c r="S329" s="30">
        <f t="shared" si="8"/>
        <v>-0.06996711408</v>
      </c>
      <c r="T329" s="30">
        <f t="shared" si="9"/>
        <v>-0.1038740167</v>
      </c>
    </row>
    <row r="330">
      <c r="A330" s="1">
        <v>327.0</v>
      </c>
      <c r="B330" s="22" t="s">
        <v>968</v>
      </c>
      <c r="C330" s="22" t="s">
        <v>603</v>
      </c>
      <c r="D330" s="22" t="s">
        <v>969</v>
      </c>
      <c r="E330" s="23">
        <f>IFERROR(__xludf.DUMMYFUNCTION("GOOGLEFINANCE(""NSE:""&amp;D330,""marketcap"")/10000000"),8213.0687176)</f>
        <v>8213.068718</v>
      </c>
      <c r="F330" s="17">
        <f>IFERROR(__xludf.DUMMYFUNCTION("GOOGLEFINANCE(""NSE:""&amp;D330)"),1480.95)</f>
        <v>1480.95</v>
      </c>
      <c r="G330" s="17">
        <f>IFERROR(__xludf.DUMMYFUNCTION("GOOGLEFINANCE(""NSE:""&amp;D330,""closeyest"")"),1497.0)</f>
        <v>1497</v>
      </c>
      <c r="H330" s="17">
        <f>IFERROR(__xludf.DUMMYFUNCTION("INDEX(GOOGLEFINANCE(""NSE:""&amp;D330,""PRICE"",TODAY()-7),2,2)"),1479.6)</f>
        <v>1479.6</v>
      </c>
      <c r="I330" s="17">
        <f>IFERROR(__xludf.DUMMYFUNCTION("INDEX(GOOGLEFINANCE(""NSE:""&amp;D330,""PRICE"",TODAY()-14),2,2)"),1393.95)</f>
        <v>1393.95</v>
      </c>
      <c r="J330" s="17">
        <f>IFERROR(__xludf.DUMMYFUNCTION("INDEX(GOOGLEFINANCE(""NSE:""&amp;D330,""PRICE"",TODAY()-28),2,2)"),1326.45)</f>
        <v>1326.45</v>
      </c>
      <c r="K330" s="17">
        <f>IFERROR(__xludf.DUMMYFUNCTION("INDEX(GOOGLEFINANCE(""NSE:""&amp;D330,""PRICE"",TODAY()-84),2,2)"),1198.15)</f>
        <v>1198.15</v>
      </c>
      <c r="L330" s="16">
        <f t="shared" si="1"/>
        <v>-0.01072144289</v>
      </c>
      <c r="M330" s="16">
        <f t="shared" si="2"/>
        <v>0.0009124087591</v>
      </c>
      <c r="N330" s="16">
        <f t="shared" si="3"/>
        <v>0.0624125686</v>
      </c>
      <c r="O330" s="16">
        <f t="shared" si="4"/>
        <v>0.1164763089</v>
      </c>
      <c r="P330" s="16">
        <f t="shared" si="5"/>
        <v>0.2360305471</v>
      </c>
      <c r="Q330" s="30">
        <f t="shared" si="6"/>
        <v>-0.01094604838</v>
      </c>
      <c r="R330" s="30">
        <f t="shared" si="7"/>
        <v>0.03862821342</v>
      </c>
      <c r="S330" s="30">
        <f t="shared" si="8"/>
        <v>0.04510410532</v>
      </c>
      <c r="T330" s="30">
        <f t="shared" si="9"/>
        <v>0.1092376804</v>
      </c>
    </row>
    <row r="331">
      <c r="A331" s="1">
        <v>328.0</v>
      </c>
      <c r="B331" s="22" t="s">
        <v>970</v>
      </c>
      <c r="C331" s="22" t="s">
        <v>528</v>
      </c>
      <c r="D331" s="22" t="s">
        <v>971</v>
      </c>
      <c r="E331" s="23">
        <f>IFERROR(__xludf.DUMMYFUNCTION("GOOGLEFINANCE(""NSE:""&amp;D331,""marketcap"")/10000000"),8301.7109915)</f>
        <v>8301.710992</v>
      </c>
      <c r="F331" s="17">
        <f>IFERROR(__xludf.DUMMYFUNCTION("GOOGLEFINANCE(""NSE:""&amp;D331)"),1628.9)</f>
        <v>1628.9</v>
      </c>
      <c r="G331" s="17">
        <f>IFERROR(__xludf.DUMMYFUNCTION("GOOGLEFINANCE(""NSE:""&amp;D331,""closeyest"")"),1618.9)</f>
        <v>1618.9</v>
      </c>
      <c r="H331" s="17">
        <f>IFERROR(__xludf.DUMMYFUNCTION("INDEX(GOOGLEFINANCE(""NSE:""&amp;D331,""PRICE"",TODAY()-7),2,2)"),1596.15)</f>
        <v>1596.15</v>
      </c>
      <c r="I331" s="17">
        <f>IFERROR(__xludf.DUMMYFUNCTION("INDEX(GOOGLEFINANCE(""NSE:""&amp;D331,""PRICE"",TODAY()-14),2,2)"),1629.3)</f>
        <v>1629.3</v>
      </c>
      <c r="J331" s="17">
        <f>IFERROR(__xludf.DUMMYFUNCTION("INDEX(GOOGLEFINANCE(""NSE:""&amp;D331,""PRICE"",TODAY()-28),2,2)"),1491.25)</f>
        <v>1491.25</v>
      </c>
      <c r="K331" s="17">
        <f>IFERROR(__xludf.DUMMYFUNCTION("INDEX(GOOGLEFINANCE(""NSE:""&amp;D331,""PRICE"",TODAY()-84),2,2)"),1515.3)</f>
        <v>1515.3</v>
      </c>
      <c r="L331" s="16">
        <f t="shared" si="1"/>
        <v>0.006177033788</v>
      </c>
      <c r="M331" s="16">
        <f t="shared" si="2"/>
        <v>0.02051812173</v>
      </c>
      <c r="N331" s="16">
        <f t="shared" si="3"/>
        <v>-0.0002455042043</v>
      </c>
      <c r="O331" s="16">
        <f t="shared" si="4"/>
        <v>0.09230511316</v>
      </c>
      <c r="P331" s="16">
        <f t="shared" si="5"/>
        <v>0.07496865307</v>
      </c>
      <c r="Q331" s="30">
        <f t="shared" si="6"/>
        <v>0.008659664594</v>
      </c>
      <c r="R331" s="30">
        <f t="shared" si="7"/>
        <v>-0.02402985938</v>
      </c>
      <c r="S331" s="30">
        <f t="shared" si="8"/>
        <v>0.02093290953</v>
      </c>
      <c r="T331" s="30">
        <f t="shared" si="9"/>
        <v>-0.05182421363</v>
      </c>
    </row>
    <row r="332">
      <c r="A332" s="1">
        <v>329.0</v>
      </c>
      <c r="B332" s="22" t="s">
        <v>972</v>
      </c>
      <c r="C332" s="22" t="s">
        <v>590</v>
      </c>
      <c r="D332" s="22" t="s">
        <v>973</v>
      </c>
      <c r="E332" s="23">
        <f>IFERROR(__xludf.DUMMYFUNCTION("GOOGLEFINANCE(""NSE:""&amp;D332,""marketcap"")/10000000"),8266.4185615)</f>
        <v>8266.418562</v>
      </c>
      <c r="F332" s="17">
        <f>IFERROR(__xludf.DUMMYFUNCTION("GOOGLEFINANCE(""NSE:""&amp;D332)"),987.6)</f>
        <v>987.6</v>
      </c>
      <c r="G332" s="17">
        <f>IFERROR(__xludf.DUMMYFUNCTION("GOOGLEFINANCE(""NSE:""&amp;D332,""closeyest"")"),986.55)</f>
        <v>986.55</v>
      </c>
      <c r="H332" s="17">
        <f>IFERROR(__xludf.DUMMYFUNCTION("INDEX(GOOGLEFINANCE(""NSE:""&amp;D332,""PRICE"",TODAY()-7),2,2)"),984.35)</f>
        <v>984.35</v>
      </c>
      <c r="I332" s="17">
        <f>IFERROR(__xludf.DUMMYFUNCTION("INDEX(GOOGLEFINANCE(""NSE:""&amp;D332,""PRICE"",TODAY()-14),2,2)"),989.0)</f>
        <v>989</v>
      </c>
      <c r="J332" s="17">
        <f>IFERROR(__xludf.DUMMYFUNCTION("INDEX(GOOGLEFINANCE(""NSE:""&amp;D332,""PRICE"",TODAY()-28),2,2)"),951.35)</f>
        <v>951.35</v>
      </c>
      <c r="K332" s="17">
        <f>IFERROR(__xludf.DUMMYFUNCTION("INDEX(GOOGLEFINANCE(""NSE:""&amp;D332,""PRICE"",TODAY()-84),2,2)"),1000.4)</f>
        <v>1000.4</v>
      </c>
      <c r="L332" s="16">
        <f t="shared" si="1"/>
        <v>0.001064315037</v>
      </c>
      <c r="M332" s="16">
        <f t="shared" si="2"/>
        <v>0.003301671154</v>
      </c>
      <c r="N332" s="16">
        <f t="shared" si="3"/>
        <v>-0.001415571284</v>
      </c>
      <c r="O332" s="16">
        <f t="shared" si="4"/>
        <v>0.03810374731</v>
      </c>
      <c r="P332" s="16">
        <f t="shared" si="5"/>
        <v>-0.01279488205</v>
      </c>
      <c r="Q332" s="30">
        <f t="shared" si="6"/>
        <v>-0.008556785983</v>
      </c>
      <c r="R332" s="30">
        <f t="shared" si="7"/>
        <v>-0.02519992646</v>
      </c>
      <c r="S332" s="30">
        <f t="shared" si="8"/>
        <v>-0.03326845632</v>
      </c>
      <c r="T332" s="30">
        <f t="shared" si="9"/>
        <v>-0.1395877487</v>
      </c>
    </row>
    <row r="333">
      <c r="A333" s="1">
        <v>330.0</v>
      </c>
      <c r="B333" s="22" t="s">
        <v>974</v>
      </c>
      <c r="C333" s="22" t="s">
        <v>526</v>
      </c>
      <c r="D333" s="22" t="s">
        <v>975</v>
      </c>
      <c r="E333" s="23">
        <f>IFERROR(__xludf.DUMMYFUNCTION("GOOGLEFINANCE(""NSE:""&amp;D333,""marketcap"")/10000000"),8266.912061)</f>
        <v>8266.912061</v>
      </c>
      <c r="F333" s="17">
        <f>IFERROR(__xludf.DUMMYFUNCTION("GOOGLEFINANCE(""NSE:""&amp;D333)"),871.65)</f>
        <v>871.65</v>
      </c>
      <c r="G333" s="17">
        <f>IFERROR(__xludf.DUMMYFUNCTION("GOOGLEFINANCE(""NSE:""&amp;D333,""closeyest"")"),849.95)</f>
        <v>849.95</v>
      </c>
      <c r="H333" s="17">
        <f>IFERROR(__xludf.DUMMYFUNCTION("INDEX(GOOGLEFINANCE(""NSE:""&amp;D333,""PRICE"",TODAY()-7),2,2)"),850.75)</f>
        <v>850.75</v>
      </c>
      <c r="I333" s="17">
        <f>IFERROR(__xludf.DUMMYFUNCTION("INDEX(GOOGLEFINANCE(""NSE:""&amp;D333,""PRICE"",TODAY()-14),2,2)"),846.1)</f>
        <v>846.1</v>
      </c>
      <c r="J333" s="17" t="str">
        <f>IFERROR(__xludf.DUMMYFUNCTION("INDEX(GOOGLEFINANCE(""NSE:""&amp;D333,""PRICE"",TODAY()-28),2,2)"),"#N/A")</f>
        <v>#N/A</v>
      </c>
      <c r="K333" s="17">
        <f>IFERROR(__xludf.DUMMYFUNCTION("INDEX(GOOGLEFINANCE(""NSE:""&amp;D333,""PRICE"",TODAY()-84),2,2)"),830.45)</f>
        <v>830.45</v>
      </c>
      <c r="L333" s="16">
        <f t="shared" si="1"/>
        <v>0.02553091358</v>
      </c>
      <c r="M333" s="16">
        <f t="shared" si="2"/>
        <v>0.02456655892</v>
      </c>
      <c r="N333" s="16">
        <f t="shared" si="3"/>
        <v>0.0301973762</v>
      </c>
      <c r="O333" s="16" t="str">
        <f t="shared" si="4"/>
        <v>#N/A</v>
      </c>
      <c r="P333" s="16">
        <f t="shared" si="5"/>
        <v>0.04961165633</v>
      </c>
      <c r="Q333" s="30">
        <f t="shared" si="6"/>
        <v>0.01270810178</v>
      </c>
      <c r="R333" s="30">
        <f t="shared" si="7"/>
        <v>0.006413021017</v>
      </c>
      <c r="S333" s="32" t="str">
        <f t="shared" si="8"/>
        <v>#N/A</v>
      </c>
      <c r="T333" s="30">
        <f t="shared" si="9"/>
        <v>-0.07718121037</v>
      </c>
    </row>
    <row r="334">
      <c r="A334" s="1">
        <v>331.0</v>
      </c>
      <c r="B334" s="22" t="s">
        <v>976</v>
      </c>
      <c r="C334" s="22" t="s">
        <v>552</v>
      </c>
      <c r="D334" s="22" t="s">
        <v>977</v>
      </c>
      <c r="E334" s="23">
        <f>IFERROR(__xludf.DUMMYFUNCTION("GOOGLEFINANCE(""NSE:""&amp;D334,""marketcap"")/10000000"),8202.3066574)</f>
        <v>8202.306657</v>
      </c>
      <c r="F334" s="17">
        <f>IFERROR(__xludf.DUMMYFUNCTION("GOOGLEFINANCE(""NSE:""&amp;D334)"),162.25)</f>
        <v>162.25</v>
      </c>
      <c r="G334" s="17">
        <f>IFERROR(__xludf.DUMMYFUNCTION("GOOGLEFINANCE(""NSE:""&amp;D334,""closeyest"")"),161.15)</f>
        <v>161.15</v>
      </c>
      <c r="H334" s="17">
        <f>IFERROR(__xludf.DUMMYFUNCTION("INDEX(GOOGLEFINANCE(""NSE:""&amp;D334,""PRICE"",TODAY()-7),2,2)"),163.8)</f>
        <v>163.8</v>
      </c>
      <c r="I334" s="17">
        <f>IFERROR(__xludf.DUMMYFUNCTION("INDEX(GOOGLEFINANCE(""NSE:""&amp;D334,""PRICE"",TODAY()-14),2,2)"),163.5)</f>
        <v>163.5</v>
      </c>
      <c r="J334" s="17">
        <f>IFERROR(__xludf.DUMMYFUNCTION("INDEX(GOOGLEFINANCE(""NSE:""&amp;D334,""PRICE"",TODAY()-28),2,2)"),146.6)</f>
        <v>146.6</v>
      </c>
      <c r="K334" s="17">
        <f>IFERROR(__xludf.DUMMYFUNCTION("INDEX(GOOGLEFINANCE(""NSE:""&amp;D334,""PRICE"",TODAY()-84),2,2)"),109.25)</f>
        <v>109.25</v>
      </c>
      <c r="L334" s="16">
        <f t="shared" si="1"/>
        <v>0.006825938567</v>
      </c>
      <c r="M334" s="16">
        <f t="shared" si="2"/>
        <v>-0.009462759463</v>
      </c>
      <c r="N334" s="16">
        <f t="shared" si="3"/>
        <v>-0.007645259939</v>
      </c>
      <c r="O334" s="16">
        <f t="shared" si="4"/>
        <v>0.1067530696</v>
      </c>
      <c r="P334" s="16">
        <f t="shared" si="5"/>
        <v>0.4851258581</v>
      </c>
      <c r="Q334" s="30">
        <f t="shared" si="6"/>
        <v>-0.0213212166</v>
      </c>
      <c r="R334" s="30">
        <f t="shared" si="7"/>
        <v>-0.03142961512</v>
      </c>
      <c r="S334" s="30">
        <f t="shared" si="8"/>
        <v>0.03538086595</v>
      </c>
      <c r="T334" s="30">
        <f t="shared" si="9"/>
        <v>0.3583329914</v>
      </c>
    </row>
    <row r="335">
      <c r="A335" s="1">
        <v>332.0</v>
      </c>
      <c r="B335" s="22" t="s">
        <v>978</v>
      </c>
      <c r="C335" s="22" t="s">
        <v>541</v>
      </c>
      <c r="D335" s="22" t="s">
        <v>979</v>
      </c>
      <c r="E335" s="23">
        <f>IFERROR(__xludf.DUMMYFUNCTION("GOOGLEFINANCE(""NSE:""&amp;D335,""marketcap"")/10000000"),8256.9923125)</f>
        <v>8256.992313</v>
      </c>
      <c r="F335" s="17">
        <f>IFERROR(__xludf.DUMMYFUNCTION("GOOGLEFINANCE(""NSE:""&amp;D335)"),294.0)</f>
        <v>294</v>
      </c>
      <c r="G335" s="17">
        <f>IFERROR(__xludf.DUMMYFUNCTION("GOOGLEFINANCE(""NSE:""&amp;D335,""closeyest"")"),288.6)</f>
        <v>288.6</v>
      </c>
      <c r="H335" s="17">
        <f>IFERROR(__xludf.DUMMYFUNCTION("INDEX(GOOGLEFINANCE(""NSE:""&amp;D335,""PRICE"",TODAY()-7),2,2)"),301.55)</f>
        <v>301.55</v>
      </c>
      <c r="I335" s="17">
        <f>IFERROR(__xludf.DUMMYFUNCTION("INDEX(GOOGLEFINANCE(""NSE:""&amp;D335,""PRICE"",TODAY()-14),2,2)"),304.05)</f>
        <v>304.05</v>
      </c>
      <c r="J335" s="17">
        <f>IFERROR(__xludf.DUMMYFUNCTION("INDEX(GOOGLEFINANCE(""NSE:""&amp;D335,""PRICE"",TODAY()-28),2,2)"),318.45)</f>
        <v>318.45</v>
      </c>
      <c r="K335" s="17">
        <f>IFERROR(__xludf.DUMMYFUNCTION("INDEX(GOOGLEFINANCE(""NSE:""&amp;D335,""PRICE"",TODAY()-84),2,2)"),237.2)</f>
        <v>237.2</v>
      </c>
      <c r="L335" s="16">
        <f t="shared" si="1"/>
        <v>0.01871101871</v>
      </c>
      <c r="M335" s="16">
        <f t="shared" si="2"/>
        <v>-0.02503730725</v>
      </c>
      <c r="N335" s="16">
        <f t="shared" si="3"/>
        <v>-0.03305377405</v>
      </c>
      <c r="O335" s="16">
        <f t="shared" si="4"/>
        <v>-0.07677814414</v>
      </c>
      <c r="P335" s="16">
        <f t="shared" si="5"/>
        <v>0.239460371</v>
      </c>
      <c r="Q335" s="30">
        <f t="shared" si="6"/>
        <v>-0.03689576438</v>
      </c>
      <c r="R335" s="30">
        <f t="shared" si="7"/>
        <v>-0.05683812923</v>
      </c>
      <c r="S335" s="30">
        <f t="shared" si="8"/>
        <v>-0.1481503478</v>
      </c>
      <c r="T335" s="30">
        <f t="shared" si="9"/>
        <v>0.1126675043</v>
      </c>
    </row>
    <row r="336">
      <c r="A336" s="1">
        <v>333.0</v>
      </c>
      <c r="B336" s="22" t="s">
        <v>980</v>
      </c>
      <c r="C336" s="22" t="s">
        <v>635</v>
      </c>
      <c r="D336" s="22" t="s">
        <v>981</v>
      </c>
      <c r="E336" s="23">
        <f>IFERROR(__xludf.DUMMYFUNCTION("GOOGLEFINANCE(""NSE:""&amp;D336,""marketcap"")/10000000"),7948.5456215)</f>
        <v>7948.545622</v>
      </c>
      <c r="F336" s="17">
        <f>IFERROR(__xludf.DUMMYFUNCTION("GOOGLEFINANCE(""NSE:""&amp;D336)"),251.7)</f>
        <v>251.7</v>
      </c>
      <c r="G336" s="17">
        <f>IFERROR(__xludf.DUMMYFUNCTION("GOOGLEFINANCE(""NSE:""&amp;D336,""closeyest"")"),256.7)</f>
        <v>256.7</v>
      </c>
      <c r="H336" s="17">
        <f>IFERROR(__xludf.DUMMYFUNCTION("INDEX(GOOGLEFINANCE(""NSE:""&amp;D336,""PRICE"",TODAY()-7),2,2)"),238.2)</f>
        <v>238.2</v>
      </c>
      <c r="I336" s="17">
        <f>IFERROR(__xludf.DUMMYFUNCTION("INDEX(GOOGLEFINANCE(""NSE:""&amp;D336,""PRICE"",TODAY()-14),2,2)"),238.85)</f>
        <v>238.85</v>
      </c>
      <c r="J336" s="17">
        <f>IFERROR(__xludf.DUMMYFUNCTION("INDEX(GOOGLEFINANCE(""NSE:""&amp;D336,""PRICE"",TODAY()-28),2,2)"),230.15)</f>
        <v>230.15</v>
      </c>
      <c r="K336" s="17">
        <f>IFERROR(__xludf.DUMMYFUNCTION("INDEX(GOOGLEFINANCE(""NSE:""&amp;D336,""PRICE"",TODAY()-84),2,2)"),277.9)</f>
        <v>277.9</v>
      </c>
      <c r="L336" s="16">
        <f t="shared" si="1"/>
        <v>-0.01947798987</v>
      </c>
      <c r="M336" s="16">
        <f t="shared" si="2"/>
        <v>0.05667506297</v>
      </c>
      <c r="N336" s="16">
        <f t="shared" si="3"/>
        <v>0.05379945573</v>
      </c>
      <c r="O336" s="16">
        <f t="shared" si="4"/>
        <v>0.09363458614</v>
      </c>
      <c r="P336" s="16">
        <f t="shared" si="5"/>
        <v>-0.09427851745</v>
      </c>
      <c r="Q336" s="30">
        <f t="shared" si="6"/>
        <v>0.04481660584</v>
      </c>
      <c r="R336" s="30">
        <f t="shared" si="7"/>
        <v>0.03001510055</v>
      </c>
      <c r="S336" s="30">
        <f t="shared" si="8"/>
        <v>0.02226238251</v>
      </c>
      <c r="T336" s="30">
        <f t="shared" si="9"/>
        <v>-0.2210713841</v>
      </c>
    </row>
    <row r="337">
      <c r="A337" s="1">
        <v>334.0</v>
      </c>
      <c r="B337" s="22" t="s">
        <v>752</v>
      </c>
      <c r="C337" s="22" t="s">
        <v>526</v>
      </c>
      <c r="D337" s="22" t="s">
        <v>753</v>
      </c>
      <c r="E337" s="23">
        <f>IFERROR(__xludf.DUMMYFUNCTION("GOOGLEFINANCE(""NSE:""&amp;D337,""marketcap"")/10000000"),8109.5871153)</f>
        <v>8109.587115</v>
      </c>
      <c r="F337" s="17">
        <f>IFERROR(__xludf.DUMMYFUNCTION("GOOGLEFINANCE(""NSE:""&amp;D337)"),1162.3)</f>
        <v>1162.3</v>
      </c>
      <c r="G337" s="17">
        <f>IFERROR(__xludf.DUMMYFUNCTION("GOOGLEFINANCE(""NSE:""&amp;D337,""closeyest"")"),1159.75)</f>
        <v>1159.75</v>
      </c>
      <c r="H337" s="17">
        <f>IFERROR(__xludf.DUMMYFUNCTION("INDEX(GOOGLEFINANCE(""NSE:""&amp;D337,""PRICE"",TODAY()-7),2,2)"),1160.7)</f>
        <v>1160.7</v>
      </c>
      <c r="I337" s="17">
        <f>IFERROR(__xludf.DUMMYFUNCTION("INDEX(GOOGLEFINANCE(""NSE:""&amp;D337,""PRICE"",TODAY()-14),2,2)"),1198.85)</f>
        <v>1198.85</v>
      </c>
      <c r="J337" s="17">
        <f>IFERROR(__xludf.DUMMYFUNCTION("INDEX(GOOGLEFINANCE(""NSE:""&amp;D337,""PRICE"",TODAY()-28),2,2)"),1199.5)</f>
        <v>1199.5</v>
      </c>
      <c r="K337" s="17">
        <f>IFERROR(__xludf.DUMMYFUNCTION("INDEX(GOOGLEFINANCE(""NSE:""&amp;D337,""PRICE"",TODAY()-84),2,2)"),1307.35)</f>
        <v>1307.35</v>
      </c>
      <c r="L337" s="16">
        <f t="shared" si="1"/>
        <v>0.002198749731</v>
      </c>
      <c r="M337" s="16">
        <f t="shared" si="2"/>
        <v>0.001378478504</v>
      </c>
      <c r="N337" s="16">
        <f t="shared" si="3"/>
        <v>-0.03048755057</v>
      </c>
      <c r="O337" s="16">
        <f t="shared" si="4"/>
        <v>-0.03101292205</v>
      </c>
      <c r="P337" s="16">
        <f t="shared" si="5"/>
        <v>-0.1109496309</v>
      </c>
      <c r="Q337" s="30">
        <f t="shared" si="6"/>
        <v>-0.01047997863</v>
      </c>
      <c r="R337" s="30">
        <f t="shared" si="7"/>
        <v>-0.05427190575</v>
      </c>
      <c r="S337" s="30">
        <f t="shared" si="8"/>
        <v>-0.1023851257</v>
      </c>
      <c r="T337" s="30">
        <f t="shared" si="9"/>
        <v>-0.2377424976</v>
      </c>
    </row>
    <row r="338">
      <c r="A338" s="1">
        <v>335.0</v>
      </c>
      <c r="B338" s="22" t="s">
        <v>982</v>
      </c>
      <c r="C338" s="22" t="s">
        <v>549</v>
      </c>
      <c r="D338" s="22" t="s">
        <v>983</v>
      </c>
      <c r="E338" s="23">
        <f>IFERROR(__xludf.DUMMYFUNCTION("GOOGLEFINANCE(""NSE:""&amp;D338,""marketcap"")/10000000"),7975.12534)</f>
        <v>7975.12534</v>
      </c>
      <c r="F338" s="17">
        <f>IFERROR(__xludf.DUMMYFUNCTION("GOOGLEFINANCE(""NSE:""&amp;D338)"),322.0)</f>
        <v>322</v>
      </c>
      <c r="G338" s="17">
        <f>IFERROR(__xludf.DUMMYFUNCTION("GOOGLEFINANCE(""NSE:""&amp;D338,""closeyest"")"),323.45)</f>
        <v>323.45</v>
      </c>
      <c r="H338" s="17">
        <f>IFERROR(__xludf.DUMMYFUNCTION("INDEX(GOOGLEFINANCE(""NSE:""&amp;D338,""PRICE"",TODAY()-7),2,2)"),327.85)</f>
        <v>327.85</v>
      </c>
      <c r="I338" s="17">
        <f>IFERROR(__xludf.DUMMYFUNCTION("INDEX(GOOGLEFINANCE(""NSE:""&amp;D338,""PRICE"",TODAY()-14),2,2)"),323.85)</f>
        <v>323.85</v>
      </c>
      <c r="J338" s="17">
        <f>IFERROR(__xludf.DUMMYFUNCTION("INDEX(GOOGLEFINANCE(""NSE:""&amp;D338,""PRICE"",TODAY()-28),2,2)"),331.05)</f>
        <v>331.05</v>
      </c>
      <c r="K338" s="17">
        <f>IFERROR(__xludf.DUMMYFUNCTION("INDEX(GOOGLEFINANCE(""NSE:""&amp;D338,""PRICE"",TODAY()-84),2,2)"),340.6)</f>
        <v>340.6</v>
      </c>
      <c r="L338" s="16">
        <f t="shared" si="1"/>
        <v>-0.004482918535</v>
      </c>
      <c r="M338" s="16">
        <f t="shared" si="2"/>
        <v>-0.017843526</v>
      </c>
      <c r="N338" s="16">
        <f t="shared" si="3"/>
        <v>-0.005712521229</v>
      </c>
      <c r="O338" s="16">
        <f t="shared" si="4"/>
        <v>-0.02733726023</v>
      </c>
      <c r="P338" s="16">
        <f t="shared" si="5"/>
        <v>-0.05460951262</v>
      </c>
      <c r="Q338" s="30">
        <f t="shared" si="6"/>
        <v>-0.02970198314</v>
      </c>
      <c r="R338" s="30">
        <f t="shared" si="7"/>
        <v>-0.02949687641</v>
      </c>
      <c r="S338" s="30">
        <f t="shared" si="8"/>
        <v>-0.09870946386</v>
      </c>
      <c r="T338" s="30">
        <f t="shared" si="9"/>
        <v>-0.1814023793</v>
      </c>
    </row>
    <row r="339">
      <c r="A339" s="1">
        <v>336.0</v>
      </c>
      <c r="B339" s="22" t="s">
        <v>984</v>
      </c>
      <c r="C339" s="22" t="s">
        <v>541</v>
      </c>
      <c r="D339" s="22" t="s">
        <v>985</v>
      </c>
      <c r="E339" s="23">
        <f>IFERROR(__xludf.DUMMYFUNCTION("GOOGLEFINANCE(""NSE:""&amp;D339,""marketcap"")/10000000"),8486.1542171)</f>
        <v>8486.154217</v>
      </c>
      <c r="F339" s="17">
        <f>IFERROR(__xludf.DUMMYFUNCTION("GOOGLEFINANCE(""NSE:""&amp;D339)"),47.6)</f>
        <v>47.6</v>
      </c>
      <c r="G339" s="17">
        <f>IFERROR(__xludf.DUMMYFUNCTION("GOOGLEFINANCE(""NSE:""&amp;D339,""closeyest"")"),44.0)</f>
        <v>44</v>
      </c>
      <c r="H339" s="17">
        <f>IFERROR(__xludf.DUMMYFUNCTION("INDEX(GOOGLEFINANCE(""NSE:""&amp;D339,""PRICE"",TODAY()-7),2,2)"),44.05)</f>
        <v>44.05</v>
      </c>
      <c r="I339" s="17">
        <f>IFERROR(__xludf.DUMMYFUNCTION("INDEX(GOOGLEFINANCE(""NSE:""&amp;D339,""PRICE"",TODAY()-14),2,2)"),43.2)</f>
        <v>43.2</v>
      </c>
      <c r="J339" s="17">
        <f>IFERROR(__xludf.DUMMYFUNCTION("INDEX(GOOGLEFINANCE(""NSE:""&amp;D339,""PRICE"",TODAY()-28),2,2)"),44.15)</f>
        <v>44.15</v>
      </c>
      <c r="K339" s="17">
        <f>IFERROR(__xludf.DUMMYFUNCTION("INDEX(GOOGLEFINANCE(""NSE:""&amp;D339,""PRICE"",TODAY()-84),2,2)"),54.05)</f>
        <v>54.05</v>
      </c>
      <c r="L339" s="16">
        <f t="shared" si="1"/>
        <v>0.08181818182</v>
      </c>
      <c r="M339" s="16">
        <f t="shared" si="2"/>
        <v>0.08059023837</v>
      </c>
      <c r="N339" s="16">
        <f t="shared" si="3"/>
        <v>0.1018518519</v>
      </c>
      <c r="O339" s="16">
        <f t="shared" si="4"/>
        <v>0.07814269536</v>
      </c>
      <c r="P339" s="16">
        <f t="shared" si="5"/>
        <v>-0.11933395</v>
      </c>
      <c r="Q339" s="30">
        <f t="shared" si="6"/>
        <v>0.06873178123</v>
      </c>
      <c r="R339" s="30">
        <f t="shared" si="7"/>
        <v>0.07806749667</v>
      </c>
      <c r="S339" s="30">
        <f t="shared" si="8"/>
        <v>0.006770491728</v>
      </c>
      <c r="T339" s="30">
        <f t="shared" si="9"/>
        <v>-0.2461268167</v>
      </c>
    </row>
    <row r="340">
      <c r="A340" s="1">
        <v>337.0</v>
      </c>
      <c r="B340" s="22" t="s">
        <v>986</v>
      </c>
      <c r="C340" s="22" t="s">
        <v>543</v>
      </c>
      <c r="D340" s="22" t="s">
        <v>987</v>
      </c>
      <c r="E340" s="23">
        <f>IFERROR(__xludf.DUMMYFUNCTION("GOOGLEFINANCE(""NSE:""&amp;D340,""marketcap"")/10000000"),7663.4512325)</f>
        <v>7663.451233</v>
      </c>
      <c r="F340" s="17">
        <f>IFERROR(__xludf.DUMMYFUNCTION("GOOGLEFINANCE(""NSE:""&amp;D340)"),651.5)</f>
        <v>651.5</v>
      </c>
      <c r="G340" s="17">
        <f>IFERROR(__xludf.DUMMYFUNCTION("GOOGLEFINANCE(""NSE:""&amp;D340,""closeyest"")"),674.1)</f>
        <v>674.1</v>
      </c>
      <c r="H340" s="17">
        <f>IFERROR(__xludf.DUMMYFUNCTION("INDEX(GOOGLEFINANCE(""NSE:""&amp;D340,""PRICE"",TODAY()-7),2,2)"),688.65)</f>
        <v>688.65</v>
      </c>
      <c r="I340" s="17">
        <f>IFERROR(__xludf.DUMMYFUNCTION("INDEX(GOOGLEFINANCE(""NSE:""&amp;D340,""PRICE"",TODAY()-14),2,2)"),729.85)</f>
        <v>729.85</v>
      </c>
      <c r="J340" s="17">
        <f>IFERROR(__xludf.DUMMYFUNCTION("INDEX(GOOGLEFINANCE(""NSE:""&amp;D340,""PRICE"",TODAY()-28),2,2)"),712.4)</f>
        <v>712.4</v>
      </c>
      <c r="K340" s="17" t="str">
        <f>IFERROR(__xludf.DUMMYFUNCTION("INDEX(GOOGLEFINANCE(""NSE:""&amp;D340,""PRICE"",TODAY()-84),2,2)"),"#N/A")</f>
        <v>#N/A</v>
      </c>
      <c r="L340" s="16">
        <f t="shared" si="1"/>
        <v>-0.03352618306</v>
      </c>
      <c r="M340" s="16">
        <f t="shared" si="2"/>
        <v>-0.05394612648</v>
      </c>
      <c r="N340" s="16">
        <f t="shared" si="3"/>
        <v>-0.1073508255</v>
      </c>
      <c r="O340" s="16">
        <f t="shared" si="4"/>
        <v>-0.0854856822</v>
      </c>
      <c r="P340" s="16" t="str">
        <f t="shared" si="5"/>
        <v>#N/A</v>
      </c>
      <c r="Q340" s="30">
        <f t="shared" si="6"/>
        <v>-0.06580458362</v>
      </c>
      <c r="R340" s="30">
        <f t="shared" si="7"/>
        <v>-0.1311351807</v>
      </c>
      <c r="S340" s="30">
        <f t="shared" si="8"/>
        <v>-0.1568578858</v>
      </c>
      <c r="T340" s="32" t="str">
        <f t="shared" si="9"/>
        <v>#N/A</v>
      </c>
    </row>
    <row r="341">
      <c r="A341" s="1">
        <v>338.0</v>
      </c>
      <c r="B341" s="22" t="s">
        <v>988</v>
      </c>
      <c r="C341" s="22" t="s">
        <v>560</v>
      </c>
      <c r="D341" s="22" t="s">
        <v>989</v>
      </c>
      <c r="E341" s="23">
        <f>IFERROR(__xludf.DUMMYFUNCTION("GOOGLEFINANCE(""NSE:""&amp;D341,""marketcap"")/10000000"),7876.0923742)</f>
        <v>7876.092374</v>
      </c>
      <c r="F341" s="17">
        <f>IFERROR(__xludf.DUMMYFUNCTION("GOOGLEFINANCE(""NSE:""&amp;D341)"),56.8)</f>
        <v>56.8</v>
      </c>
      <c r="G341" s="17">
        <f>IFERROR(__xludf.DUMMYFUNCTION("GOOGLEFINANCE(""NSE:""&amp;D341,""closeyest"")"),56.3)</f>
        <v>56.3</v>
      </c>
      <c r="H341" s="17">
        <f>IFERROR(__xludf.DUMMYFUNCTION("INDEX(GOOGLEFINANCE(""NSE:""&amp;D341,""PRICE"",TODAY()-7),2,2)"),55.85)</f>
        <v>55.85</v>
      </c>
      <c r="I341" s="17">
        <f>IFERROR(__xludf.DUMMYFUNCTION("INDEX(GOOGLEFINANCE(""NSE:""&amp;D341,""PRICE"",TODAY()-14),2,2)"),53.4)</f>
        <v>53.4</v>
      </c>
      <c r="J341" s="17">
        <f>IFERROR(__xludf.DUMMYFUNCTION("INDEX(GOOGLEFINANCE(""NSE:""&amp;D341,""PRICE"",TODAY()-28),2,2)"),52.0)</f>
        <v>52</v>
      </c>
      <c r="K341" s="17">
        <f>IFERROR(__xludf.DUMMYFUNCTION("INDEX(GOOGLEFINANCE(""NSE:""&amp;D341,""PRICE"",TODAY()-84),2,2)"),60.2)</f>
        <v>60.2</v>
      </c>
      <c r="L341" s="16">
        <f t="shared" si="1"/>
        <v>0.008880994671</v>
      </c>
      <c r="M341" s="16">
        <f t="shared" si="2"/>
        <v>0.01700984781</v>
      </c>
      <c r="N341" s="16">
        <f t="shared" si="3"/>
        <v>0.06367041199</v>
      </c>
      <c r="O341" s="16">
        <f t="shared" si="4"/>
        <v>0.09230769231</v>
      </c>
      <c r="P341" s="16">
        <f t="shared" si="5"/>
        <v>-0.05647840532</v>
      </c>
      <c r="Q341" s="30">
        <f t="shared" si="6"/>
        <v>0.00515139067</v>
      </c>
      <c r="R341" s="30">
        <f t="shared" si="7"/>
        <v>0.03988605681</v>
      </c>
      <c r="S341" s="30">
        <f t="shared" si="8"/>
        <v>0.02093548868</v>
      </c>
      <c r="T341" s="30">
        <f t="shared" si="9"/>
        <v>-0.183271272</v>
      </c>
    </row>
    <row r="342">
      <c r="A342" s="1">
        <v>339.0</v>
      </c>
      <c r="B342" s="22" t="s">
        <v>990</v>
      </c>
      <c r="C342" s="22" t="s">
        <v>524</v>
      </c>
      <c r="D342" s="22" t="s">
        <v>991</v>
      </c>
      <c r="E342" s="23">
        <f>IFERROR(__xludf.DUMMYFUNCTION("GOOGLEFINANCE(""NSE:""&amp;D342,""marketcap"")/10000000"),7801.235329)</f>
        <v>7801.235329</v>
      </c>
      <c r="F342" s="17">
        <f>IFERROR(__xludf.DUMMYFUNCTION("GOOGLEFINANCE(""NSE:""&amp;D342)"),2290.0)</f>
        <v>2290</v>
      </c>
      <c r="G342" s="17">
        <f>IFERROR(__xludf.DUMMYFUNCTION("GOOGLEFINANCE(""NSE:""&amp;D342,""closeyest"")"),2287.85)</f>
        <v>2287.85</v>
      </c>
      <c r="H342" s="17" t="str">
        <f>IFERROR(__xludf.DUMMYFUNCTION("INDEX(GOOGLEFINANCE(""NSE:""&amp;D342,""PRICE"",TODAY()-7),2,2)"),"#N/A")</f>
        <v>#N/A</v>
      </c>
      <c r="I342" s="17">
        <f>IFERROR(__xludf.DUMMYFUNCTION("INDEX(GOOGLEFINANCE(""NSE:""&amp;D342,""PRICE"",TODAY()-14),2,2)"),2193.85)</f>
        <v>2193.85</v>
      </c>
      <c r="J342" s="17">
        <f>IFERROR(__xludf.DUMMYFUNCTION("INDEX(GOOGLEFINANCE(""NSE:""&amp;D342,""PRICE"",TODAY()-28),2,2)"),2257.7)</f>
        <v>2257.7</v>
      </c>
      <c r="K342" s="17">
        <f>IFERROR(__xludf.DUMMYFUNCTION("INDEX(GOOGLEFINANCE(""NSE:""&amp;D342,""PRICE"",TODAY()-84),2,2)"),2085.45)</f>
        <v>2085.45</v>
      </c>
      <c r="L342" s="16">
        <f t="shared" si="1"/>
        <v>0.000939746924</v>
      </c>
      <c r="M342" s="16" t="str">
        <f t="shared" si="2"/>
        <v>#N/A</v>
      </c>
      <c r="N342" s="16">
        <f t="shared" si="3"/>
        <v>0.04382706201</v>
      </c>
      <c r="O342" s="16">
        <f t="shared" si="4"/>
        <v>0.01430659521</v>
      </c>
      <c r="P342" s="16">
        <f t="shared" si="5"/>
        <v>0.0980843463</v>
      </c>
      <c r="Q342" s="32" t="str">
        <f t="shared" si="6"/>
        <v>#N/A</v>
      </c>
      <c r="R342" s="30">
        <f t="shared" si="7"/>
        <v>0.02004270683</v>
      </c>
      <c r="S342" s="30">
        <f t="shared" si="8"/>
        <v>-0.05706560842</v>
      </c>
      <c r="T342" s="30">
        <f t="shared" si="9"/>
        <v>-0.02870852039</v>
      </c>
    </row>
    <row r="343">
      <c r="A343" s="1">
        <v>340.0</v>
      </c>
      <c r="B343" s="22" t="s">
        <v>992</v>
      </c>
      <c r="C343" s="22" t="s">
        <v>526</v>
      </c>
      <c r="D343" s="22" t="s">
        <v>993</v>
      </c>
      <c r="E343" s="23">
        <f>IFERROR(__xludf.DUMMYFUNCTION("GOOGLEFINANCE(""NSE:""&amp;D343,""marketcap"")/10000000"),7671.1860164)</f>
        <v>7671.186016</v>
      </c>
      <c r="F343" s="17">
        <f>IFERROR(__xludf.DUMMYFUNCTION("GOOGLEFINANCE(""NSE:""&amp;D343)"),433.15)</f>
        <v>433.15</v>
      </c>
      <c r="G343" s="17">
        <f>IFERROR(__xludf.DUMMYFUNCTION("GOOGLEFINANCE(""NSE:""&amp;D343,""closeyest"")"),442.5)</f>
        <v>442.5</v>
      </c>
      <c r="H343" s="17">
        <f>IFERROR(__xludf.DUMMYFUNCTION("INDEX(GOOGLEFINANCE(""NSE:""&amp;D343,""PRICE"",TODAY()-7),2,2)"),433.8)</f>
        <v>433.8</v>
      </c>
      <c r="I343" s="17">
        <f>IFERROR(__xludf.DUMMYFUNCTION("INDEX(GOOGLEFINANCE(""NSE:""&amp;D343,""PRICE"",TODAY()-14),2,2)"),426.8)</f>
        <v>426.8</v>
      </c>
      <c r="J343" s="17">
        <f>IFERROR(__xludf.DUMMYFUNCTION("INDEX(GOOGLEFINANCE(""NSE:""&amp;D343,""PRICE"",TODAY()-28),2,2)"),408.15)</f>
        <v>408.15</v>
      </c>
      <c r="K343" s="17">
        <f>IFERROR(__xludf.DUMMYFUNCTION("INDEX(GOOGLEFINANCE(""NSE:""&amp;D343,""PRICE"",TODAY()-84),2,2)"),417.0)</f>
        <v>417</v>
      </c>
      <c r="L343" s="16">
        <f t="shared" si="1"/>
        <v>-0.0211299435</v>
      </c>
      <c r="M343" s="16">
        <f t="shared" si="2"/>
        <v>-0.001498386353</v>
      </c>
      <c r="N343" s="16">
        <f t="shared" si="3"/>
        <v>0.01487816307</v>
      </c>
      <c r="O343" s="16">
        <f t="shared" si="4"/>
        <v>0.06125199069</v>
      </c>
      <c r="P343" s="16">
        <f t="shared" si="5"/>
        <v>0.03872901679</v>
      </c>
      <c r="Q343" s="30">
        <f t="shared" si="6"/>
        <v>-0.01335684349</v>
      </c>
      <c r="R343" s="30">
        <f t="shared" si="7"/>
        <v>-0.008906192106</v>
      </c>
      <c r="S343" s="30">
        <f t="shared" si="8"/>
        <v>-0.01012021294</v>
      </c>
      <c r="T343" s="30">
        <f t="shared" si="9"/>
        <v>-0.08806384991</v>
      </c>
    </row>
    <row r="344">
      <c r="A344" s="1">
        <v>341.0</v>
      </c>
      <c r="B344" s="22" t="s">
        <v>994</v>
      </c>
      <c r="C344" s="22" t="s">
        <v>549</v>
      </c>
      <c r="D344" s="22" t="s">
        <v>995</v>
      </c>
      <c r="E344" s="23">
        <f>IFERROR(__xludf.DUMMYFUNCTION("GOOGLEFINANCE(""NSE:""&amp;D344,""marketcap"")/10000000"),7750.0)</f>
        <v>7750</v>
      </c>
      <c r="F344" s="17">
        <f>IFERROR(__xludf.DUMMYFUNCTION("GOOGLEFINANCE(""NSE:""&amp;D344)"),3100.0)</f>
        <v>3100</v>
      </c>
      <c r="G344" s="17">
        <f>IFERROR(__xludf.DUMMYFUNCTION("GOOGLEFINANCE(""NSE:""&amp;D344,""closeyest"")"),3097.1)</f>
        <v>3097.1</v>
      </c>
      <c r="H344" s="17">
        <f>IFERROR(__xludf.DUMMYFUNCTION("INDEX(GOOGLEFINANCE(""NSE:""&amp;D344,""PRICE"",TODAY()-7),2,2)"),3139.9)</f>
        <v>3139.9</v>
      </c>
      <c r="I344" s="17">
        <f>IFERROR(__xludf.DUMMYFUNCTION("INDEX(GOOGLEFINANCE(""NSE:""&amp;D344,""PRICE"",TODAY()-14),2,2)"),3101.0)</f>
        <v>3101</v>
      </c>
      <c r="J344" s="17">
        <f>IFERROR(__xludf.DUMMYFUNCTION("INDEX(GOOGLEFINANCE(""NSE:""&amp;D344,""PRICE"",TODAY()-28),2,2)"),3056.35)</f>
        <v>3056.35</v>
      </c>
      <c r="K344" s="17">
        <f>IFERROR(__xludf.DUMMYFUNCTION("INDEX(GOOGLEFINANCE(""NSE:""&amp;D344,""PRICE"",TODAY()-84),2,2)"),3591.4)</f>
        <v>3591.4</v>
      </c>
      <c r="L344" s="16">
        <f t="shared" si="1"/>
        <v>0.0009363598205</v>
      </c>
      <c r="M344" s="16">
        <f t="shared" si="2"/>
        <v>-0.01270741106</v>
      </c>
      <c r="N344" s="16">
        <f t="shared" si="3"/>
        <v>-0.0003224766204</v>
      </c>
      <c r="O344" s="16">
        <f t="shared" si="4"/>
        <v>0.01428174129</v>
      </c>
      <c r="P344" s="16">
        <f t="shared" si="5"/>
        <v>-0.1368268642</v>
      </c>
      <c r="Q344" s="30">
        <f t="shared" si="6"/>
        <v>-0.0245658682</v>
      </c>
      <c r="R344" s="30">
        <f t="shared" si="7"/>
        <v>-0.0241068318</v>
      </c>
      <c r="S344" s="30">
        <f t="shared" si="8"/>
        <v>-0.05709046234</v>
      </c>
      <c r="T344" s="30">
        <f t="shared" si="9"/>
        <v>-0.2636197309</v>
      </c>
    </row>
    <row r="345">
      <c r="A345" s="1">
        <v>342.0</v>
      </c>
      <c r="B345" s="22" t="s">
        <v>996</v>
      </c>
      <c r="C345" s="22" t="s">
        <v>635</v>
      </c>
      <c r="D345" s="22" t="s">
        <v>997</v>
      </c>
      <c r="E345" s="23">
        <f>IFERROR(__xludf.DUMMYFUNCTION("GOOGLEFINANCE(""NSE:""&amp;D345,""marketcap"")/10000000"),7740.62784)</f>
        <v>7740.62784</v>
      </c>
      <c r="F345" s="17">
        <f>IFERROR(__xludf.DUMMYFUNCTION("GOOGLEFINANCE(""NSE:""&amp;D345)"),703.0)</f>
        <v>703</v>
      </c>
      <c r="G345" s="17">
        <f>IFERROR(__xludf.DUMMYFUNCTION("GOOGLEFINANCE(""NSE:""&amp;D345,""closeyest"")"),700.1)</f>
        <v>700.1</v>
      </c>
      <c r="H345" s="17">
        <f>IFERROR(__xludf.DUMMYFUNCTION("INDEX(GOOGLEFINANCE(""NSE:""&amp;D345,""PRICE"",TODAY()-7),2,2)"),707.95)</f>
        <v>707.95</v>
      </c>
      <c r="I345" s="17">
        <f>IFERROR(__xludf.DUMMYFUNCTION("INDEX(GOOGLEFINANCE(""NSE:""&amp;D345,""PRICE"",TODAY()-14),2,2)"),727.3)</f>
        <v>727.3</v>
      </c>
      <c r="J345" s="17">
        <f>IFERROR(__xludf.DUMMYFUNCTION("INDEX(GOOGLEFINANCE(""NSE:""&amp;D345,""PRICE"",TODAY()-28),2,2)"),663.55)</f>
        <v>663.55</v>
      </c>
      <c r="K345" s="17">
        <f>IFERROR(__xludf.DUMMYFUNCTION("INDEX(GOOGLEFINANCE(""NSE:""&amp;D345,""PRICE"",TODAY()-84),2,2)"),740.1)</f>
        <v>740.1</v>
      </c>
      <c r="L345" s="16">
        <f t="shared" si="1"/>
        <v>0.004142265391</v>
      </c>
      <c r="M345" s="16">
        <f t="shared" si="2"/>
        <v>-0.00699201921</v>
      </c>
      <c r="N345" s="16">
        <f t="shared" si="3"/>
        <v>-0.03341124708</v>
      </c>
      <c r="O345" s="16">
        <f t="shared" si="4"/>
        <v>0.05945294251</v>
      </c>
      <c r="P345" s="16">
        <f t="shared" si="5"/>
        <v>-0.05012836103</v>
      </c>
      <c r="Q345" s="30">
        <f t="shared" si="6"/>
        <v>-0.01885047635</v>
      </c>
      <c r="R345" s="30">
        <f t="shared" si="7"/>
        <v>-0.05719560226</v>
      </c>
      <c r="S345" s="30">
        <f t="shared" si="8"/>
        <v>-0.01191926112</v>
      </c>
      <c r="T345" s="30">
        <f t="shared" si="9"/>
        <v>-0.1769212277</v>
      </c>
    </row>
    <row r="346">
      <c r="A346" s="1">
        <v>343.0</v>
      </c>
      <c r="B346" s="22" t="s">
        <v>998</v>
      </c>
      <c r="C346" s="22" t="s">
        <v>603</v>
      </c>
      <c r="D346" s="22" t="s">
        <v>999</v>
      </c>
      <c r="E346" s="23">
        <f>IFERROR(__xludf.DUMMYFUNCTION("GOOGLEFINANCE(""NSE:""&amp;D346,""marketcap"")/10000000"),7665.3390193)</f>
        <v>7665.339019</v>
      </c>
      <c r="F346" s="17">
        <f>IFERROR(__xludf.DUMMYFUNCTION("GOOGLEFINANCE(""NSE:""&amp;D346)"),228.0)</f>
        <v>228</v>
      </c>
      <c r="G346" s="17">
        <f>IFERROR(__xludf.DUMMYFUNCTION("GOOGLEFINANCE(""NSE:""&amp;D346,""closeyest"")"),229.75)</f>
        <v>229.75</v>
      </c>
      <c r="H346" s="17">
        <f>IFERROR(__xludf.DUMMYFUNCTION("INDEX(GOOGLEFINANCE(""NSE:""&amp;D346,""PRICE"",TODAY()-7),2,2)"),237.7)</f>
        <v>237.7</v>
      </c>
      <c r="I346" s="17">
        <f>IFERROR(__xludf.DUMMYFUNCTION("INDEX(GOOGLEFINANCE(""NSE:""&amp;D346,""PRICE"",TODAY()-14),2,2)"),243.55)</f>
        <v>243.55</v>
      </c>
      <c r="J346" s="17">
        <f>IFERROR(__xludf.DUMMYFUNCTION("INDEX(GOOGLEFINANCE(""NSE:""&amp;D346,""PRICE"",TODAY()-28),2,2)"),210.9)</f>
        <v>210.9</v>
      </c>
      <c r="K346" s="17">
        <f>IFERROR(__xludf.DUMMYFUNCTION("INDEX(GOOGLEFINANCE(""NSE:""&amp;D346,""PRICE"",TODAY()-84),2,2)"),191.5)</f>
        <v>191.5</v>
      </c>
      <c r="L346" s="16">
        <f t="shared" si="1"/>
        <v>-0.007616974973</v>
      </c>
      <c r="M346" s="16">
        <f t="shared" si="2"/>
        <v>-0.04080774085</v>
      </c>
      <c r="N346" s="16">
        <f t="shared" si="3"/>
        <v>-0.06384725929</v>
      </c>
      <c r="O346" s="16">
        <f t="shared" si="4"/>
        <v>0.08108108108</v>
      </c>
      <c r="P346" s="16">
        <f t="shared" si="5"/>
        <v>0.1906005222</v>
      </c>
      <c r="Q346" s="30">
        <f t="shared" si="6"/>
        <v>-0.05266619799</v>
      </c>
      <c r="R346" s="30">
        <f t="shared" si="7"/>
        <v>-0.08763161447</v>
      </c>
      <c r="S346" s="30">
        <f t="shared" si="8"/>
        <v>0.009708877452</v>
      </c>
      <c r="T346" s="30">
        <f t="shared" si="9"/>
        <v>0.0638076555</v>
      </c>
    </row>
    <row r="347">
      <c r="A347" s="1">
        <v>344.0</v>
      </c>
      <c r="B347" s="22" t="s">
        <v>1000</v>
      </c>
      <c r="C347" s="22" t="s">
        <v>635</v>
      </c>
      <c r="D347" s="22" t="s">
        <v>1001</v>
      </c>
      <c r="E347" s="23">
        <f>IFERROR(__xludf.DUMMYFUNCTION("GOOGLEFINANCE(""NSE:""&amp;D347,""marketcap"")/10000000"),8118.5195246)</f>
        <v>8118.519525</v>
      </c>
      <c r="F347" s="17">
        <f>IFERROR(__xludf.DUMMYFUNCTION("GOOGLEFINANCE(""NSE:""&amp;D347)"),901.2)</f>
        <v>901.2</v>
      </c>
      <c r="G347" s="17">
        <f>IFERROR(__xludf.DUMMYFUNCTION("GOOGLEFINANCE(""NSE:""&amp;D347,""closeyest"")"),850.2)</f>
        <v>850.2</v>
      </c>
      <c r="H347" s="17">
        <f>IFERROR(__xludf.DUMMYFUNCTION("INDEX(GOOGLEFINANCE(""NSE:""&amp;D347,""PRICE"",TODAY()-7),2,2)"),844.15)</f>
        <v>844.15</v>
      </c>
      <c r="I347" s="17">
        <f>IFERROR(__xludf.DUMMYFUNCTION("INDEX(GOOGLEFINANCE(""NSE:""&amp;D347,""PRICE"",TODAY()-14),2,2)"),805.0)</f>
        <v>805</v>
      </c>
      <c r="J347" s="17">
        <f>IFERROR(__xludf.DUMMYFUNCTION("INDEX(GOOGLEFINANCE(""NSE:""&amp;D347,""PRICE"",TODAY()-28),2,2)"),739.5)</f>
        <v>739.5</v>
      </c>
      <c r="K347" s="17">
        <f>IFERROR(__xludf.DUMMYFUNCTION("INDEX(GOOGLEFINANCE(""NSE:""&amp;D347,""PRICE"",TODAY()-84),2,2)"),735.55)</f>
        <v>735.55</v>
      </c>
      <c r="L347" s="16">
        <f t="shared" si="1"/>
        <v>0.05998588567</v>
      </c>
      <c r="M347" s="16">
        <f t="shared" si="2"/>
        <v>0.06758277557</v>
      </c>
      <c r="N347" s="16">
        <f t="shared" si="3"/>
        <v>0.1195031056</v>
      </c>
      <c r="O347" s="16">
        <f t="shared" si="4"/>
        <v>0.2186612576</v>
      </c>
      <c r="P347" s="16">
        <f t="shared" si="5"/>
        <v>0.2252056284</v>
      </c>
      <c r="Q347" s="30">
        <f t="shared" si="6"/>
        <v>0.05572431844</v>
      </c>
      <c r="R347" s="30">
        <f t="shared" si="7"/>
        <v>0.09571875041</v>
      </c>
      <c r="S347" s="30">
        <f t="shared" si="8"/>
        <v>0.147289054</v>
      </c>
      <c r="T347" s="30">
        <f t="shared" si="9"/>
        <v>0.09841276174</v>
      </c>
    </row>
    <row r="348">
      <c r="A348" s="1">
        <v>345.0</v>
      </c>
      <c r="B348" s="22" t="s">
        <v>1002</v>
      </c>
      <c r="C348" s="22" t="s">
        <v>541</v>
      </c>
      <c r="D348" s="22" t="s">
        <v>1003</v>
      </c>
      <c r="E348" s="23">
        <f>IFERROR(__xludf.DUMMYFUNCTION("GOOGLEFINANCE(""NSE:""&amp;D348,""marketcap"")/10000000"),8103.45772)</f>
        <v>8103.45772</v>
      </c>
      <c r="F348" s="17">
        <f>IFERROR(__xludf.DUMMYFUNCTION("GOOGLEFINANCE(""NSE:""&amp;D348)"),553.0)</f>
        <v>553</v>
      </c>
      <c r="G348" s="17">
        <f>IFERROR(__xludf.DUMMYFUNCTION("GOOGLEFINANCE(""NSE:""&amp;D348,""closeyest"")"),518.95)</f>
        <v>518.95</v>
      </c>
      <c r="H348" s="17">
        <f>IFERROR(__xludf.DUMMYFUNCTION("INDEX(GOOGLEFINANCE(""NSE:""&amp;D348,""PRICE"",TODAY()-7),2,2)"),516.5)</f>
        <v>516.5</v>
      </c>
      <c r="I348" s="17">
        <f>IFERROR(__xludf.DUMMYFUNCTION("INDEX(GOOGLEFINANCE(""NSE:""&amp;D348,""PRICE"",TODAY()-14),2,2)"),514.65)</f>
        <v>514.65</v>
      </c>
      <c r="J348" s="17">
        <f>IFERROR(__xludf.DUMMYFUNCTION("INDEX(GOOGLEFINANCE(""NSE:""&amp;D348,""PRICE"",TODAY()-28),2,2)"),516.8)</f>
        <v>516.8</v>
      </c>
      <c r="K348" s="17">
        <f>IFERROR(__xludf.DUMMYFUNCTION("INDEX(GOOGLEFINANCE(""NSE:""&amp;D348,""PRICE"",TODAY()-84),2,2)"),570.2)</f>
        <v>570.2</v>
      </c>
      <c r="L348" s="16">
        <f t="shared" si="1"/>
        <v>0.06561325754</v>
      </c>
      <c r="M348" s="16">
        <f t="shared" si="2"/>
        <v>0.07066795741</v>
      </c>
      <c r="N348" s="16">
        <f t="shared" si="3"/>
        <v>0.07451666181</v>
      </c>
      <c r="O348" s="16">
        <f t="shared" si="4"/>
        <v>0.07004643963</v>
      </c>
      <c r="P348" s="16">
        <f t="shared" si="5"/>
        <v>-0.03016485444</v>
      </c>
      <c r="Q348" s="30">
        <f t="shared" si="6"/>
        <v>0.05880950027</v>
      </c>
      <c r="R348" s="30">
        <f t="shared" si="7"/>
        <v>0.05073230663</v>
      </c>
      <c r="S348" s="30">
        <f t="shared" si="8"/>
        <v>-0.001325764</v>
      </c>
      <c r="T348" s="30">
        <f t="shared" si="9"/>
        <v>-0.1569577211</v>
      </c>
    </row>
    <row r="349">
      <c r="A349" s="1">
        <v>346.0</v>
      </c>
      <c r="B349" s="22" t="s">
        <v>1004</v>
      </c>
      <c r="C349" s="22" t="s">
        <v>549</v>
      </c>
      <c r="D349" s="22" t="s">
        <v>1005</v>
      </c>
      <c r="E349" s="23">
        <f>IFERROR(__xludf.DUMMYFUNCTION("GOOGLEFINANCE(""NSE:""&amp;D349,""marketcap"")/10000000"),7645.3972106)</f>
        <v>7645.397211</v>
      </c>
      <c r="F349" s="17">
        <f>IFERROR(__xludf.DUMMYFUNCTION("GOOGLEFINANCE(""NSE:""&amp;D349)"),289.0)</f>
        <v>289</v>
      </c>
      <c r="G349" s="17">
        <f>IFERROR(__xludf.DUMMYFUNCTION("GOOGLEFINANCE(""NSE:""&amp;D349,""closeyest"")"),288.9)</f>
        <v>288.9</v>
      </c>
      <c r="H349" s="17">
        <f>IFERROR(__xludf.DUMMYFUNCTION("INDEX(GOOGLEFINANCE(""NSE:""&amp;D349,""PRICE"",TODAY()-7),2,2)"),290.65)</f>
        <v>290.65</v>
      </c>
      <c r="I349" s="17">
        <f>IFERROR(__xludf.DUMMYFUNCTION("INDEX(GOOGLEFINANCE(""NSE:""&amp;D349,""PRICE"",TODAY()-14),2,2)"),291.45)</f>
        <v>291.45</v>
      </c>
      <c r="J349" s="17">
        <f>IFERROR(__xludf.DUMMYFUNCTION("INDEX(GOOGLEFINANCE(""NSE:""&amp;D349,""PRICE"",TODAY()-28),2,2)"),287.6)</f>
        <v>287.6</v>
      </c>
      <c r="K349" s="17">
        <f>IFERROR(__xludf.DUMMYFUNCTION("INDEX(GOOGLEFINANCE(""NSE:""&amp;D349,""PRICE"",TODAY()-84),2,2)"),238.75)</f>
        <v>238.75</v>
      </c>
      <c r="L349" s="16">
        <f t="shared" si="1"/>
        <v>0.0003461405331</v>
      </c>
      <c r="M349" s="16">
        <f t="shared" si="2"/>
        <v>-0.005676931017</v>
      </c>
      <c r="N349" s="16">
        <f t="shared" si="3"/>
        <v>-0.008406244639</v>
      </c>
      <c r="O349" s="16">
        <f t="shared" si="4"/>
        <v>0.004867872045</v>
      </c>
      <c r="P349" s="16">
        <f t="shared" si="5"/>
        <v>0.2104712042</v>
      </c>
      <c r="Q349" s="30">
        <f t="shared" si="6"/>
        <v>-0.01753538815</v>
      </c>
      <c r="R349" s="30">
        <f t="shared" si="7"/>
        <v>-0.03219059982</v>
      </c>
      <c r="S349" s="30">
        <f t="shared" si="8"/>
        <v>-0.06650433158</v>
      </c>
      <c r="T349" s="30">
        <f t="shared" si="9"/>
        <v>0.08367833749</v>
      </c>
    </row>
    <row r="350">
      <c r="A350" s="1">
        <v>347.0</v>
      </c>
      <c r="B350" s="22" t="s">
        <v>1006</v>
      </c>
      <c r="C350" s="22" t="s">
        <v>522</v>
      </c>
      <c r="D350" s="22" t="s">
        <v>1007</v>
      </c>
      <c r="E350" s="23">
        <f>IFERROR(__xludf.DUMMYFUNCTION("GOOGLEFINANCE(""NSE:""&amp;D350,""marketcap"")/10000000"),7737.7204374)</f>
        <v>7737.720437</v>
      </c>
      <c r="F350" s="17">
        <f>IFERROR(__xludf.DUMMYFUNCTION("GOOGLEFINANCE(""NSE:""&amp;D350)"),44.35)</f>
        <v>44.35</v>
      </c>
      <c r="G350" s="17">
        <f>IFERROR(__xludf.DUMMYFUNCTION("GOOGLEFINANCE(""NSE:""&amp;D350,""closeyest"")"),42.95)</f>
        <v>42.95</v>
      </c>
      <c r="H350" s="17">
        <f>IFERROR(__xludf.DUMMYFUNCTION("INDEX(GOOGLEFINANCE(""NSE:""&amp;D350,""PRICE"",TODAY()-7),2,2)"),44.9)</f>
        <v>44.9</v>
      </c>
      <c r="I350" s="17">
        <f>IFERROR(__xludf.DUMMYFUNCTION("INDEX(GOOGLEFINANCE(""NSE:""&amp;D350,""PRICE"",TODAY()-14),2,2)"),43.15)</f>
        <v>43.15</v>
      </c>
      <c r="J350" s="17">
        <f>IFERROR(__xludf.DUMMYFUNCTION("INDEX(GOOGLEFINANCE(""NSE:""&amp;D350,""PRICE"",TODAY()-28),2,2)"),42.25)</f>
        <v>42.25</v>
      </c>
      <c r="K350" s="17">
        <f>IFERROR(__xludf.DUMMYFUNCTION("INDEX(GOOGLEFINANCE(""NSE:""&amp;D350,""PRICE"",TODAY()-84),2,2)"),50.9)</f>
        <v>50.9</v>
      </c>
      <c r="L350" s="16">
        <f t="shared" si="1"/>
        <v>0.03259604191</v>
      </c>
      <c r="M350" s="16">
        <f t="shared" si="2"/>
        <v>-0.01224944321</v>
      </c>
      <c r="N350" s="16">
        <f t="shared" si="3"/>
        <v>0.02780996524</v>
      </c>
      <c r="O350" s="16">
        <f t="shared" si="4"/>
        <v>0.04970414201</v>
      </c>
      <c r="P350" s="16">
        <f t="shared" si="5"/>
        <v>-0.1286836935</v>
      </c>
      <c r="Q350" s="30">
        <f t="shared" si="6"/>
        <v>-0.02410790034</v>
      </c>
      <c r="R350" s="30">
        <f t="shared" si="7"/>
        <v>0.004025610058</v>
      </c>
      <c r="S350" s="30">
        <f t="shared" si="8"/>
        <v>-0.02166806162</v>
      </c>
      <c r="T350" s="30">
        <f t="shared" si="9"/>
        <v>-0.2554765602</v>
      </c>
    </row>
    <row r="351">
      <c r="A351" s="1">
        <v>348.0</v>
      </c>
      <c r="B351" s="22" t="s">
        <v>1008</v>
      </c>
      <c r="C351" s="22" t="s">
        <v>635</v>
      </c>
      <c r="D351" s="22" t="s">
        <v>1009</v>
      </c>
      <c r="E351" s="23">
        <f>IFERROR(__xludf.DUMMYFUNCTION("GOOGLEFINANCE(""NSE:""&amp;D351,""marketcap"")/10000000"),7608.730175)</f>
        <v>7608.730175</v>
      </c>
      <c r="F351" s="17">
        <f>IFERROR(__xludf.DUMMYFUNCTION("GOOGLEFINANCE(""NSE:""&amp;D351)"),497.5)</f>
        <v>497.5</v>
      </c>
      <c r="G351" s="17">
        <f>IFERROR(__xludf.DUMMYFUNCTION("GOOGLEFINANCE(""NSE:""&amp;D351,""closeyest"")"),490.55)</f>
        <v>490.55</v>
      </c>
      <c r="H351" s="17">
        <f>IFERROR(__xludf.DUMMYFUNCTION("INDEX(GOOGLEFINANCE(""NSE:""&amp;D351,""PRICE"",TODAY()-7),2,2)"),513.3)</f>
        <v>513.3</v>
      </c>
      <c r="I351" s="17">
        <f>IFERROR(__xludf.DUMMYFUNCTION("INDEX(GOOGLEFINANCE(""NSE:""&amp;D351,""PRICE"",TODAY()-14),2,2)"),514.25)</f>
        <v>514.25</v>
      </c>
      <c r="J351" s="17">
        <f>IFERROR(__xludf.DUMMYFUNCTION("INDEX(GOOGLEFINANCE(""NSE:""&amp;D351,""PRICE"",TODAY()-28),2,2)"),451.25)</f>
        <v>451.25</v>
      </c>
      <c r="K351" s="17">
        <f>IFERROR(__xludf.DUMMYFUNCTION("INDEX(GOOGLEFINANCE(""NSE:""&amp;D351,""PRICE"",TODAY()-84),2,2)"),517.55)</f>
        <v>517.55</v>
      </c>
      <c r="L351" s="16">
        <f t="shared" si="1"/>
        <v>0.01416777087</v>
      </c>
      <c r="M351" s="16">
        <f t="shared" si="2"/>
        <v>-0.03078121956</v>
      </c>
      <c r="N351" s="16">
        <f t="shared" si="3"/>
        <v>-0.03257170637</v>
      </c>
      <c r="O351" s="16">
        <f t="shared" si="4"/>
        <v>0.1024930748</v>
      </c>
      <c r="P351" s="16">
        <f t="shared" si="5"/>
        <v>-0.03874021834</v>
      </c>
      <c r="Q351" s="30">
        <f t="shared" si="6"/>
        <v>-0.0426396767</v>
      </c>
      <c r="R351" s="30">
        <f t="shared" si="7"/>
        <v>-0.05635606155</v>
      </c>
      <c r="S351" s="30">
        <f t="shared" si="8"/>
        <v>0.03112087116</v>
      </c>
      <c r="T351" s="30">
        <f t="shared" si="9"/>
        <v>-0.165533085</v>
      </c>
    </row>
    <row r="352">
      <c r="A352" s="1">
        <v>349.0</v>
      </c>
      <c r="B352" s="22" t="s">
        <v>1010</v>
      </c>
      <c r="C352" s="22" t="s">
        <v>526</v>
      </c>
      <c r="D352" s="22" t="s">
        <v>1011</v>
      </c>
      <c r="E352" s="23">
        <f>IFERROR(__xludf.DUMMYFUNCTION("GOOGLEFINANCE(""NSE:""&amp;D352,""marketcap"")/10000000"),7502.3642966)</f>
        <v>7502.364297</v>
      </c>
      <c r="F352" s="17">
        <f>IFERROR(__xludf.DUMMYFUNCTION("GOOGLEFINANCE(""NSE:""&amp;D352)"),550.65)</f>
        <v>550.65</v>
      </c>
      <c r="G352" s="17">
        <f>IFERROR(__xludf.DUMMYFUNCTION("GOOGLEFINANCE(""NSE:""&amp;D352,""closeyest"")"),548.85)</f>
        <v>548.85</v>
      </c>
      <c r="H352" s="17">
        <f>IFERROR(__xludf.DUMMYFUNCTION("INDEX(GOOGLEFINANCE(""NSE:""&amp;D352,""PRICE"",TODAY()-7),2,2)"),554.3)</f>
        <v>554.3</v>
      </c>
      <c r="I352" s="17">
        <f>IFERROR(__xludf.DUMMYFUNCTION("INDEX(GOOGLEFINANCE(""NSE:""&amp;D352,""PRICE"",TODAY()-14),2,2)"),564.45)</f>
        <v>564.45</v>
      </c>
      <c r="J352" s="17">
        <f>IFERROR(__xludf.DUMMYFUNCTION("INDEX(GOOGLEFINANCE(""NSE:""&amp;D352,""PRICE"",TODAY()-28),2,2)"),565.65)</f>
        <v>565.65</v>
      </c>
      <c r="K352" s="17">
        <f>IFERROR(__xludf.DUMMYFUNCTION("INDEX(GOOGLEFINANCE(""NSE:""&amp;D352,""PRICE"",TODAY()-84),2,2)"),568.55)</f>
        <v>568.55</v>
      </c>
      <c r="L352" s="16">
        <f t="shared" si="1"/>
        <v>0.003279584586</v>
      </c>
      <c r="M352" s="16">
        <f t="shared" si="2"/>
        <v>-0.006584881833</v>
      </c>
      <c r="N352" s="16">
        <f t="shared" si="3"/>
        <v>-0.02444857826</v>
      </c>
      <c r="O352" s="16">
        <f t="shared" si="4"/>
        <v>-0.02651816494</v>
      </c>
      <c r="P352" s="16">
        <f t="shared" si="5"/>
        <v>-0.03148359863</v>
      </c>
      <c r="Q352" s="30">
        <f t="shared" si="6"/>
        <v>-0.01844333897</v>
      </c>
      <c r="R352" s="30">
        <f t="shared" si="7"/>
        <v>-0.04823293344</v>
      </c>
      <c r="S352" s="30">
        <f t="shared" si="8"/>
        <v>-0.09789036857</v>
      </c>
      <c r="T352" s="30">
        <f t="shared" si="9"/>
        <v>-0.1582764653</v>
      </c>
    </row>
    <row r="353">
      <c r="A353" s="1">
        <v>350.0</v>
      </c>
      <c r="B353" s="22" t="s">
        <v>1012</v>
      </c>
      <c r="C353" s="22" t="s">
        <v>526</v>
      </c>
      <c r="D353" s="22" t="s">
        <v>1013</v>
      </c>
      <c r="E353" s="23">
        <f>IFERROR(__xludf.DUMMYFUNCTION("GOOGLEFINANCE(""NSE:""&amp;D353,""marketcap"")/10000000"),7379.570925)</f>
        <v>7379.570925</v>
      </c>
      <c r="F353" s="17">
        <f>IFERROR(__xludf.DUMMYFUNCTION("GOOGLEFINANCE(""NSE:""&amp;D353)"),349.0)</f>
        <v>349</v>
      </c>
      <c r="G353" s="17">
        <f>IFERROR(__xludf.DUMMYFUNCTION("GOOGLEFINANCE(""NSE:""&amp;D353,""closeyest"")"),348.1)</f>
        <v>348.1</v>
      </c>
      <c r="H353" s="17">
        <f>IFERROR(__xludf.DUMMYFUNCTION("INDEX(GOOGLEFINANCE(""NSE:""&amp;D353,""PRICE"",TODAY()-7),2,2)"),354.65)</f>
        <v>354.65</v>
      </c>
      <c r="I353" s="17">
        <f>IFERROR(__xludf.DUMMYFUNCTION("INDEX(GOOGLEFINANCE(""NSE:""&amp;D353,""PRICE"",TODAY()-14),2,2)"),337.05)</f>
        <v>337.05</v>
      </c>
      <c r="J353" s="17">
        <f>IFERROR(__xludf.DUMMYFUNCTION("INDEX(GOOGLEFINANCE(""NSE:""&amp;D353,""PRICE"",TODAY()-28),2,2)"),323.7)</f>
        <v>323.7</v>
      </c>
      <c r="K353" s="17">
        <f>IFERROR(__xludf.DUMMYFUNCTION("INDEX(GOOGLEFINANCE(""NSE:""&amp;D353,""PRICE"",TODAY()-84),2,2)"),316.65)</f>
        <v>316.65</v>
      </c>
      <c r="L353" s="16">
        <f t="shared" si="1"/>
        <v>0.002585463947</v>
      </c>
      <c r="M353" s="16">
        <f t="shared" si="2"/>
        <v>-0.01593119977</v>
      </c>
      <c r="N353" s="16">
        <f t="shared" si="3"/>
        <v>0.03545468031</v>
      </c>
      <c r="O353" s="16">
        <f t="shared" si="4"/>
        <v>0.078158789</v>
      </c>
      <c r="P353" s="16">
        <f t="shared" si="5"/>
        <v>0.1021632718</v>
      </c>
      <c r="Q353" s="30">
        <f t="shared" si="6"/>
        <v>-0.02778965691</v>
      </c>
      <c r="R353" s="30">
        <f t="shared" si="7"/>
        <v>0.01167032513</v>
      </c>
      <c r="S353" s="30">
        <f t="shared" si="8"/>
        <v>0.006786585373</v>
      </c>
      <c r="T353" s="30">
        <f t="shared" si="9"/>
        <v>-0.02462959495</v>
      </c>
    </row>
    <row r="354">
      <c r="A354" s="1">
        <v>351.0</v>
      </c>
      <c r="B354" s="22" t="s">
        <v>1014</v>
      </c>
      <c r="C354" s="22" t="s">
        <v>555</v>
      </c>
      <c r="D354" s="22" t="s">
        <v>1015</v>
      </c>
      <c r="E354" s="23">
        <f>IFERROR(__xludf.DUMMYFUNCTION("GOOGLEFINANCE(""NSE:""&amp;D354,""marketcap"")/10000000"),7501.865443)</f>
        <v>7501.865443</v>
      </c>
      <c r="F354" s="17">
        <f>IFERROR(__xludf.DUMMYFUNCTION("GOOGLEFINANCE(""NSE:""&amp;D354)"),4381.0)</f>
        <v>4381</v>
      </c>
      <c r="G354" s="17">
        <f>IFERROR(__xludf.DUMMYFUNCTION("GOOGLEFINANCE(""NSE:""&amp;D354,""closeyest"")"),4320.2)</f>
        <v>4320.2</v>
      </c>
      <c r="H354" s="17">
        <f>IFERROR(__xludf.DUMMYFUNCTION("INDEX(GOOGLEFINANCE(""NSE:""&amp;D354,""PRICE"",TODAY()-7),2,2)"),4650.9)</f>
        <v>4650.9</v>
      </c>
      <c r="I354" s="17">
        <f>IFERROR(__xludf.DUMMYFUNCTION("INDEX(GOOGLEFINANCE(""NSE:""&amp;D354,""PRICE"",TODAY()-14),2,2)"),4509.9)</f>
        <v>4509.9</v>
      </c>
      <c r="J354" s="17">
        <f>IFERROR(__xludf.DUMMYFUNCTION("INDEX(GOOGLEFINANCE(""NSE:""&amp;D354,""PRICE"",TODAY()-28),2,2)"),3928.2)</f>
        <v>3928.2</v>
      </c>
      <c r="K354" s="17">
        <f>IFERROR(__xludf.DUMMYFUNCTION("INDEX(GOOGLEFINANCE(""NSE:""&amp;D354,""PRICE"",TODAY()-84),2,2)"),3599.95)</f>
        <v>3599.95</v>
      </c>
      <c r="L354" s="16">
        <f t="shared" si="1"/>
        <v>0.01407342253</v>
      </c>
      <c r="M354" s="16">
        <f t="shared" si="2"/>
        <v>-0.0580317788</v>
      </c>
      <c r="N354" s="16">
        <f t="shared" si="3"/>
        <v>-0.028581565</v>
      </c>
      <c r="O354" s="16">
        <f t="shared" si="4"/>
        <v>0.11526908</v>
      </c>
      <c r="P354" s="16">
        <f t="shared" si="5"/>
        <v>0.2169613467</v>
      </c>
      <c r="Q354" s="30">
        <f t="shared" si="6"/>
        <v>-0.06989023593</v>
      </c>
      <c r="R354" s="30">
        <f t="shared" si="7"/>
        <v>-0.05236592018</v>
      </c>
      <c r="S354" s="30">
        <f t="shared" si="8"/>
        <v>0.04389687636</v>
      </c>
      <c r="T354" s="30">
        <f t="shared" si="9"/>
        <v>0.09016847999</v>
      </c>
    </row>
    <row r="355">
      <c r="A355" s="1">
        <v>352.0</v>
      </c>
      <c r="B355" s="22" t="s">
        <v>1016</v>
      </c>
      <c r="C355" s="22" t="s">
        <v>526</v>
      </c>
      <c r="D355" s="22" t="s">
        <v>1017</v>
      </c>
      <c r="E355" s="23">
        <f>IFERROR(__xludf.DUMMYFUNCTION("GOOGLEFINANCE(""NSE:""&amp;D355,""marketcap"")/10000000"),7362.0105824)</f>
        <v>7362.010582</v>
      </c>
      <c r="F355" s="17">
        <f>IFERROR(__xludf.DUMMYFUNCTION("GOOGLEFINANCE(""NSE:""&amp;D355)"),1055.05)</f>
        <v>1055.05</v>
      </c>
      <c r="G355" s="17">
        <f>IFERROR(__xludf.DUMMYFUNCTION("GOOGLEFINANCE(""NSE:""&amp;D355,""closeyest"")"),1039.95)</f>
        <v>1039.95</v>
      </c>
      <c r="H355" s="17">
        <f>IFERROR(__xludf.DUMMYFUNCTION("INDEX(GOOGLEFINANCE(""NSE:""&amp;D355,""PRICE"",TODAY()-7),2,2)"),1027.25)</f>
        <v>1027.25</v>
      </c>
      <c r="I355" s="17">
        <f>IFERROR(__xludf.DUMMYFUNCTION("INDEX(GOOGLEFINANCE(""NSE:""&amp;D355,""PRICE"",TODAY()-14),2,2)"),998.15)</f>
        <v>998.15</v>
      </c>
      <c r="J355" s="17">
        <f>IFERROR(__xludf.DUMMYFUNCTION("INDEX(GOOGLEFINANCE(""NSE:""&amp;D355,""PRICE"",TODAY()-28),2,2)"),948.25)</f>
        <v>948.25</v>
      </c>
      <c r="K355" s="17">
        <f>IFERROR(__xludf.DUMMYFUNCTION("INDEX(GOOGLEFINANCE(""NSE:""&amp;D355,""PRICE"",TODAY()-84),2,2)"),1019.5)</f>
        <v>1019.5</v>
      </c>
      <c r="L355" s="16">
        <f t="shared" si="1"/>
        <v>0.01451992884</v>
      </c>
      <c r="M355" s="16">
        <f t="shared" si="2"/>
        <v>0.02706254563</v>
      </c>
      <c r="N355" s="16">
        <f t="shared" si="3"/>
        <v>0.0570054601</v>
      </c>
      <c r="O355" s="16">
        <f t="shared" si="4"/>
        <v>0.1126285262</v>
      </c>
      <c r="P355" s="16">
        <f t="shared" si="5"/>
        <v>0.03487003433</v>
      </c>
      <c r="Q355" s="30">
        <f t="shared" si="6"/>
        <v>0.0152040885</v>
      </c>
      <c r="R355" s="30">
        <f t="shared" si="7"/>
        <v>0.03322110492</v>
      </c>
      <c r="S355" s="30">
        <f t="shared" si="8"/>
        <v>0.0412563226</v>
      </c>
      <c r="T355" s="30">
        <f t="shared" si="9"/>
        <v>-0.09192283237</v>
      </c>
    </row>
    <row r="356">
      <c r="A356" s="1">
        <v>353.0</v>
      </c>
      <c r="B356" s="22" t="s">
        <v>1018</v>
      </c>
      <c r="C356" s="22" t="s">
        <v>526</v>
      </c>
      <c r="D356" s="22" t="s">
        <v>1019</v>
      </c>
      <c r="E356" s="23">
        <f>IFERROR(__xludf.DUMMYFUNCTION("GOOGLEFINANCE(""NSE:""&amp;D356,""marketcap"")/10000000"),7291.130325)</f>
        <v>7291.130325</v>
      </c>
      <c r="F356" s="17">
        <f>IFERROR(__xludf.DUMMYFUNCTION("GOOGLEFINANCE(""NSE:""&amp;D356)"),348.4)</f>
        <v>348.4</v>
      </c>
      <c r="G356" s="17">
        <f>IFERROR(__xludf.DUMMYFUNCTION("GOOGLEFINANCE(""NSE:""&amp;D356,""closeyest"")"),345.75)</f>
        <v>345.75</v>
      </c>
      <c r="H356" s="17">
        <f>IFERROR(__xludf.DUMMYFUNCTION("INDEX(GOOGLEFINANCE(""NSE:""&amp;D356,""PRICE"",TODAY()-7),2,2)"),357.95)</f>
        <v>357.95</v>
      </c>
      <c r="I356" s="17">
        <f>IFERROR(__xludf.DUMMYFUNCTION("INDEX(GOOGLEFINANCE(""NSE:""&amp;D356,""PRICE"",TODAY()-14),2,2)"),365.65)</f>
        <v>365.65</v>
      </c>
      <c r="J356" s="17">
        <f>IFERROR(__xludf.DUMMYFUNCTION("INDEX(GOOGLEFINANCE(""NSE:""&amp;D356,""PRICE"",TODAY()-28),2,2)"),370.0)</f>
        <v>370</v>
      </c>
      <c r="K356" s="17">
        <f>IFERROR(__xludf.DUMMYFUNCTION("INDEX(GOOGLEFINANCE(""NSE:""&amp;D356,""PRICE"",TODAY()-84),2,2)"),360.45)</f>
        <v>360.45</v>
      </c>
      <c r="L356" s="16">
        <f t="shared" si="1"/>
        <v>0.007664497469</v>
      </c>
      <c r="M356" s="16">
        <f t="shared" si="2"/>
        <v>-0.02667970387</v>
      </c>
      <c r="N356" s="16">
        <f t="shared" si="3"/>
        <v>-0.04717626145</v>
      </c>
      <c r="O356" s="16">
        <f t="shared" si="4"/>
        <v>-0.05837837838</v>
      </c>
      <c r="P356" s="16">
        <f t="shared" si="5"/>
        <v>-0.03343043418</v>
      </c>
      <c r="Q356" s="30">
        <f t="shared" si="6"/>
        <v>-0.03853816101</v>
      </c>
      <c r="R356" s="30">
        <f t="shared" si="7"/>
        <v>-0.07096061663</v>
      </c>
      <c r="S356" s="30">
        <f t="shared" si="8"/>
        <v>-0.129750582</v>
      </c>
      <c r="T356" s="30">
        <f t="shared" si="9"/>
        <v>-0.1602233009</v>
      </c>
    </row>
    <row r="357">
      <c r="A357" s="1">
        <v>354.0</v>
      </c>
      <c r="B357" s="22" t="s">
        <v>1020</v>
      </c>
      <c r="C357" s="22" t="s">
        <v>590</v>
      </c>
      <c r="D357" s="22" t="s">
        <v>1021</v>
      </c>
      <c r="E357" s="23">
        <f>IFERROR(__xludf.DUMMYFUNCTION("GOOGLEFINANCE(""NSE:""&amp;D357,""marketcap"")/10000000"),7710.1123053)</f>
        <v>7710.112305</v>
      </c>
      <c r="F357" s="17">
        <f>IFERROR(__xludf.DUMMYFUNCTION("GOOGLEFINANCE(""NSE:""&amp;D357)"),123.9)</f>
        <v>123.9</v>
      </c>
      <c r="G357" s="17">
        <f>IFERROR(__xludf.DUMMYFUNCTION("GOOGLEFINANCE(""NSE:""&amp;D357,""closeyest"")"),115.35)</f>
        <v>115.35</v>
      </c>
      <c r="H357" s="17">
        <f>IFERROR(__xludf.DUMMYFUNCTION("INDEX(GOOGLEFINANCE(""NSE:""&amp;D357,""PRICE"",TODAY()-7),2,2)"),107.45)</f>
        <v>107.45</v>
      </c>
      <c r="I357" s="17">
        <f>IFERROR(__xludf.DUMMYFUNCTION("INDEX(GOOGLEFINANCE(""NSE:""&amp;D357,""PRICE"",TODAY()-14),2,2)"),109.75)</f>
        <v>109.75</v>
      </c>
      <c r="J357" s="17">
        <f>IFERROR(__xludf.DUMMYFUNCTION("INDEX(GOOGLEFINANCE(""NSE:""&amp;D357,""PRICE"",TODAY()-28),2,2)"),104.6)</f>
        <v>104.6</v>
      </c>
      <c r="K357" s="17">
        <f>IFERROR(__xludf.DUMMYFUNCTION("INDEX(GOOGLEFINANCE(""NSE:""&amp;D357,""PRICE"",TODAY()-84),2,2)"),112.0)</f>
        <v>112</v>
      </c>
      <c r="L357" s="16">
        <f t="shared" si="1"/>
        <v>0.07412223667</v>
      </c>
      <c r="M357" s="16">
        <f t="shared" si="2"/>
        <v>0.1530944625</v>
      </c>
      <c r="N357" s="16">
        <f t="shared" si="3"/>
        <v>0.128929385</v>
      </c>
      <c r="O357" s="16">
        <f t="shared" si="4"/>
        <v>0.1845124283</v>
      </c>
      <c r="P357" s="16">
        <f t="shared" si="5"/>
        <v>0.10625</v>
      </c>
      <c r="Q357" s="30">
        <f t="shared" si="6"/>
        <v>0.1412360054</v>
      </c>
      <c r="R357" s="30">
        <f t="shared" si="7"/>
        <v>0.1051450298</v>
      </c>
      <c r="S357" s="30">
        <f t="shared" si="8"/>
        <v>0.1131402247</v>
      </c>
      <c r="T357" s="30">
        <f t="shared" si="9"/>
        <v>-0.0205428667</v>
      </c>
    </row>
    <row r="358">
      <c r="A358" s="1">
        <v>355.0</v>
      </c>
      <c r="B358" s="22" t="s">
        <v>1022</v>
      </c>
      <c r="C358" s="22" t="s">
        <v>541</v>
      </c>
      <c r="D358" s="22" t="s">
        <v>1023</v>
      </c>
      <c r="E358" s="23">
        <f>IFERROR(__xludf.DUMMYFUNCTION("GOOGLEFINANCE(""NSE:""&amp;D358,""marketcap"")/10000000"),7699.042893)</f>
        <v>7699.042893</v>
      </c>
      <c r="F358" s="17">
        <f>IFERROR(__xludf.DUMMYFUNCTION("GOOGLEFINANCE(""NSE:""&amp;D358)"),812.0)</f>
        <v>812</v>
      </c>
      <c r="G358" s="17">
        <f>IFERROR(__xludf.DUMMYFUNCTION("GOOGLEFINANCE(""NSE:""&amp;D358,""closeyest"")"),751.1)</f>
        <v>751.1</v>
      </c>
      <c r="H358" s="17">
        <f>IFERROR(__xludf.DUMMYFUNCTION("INDEX(GOOGLEFINANCE(""NSE:""&amp;D358,""PRICE"",TODAY()-7),2,2)"),741.4)</f>
        <v>741.4</v>
      </c>
      <c r="I358" s="17">
        <f>IFERROR(__xludf.DUMMYFUNCTION("INDEX(GOOGLEFINANCE(""NSE:""&amp;D358,""PRICE"",TODAY()-14),2,2)"),797.8)</f>
        <v>797.8</v>
      </c>
      <c r="J358" s="17">
        <f>IFERROR(__xludf.DUMMYFUNCTION("INDEX(GOOGLEFINANCE(""NSE:""&amp;D358,""PRICE"",TODAY()-28),2,2)"),600.1)</f>
        <v>600.1</v>
      </c>
      <c r="K358" s="17">
        <f>IFERROR(__xludf.DUMMYFUNCTION("INDEX(GOOGLEFINANCE(""NSE:""&amp;D358,""PRICE"",TODAY()-84),2,2)"),464.8)</f>
        <v>464.8</v>
      </c>
      <c r="L358" s="16">
        <f t="shared" si="1"/>
        <v>0.08108108108</v>
      </c>
      <c r="M358" s="16">
        <f t="shared" si="2"/>
        <v>0.09522524953</v>
      </c>
      <c r="N358" s="16">
        <f t="shared" si="3"/>
        <v>0.0177989471</v>
      </c>
      <c r="O358" s="16">
        <f t="shared" si="4"/>
        <v>0.3531078154</v>
      </c>
      <c r="P358" s="16">
        <f t="shared" si="5"/>
        <v>0.7469879518</v>
      </c>
      <c r="Q358" s="30">
        <f t="shared" si="6"/>
        <v>0.08336679239</v>
      </c>
      <c r="R358" s="30">
        <f t="shared" si="7"/>
        <v>-0.005985408075</v>
      </c>
      <c r="S358" s="30">
        <f t="shared" si="8"/>
        <v>0.2817356117</v>
      </c>
      <c r="T358" s="30">
        <f t="shared" si="9"/>
        <v>0.6201950851</v>
      </c>
    </row>
    <row r="359">
      <c r="A359" s="1">
        <v>356.0</v>
      </c>
      <c r="B359" s="22" t="s">
        <v>1024</v>
      </c>
      <c r="C359" s="22" t="s">
        <v>528</v>
      </c>
      <c r="D359" s="22" t="s">
        <v>1025</v>
      </c>
      <c r="E359" s="23">
        <f>IFERROR(__xludf.DUMMYFUNCTION("GOOGLEFINANCE(""NSE:""&amp;D359,""marketcap"")/10000000"),7284.1560399)</f>
        <v>7284.15604</v>
      </c>
      <c r="F359" s="17">
        <f>IFERROR(__xludf.DUMMYFUNCTION("GOOGLEFINANCE(""NSE:""&amp;D359)"),81.75)</f>
        <v>81.75</v>
      </c>
      <c r="G359" s="17">
        <f>IFERROR(__xludf.DUMMYFUNCTION("GOOGLEFINANCE(""NSE:""&amp;D359,""closeyest"")"),79.8)</f>
        <v>79.8</v>
      </c>
      <c r="H359" s="17">
        <f>IFERROR(__xludf.DUMMYFUNCTION("INDEX(GOOGLEFINANCE(""NSE:""&amp;D359,""PRICE"",TODAY()-7),2,2)"),82.95)</f>
        <v>82.95</v>
      </c>
      <c r="I359" s="17">
        <f>IFERROR(__xludf.DUMMYFUNCTION("INDEX(GOOGLEFINANCE(""NSE:""&amp;D359,""PRICE"",TODAY()-14),2,2)"),80.8)</f>
        <v>80.8</v>
      </c>
      <c r="J359" s="17">
        <f>IFERROR(__xludf.DUMMYFUNCTION("INDEX(GOOGLEFINANCE(""NSE:""&amp;D359,""PRICE"",TODAY()-28),2,2)"),79.85)</f>
        <v>79.85</v>
      </c>
      <c r="K359" s="17">
        <f>IFERROR(__xludf.DUMMYFUNCTION("INDEX(GOOGLEFINANCE(""NSE:""&amp;D359,""PRICE"",TODAY()-84),2,2)"),74.25)</f>
        <v>74.25</v>
      </c>
      <c r="L359" s="16">
        <f t="shared" si="1"/>
        <v>0.02443609023</v>
      </c>
      <c r="M359" s="16">
        <f t="shared" si="2"/>
        <v>-0.01446654611</v>
      </c>
      <c r="N359" s="16">
        <f t="shared" si="3"/>
        <v>0.01175742574</v>
      </c>
      <c r="O359" s="16">
        <f t="shared" si="4"/>
        <v>0.0237946149</v>
      </c>
      <c r="P359" s="16">
        <f t="shared" si="5"/>
        <v>0.101010101</v>
      </c>
      <c r="Q359" s="30">
        <f t="shared" si="6"/>
        <v>-0.02632500325</v>
      </c>
      <c r="R359" s="30">
        <f t="shared" si="7"/>
        <v>-0.01202692944</v>
      </c>
      <c r="S359" s="30">
        <f t="shared" si="8"/>
        <v>-0.04757758873</v>
      </c>
      <c r="T359" s="30">
        <f t="shared" si="9"/>
        <v>-0.02578276569</v>
      </c>
    </row>
    <row r="360">
      <c r="A360" s="1">
        <v>357.0</v>
      </c>
      <c r="B360" s="22" t="s">
        <v>1026</v>
      </c>
      <c r="C360" s="22" t="s">
        <v>635</v>
      </c>
      <c r="D360" s="22" t="s">
        <v>1027</v>
      </c>
      <c r="E360" s="23">
        <f>IFERROR(__xludf.DUMMYFUNCTION("GOOGLEFINANCE(""NSE:""&amp;D360,""marketcap"")/10000000"),7139.7189222)</f>
        <v>7139.718922</v>
      </c>
      <c r="F360" s="17">
        <f>IFERROR(__xludf.DUMMYFUNCTION("GOOGLEFINANCE(""NSE:""&amp;D360)"),389.15)</f>
        <v>389.15</v>
      </c>
      <c r="G360" s="17">
        <f>IFERROR(__xludf.DUMMYFUNCTION("GOOGLEFINANCE(""NSE:""&amp;D360,""closeyest"")"),382.5)</f>
        <v>382.5</v>
      </c>
      <c r="H360" s="17">
        <f>IFERROR(__xludf.DUMMYFUNCTION("INDEX(GOOGLEFINANCE(""NSE:""&amp;D360,""PRICE"",TODAY()-7),2,2)"),401.5)</f>
        <v>401.5</v>
      </c>
      <c r="I360" s="17">
        <f>IFERROR(__xludf.DUMMYFUNCTION("INDEX(GOOGLEFINANCE(""NSE:""&amp;D360,""PRICE"",TODAY()-14),2,2)"),386.45)</f>
        <v>386.45</v>
      </c>
      <c r="J360" s="17">
        <f>IFERROR(__xludf.DUMMYFUNCTION("INDEX(GOOGLEFINANCE(""NSE:""&amp;D360,""PRICE"",TODAY()-28),2,2)"),382.05)</f>
        <v>382.05</v>
      </c>
      <c r="K360" s="17">
        <f>IFERROR(__xludf.DUMMYFUNCTION("INDEX(GOOGLEFINANCE(""NSE:""&amp;D360,""PRICE"",TODAY()-84),2,2)"),370.25)</f>
        <v>370.25</v>
      </c>
      <c r="L360" s="16">
        <f t="shared" si="1"/>
        <v>0.01738562092</v>
      </c>
      <c r="M360" s="16">
        <f t="shared" si="2"/>
        <v>-0.03075965131</v>
      </c>
      <c r="N360" s="16">
        <f t="shared" si="3"/>
        <v>0.006986673567</v>
      </c>
      <c r="O360" s="16">
        <f t="shared" si="4"/>
        <v>0.01858395498</v>
      </c>
      <c r="P360" s="16">
        <f t="shared" si="5"/>
        <v>0.05104659014</v>
      </c>
      <c r="Q360" s="30">
        <f t="shared" si="6"/>
        <v>-0.04261810844</v>
      </c>
      <c r="R360" s="30">
        <f t="shared" si="7"/>
        <v>-0.01679768161</v>
      </c>
      <c r="S360" s="30">
        <f t="shared" si="8"/>
        <v>-0.05278824865</v>
      </c>
      <c r="T360" s="30">
        <f t="shared" si="9"/>
        <v>-0.07574627656</v>
      </c>
    </row>
    <row r="361">
      <c r="A361" s="1">
        <v>358.0</v>
      </c>
      <c r="B361" s="22" t="s">
        <v>1028</v>
      </c>
      <c r="C361" s="22" t="s">
        <v>555</v>
      </c>
      <c r="D361" s="22" t="s">
        <v>1029</v>
      </c>
      <c r="E361" s="23">
        <f>IFERROR(__xludf.DUMMYFUNCTION("GOOGLEFINANCE(""NSE:""&amp;D361,""marketcap"")/10000000"),6951.6597528)</f>
        <v>6951.659753</v>
      </c>
      <c r="F361" s="17">
        <f>IFERROR(__xludf.DUMMYFUNCTION("GOOGLEFINANCE(""NSE:""&amp;D361)"),474.0)</f>
        <v>474</v>
      </c>
      <c r="G361" s="17">
        <f>IFERROR(__xludf.DUMMYFUNCTION("GOOGLEFINANCE(""NSE:""&amp;D361,""closeyest"")"),475.45)</f>
        <v>475.45</v>
      </c>
      <c r="H361" s="17">
        <f>IFERROR(__xludf.DUMMYFUNCTION("INDEX(GOOGLEFINANCE(""NSE:""&amp;D361,""PRICE"",TODAY()-7),2,2)"),477.5)</f>
        <v>477.5</v>
      </c>
      <c r="I361" s="17">
        <f>IFERROR(__xludf.DUMMYFUNCTION("INDEX(GOOGLEFINANCE(""NSE:""&amp;D361,""PRICE"",TODAY()-14),2,2)"),484.65)</f>
        <v>484.65</v>
      </c>
      <c r="J361" s="17">
        <f>IFERROR(__xludf.DUMMYFUNCTION("INDEX(GOOGLEFINANCE(""NSE:""&amp;D361,""PRICE"",TODAY()-28),2,2)"),469.85)</f>
        <v>469.85</v>
      </c>
      <c r="K361" s="17">
        <f>IFERROR(__xludf.DUMMYFUNCTION("INDEX(GOOGLEFINANCE(""NSE:""&amp;D361,""PRICE"",TODAY()-84),2,2)"),429.8)</f>
        <v>429.8</v>
      </c>
      <c r="L361" s="16">
        <f t="shared" si="1"/>
        <v>-0.003049742349</v>
      </c>
      <c r="M361" s="16">
        <f t="shared" si="2"/>
        <v>-0.007329842932</v>
      </c>
      <c r="N361" s="16">
        <f t="shared" si="3"/>
        <v>-0.02197462086</v>
      </c>
      <c r="O361" s="16">
        <f t="shared" si="4"/>
        <v>0.008832606151</v>
      </c>
      <c r="P361" s="16">
        <f t="shared" si="5"/>
        <v>0.1028385295</v>
      </c>
      <c r="Q361" s="30">
        <f t="shared" si="6"/>
        <v>-0.01918830007</v>
      </c>
      <c r="R361" s="30">
        <f t="shared" si="7"/>
        <v>-0.04575897604</v>
      </c>
      <c r="S361" s="30">
        <f t="shared" si="8"/>
        <v>-0.06253959748</v>
      </c>
      <c r="T361" s="30">
        <f t="shared" si="9"/>
        <v>-0.02395433715</v>
      </c>
    </row>
    <row r="362">
      <c r="A362" s="1">
        <v>359.0</v>
      </c>
      <c r="B362" s="22" t="s">
        <v>1030</v>
      </c>
      <c r="C362" s="22" t="s">
        <v>545</v>
      </c>
      <c r="D362" s="22" t="s">
        <v>1031</v>
      </c>
      <c r="E362" s="23">
        <f>IFERROR(__xludf.DUMMYFUNCTION("GOOGLEFINANCE(""NSE:""&amp;D362,""marketcap"")/10000000"),6837.0268931)</f>
        <v>6837.026893</v>
      </c>
      <c r="F362" s="17">
        <f>IFERROR(__xludf.DUMMYFUNCTION("GOOGLEFINANCE(""NSE:""&amp;D362)"),3379.3)</f>
        <v>3379.3</v>
      </c>
      <c r="G362" s="17">
        <f>IFERROR(__xludf.DUMMYFUNCTION("GOOGLEFINANCE(""NSE:""&amp;D362,""closeyest"")"),3436.3)</f>
        <v>3436.3</v>
      </c>
      <c r="H362" s="17">
        <f>IFERROR(__xludf.DUMMYFUNCTION("INDEX(GOOGLEFINANCE(""NSE:""&amp;D362,""PRICE"",TODAY()-7),2,2)"),3457.1)</f>
        <v>3457.1</v>
      </c>
      <c r="I362" s="17">
        <f>IFERROR(__xludf.DUMMYFUNCTION("INDEX(GOOGLEFINANCE(""NSE:""&amp;D362,""PRICE"",TODAY()-14),2,2)"),3515.4)</f>
        <v>3515.4</v>
      </c>
      <c r="J362" s="17">
        <f>IFERROR(__xludf.DUMMYFUNCTION("INDEX(GOOGLEFINANCE(""NSE:""&amp;D362,""PRICE"",TODAY()-28),2,2)"),3567.1)</f>
        <v>3567.1</v>
      </c>
      <c r="K362" s="17">
        <f>IFERROR(__xludf.DUMMYFUNCTION("INDEX(GOOGLEFINANCE(""NSE:""&amp;D362,""PRICE"",TODAY()-84),2,2)"),3400.0)</f>
        <v>3400</v>
      </c>
      <c r="L362" s="16">
        <f t="shared" si="1"/>
        <v>-0.01658760877</v>
      </c>
      <c r="M362" s="16">
        <f t="shared" si="2"/>
        <v>-0.02250441121</v>
      </c>
      <c r="N362" s="16">
        <f t="shared" si="3"/>
        <v>-0.03871536667</v>
      </c>
      <c r="O362" s="16">
        <f t="shared" si="4"/>
        <v>-0.05264780914</v>
      </c>
      <c r="P362" s="16">
        <f t="shared" si="5"/>
        <v>-0.006088235294</v>
      </c>
      <c r="Q362" s="30">
        <f t="shared" si="6"/>
        <v>-0.03436286835</v>
      </c>
      <c r="R362" s="30">
        <f t="shared" si="7"/>
        <v>-0.06249972185</v>
      </c>
      <c r="S362" s="30">
        <f t="shared" si="8"/>
        <v>-0.1240200128</v>
      </c>
      <c r="T362" s="30">
        <f t="shared" si="9"/>
        <v>-0.132881102</v>
      </c>
    </row>
    <row r="363">
      <c r="A363" s="1">
        <v>360.0</v>
      </c>
      <c r="B363" s="22" t="s">
        <v>1032</v>
      </c>
      <c r="C363" s="22" t="s">
        <v>665</v>
      </c>
      <c r="D363" s="22" t="s">
        <v>1033</v>
      </c>
      <c r="E363" s="23">
        <f>IFERROR(__xludf.DUMMYFUNCTION("GOOGLEFINANCE(""NSE:""&amp;D363,""marketcap"")/10000000"),6968.93808)</f>
        <v>6968.93808</v>
      </c>
      <c r="F363" s="17">
        <f>IFERROR(__xludf.DUMMYFUNCTION("GOOGLEFINANCE(""NSE:""&amp;D363)"),3380.0)</f>
        <v>3380</v>
      </c>
      <c r="G363" s="17">
        <f>IFERROR(__xludf.DUMMYFUNCTION("GOOGLEFINANCE(""NSE:""&amp;D363,""closeyest"")"),3382.6)</f>
        <v>3382.6</v>
      </c>
      <c r="H363" s="17">
        <f>IFERROR(__xludf.DUMMYFUNCTION("INDEX(GOOGLEFINANCE(""NSE:""&amp;D363,""PRICE"",TODAY()-7),2,2)"),3443.9)</f>
        <v>3443.9</v>
      </c>
      <c r="I363" s="17">
        <f>IFERROR(__xludf.DUMMYFUNCTION("INDEX(GOOGLEFINANCE(""NSE:""&amp;D363,""PRICE"",TODAY()-14),2,2)"),3465.0)</f>
        <v>3465</v>
      </c>
      <c r="J363" s="17">
        <f>IFERROR(__xludf.DUMMYFUNCTION("INDEX(GOOGLEFINANCE(""NSE:""&amp;D363,""PRICE"",TODAY()-28),2,2)"),3132.35)</f>
        <v>3132.35</v>
      </c>
      <c r="K363" s="17">
        <f>IFERROR(__xludf.DUMMYFUNCTION("INDEX(GOOGLEFINANCE(""NSE:""&amp;D363,""PRICE"",TODAY()-84),2,2)"),3324.25)</f>
        <v>3324.25</v>
      </c>
      <c r="L363" s="16">
        <f t="shared" si="1"/>
        <v>-0.0007686395081</v>
      </c>
      <c r="M363" s="16">
        <f t="shared" si="2"/>
        <v>-0.01855454572</v>
      </c>
      <c r="N363" s="16">
        <f t="shared" si="3"/>
        <v>-0.02453102453</v>
      </c>
      <c r="O363" s="16">
        <f t="shared" si="4"/>
        <v>0.07906204607</v>
      </c>
      <c r="P363" s="16">
        <f t="shared" si="5"/>
        <v>0.01677070016</v>
      </c>
      <c r="Q363" s="30">
        <f t="shared" si="6"/>
        <v>-0.03041300285</v>
      </c>
      <c r="R363" s="30">
        <f t="shared" si="7"/>
        <v>-0.04831537971</v>
      </c>
      <c r="S363" s="30">
        <f t="shared" si="8"/>
        <v>0.007689842439</v>
      </c>
      <c r="T363" s="30">
        <f t="shared" si="9"/>
        <v>-0.1100221665</v>
      </c>
    </row>
    <row r="364">
      <c r="A364" s="1">
        <v>361.0</v>
      </c>
      <c r="B364" s="22" t="s">
        <v>1034</v>
      </c>
      <c r="C364" s="22" t="s">
        <v>526</v>
      </c>
      <c r="D364" s="22" t="s">
        <v>1035</v>
      </c>
      <c r="E364" s="23">
        <f>IFERROR(__xludf.DUMMYFUNCTION("GOOGLEFINANCE(""NSE:""&amp;D364,""marketcap"")/10000000"),7007.1150262)</f>
        <v>7007.115026</v>
      </c>
      <c r="F364" s="17">
        <f>IFERROR(__xludf.DUMMYFUNCTION("GOOGLEFINANCE(""NSE:""&amp;D364)"),495.6)</f>
        <v>495.6</v>
      </c>
      <c r="G364" s="17">
        <f>IFERROR(__xludf.DUMMYFUNCTION("GOOGLEFINANCE(""NSE:""&amp;D364,""closeyest"")"),488.9)</f>
        <v>488.9</v>
      </c>
      <c r="H364" s="17">
        <f>IFERROR(__xludf.DUMMYFUNCTION("INDEX(GOOGLEFINANCE(""NSE:""&amp;D364,""PRICE"",TODAY()-7),2,2)"),498.75)</f>
        <v>498.75</v>
      </c>
      <c r="I364" s="17">
        <f>IFERROR(__xludf.DUMMYFUNCTION("INDEX(GOOGLEFINANCE(""NSE:""&amp;D364,""PRICE"",TODAY()-14),2,2)"),483.0)</f>
        <v>483</v>
      </c>
      <c r="J364" s="17">
        <f>IFERROR(__xludf.DUMMYFUNCTION("INDEX(GOOGLEFINANCE(""NSE:""&amp;D364,""PRICE"",TODAY()-28),2,2)"),473.65)</f>
        <v>473.65</v>
      </c>
      <c r="K364" s="17">
        <f>IFERROR(__xludf.DUMMYFUNCTION("INDEX(GOOGLEFINANCE(""NSE:""&amp;D364,""PRICE"",TODAY()-84),2,2)"),389.55)</f>
        <v>389.55</v>
      </c>
      <c r="L364" s="16">
        <f t="shared" si="1"/>
        <v>0.01370423399</v>
      </c>
      <c r="M364" s="16">
        <f t="shared" si="2"/>
        <v>-0.006315789474</v>
      </c>
      <c r="N364" s="16">
        <f t="shared" si="3"/>
        <v>0.02608695652</v>
      </c>
      <c r="O364" s="16">
        <f t="shared" si="4"/>
        <v>0.04634223583</v>
      </c>
      <c r="P364" s="16">
        <f t="shared" si="5"/>
        <v>0.2722371968</v>
      </c>
      <c r="Q364" s="30">
        <f t="shared" si="6"/>
        <v>-0.01817424661</v>
      </c>
      <c r="R364" s="30">
        <f t="shared" si="7"/>
        <v>0.002302601342</v>
      </c>
      <c r="S364" s="30">
        <f t="shared" si="8"/>
        <v>-0.0250299678</v>
      </c>
      <c r="T364" s="30">
        <f t="shared" si="9"/>
        <v>0.1454443301</v>
      </c>
    </row>
    <row r="365">
      <c r="A365" s="1">
        <v>362.0</v>
      </c>
      <c r="B365" s="22" t="s">
        <v>1036</v>
      </c>
      <c r="C365" s="22" t="s">
        <v>590</v>
      </c>
      <c r="D365" s="22" t="s">
        <v>1037</v>
      </c>
      <c r="E365" s="23">
        <f>IFERROR(__xludf.DUMMYFUNCTION("GOOGLEFINANCE(""NSE:""&amp;D365,""marketcap"")/10000000"),7123.53358)</f>
        <v>7123.53358</v>
      </c>
      <c r="F365" s="17">
        <f>IFERROR(__xludf.DUMMYFUNCTION("GOOGLEFINANCE(""NSE:""&amp;D365)"),3610.0)</f>
        <v>3610</v>
      </c>
      <c r="G365" s="17">
        <f>IFERROR(__xludf.DUMMYFUNCTION("GOOGLEFINANCE(""NSE:""&amp;D365,""closeyest"")"),3461.05)</f>
        <v>3461.05</v>
      </c>
      <c r="H365" s="17">
        <f>IFERROR(__xludf.DUMMYFUNCTION("INDEX(GOOGLEFINANCE(""NSE:""&amp;D365,""PRICE"",TODAY()-7),2,2)"),3423.45)</f>
        <v>3423.45</v>
      </c>
      <c r="I365" s="17">
        <f>IFERROR(__xludf.DUMMYFUNCTION("INDEX(GOOGLEFINANCE(""NSE:""&amp;D365,""PRICE"",TODAY()-14),2,2)"),3473.95)</f>
        <v>3473.95</v>
      </c>
      <c r="J365" s="17">
        <f>IFERROR(__xludf.DUMMYFUNCTION("INDEX(GOOGLEFINANCE(""NSE:""&amp;D365,""PRICE"",TODAY()-28),2,2)"),3527.3)</f>
        <v>3527.3</v>
      </c>
      <c r="K365" s="17">
        <f>IFERROR(__xludf.DUMMYFUNCTION("INDEX(GOOGLEFINANCE(""NSE:""&amp;D365,""PRICE"",TODAY()-84),2,2)"),2841.1)</f>
        <v>2841.1</v>
      </c>
      <c r="L365" s="16">
        <f t="shared" si="1"/>
        <v>0.04303607287</v>
      </c>
      <c r="M365" s="16">
        <f t="shared" si="2"/>
        <v>0.05449181381</v>
      </c>
      <c r="N365" s="16">
        <f t="shared" si="3"/>
        <v>0.03916291253</v>
      </c>
      <c r="O365" s="16">
        <f t="shared" si="4"/>
        <v>0.02344569501</v>
      </c>
      <c r="P365" s="16">
        <f t="shared" si="5"/>
        <v>0.2706346134</v>
      </c>
      <c r="Q365" s="30">
        <f t="shared" si="6"/>
        <v>0.04263335668</v>
      </c>
      <c r="R365" s="30">
        <f t="shared" si="7"/>
        <v>0.01537855736</v>
      </c>
      <c r="S365" s="30">
        <f t="shared" si="8"/>
        <v>-0.04792650862</v>
      </c>
      <c r="T365" s="30">
        <f t="shared" si="9"/>
        <v>0.1438417467</v>
      </c>
    </row>
    <row r="366">
      <c r="A366" s="1">
        <v>363.0</v>
      </c>
      <c r="B366" s="22" t="s">
        <v>1038</v>
      </c>
      <c r="C366" s="22" t="s">
        <v>549</v>
      </c>
      <c r="D366" s="22" t="s">
        <v>1039</v>
      </c>
      <c r="E366" s="23">
        <f>IFERROR(__xludf.DUMMYFUNCTION("GOOGLEFINANCE(""NSE:""&amp;D366,""marketcap"")/10000000"),6776.5715985)</f>
        <v>6776.571599</v>
      </c>
      <c r="F366" s="17">
        <f>IFERROR(__xludf.DUMMYFUNCTION("GOOGLEFINANCE(""NSE:""&amp;D366)"),892.0)</f>
        <v>892</v>
      </c>
      <c r="G366" s="17">
        <f>IFERROR(__xludf.DUMMYFUNCTION("GOOGLEFINANCE(""NSE:""&amp;D366,""closeyest"")"),899.25)</f>
        <v>899.25</v>
      </c>
      <c r="H366" s="17">
        <f>IFERROR(__xludf.DUMMYFUNCTION("INDEX(GOOGLEFINANCE(""NSE:""&amp;D366,""PRICE"",TODAY()-7),2,2)"),870.95)</f>
        <v>870.95</v>
      </c>
      <c r="I366" s="17">
        <f>IFERROR(__xludf.DUMMYFUNCTION("INDEX(GOOGLEFINANCE(""NSE:""&amp;D366,""PRICE"",TODAY()-14),2,2)"),956.0)</f>
        <v>956</v>
      </c>
      <c r="J366" s="17">
        <f>IFERROR(__xludf.DUMMYFUNCTION("INDEX(GOOGLEFINANCE(""NSE:""&amp;D366,""PRICE"",TODAY()-28),2,2)"),717.6)</f>
        <v>717.6</v>
      </c>
      <c r="K366" s="17">
        <f>IFERROR(__xludf.DUMMYFUNCTION("INDEX(GOOGLEFINANCE(""NSE:""&amp;D366,""PRICE"",TODAY()-84),2,2)"),680.35)</f>
        <v>680.35</v>
      </c>
      <c r="L366" s="16">
        <f t="shared" si="1"/>
        <v>-0.008062274117</v>
      </c>
      <c r="M366" s="16">
        <f t="shared" si="2"/>
        <v>0.02416901085</v>
      </c>
      <c r="N366" s="16">
        <f t="shared" si="3"/>
        <v>-0.06694560669</v>
      </c>
      <c r="O366" s="16">
        <f t="shared" si="4"/>
        <v>0.24303233</v>
      </c>
      <c r="P366" s="16">
        <f t="shared" si="5"/>
        <v>0.3110898802</v>
      </c>
      <c r="Q366" s="30">
        <f t="shared" si="6"/>
        <v>0.01231055371</v>
      </c>
      <c r="R366" s="30">
        <f t="shared" si="7"/>
        <v>-0.09072996187</v>
      </c>
      <c r="S366" s="30">
        <f t="shared" si="8"/>
        <v>0.1716601264</v>
      </c>
      <c r="T366" s="30">
        <f t="shared" si="9"/>
        <v>0.1842970135</v>
      </c>
    </row>
    <row r="367">
      <c r="A367" s="1">
        <v>364.0</v>
      </c>
      <c r="B367" s="22" t="s">
        <v>1040</v>
      </c>
      <c r="C367" s="22" t="s">
        <v>618</v>
      </c>
      <c r="D367" s="22" t="s">
        <v>1041</v>
      </c>
      <c r="E367" s="23">
        <f>IFERROR(__xludf.DUMMYFUNCTION("GOOGLEFINANCE(""NSE:""&amp;D367,""marketcap"")/10000000"),6687.5027659)</f>
        <v>6687.502766</v>
      </c>
      <c r="F367" s="17">
        <f>IFERROR(__xludf.DUMMYFUNCTION("GOOGLEFINANCE(""NSE:""&amp;D367)"),1263.0)</f>
        <v>1263</v>
      </c>
      <c r="G367" s="17">
        <f>IFERROR(__xludf.DUMMYFUNCTION("GOOGLEFINANCE(""NSE:""&amp;D367,""closeyest"")"),1270.3)</f>
        <v>1270.3</v>
      </c>
      <c r="H367" s="17">
        <f>IFERROR(__xludf.DUMMYFUNCTION("INDEX(GOOGLEFINANCE(""NSE:""&amp;D367,""PRICE"",TODAY()-7),2,2)"),1268.75)</f>
        <v>1268.75</v>
      </c>
      <c r="I367" s="17">
        <f>IFERROR(__xludf.DUMMYFUNCTION("INDEX(GOOGLEFINANCE(""NSE:""&amp;D367,""PRICE"",TODAY()-14),2,2)"),1274.15)</f>
        <v>1274.15</v>
      </c>
      <c r="J367" s="17">
        <f>IFERROR(__xludf.DUMMYFUNCTION("INDEX(GOOGLEFINANCE(""NSE:""&amp;D367,""PRICE"",TODAY()-28),2,2)"),1249.0)</f>
        <v>1249</v>
      </c>
      <c r="K367" s="17">
        <f>IFERROR(__xludf.DUMMYFUNCTION("INDEX(GOOGLEFINANCE(""NSE:""&amp;D367,""PRICE"",TODAY()-84),2,2)"),1318.05)</f>
        <v>1318.05</v>
      </c>
      <c r="L367" s="16">
        <f t="shared" si="1"/>
        <v>-0.005746674014</v>
      </c>
      <c r="M367" s="16">
        <f t="shared" si="2"/>
        <v>-0.004532019704</v>
      </c>
      <c r="N367" s="16">
        <f t="shared" si="3"/>
        <v>-0.008750931994</v>
      </c>
      <c r="O367" s="16">
        <f t="shared" si="4"/>
        <v>0.01120896717</v>
      </c>
      <c r="P367" s="16">
        <f t="shared" si="5"/>
        <v>-0.04176624559</v>
      </c>
      <c r="Q367" s="30">
        <f t="shared" si="6"/>
        <v>-0.01639047684</v>
      </c>
      <c r="R367" s="30">
        <f t="shared" si="7"/>
        <v>-0.03253528717</v>
      </c>
      <c r="S367" s="30">
        <f t="shared" si="8"/>
        <v>-0.06016323645</v>
      </c>
      <c r="T367" s="30">
        <f t="shared" si="9"/>
        <v>-0.1685591123</v>
      </c>
    </row>
    <row r="368">
      <c r="A368" s="1">
        <v>365.0</v>
      </c>
      <c r="B368" s="22" t="s">
        <v>1042</v>
      </c>
      <c r="C368" s="22" t="s">
        <v>712</v>
      </c>
      <c r="D368" s="22" t="s">
        <v>1043</v>
      </c>
      <c r="E368" s="23">
        <f>IFERROR(__xludf.DUMMYFUNCTION("GOOGLEFINANCE(""NSE:""&amp;D368,""marketcap"")/10000000"),6651.3916887)</f>
        <v>6651.391689</v>
      </c>
      <c r="F368" s="17">
        <f>IFERROR(__xludf.DUMMYFUNCTION("GOOGLEFINANCE(""NSE:""&amp;D368)"),38.9)</f>
        <v>38.9</v>
      </c>
      <c r="G368" s="17">
        <f>IFERROR(__xludf.DUMMYFUNCTION("GOOGLEFINANCE(""NSE:""&amp;D368,""closeyest"")"),39.1)</f>
        <v>39.1</v>
      </c>
      <c r="H368" s="17">
        <f>IFERROR(__xludf.DUMMYFUNCTION("INDEX(GOOGLEFINANCE(""NSE:""&amp;D368,""PRICE"",TODAY()-7),2,2)"),37.15)</f>
        <v>37.15</v>
      </c>
      <c r="I368" s="17">
        <f>IFERROR(__xludf.DUMMYFUNCTION("INDEX(GOOGLEFINANCE(""NSE:""&amp;D368,""PRICE"",TODAY()-14),2,2)"),36.1)</f>
        <v>36.1</v>
      </c>
      <c r="J368" s="17">
        <f>IFERROR(__xludf.DUMMYFUNCTION("INDEX(GOOGLEFINANCE(""NSE:""&amp;D368,""PRICE"",TODAY()-28),2,2)"),34.4)</f>
        <v>34.4</v>
      </c>
      <c r="K368" s="17">
        <f>IFERROR(__xludf.DUMMYFUNCTION("INDEX(GOOGLEFINANCE(""NSE:""&amp;D368,""PRICE"",TODAY()-84),2,2)"),42.65)</f>
        <v>42.65</v>
      </c>
      <c r="L368" s="16">
        <f t="shared" si="1"/>
        <v>-0.005115089514</v>
      </c>
      <c r="M368" s="16">
        <f t="shared" si="2"/>
        <v>0.04710632571</v>
      </c>
      <c r="N368" s="16">
        <f t="shared" si="3"/>
        <v>0.07756232687</v>
      </c>
      <c r="O368" s="16">
        <f t="shared" si="4"/>
        <v>0.1308139535</v>
      </c>
      <c r="P368" s="16">
        <f t="shared" si="5"/>
        <v>-0.08792497069</v>
      </c>
      <c r="Q368" s="30">
        <f t="shared" si="6"/>
        <v>0.03524786857</v>
      </c>
      <c r="R368" s="30">
        <f t="shared" si="7"/>
        <v>0.05377797169</v>
      </c>
      <c r="S368" s="30">
        <f t="shared" si="8"/>
        <v>0.05944174986</v>
      </c>
      <c r="T368" s="30">
        <f t="shared" si="9"/>
        <v>-0.2147178374</v>
      </c>
    </row>
    <row r="369">
      <c r="A369" s="1">
        <v>366.0</v>
      </c>
      <c r="B369" s="22" t="s">
        <v>581</v>
      </c>
      <c r="C369" s="22" t="s">
        <v>528</v>
      </c>
      <c r="D369" s="22" t="s">
        <v>34</v>
      </c>
      <c r="E369" s="23">
        <f>IFERROR(__xludf.DUMMYFUNCTION("GOOGLEFINANCE(""NSE:""&amp;D369,""marketcap"")/10000000"),6827.2247571)</f>
        <v>6827.224757</v>
      </c>
      <c r="F369" s="17">
        <f>IFERROR(__xludf.DUMMYFUNCTION("GOOGLEFINANCE(""NSE:""&amp;D369)"),717.0)</f>
        <v>717</v>
      </c>
      <c r="G369" s="17">
        <f>IFERROR(__xludf.DUMMYFUNCTION("GOOGLEFINANCE(""NSE:""&amp;D369,""closeyest"")"),703.35)</f>
        <v>703.35</v>
      </c>
      <c r="H369" s="17">
        <f>IFERROR(__xludf.DUMMYFUNCTION("INDEX(GOOGLEFINANCE(""NSE:""&amp;D369,""PRICE"",TODAY()-7),2,2)"),720.15)</f>
        <v>720.15</v>
      </c>
      <c r="I369" s="17">
        <f>IFERROR(__xludf.DUMMYFUNCTION("INDEX(GOOGLEFINANCE(""NSE:""&amp;D369,""PRICE"",TODAY()-14),2,2)"),707.4)</f>
        <v>707.4</v>
      </c>
      <c r="J369" s="17">
        <f>IFERROR(__xludf.DUMMYFUNCTION("INDEX(GOOGLEFINANCE(""NSE:""&amp;D369,""PRICE"",TODAY()-28),2,2)"),699.75)</f>
        <v>699.75</v>
      </c>
      <c r="K369" s="17">
        <f>IFERROR(__xludf.DUMMYFUNCTION("INDEX(GOOGLEFINANCE(""NSE:""&amp;D369,""PRICE"",TODAY()-84),2,2)"),640.25)</f>
        <v>640.25</v>
      </c>
      <c r="L369" s="16">
        <f t="shared" si="1"/>
        <v>0.01940712305</v>
      </c>
      <c r="M369" s="16">
        <f t="shared" si="2"/>
        <v>-0.004374088732</v>
      </c>
      <c r="N369" s="16">
        <f t="shared" si="3"/>
        <v>0.01357082273</v>
      </c>
      <c r="O369" s="16">
        <f t="shared" si="4"/>
        <v>0.02465166131</v>
      </c>
      <c r="P369" s="16">
        <f t="shared" si="5"/>
        <v>0.1198750488</v>
      </c>
      <c r="Q369" s="30">
        <f t="shared" si="6"/>
        <v>-0.01623254587</v>
      </c>
      <c r="R369" s="30">
        <f t="shared" si="7"/>
        <v>-0.01021353245</v>
      </c>
      <c r="S369" s="30">
        <f t="shared" si="8"/>
        <v>-0.04672054232</v>
      </c>
      <c r="T369" s="30">
        <f t="shared" si="9"/>
        <v>-0.006917817888</v>
      </c>
    </row>
    <row r="370">
      <c r="A370" s="1">
        <v>367.0</v>
      </c>
      <c r="B370" s="22" t="s">
        <v>1044</v>
      </c>
      <c r="C370" s="22" t="s">
        <v>555</v>
      </c>
      <c r="D370" s="22" t="s">
        <v>1045</v>
      </c>
      <c r="E370" s="23">
        <f>IFERROR(__xludf.DUMMYFUNCTION("GOOGLEFINANCE(""NSE:""&amp;D370,""marketcap"")/10000000"),6598.6875746)</f>
        <v>6598.687575</v>
      </c>
      <c r="F370" s="17">
        <f>IFERROR(__xludf.DUMMYFUNCTION("GOOGLEFINANCE(""NSE:""&amp;D370)"),274.6)</f>
        <v>274.6</v>
      </c>
      <c r="G370" s="17">
        <f>IFERROR(__xludf.DUMMYFUNCTION("GOOGLEFINANCE(""NSE:""&amp;D370,""closeyest"")"),275.9)</f>
        <v>275.9</v>
      </c>
      <c r="H370" s="17">
        <f>IFERROR(__xludf.DUMMYFUNCTION("INDEX(GOOGLEFINANCE(""NSE:""&amp;D370,""PRICE"",TODAY()-7),2,2)"),280.2)</f>
        <v>280.2</v>
      </c>
      <c r="I370" s="17">
        <f>IFERROR(__xludf.DUMMYFUNCTION("INDEX(GOOGLEFINANCE(""NSE:""&amp;D370,""PRICE"",TODAY()-14),2,2)"),274.05)</f>
        <v>274.05</v>
      </c>
      <c r="J370" s="17">
        <f>IFERROR(__xludf.DUMMYFUNCTION("INDEX(GOOGLEFINANCE(""NSE:""&amp;D370,""PRICE"",TODAY()-28),2,2)"),264.9)</f>
        <v>264.9</v>
      </c>
      <c r="K370" s="17">
        <f>IFERROR(__xludf.DUMMYFUNCTION("INDEX(GOOGLEFINANCE(""NSE:""&amp;D370,""PRICE"",TODAY()-84),2,2)"),273.15)</f>
        <v>273.15</v>
      </c>
      <c r="L370" s="16">
        <f t="shared" si="1"/>
        <v>-0.00471185212</v>
      </c>
      <c r="M370" s="16">
        <f t="shared" si="2"/>
        <v>-0.01998572448</v>
      </c>
      <c r="N370" s="16">
        <f t="shared" si="3"/>
        <v>0.002006933041</v>
      </c>
      <c r="O370" s="16">
        <f t="shared" si="4"/>
        <v>0.03661759154</v>
      </c>
      <c r="P370" s="16">
        <f t="shared" si="5"/>
        <v>0.005308438587</v>
      </c>
      <c r="Q370" s="30">
        <f t="shared" si="6"/>
        <v>-0.03184418162</v>
      </c>
      <c r="R370" s="30">
        <f t="shared" si="7"/>
        <v>-0.02177742214</v>
      </c>
      <c r="S370" s="30">
        <f t="shared" si="8"/>
        <v>-0.03475461208</v>
      </c>
      <c r="T370" s="30">
        <f t="shared" si="9"/>
        <v>-0.1214844281</v>
      </c>
    </row>
    <row r="371">
      <c r="A371" s="1">
        <v>368.0</v>
      </c>
      <c r="B371" s="22" t="s">
        <v>1046</v>
      </c>
      <c r="C371" s="22" t="s">
        <v>552</v>
      </c>
      <c r="D371" s="22" t="s">
        <v>1047</v>
      </c>
      <c r="E371" s="23">
        <f>IFERROR(__xludf.DUMMYFUNCTION("GOOGLEFINANCE(""NSE:""&amp;D371,""marketcap"")/10000000"),6711.159985)</f>
        <v>6711.159985</v>
      </c>
      <c r="F371" s="17">
        <f>IFERROR(__xludf.DUMMYFUNCTION("GOOGLEFINANCE(""NSE:""&amp;D371)"),284.45)</f>
        <v>284.45</v>
      </c>
      <c r="G371" s="17">
        <f>IFERROR(__xludf.DUMMYFUNCTION("GOOGLEFINANCE(""NSE:""&amp;D371,""closeyest"")"),280.6)</f>
        <v>280.6</v>
      </c>
      <c r="H371" s="17">
        <f>IFERROR(__xludf.DUMMYFUNCTION("INDEX(GOOGLEFINANCE(""NSE:""&amp;D371,""PRICE"",TODAY()-7),2,2)"),297.2)</f>
        <v>297.2</v>
      </c>
      <c r="I371" s="17">
        <f>IFERROR(__xludf.DUMMYFUNCTION("INDEX(GOOGLEFINANCE(""NSE:""&amp;D371,""PRICE"",TODAY()-14),2,2)"),295.8)</f>
        <v>295.8</v>
      </c>
      <c r="J371" s="17">
        <f>IFERROR(__xludf.DUMMYFUNCTION("INDEX(GOOGLEFINANCE(""NSE:""&amp;D371,""PRICE"",TODAY()-28),2,2)"),274.85)</f>
        <v>274.85</v>
      </c>
      <c r="K371" s="17">
        <f>IFERROR(__xludf.DUMMYFUNCTION("INDEX(GOOGLEFINANCE(""NSE:""&amp;D371,""PRICE"",TODAY()-84),2,2)"),209.1)</f>
        <v>209.1</v>
      </c>
      <c r="L371" s="16">
        <f t="shared" si="1"/>
        <v>0.01372059872</v>
      </c>
      <c r="M371" s="16">
        <f t="shared" si="2"/>
        <v>-0.04290040377</v>
      </c>
      <c r="N371" s="16">
        <f t="shared" si="3"/>
        <v>-0.03837052062</v>
      </c>
      <c r="O371" s="16">
        <f t="shared" si="4"/>
        <v>0.03492814262</v>
      </c>
      <c r="P371" s="16">
        <f t="shared" si="5"/>
        <v>0.3603538977</v>
      </c>
      <c r="Q371" s="30">
        <f t="shared" si="6"/>
        <v>-0.0547588609</v>
      </c>
      <c r="R371" s="30">
        <f t="shared" si="7"/>
        <v>-0.0621548758</v>
      </c>
      <c r="S371" s="30">
        <f t="shared" si="8"/>
        <v>-0.03644406101</v>
      </c>
      <c r="T371" s="30">
        <f t="shared" si="9"/>
        <v>0.233561031</v>
      </c>
    </row>
    <row r="372">
      <c r="A372" s="1">
        <v>369.0</v>
      </c>
      <c r="B372" s="22" t="s">
        <v>1048</v>
      </c>
      <c r="C372" s="22" t="s">
        <v>635</v>
      </c>
      <c r="D372" s="22" t="s">
        <v>1049</v>
      </c>
      <c r="E372" s="23">
        <f>IFERROR(__xludf.DUMMYFUNCTION("GOOGLEFINANCE(""NSE:""&amp;D372,""marketcap"")/10000000"),6577.8705)</f>
        <v>6577.8705</v>
      </c>
      <c r="F372" s="17">
        <f>IFERROR(__xludf.DUMMYFUNCTION("GOOGLEFINANCE(""NSE:""&amp;D372)"),4500.0)</f>
        <v>4500</v>
      </c>
      <c r="G372" s="17">
        <f>IFERROR(__xludf.DUMMYFUNCTION("GOOGLEFINANCE(""NSE:""&amp;D372,""closeyest"")"),4501.1)</f>
        <v>4501.1</v>
      </c>
      <c r="H372" s="17">
        <f>IFERROR(__xludf.DUMMYFUNCTION("INDEX(GOOGLEFINANCE(""NSE:""&amp;D372,""PRICE"",TODAY()-7),2,2)"),4433.0)</f>
        <v>4433</v>
      </c>
      <c r="I372" s="17">
        <f>IFERROR(__xludf.DUMMYFUNCTION("INDEX(GOOGLEFINANCE(""NSE:""&amp;D372,""PRICE"",TODAY()-14),2,2)"),4421.9)</f>
        <v>4421.9</v>
      </c>
      <c r="J372" s="17">
        <f>IFERROR(__xludf.DUMMYFUNCTION("INDEX(GOOGLEFINANCE(""NSE:""&amp;D372,""PRICE"",TODAY()-28),2,2)"),4323.85)</f>
        <v>4323.85</v>
      </c>
      <c r="K372" s="17">
        <f>IFERROR(__xludf.DUMMYFUNCTION("INDEX(GOOGLEFINANCE(""NSE:""&amp;D372,""PRICE"",TODAY()-84),2,2)"),4612.75)</f>
        <v>4612.75</v>
      </c>
      <c r="L372" s="16">
        <f t="shared" si="1"/>
        <v>-0.000244384706</v>
      </c>
      <c r="M372" s="16">
        <f t="shared" si="2"/>
        <v>0.01511391834</v>
      </c>
      <c r="N372" s="16">
        <f t="shared" si="3"/>
        <v>0.01766209096</v>
      </c>
      <c r="O372" s="16">
        <f t="shared" si="4"/>
        <v>0.04073915608</v>
      </c>
      <c r="P372" s="16">
        <f t="shared" si="5"/>
        <v>-0.02444311961</v>
      </c>
      <c r="Q372" s="30">
        <f t="shared" si="6"/>
        <v>0.003255461204</v>
      </c>
      <c r="R372" s="30">
        <f t="shared" si="7"/>
        <v>-0.006122264223</v>
      </c>
      <c r="S372" s="30">
        <f t="shared" si="8"/>
        <v>-0.03063304755</v>
      </c>
      <c r="T372" s="30">
        <f t="shared" si="9"/>
        <v>-0.1512359863</v>
      </c>
    </row>
    <row r="373">
      <c r="A373" s="1">
        <v>370.0</v>
      </c>
      <c r="B373" s="22" t="s">
        <v>1050</v>
      </c>
      <c r="C373" s="22" t="s">
        <v>635</v>
      </c>
      <c r="D373" s="22" t="s">
        <v>1051</v>
      </c>
      <c r="E373" s="23">
        <f>IFERROR(__xludf.DUMMYFUNCTION("GOOGLEFINANCE(""NSE:""&amp;D373,""marketcap"")/10000000"),6772.26968)</f>
        <v>6772.26968</v>
      </c>
      <c r="F373" s="17">
        <f>IFERROR(__xludf.DUMMYFUNCTION("GOOGLEFINANCE(""NSE:""&amp;D373)"),213.5)</f>
        <v>213.5</v>
      </c>
      <c r="G373" s="17">
        <f>IFERROR(__xludf.DUMMYFUNCTION("GOOGLEFINANCE(""NSE:""&amp;D373,""closeyest"")"),208.0)</f>
        <v>208</v>
      </c>
      <c r="H373" s="17">
        <f>IFERROR(__xludf.DUMMYFUNCTION("INDEX(GOOGLEFINANCE(""NSE:""&amp;D373,""PRICE"",TODAY()-7),2,2)"),211.95)</f>
        <v>211.95</v>
      </c>
      <c r="I373" s="17">
        <f>IFERROR(__xludf.DUMMYFUNCTION("INDEX(GOOGLEFINANCE(""NSE:""&amp;D373,""PRICE"",TODAY()-14),2,2)"),198.7)</f>
        <v>198.7</v>
      </c>
      <c r="J373" s="17">
        <f>IFERROR(__xludf.DUMMYFUNCTION("INDEX(GOOGLEFINANCE(""NSE:""&amp;D373,""PRICE"",TODAY()-28),2,2)"),193.4)</f>
        <v>193.4</v>
      </c>
      <c r="K373" s="17">
        <f>IFERROR(__xludf.DUMMYFUNCTION("INDEX(GOOGLEFINANCE(""NSE:""&amp;D373,""PRICE"",TODAY()-84),2,2)"),210.9)</f>
        <v>210.9</v>
      </c>
      <c r="L373" s="16">
        <f t="shared" si="1"/>
        <v>0.02644230769</v>
      </c>
      <c r="M373" s="16">
        <f t="shared" si="2"/>
        <v>0.00731304553</v>
      </c>
      <c r="N373" s="16">
        <f t="shared" si="3"/>
        <v>0.07448414696</v>
      </c>
      <c r="O373" s="16">
        <f t="shared" si="4"/>
        <v>0.1039296794</v>
      </c>
      <c r="P373" s="16">
        <f t="shared" si="5"/>
        <v>0.01232811759</v>
      </c>
      <c r="Q373" s="30">
        <f t="shared" si="6"/>
        <v>-0.004545411607</v>
      </c>
      <c r="R373" s="30">
        <f t="shared" si="7"/>
        <v>0.05069979178</v>
      </c>
      <c r="S373" s="30">
        <f t="shared" si="8"/>
        <v>0.03255747579</v>
      </c>
      <c r="T373" s="30">
        <f t="shared" si="9"/>
        <v>-0.1144647491</v>
      </c>
    </row>
    <row r="374">
      <c r="A374" s="1">
        <v>371.0</v>
      </c>
      <c r="B374" s="22" t="s">
        <v>1052</v>
      </c>
      <c r="C374" s="22" t="s">
        <v>541</v>
      </c>
      <c r="D374" s="22" t="s">
        <v>1053</v>
      </c>
      <c r="E374" s="23">
        <f>IFERROR(__xludf.DUMMYFUNCTION("GOOGLEFINANCE(""NSE:""&amp;D374,""marketcap"")/10000000"),6969.8530348)</f>
        <v>6969.853035</v>
      </c>
      <c r="F374" s="17">
        <f>IFERROR(__xludf.DUMMYFUNCTION("GOOGLEFINANCE(""NSE:""&amp;D374)"),153.6)</f>
        <v>153.6</v>
      </c>
      <c r="G374" s="17">
        <f>IFERROR(__xludf.DUMMYFUNCTION("GOOGLEFINANCE(""NSE:""&amp;D374,""closeyest"")"),145.2)</f>
        <v>145.2</v>
      </c>
      <c r="H374" s="17">
        <f>IFERROR(__xludf.DUMMYFUNCTION("INDEX(GOOGLEFINANCE(""NSE:""&amp;D374,""PRICE"",TODAY()-7),2,2)"),134.7)</f>
        <v>134.7</v>
      </c>
      <c r="I374" s="17">
        <f>IFERROR(__xludf.DUMMYFUNCTION("INDEX(GOOGLEFINANCE(""NSE:""&amp;D374,""PRICE"",TODAY()-14),2,2)"),141.3)</f>
        <v>141.3</v>
      </c>
      <c r="J374" s="17">
        <f>IFERROR(__xludf.DUMMYFUNCTION("INDEX(GOOGLEFINANCE(""NSE:""&amp;D374,""PRICE"",TODAY()-28),2,2)"),135.45)</f>
        <v>135.45</v>
      </c>
      <c r="K374" s="17">
        <f>IFERROR(__xludf.DUMMYFUNCTION("INDEX(GOOGLEFINANCE(""NSE:""&amp;D374,""PRICE"",TODAY()-84),2,2)"),112.3)</f>
        <v>112.3</v>
      </c>
      <c r="L374" s="16">
        <f t="shared" si="1"/>
        <v>0.05785123967</v>
      </c>
      <c r="M374" s="16">
        <f t="shared" si="2"/>
        <v>0.140311804</v>
      </c>
      <c r="N374" s="16">
        <f t="shared" si="3"/>
        <v>0.08704883227</v>
      </c>
      <c r="O374" s="16">
        <f t="shared" si="4"/>
        <v>0.1339977852</v>
      </c>
      <c r="P374" s="16">
        <f t="shared" si="5"/>
        <v>0.3677649154</v>
      </c>
      <c r="Q374" s="30">
        <f t="shared" si="6"/>
        <v>0.1284533469</v>
      </c>
      <c r="R374" s="30">
        <f t="shared" si="7"/>
        <v>0.06326447709</v>
      </c>
      <c r="S374" s="30">
        <f t="shared" si="8"/>
        <v>0.06262558153</v>
      </c>
      <c r="T374" s="30">
        <f t="shared" si="9"/>
        <v>0.2409720487</v>
      </c>
    </row>
    <row r="375">
      <c r="A375" s="1">
        <v>372.0</v>
      </c>
      <c r="B375" s="22" t="s">
        <v>1054</v>
      </c>
      <c r="C375" s="22" t="s">
        <v>603</v>
      </c>
      <c r="D375" s="22" t="s">
        <v>1055</v>
      </c>
      <c r="E375" s="23">
        <f>IFERROR(__xludf.DUMMYFUNCTION("GOOGLEFINANCE(""NSE:""&amp;D375,""marketcap"")/10000000"),6628.457235)</f>
        <v>6628.457235</v>
      </c>
      <c r="F375" s="17">
        <f>IFERROR(__xludf.DUMMYFUNCTION("GOOGLEFINANCE(""NSE:""&amp;D375)"),705.0)</f>
        <v>705</v>
      </c>
      <c r="G375" s="17">
        <f>IFERROR(__xludf.DUMMYFUNCTION("GOOGLEFINANCE(""NSE:""&amp;D375,""closeyest"")"),697.45)</f>
        <v>697.45</v>
      </c>
      <c r="H375" s="17">
        <f>IFERROR(__xludf.DUMMYFUNCTION("INDEX(GOOGLEFINANCE(""NSE:""&amp;D375,""PRICE"",TODAY()-7),2,2)"),710.35)</f>
        <v>710.35</v>
      </c>
      <c r="I375" s="17">
        <f>IFERROR(__xludf.DUMMYFUNCTION("INDEX(GOOGLEFINANCE(""NSE:""&amp;D375,""PRICE"",TODAY()-14),2,2)"),703.0)</f>
        <v>703</v>
      </c>
      <c r="J375" s="17">
        <f>IFERROR(__xludf.DUMMYFUNCTION("INDEX(GOOGLEFINANCE(""NSE:""&amp;D375,""PRICE"",TODAY()-28),2,2)"),630.45)</f>
        <v>630.45</v>
      </c>
      <c r="K375" s="17">
        <f>IFERROR(__xludf.DUMMYFUNCTION("INDEX(GOOGLEFINANCE(""NSE:""&amp;D375,""PRICE"",TODAY()-84),2,2)"),726.45)</f>
        <v>726.45</v>
      </c>
      <c r="L375" s="16">
        <f t="shared" si="1"/>
        <v>0.01082514876</v>
      </c>
      <c r="M375" s="16">
        <f t="shared" si="2"/>
        <v>-0.007531498557</v>
      </c>
      <c r="N375" s="16">
        <f t="shared" si="3"/>
        <v>0.002844950213</v>
      </c>
      <c r="O375" s="16">
        <f t="shared" si="4"/>
        <v>0.1182488699</v>
      </c>
      <c r="P375" s="16">
        <f t="shared" si="5"/>
        <v>-0.02952715259</v>
      </c>
      <c r="Q375" s="30">
        <f t="shared" si="6"/>
        <v>-0.01938995569</v>
      </c>
      <c r="R375" s="30">
        <f t="shared" si="7"/>
        <v>-0.02093940497</v>
      </c>
      <c r="S375" s="30">
        <f t="shared" si="8"/>
        <v>0.04687666623</v>
      </c>
      <c r="T375" s="30">
        <f t="shared" si="9"/>
        <v>-0.1563200193</v>
      </c>
    </row>
    <row r="376">
      <c r="A376" s="1">
        <v>373.0</v>
      </c>
      <c r="B376" s="22" t="s">
        <v>1056</v>
      </c>
      <c r="C376" s="22" t="s">
        <v>541</v>
      </c>
      <c r="D376" s="22" t="s">
        <v>1057</v>
      </c>
      <c r="E376" s="23">
        <f>IFERROR(__xludf.DUMMYFUNCTION("GOOGLEFINANCE(""NSE:""&amp;D376,""marketcap"")/10000000"),6895.1379823)</f>
        <v>6895.137982</v>
      </c>
      <c r="F376" s="17">
        <f>IFERROR(__xludf.DUMMYFUNCTION("GOOGLEFINANCE(""NSE:""&amp;D376)"),488.0)</f>
        <v>488</v>
      </c>
      <c r="G376" s="17">
        <f>IFERROR(__xludf.DUMMYFUNCTION("GOOGLEFINANCE(""NSE:""&amp;D376,""closeyest"")"),464.5)</f>
        <v>464.5</v>
      </c>
      <c r="H376" s="17">
        <f>IFERROR(__xludf.DUMMYFUNCTION("INDEX(GOOGLEFINANCE(""NSE:""&amp;D376,""PRICE"",TODAY()-7),2,2)"),433.4)</f>
        <v>433.4</v>
      </c>
      <c r="I376" s="17">
        <f>IFERROR(__xludf.DUMMYFUNCTION("INDEX(GOOGLEFINANCE(""NSE:""&amp;D376,""PRICE"",TODAY()-14),2,2)"),394.65)</f>
        <v>394.65</v>
      </c>
      <c r="J376" s="17">
        <f>IFERROR(__xludf.DUMMYFUNCTION("INDEX(GOOGLEFINANCE(""NSE:""&amp;D376,""PRICE"",TODAY()-28),2,2)"),357.3)</f>
        <v>357.3</v>
      </c>
      <c r="K376" s="17">
        <f>IFERROR(__xludf.DUMMYFUNCTION("INDEX(GOOGLEFINANCE(""NSE:""&amp;D376,""PRICE"",TODAY()-84),2,2)"),298.35)</f>
        <v>298.35</v>
      </c>
      <c r="L376" s="16">
        <f t="shared" si="1"/>
        <v>0.05059203445</v>
      </c>
      <c r="M376" s="16">
        <f t="shared" si="2"/>
        <v>0.1259806184</v>
      </c>
      <c r="N376" s="16">
        <f t="shared" si="3"/>
        <v>0.2365387052</v>
      </c>
      <c r="O376" s="16">
        <f t="shared" si="4"/>
        <v>0.3657990484</v>
      </c>
      <c r="P376" s="16">
        <f t="shared" si="5"/>
        <v>0.6356628121</v>
      </c>
      <c r="Q376" s="30">
        <f t="shared" si="6"/>
        <v>0.1141221612</v>
      </c>
      <c r="R376" s="30">
        <f t="shared" si="7"/>
        <v>0.21275435</v>
      </c>
      <c r="S376" s="30">
        <f t="shared" si="8"/>
        <v>0.2944268448</v>
      </c>
      <c r="T376" s="30">
        <f t="shared" si="9"/>
        <v>0.5088699454</v>
      </c>
    </row>
    <row r="377">
      <c r="A377" s="1">
        <v>374.0</v>
      </c>
      <c r="B377" s="22" t="s">
        <v>1058</v>
      </c>
      <c r="C377" s="22" t="s">
        <v>555</v>
      </c>
      <c r="D377" s="22" t="s">
        <v>1059</v>
      </c>
      <c r="E377" s="23">
        <f>IFERROR(__xludf.DUMMYFUNCTION("GOOGLEFINANCE(""NSE:""&amp;D377,""marketcap"")/10000000"),6539.9997711)</f>
        <v>6539.999771</v>
      </c>
      <c r="F377" s="17">
        <f>IFERROR(__xludf.DUMMYFUNCTION("GOOGLEFINANCE(""NSE:""&amp;D377)"),43.55)</f>
        <v>43.55</v>
      </c>
      <c r="G377" s="17">
        <f>IFERROR(__xludf.DUMMYFUNCTION("GOOGLEFINANCE(""NSE:""&amp;D377,""closeyest"")"),43.4)</f>
        <v>43.4</v>
      </c>
      <c r="H377" s="17">
        <f>IFERROR(__xludf.DUMMYFUNCTION("INDEX(GOOGLEFINANCE(""NSE:""&amp;D377,""PRICE"",TODAY()-7),2,2)"),44.9)</f>
        <v>44.9</v>
      </c>
      <c r="I377" s="17">
        <f>IFERROR(__xludf.DUMMYFUNCTION("INDEX(GOOGLEFINANCE(""NSE:""&amp;D377,""PRICE"",TODAY()-14),2,2)"),45.9)</f>
        <v>45.9</v>
      </c>
      <c r="J377" s="17">
        <f>IFERROR(__xludf.DUMMYFUNCTION("INDEX(GOOGLEFINANCE(""NSE:""&amp;D377,""PRICE"",TODAY()-28),2,2)"),44.85)</f>
        <v>44.85</v>
      </c>
      <c r="K377" s="17">
        <f>IFERROR(__xludf.DUMMYFUNCTION("INDEX(GOOGLEFINANCE(""NSE:""&amp;D377,""PRICE"",TODAY()-84),2,2)"),54.35)</f>
        <v>54.35</v>
      </c>
      <c r="L377" s="16">
        <f t="shared" si="1"/>
        <v>0.003456221198</v>
      </c>
      <c r="M377" s="16">
        <f t="shared" si="2"/>
        <v>-0.03006681514</v>
      </c>
      <c r="N377" s="16">
        <f t="shared" si="3"/>
        <v>-0.05119825708</v>
      </c>
      <c r="O377" s="16">
        <f t="shared" si="4"/>
        <v>-0.02898550725</v>
      </c>
      <c r="P377" s="16">
        <f t="shared" si="5"/>
        <v>-0.1987120515</v>
      </c>
      <c r="Q377" s="30">
        <f t="shared" si="6"/>
        <v>-0.04192527228</v>
      </c>
      <c r="R377" s="30">
        <f t="shared" si="7"/>
        <v>-0.07498261226</v>
      </c>
      <c r="S377" s="30">
        <f t="shared" si="8"/>
        <v>-0.1003577109</v>
      </c>
      <c r="T377" s="30">
        <f t="shared" si="9"/>
        <v>-0.3255049182</v>
      </c>
    </row>
    <row r="378">
      <c r="A378" s="1">
        <v>375.0</v>
      </c>
      <c r="B378" s="22" t="s">
        <v>1060</v>
      </c>
      <c r="C378" s="22" t="s">
        <v>528</v>
      </c>
      <c r="D378" s="22" t="s">
        <v>1061</v>
      </c>
      <c r="E378" s="23">
        <f>IFERROR(__xludf.DUMMYFUNCTION("GOOGLEFINANCE(""NSE:""&amp;D378,""marketcap"")/10000000"),6508.4985442)</f>
        <v>6508.498544</v>
      </c>
      <c r="F378" s="17">
        <f>IFERROR(__xludf.DUMMYFUNCTION("GOOGLEFINANCE(""NSE:""&amp;D378)"),1294.0)</f>
        <v>1294</v>
      </c>
      <c r="G378" s="17">
        <f>IFERROR(__xludf.DUMMYFUNCTION("GOOGLEFINANCE(""NSE:""&amp;D378,""closeyest"")"),1280.05)</f>
        <v>1280.05</v>
      </c>
      <c r="H378" s="17">
        <f>IFERROR(__xludf.DUMMYFUNCTION("INDEX(GOOGLEFINANCE(""NSE:""&amp;D378,""PRICE"",TODAY()-7),2,2)"),1301.55)</f>
        <v>1301.55</v>
      </c>
      <c r="I378" s="17">
        <f>IFERROR(__xludf.DUMMYFUNCTION("INDEX(GOOGLEFINANCE(""NSE:""&amp;D378,""PRICE"",TODAY()-14),2,2)"),1274.35)</f>
        <v>1274.35</v>
      </c>
      <c r="J378" s="17">
        <f>IFERROR(__xludf.DUMMYFUNCTION("INDEX(GOOGLEFINANCE(""NSE:""&amp;D378,""PRICE"",TODAY()-28),2,2)"),1264.7)</f>
        <v>1264.7</v>
      </c>
      <c r="K378" s="17">
        <f>IFERROR(__xludf.DUMMYFUNCTION("INDEX(GOOGLEFINANCE(""NSE:""&amp;D378,""PRICE"",TODAY()-84),2,2)"),1145.2)</f>
        <v>1145.2</v>
      </c>
      <c r="L378" s="16">
        <f t="shared" si="1"/>
        <v>0.0108980118</v>
      </c>
      <c r="M378" s="16">
        <f t="shared" si="2"/>
        <v>-0.005800775998</v>
      </c>
      <c r="N378" s="16">
        <f t="shared" si="3"/>
        <v>0.01541962569</v>
      </c>
      <c r="O378" s="16">
        <f t="shared" si="4"/>
        <v>0.02316754962</v>
      </c>
      <c r="P378" s="16">
        <f t="shared" si="5"/>
        <v>0.129933636</v>
      </c>
      <c r="Q378" s="30">
        <f t="shared" si="6"/>
        <v>-0.01765923313</v>
      </c>
      <c r="R378" s="30">
        <f t="shared" si="7"/>
        <v>-0.008364729488</v>
      </c>
      <c r="S378" s="30">
        <f t="shared" si="8"/>
        <v>-0.04820465401</v>
      </c>
      <c r="T378" s="30">
        <f t="shared" si="9"/>
        <v>0.003140769349</v>
      </c>
    </row>
    <row r="379">
      <c r="A379" s="1">
        <v>376.0</v>
      </c>
      <c r="B379" s="22" t="s">
        <v>1062</v>
      </c>
      <c r="C379" s="22" t="s">
        <v>526</v>
      </c>
      <c r="D379" s="22" t="s">
        <v>1063</v>
      </c>
      <c r="E379" s="23">
        <f>IFERROR(__xludf.DUMMYFUNCTION("GOOGLEFINANCE(""NSE:""&amp;D379,""marketcap"")/10000000"),6810.1849907)</f>
        <v>6810.184991</v>
      </c>
      <c r="F379" s="17">
        <f>IFERROR(__xludf.DUMMYFUNCTION("GOOGLEFINANCE(""NSE:""&amp;D379)"),287.2)</f>
        <v>287.2</v>
      </c>
      <c r="G379" s="17">
        <f>IFERROR(__xludf.DUMMYFUNCTION("GOOGLEFINANCE(""NSE:""&amp;D379,""closeyest"")"),272.75)</f>
        <v>272.75</v>
      </c>
      <c r="H379" s="17">
        <f>IFERROR(__xludf.DUMMYFUNCTION("INDEX(GOOGLEFINANCE(""NSE:""&amp;D379,""PRICE"",TODAY()-7),2,2)"),265.6)</f>
        <v>265.6</v>
      </c>
      <c r="I379" s="17">
        <f>IFERROR(__xludf.DUMMYFUNCTION("INDEX(GOOGLEFINANCE(""NSE:""&amp;D379,""PRICE"",TODAY()-14),2,2)"),257.6)</f>
        <v>257.6</v>
      </c>
      <c r="J379" s="17">
        <f>IFERROR(__xludf.DUMMYFUNCTION("INDEX(GOOGLEFINANCE(""NSE:""&amp;D379,""PRICE"",TODAY()-28),2,2)"),237.25)</f>
        <v>237.25</v>
      </c>
      <c r="K379" s="17">
        <f>IFERROR(__xludf.DUMMYFUNCTION("INDEX(GOOGLEFINANCE(""NSE:""&amp;D379,""PRICE"",TODAY()-84),2,2)"),255.95)</f>
        <v>255.95</v>
      </c>
      <c r="L379" s="16">
        <f t="shared" si="1"/>
        <v>0.05297891842</v>
      </c>
      <c r="M379" s="16">
        <f t="shared" si="2"/>
        <v>0.0813253012</v>
      </c>
      <c r="N379" s="16">
        <f t="shared" si="3"/>
        <v>0.1149068323</v>
      </c>
      <c r="O379" s="16">
        <f t="shared" si="4"/>
        <v>0.2105374078</v>
      </c>
      <c r="P379" s="16">
        <f t="shared" si="5"/>
        <v>0.122094159</v>
      </c>
      <c r="Q379" s="30">
        <f t="shared" si="6"/>
        <v>0.06946684407</v>
      </c>
      <c r="R379" s="30">
        <f t="shared" si="7"/>
        <v>0.09112247712</v>
      </c>
      <c r="S379" s="30">
        <f t="shared" si="8"/>
        <v>0.1391652042</v>
      </c>
      <c r="T379" s="30">
        <f t="shared" si="9"/>
        <v>-0.004698707682</v>
      </c>
    </row>
    <row r="380">
      <c r="A380" s="1">
        <v>377.0</v>
      </c>
      <c r="B380" s="22" t="s">
        <v>1064</v>
      </c>
      <c r="C380" s="22" t="s">
        <v>541</v>
      </c>
      <c r="D380" s="22" t="s">
        <v>1065</v>
      </c>
      <c r="E380" s="23">
        <f>IFERROR(__xludf.DUMMYFUNCTION("GOOGLEFINANCE(""NSE:""&amp;D380,""marketcap"")/10000000"),6317.642925)</f>
        <v>6317.642925</v>
      </c>
      <c r="F380" s="17">
        <f>IFERROR(__xludf.DUMMYFUNCTION("GOOGLEFINANCE(""NSE:""&amp;D380)"),30.3)</f>
        <v>30.3</v>
      </c>
      <c r="G380" s="17">
        <f>IFERROR(__xludf.DUMMYFUNCTION("GOOGLEFINANCE(""NSE:""&amp;D380,""closeyest"")"),30.4)</f>
        <v>30.4</v>
      </c>
      <c r="H380" s="17">
        <f>IFERROR(__xludf.DUMMYFUNCTION("INDEX(GOOGLEFINANCE(""NSE:""&amp;D380,""PRICE"",TODAY()-7),2,2)"),30.1)</f>
        <v>30.1</v>
      </c>
      <c r="I380" s="17">
        <f>IFERROR(__xludf.DUMMYFUNCTION("INDEX(GOOGLEFINANCE(""NSE:""&amp;D380,""PRICE"",TODAY()-14),2,2)"),30.2)</f>
        <v>30.2</v>
      </c>
      <c r="J380" s="17">
        <f>IFERROR(__xludf.DUMMYFUNCTION("INDEX(GOOGLEFINANCE(""NSE:""&amp;D380,""PRICE"",TODAY()-28),2,2)"),28.05)</f>
        <v>28.05</v>
      </c>
      <c r="K380" s="17">
        <f>IFERROR(__xludf.DUMMYFUNCTION("INDEX(GOOGLEFINANCE(""NSE:""&amp;D380,""PRICE"",TODAY()-84),2,2)"),32.2)</f>
        <v>32.2</v>
      </c>
      <c r="L380" s="16">
        <f t="shared" si="1"/>
        <v>-0.003289473684</v>
      </c>
      <c r="M380" s="16">
        <f t="shared" si="2"/>
        <v>0.006644518272</v>
      </c>
      <c r="N380" s="16">
        <f t="shared" si="3"/>
        <v>0.003311258278</v>
      </c>
      <c r="O380" s="16">
        <f t="shared" si="4"/>
        <v>0.08021390374</v>
      </c>
      <c r="P380" s="16">
        <f t="shared" si="5"/>
        <v>-0.05900621118</v>
      </c>
      <c r="Q380" s="30">
        <f t="shared" si="6"/>
        <v>-0.005213938864</v>
      </c>
      <c r="R380" s="30">
        <f t="shared" si="7"/>
        <v>-0.0204730969</v>
      </c>
      <c r="S380" s="30">
        <f t="shared" si="8"/>
        <v>0.008841700115</v>
      </c>
      <c r="T380" s="30">
        <f t="shared" si="9"/>
        <v>-0.1857990779</v>
      </c>
    </row>
    <row r="381">
      <c r="A381" s="1">
        <v>378.0</v>
      </c>
      <c r="B381" s="22" t="s">
        <v>1066</v>
      </c>
      <c r="C381" s="22" t="s">
        <v>543</v>
      </c>
      <c r="D381" s="22" t="s">
        <v>1067</v>
      </c>
      <c r="E381" s="23">
        <f>IFERROR(__xludf.DUMMYFUNCTION("GOOGLEFINANCE(""NSE:""&amp;D381,""marketcap"")/10000000"),6151.0162763)</f>
        <v>6151.016276</v>
      </c>
      <c r="F381" s="17">
        <f>IFERROR(__xludf.DUMMYFUNCTION("GOOGLEFINANCE(""NSE:""&amp;D381)"),122.2)</f>
        <v>122.2</v>
      </c>
      <c r="G381" s="17">
        <f>IFERROR(__xludf.DUMMYFUNCTION("GOOGLEFINANCE(""NSE:""&amp;D381,""closeyest"")"),122.9)</f>
        <v>122.9</v>
      </c>
      <c r="H381" s="17">
        <f>IFERROR(__xludf.DUMMYFUNCTION("INDEX(GOOGLEFINANCE(""NSE:""&amp;D381,""PRICE"",TODAY()-7),2,2)"),123.05)</f>
        <v>123.05</v>
      </c>
      <c r="I381" s="17">
        <f>IFERROR(__xludf.DUMMYFUNCTION("INDEX(GOOGLEFINANCE(""NSE:""&amp;D381,""PRICE"",TODAY()-14),2,2)"),125.15)</f>
        <v>125.15</v>
      </c>
      <c r="J381" s="17">
        <f>IFERROR(__xludf.DUMMYFUNCTION("INDEX(GOOGLEFINANCE(""NSE:""&amp;D381,""PRICE"",TODAY()-28),2,2)"),125.4)</f>
        <v>125.4</v>
      </c>
      <c r="K381" s="17">
        <f>IFERROR(__xludf.DUMMYFUNCTION("INDEX(GOOGLEFINANCE(""NSE:""&amp;D381,""PRICE"",TODAY()-84),2,2)"),134.3)</f>
        <v>134.3</v>
      </c>
      <c r="L381" s="16">
        <f t="shared" si="1"/>
        <v>-0.005695687551</v>
      </c>
      <c r="M381" s="16">
        <f t="shared" si="2"/>
        <v>-0.006907761073</v>
      </c>
      <c r="N381" s="16">
        <f t="shared" si="3"/>
        <v>-0.02357171394</v>
      </c>
      <c r="O381" s="16">
        <f t="shared" si="4"/>
        <v>-0.02551834131</v>
      </c>
      <c r="P381" s="16">
        <f t="shared" si="5"/>
        <v>-0.09009679821</v>
      </c>
      <c r="Q381" s="30">
        <f t="shared" si="6"/>
        <v>-0.01876621821</v>
      </c>
      <c r="R381" s="30">
        <f t="shared" si="7"/>
        <v>-0.04735606912</v>
      </c>
      <c r="S381" s="30">
        <f t="shared" si="8"/>
        <v>-0.09689054494</v>
      </c>
      <c r="T381" s="30">
        <f t="shared" si="9"/>
        <v>-0.2168896649</v>
      </c>
    </row>
    <row r="382">
      <c r="A382" s="1">
        <v>379.0</v>
      </c>
      <c r="B382" s="22" t="s">
        <v>1068</v>
      </c>
      <c r="C382" s="22" t="s">
        <v>590</v>
      </c>
      <c r="D382" s="22" t="s">
        <v>1069</v>
      </c>
      <c r="E382" s="23">
        <f>IFERROR(__xludf.DUMMYFUNCTION("GOOGLEFINANCE(""NSE:""&amp;D382,""marketcap"")/10000000"),6232.9474489)</f>
        <v>6232.947449</v>
      </c>
      <c r="F382" s="17">
        <f>IFERROR(__xludf.DUMMYFUNCTION("GOOGLEFINANCE(""NSE:""&amp;D382)"),232.8)</f>
        <v>232.8</v>
      </c>
      <c r="G382" s="17">
        <f>IFERROR(__xludf.DUMMYFUNCTION("GOOGLEFINANCE(""NSE:""&amp;D382,""closeyest"")"),231.25)</f>
        <v>231.25</v>
      </c>
      <c r="H382" s="17">
        <f>IFERROR(__xludf.DUMMYFUNCTION("INDEX(GOOGLEFINANCE(""NSE:""&amp;D382,""PRICE"",TODAY()-7),2,2)"),228.65)</f>
        <v>228.65</v>
      </c>
      <c r="I382" s="17">
        <f>IFERROR(__xludf.DUMMYFUNCTION("INDEX(GOOGLEFINANCE(""NSE:""&amp;D382,""PRICE"",TODAY()-14),2,2)"),222.25)</f>
        <v>222.25</v>
      </c>
      <c r="J382" s="17">
        <f>IFERROR(__xludf.DUMMYFUNCTION("INDEX(GOOGLEFINANCE(""NSE:""&amp;D382,""PRICE"",TODAY()-28),2,2)"),175.1)</f>
        <v>175.1</v>
      </c>
      <c r="K382" s="17">
        <f>IFERROR(__xludf.DUMMYFUNCTION("INDEX(GOOGLEFINANCE(""NSE:""&amp;D382,""PRICE"",TODAY()-84),2,2)"),187.55)</f>
        <v>187.55</v>
      </c>
      <c r="L382" s="16">
        <f t="shared" si="1"/>
        <v>0.006702702703</v>
      </c>
      <c r="M382" s="16">
        <f t="shared" si="2"/>
        <v>0.01815001093</v>
      </c>
      <c r="N382" s="16">
        <f t="shared" si="3"/>
        <v>0.04746906637</v>
      </c>
      <c r="O382" s="16">
        <f t="shared" si="4"/>
        <v>0.3295259852</v>
      </c>
      <c r="P382" s="16">
        <f t="shared" si="5"/>
        <v>0.2412689949</v>
      </c>
      <c r="Q382" s="30">
        <f t="shared" si="6"/>
        <v>0.006291553798</v>
      </c>
      <c r="R382" s="30">
        <f t="shared" si="7"/>
        <v>0.02368471119</v>
      </c>
      <c r="S382" s="30">
        <f t="shared" si="8"/>
        <v>0.2581537815</v>
      </c>
      <c r="T382" s="30">
        <f t="shared" si="9"/>
        <v>0.1144761282</v>
      </c>
    </row>
    <row r="383">
      <c r="A383" s="1">
        <v>380.0</v>
      </c>
      <c r="B383" s="22" t="s">
        <v>1070</v>
      </c>
      <c r="C383" s="22" t="s">
        <v>590</v>
      </c>
      <c r="D383" s="22" t="s">
        <v>1071</v>
      </c>
      <c r="E383" s="23">
        <f>IFERROR(__xludf.DUMMYFUNCTION("GOOGLEFINANCE(""NSE:""&amp;D383,""marketcap"")/10000000"),6162.3955836)</f>
        <v>6162.395584</v>
      </c>
      <c r="F383" s="17">
        <f>IFERROR(__xludf.DUMMYFUNCTION("GOOGLEFINANCE(""NSE:""&amp;D383)"),160.45)</f>
        <v>160.45</v>
      </c>
      <c r="G383" s="17">
        <f>IFERROR(__xludf.DUMMYFUNCTION("GOOGLEFINANCE(""NSE:""&amp;D383,""closeyest"")"),159.75)</f>
        <v>159.75</v>
      </c>
      <c r="H383" s="17">
        <f>IFERROR(__xludf.DUMMYFUNCTION("INDEX(GOOGLEFINANCE(""NSE:""&amp;D383,""PRICE"",TODAY()-7),2,2)"),164.65)</f>
        <v>164.65</v>
      </c>
      <c r="I383" s="17">
        <f>IFERROR(__xludf.DUMMYFUNCTION("INDEX(GOOGLEFINANCE(""NSE:""&amp;D383,""PRICE"",TODAY()-14),2,2)"),158.4)</f>
        <v>158.4</v>
      </c>
      <c r="J383" s="17">
        <f>IFERROR(__xludf.DUMMYFUNCTION("INDEX(GOOGLEFINANCE(""NSE:""&amp;D383,""PRICE"",TODAY()-28),2,2)"),171.75)</f>
        <v>171.75</v>
      </c>
      <c r="K383" s="17">
        <f>IFERROR(__xludf.DUMMYFUNCTION("INDEX(GOOGLEFINANCE(""NSE:""&amp;D383,""PRICE"",TODAY()-84),2,2)"),158.45)</f>
        <v>158.45</v>
      </c>
      <c r="L383" s="16">
        <f t="shared" si="1"/>
        <v>0.004381846635</v>
      </c>
      <c r="M383" s="16">
        <f t="shared" si="2"/>
        <v>-0.02550865472</v>
      </c>
      <c r="N383" s="16">
        <f t="shared" si="3"/>
        <v>0.01294191919</v>
      </c>
      <c r="O383" s="16">
        <f t="shared" si="4"/>
        <v>-0.06579330422</v>
      </c>
      <c r="P383" s="16">
        <f t="shared" si="5"/>
        <v>0.01262227832</v>
      </c>
      <c r="Q383" s="30">
        <f t="shared" si="6"/>
        <v>-0.03736711186</v>
      </c>
      <c r="R383" s="30">
        <f t="shared" si="7"/>
        <v>-0.01084243599</v>
      </c>
      <c r="S383" s="30">
        <f t="shared" si="8"/>
        <v>-0.1371655078</v>
      </c>
      <c r="T383" s="30">
        <f t="shared" si="9"/>
        <v>-0.1141705884</v>
      </c>
    </row>
    <row r="384">
      <c r="A384" s="1">
        <v>381.0</v>
      </c>
      <c r="B384" s="22" t="s">
        <v>1072</v>
      </c>
      <c r="C384" s="22" t="s">
        <v>526</v>
      </c>
      <c r="D384" s="22" t="s">
        <v>1073</v>
      </c>
      <c r="E384" s="23">
        <f>IFERROR(__xludf.DUMMYFUNCTION("GOOGLEFINANCE(""NSE:""&amp;D384,""marketcap"")/10000000"),6172.84752)</f>
        <v>6172.84752</v>
      </c>
      <c r="F384" s="17">
        <f>IFERROR(__xludf.DUMMYFUNCTION("GOOGLEFINANCE(""NSE:""&amp;D384)"),168.0)</f>
        <v>168</v>
      </c>
      <c r="G384" s="17">
        <f>IFERROR(__xludf.DUMMYFUNCTION("GOOGLEFINANCE(""NSE:""&amp;D384,""closeyest"")"),166.2)</f>
        <v>166.2</v>
      </c>
      <c r="H384" s="17">
        <f>IFERROR(__xludf.DUMMYFUNCTION("INDEX(GOOGLEFINANCE(""NSE:""&amp;D384,""PRICE"",TODAY()-7),2,2)"),171.9)</f>
        <v>171.9</v>
      </c>
      <c r="I384" s="17">
        <f>IFERROR(__xludf.DUMMYFUNCTION("INDEX(GOOGLEFINANCE(""NSE:""&amp;D384,""PRICE"",TODAY()-14),2,2)"),177.1)</f>
        <v>177.1</v>
      </c>
      <c r="J384" s="17">
        <f>IFERROR(__xludf.DUMMYFUNCTION("INDEX(GOOGLEFINANCE(""NSE:""&amp;D384,""PRICE"",TODAY()-28),2,2)"),158.9)</f>
        <v>158.9</v>
      </c>
      <c r="K384" s="17">
        <f>IFERROR(__xludf.DUMMYFUNCTION("INDEX(GOOGLEFINANCE(""NSE:""&amp;D384,""PRICE"",TODAY()-84),2,2)"),168.0)</f>
        <v>168</v>
      </c>
      <c r="L384" s="16">
        <f t="shared" si="1"/>
        <v>0.01083032491</v>
      </c>
      <c r="M384" s="16">
        <f t="shared" si="2"/>
        <v>-0.02268760908</v>
      </c>
      <c r="N384" s="16">
        <f t="shared" si="3"/>
        <v>-0.05138339921</v>
      </c>
      <c r="O384" s="16">
        <f t="shared" si="4"/>
        <v>0.05726872247</v>
      </c>
      <c r="P384" s="16">
        <f t="shared" si="5"/>
        <v>0</v>
      </c>
      <c r="Q384" s="30">
        <f t="shared" si="6"/>
        <v>-0.03454606621</v>
      </c>
      <c r="R384" s="30">
        <f t="shared" si="7"/>
        <v>-0.07516775439</v>
      </c>
      <c r="S384" s="30">
        <f t="shared" si="8"/>
        <v>-0.01410348116</v>
      </c>
      <c r="T384" s="30">
        <f t="shared" si="9"/>
        <v>-0.1267928667</v>
      </c>
    </row>
    <row r="385">
      <c r="A385" s="1">
        <v>382.0</v>
      </c>
      <c r="B385" s="22" t="s">
        <v>1074</v>
      </c>
      <c r="C385" s="22" t="s">
        <v>555</v>
      </c>
      <c r="D385" s="22" t="s">
        <v>1075</v>
      </c>
      <c r="E385" s="23">
        <f>IFERROR(__xludf.DUMMYFUNCTION("GOOGLEFINANCE(""NSE:""&amp;D385,""marketcap"")/10000000"),5984.72004)</f>
        <v>5984.72004</v>
      </c>
      <c r="F385" s="17">
        <f>IFERROR(__xludf.DUMMYFUNCTION("GOOGLEFINANCE(""NSE:""&amp;D385)"),1525.2)</f>
        <v>1525.2</v>
      </c>
      <c r="G385" s="17">
        <f>IFERROR(__xludf.DUMMYFUNCTION("GOOGLEFINANCE(""NSE:""&amp;D385,""closeyest"")"),1565.75)</f>
        <v>1565.75</v>
      </c>
      <c r="H385" s="17">
        <f>IFERROR(__xludf.DUMMYFUNCTION("INDEX(GOOGLEFINANCE(""NSE:""&amp;D385,""PRICE"",TODAY()-7),2,2)"),1525.5)</f>
        <v>1525.5</v>
      </c>
      <c r="I385" s="17">
        <f>IFERROR(__xludf.DUMMYFUNCTION("INDEX(GOOGLEFINANCE(""NSE:""&amp;D385,""PRICE"",TODAY()-14),2,2)"),1506.85)</f>
        <v>1506.85</v>
      </c>
      <c r="J385" s="17">
        <f>IFERROR(__xludf.DUMMYFUNCTION("INDEX(GOOGLEFINANCE(""NSE:""&amp;D385,""PRICE"",TODAY()-28),2,2)"),1403.4)</f>
        <v>1403.4</v>
      </c>
      <c r="K385" s="17">
        <f>IFERROR(__xludf.DUMMYFUNCTION("INDEX(GOOGLEFINANCE(""NSE:""&amp;D385,""PRICE"",TODAY()-84),2,2)"),1435.4)</f>
        <v>1435.4</v>
      </c>
      <c r="L385" s="16">
        <f t="shared" si="1"/>
        <v>-0.02589813189</v>
      </c>
      <c r="M385" s="16">
        <f t="shared" si="2"/>
        <v>-0.0001966568338</v>
      </c>
      <c r="N385" s="16">
        <f t="shared" si="3"/>
        <v>0.01217772174</v>
      </c>
      <c r="O385" s="16">
        <f t="shared" si="4"/>
        <v>0.08678922617</v>
      </c>
      <c r="P385" s="16">
        <f t="shared" si="5"/>
        <v>0.06256095862</v>
      </c>
      <c r="Q385" s="30">
        <f t="shared" si="6"/>
        <v>-0.01205511397</v>
      </c>
      <c r="R385" s="30">
        <f t="shared" si="7"/>
        <v>-0.01160663344</v>
      </c>
      <c r="S385" s="30">
        <f t="shared" si="8"/>
        <v>0.01541702254</v>
      </c>
      <c r="T385" s="30">
        <f t="shared" si="9"/>
        <v>-0.06423190808</v>
      </c>
    </row>
    <row r="386">
      <c r="A386" s="1">
        <v>383.0</v>
      </c>
      <c r="B386" s="22" t="s">
        <v>1076</v>
      </c>
      <c r="C386" s="22" t="s">
        <v>541</v>
      </c>
      <c r="D386" s="22" t="s">
        <v>1077</v>
      </c>
      <c r="E386" s="23">
        <f>IFERROR(__xludf.DUMMYFUNCTION("GOOGLEFINANCE(""NSE:""&amp;D386,""marketcap"")/10000000"),6004.5302695)</f>
        <v>6004.53027</v>
      </c>
      <c r="F386" s="17">
        <f>IFERROR(__xludf.DUMMYFUNCTION("GOOGLEFINANCE(""NSE:""&amp;D386)"),171.0)</f>
        <v>171</v>
      </c>
      <c r="G386" s="17">
        <f>IFERROR(__xludf.DUMMYFUNCTION("GOOGLEFINANCE(""NSE:""&amp;D386,""closeyest"")"),171.45)</f>
        <v>171.45</v>
      </c>
      <c r="H386" s="17">
        <f>IFERROR(__xludf.DUMMYFUNCTION("INDEX(GOOGLEFINANCE(""NSE:""&amp;D386,""PRICE"",TODAY()-7),2,2)"),171.3)</f>
        <v>171.3</v>
      </c>
      <c r="I386" s="17">
        <f>IFERROR(__xludf.DUMMYFUNCTION("INDEX(GOOGLEFINANCE(""NSE:""&amp;D386,""PRICE"",TODAY()-14),2,2)"),169.65)</f>
        <v>169.65</v>
      </c>
      <c r="J386" s="17">
        <f>IFERROR(__xludf.DUMMYFUNCTION("INDEX(GOOGLEFINANCE(""NSE:""&amp;D386,""PRICE"",TODAY()-28),2,2)"),166.1)</f>
        <v>166.1</v>
      </c>
      <c r="K386" s="17">
        <f>IFERROR(__xludf.DUMMYFUNCTION("INDEX(GOOGLEFINANCE(""NSE:""&amp;D386,""PRICE"",TODAY()-84),2,2)"),157.0)</f>
        <v>157</v>
      </c>
      <c r="L386" s="16">
        <f t="shared" si="1"/>
        <v>-0.002624671916</v>
      </c>
      <c r="M386" s="16">
        <f t="shared" si="2"/>
        <v>-0.001751313485</v>
      </c>
      <c r="N386" s="16">
        <f t="shared" si="3"/>
        <v>0.007957559682</v>
      </c>
      <c r="O386" s="16">
        <f t="shared" si="4"/>
        <v>0.02950030102</v>
      </c>
      <c r="P386" s="16">
        <f t="shared" si="5"/>
        <v>0.08917197452</v>
      </c>
      <c r="Q386" s="30">
        <f t="shared" si="6"/>
        <v>-0.01360977062</v>
      </c>
      <c r="R386" s="30">
        <f t="shared" si="7"/>
        <v>-0.0158267955</v>
      </c>
      <c r="S386" s="30">
        <f t="shared" si="8"/>
        <v>-0.04187190261</v>
      </c>
      <c r="T386" s="30">
        <f t="shared" si="9"/>
        <v>-0.03762089217</v>
      </c>
    </row>
    <row r="387">
      <c r="A387" s="1">
        <v>384.0</v>
      </c>
      <c r="B387" s="22" t="s">
        <v>1078</v>
      </c>
      <c r="C387" s="22" t="s">
        <v>603</v>
      </c>
      <c r="D387" s="22" t="s">
        <v>1079</v>
      </c>
      <c r="E387" s="23">
        <f>IFERROR(__xludf.DUMMYFUNCTION("GOOGLEFINANCE(""NSE:""&amp;D387,""marketcap"")/10000000"),6033.3541237)</f>
        <v>6033.354124</v>
      </c>
      <c r="F387" s="17">
        <f>IFERROR(__xludf.DUMMYFUNCTION("GOOGLEFINANCE(""NSE:""&amp;D387)"),388.2)</f>
        <v>388.2</v>
      </c>
      <c r="G387" s="17">
        <f>IFERROR(__xludf.DUMMYFUNCTION("GOOGLEFINANCE(""NSE:""&amp;D387,""closeyest"")"),388.15)</f>
        <v>388.15</v>
      </c>
      <c r="H387" s="17">
        <f>IFERROR(__xludf.DUMMYFUNCTION("INDEX(GOOGLEFINANCE(""NSE:""&amp;D387,""PRICE"",TODAY()-7),2,2)"),334.35)</f>
        <v>334.35</v>
      </c>
      <c r="I387" s="17">
        <f>IFERROR(__xludf.DUMMYFUNCTION("INDEX(GOOGLEFINANCE(""NSE:""&amp;D387,""PRICE"",TODAY()-14),2,2)"),337.2)</f>
        <v>337.2</v>
      </c>
      <c r="J387" s="17">
        <f>IFERROR(__xludf.DUMMYFUNCTION("INDEX(GOOGLEFINANCE(""NSE:""&amp;D387,""PRICE"",TODAY()-28),2,2)"),317.7)</f>
        <v>317.7</v>
      </c>
      <c r="K387" s="17">
        <f>IFERROR(__xludf.DUMMYFUNCTION("INDEX(GOOGLEFINANCE(""NSE:""&amp;D387,""PRICE"",TODAY()-84),2,2)"),369.95)</f>
        <v>369.95</v>
      </c>
      <c r="L387" s="16">
        <f t="shared" si="1"/>
        <v>0.0001288161793</v>
      </c>
      <c r="M387" s="16">
        <f t="shared" si="2"/>
        <v>0.1610587707</v>
      </c>
      <c r="N387" s="16">
        <f t="shared" si="3"/>
        <v>0.1512455516</v>
      </c>
      <c r="O387" s="16">
        <f t="shared" si="4"/>
        <v>0.2219074599</v>
      </c>
      <c r="P387" s="16">
        <f t="shared" si="5"/>
        <v>0.04933099067</v>
      </c>
      <c r="Q387" s="30">
        <f t="shared" si="6"/>
        <v>0.1492003136</v>
      </c>
      <c r="R387" s="30">
        <f t="shared" si="7"/>
        <v>0.1274611964</v>
      </c>
      <c r="S387" s="30">
        <f t="shared" si="8"/>
        <v>0.1505352562</v>
      </c>
      <c r="T387" s="30">
        <f t="shared" si="9"/>
        <v>-0.07746187602</v>
      </c>
    </row>
    <row r="388">
      <c r="A388" s="1">
        <v>385.0</v>
      </c>
      <c r="B388" s="22" t="s">
        <v>1080</v>
      </c>
      <c r="C388" s="22" t="s">
        <v>526</v>
      </c>
      <c r="D388" s="22" t="s">
        <v>1081</v>
      </c>
      <c r="E388" s="23">
        <f>IFERROR(__xludf.DUMMYFUNCTION("GOOGLEFINANCE(""NSE:""&amp;D388,""marketcap"")/10000000"),5964.491982)</f>
        <v>5964.491982</v>
      </c>
      <c r="F388" s="17">
        <f>IFERROR(__xludf.DUMMYFUNCTION("GOOGLEFINANCE(""NSE:""&amp;D388)"),4586.0)</f>
        <v>4586</v>
      </c>
      <c r="G388" s="17">
        <f>IFERROR(__xludf.DUMMYFUNCTION("GOOGLEFINANCE(""NSE:""&amp;D388,""closeyest"")"),4584.9)</f>
        <v>4584.9</v>
      </c>
      <c r="H388" s="17">
        <f>IFERROR(__xludf.DUMMYFUNCTION("INDEX(GOOGLEFINANCE(""NSE:""&amp;D388,""PRICE"",TODAY()-7),2,2)"),4478.4)</f>
        <v>4478.4</v>
      </c>
      <c r="I388" s="17">
        <f>IFERROR(__xludf.DUMMYFUNCTION("INDEX(GOOGLEFINANCE(""NSE:""&amp;D388,""PRICE"",TODAY()-14),2,2)"),4436.3)</f>
        <v>4436.3</v>
      </c>
      <c r="J388" s="17">
        <f>IFERROR(__xludf.DUMMYFUNCTION("INDEX(GOOGLEFINANCE(""NSE:""&amp;D388,""PRICE"",TODAY()-28),2,2)"),4621.9)</f>
        <v>4621.9</v>
      </c>
      <c r="K388" s="17">
        <f>IFERROR(__xludf.DUMMYFUNCTION("INDEX(GOOGLEFINANCE(""NSE:""&amp;D388,""PRICE"",TODAY()-84),2,2)"),4487.95)</f>
        <v>4487.95</v>
      </c>
      <c r="L388" s="16">
        <f t="shared" si="1"/>
        <v>0.0002399179917</v>
      </c>
      <c r="M388" s="16">
        <f t="shared" si="2"/>
        <v>0.02402643801</v>
      </c>
      <c r="N388" s="16">
        <f t="shared" si="3"/>
        <v>0.0337443365</v>
      </c>
      <c r="O388" s="16">
        <f t="shared" si="4"/>
        <v>-0.007767368398</v>
      </c>
      <c r="P388" s="16">
        <f t="shared" si="5"/>
        <v>0.02184739135</v>
      </c>
      <c r="Q388" s="30">
        <f t="shared" si="6"/>
        <v>0.01216798088</v>
      </c>
      <c r="R388" s="30">
        <f t="shared" si="7"/>
        <v>0.009959981317</v>
      </c>
      <c r="S388" s="30">
        <f t="shared" si="8"/>
        <v>-0.07913957203</v>
      </c>
      <c r="T388" s="30">
        <f t="shared" si="9"/>
        <v>-0.1049454753</v>
      </c>
    </row>
    <row r="389">
      <c r="A389" s="1">
        <v>386.0</v>
      </c>
      <c r="B389" s="22" t="s">
        <v>1082</v>
      </c>
      <c r="C389" s="22" t="s">
        <v>549</v>
      </c>
      <c r="D389" s="22" t="s">
        <v>1083</v>
      </c>
      <c r="E389" s="23">
        <f>IFERROR(__xludf.DUMMYFUNCTION("GOOGLEFINANCE(""NSE:""&amp;D389,""marketcap"")/10000000"),5982.6523053)</f>
        <v>5982.652305</v>
      </c>
      <c r="F389" s="17">
        <f>IFERROR(__xludf.DUMMYFUNCTION("GOOGLEFINANCE(""NSE:""&amp;D389)"),353.2)</f>
        <v>353.2</v>
      </c>
      <c r="G389" s="17">
        <f>IFERROR(__xludf.DUMMYFUNCTION("GOOGLEFINANCE(""NSE:""&amp;D389,""closeyest"")"),353.5)</f>
        <v>353.5</v>
      </c>
      <c r="H389" s="17">
        <f>IFERROR(__xludf.DUMMYFUNCTION("INDEX(GOOGLEFINANCE(""NSE:""&amp;D389,""PRICE"",TODAY()-7),2,2)"),361.5)</f>
        <v>361.5</v>
      </c>
      <c r="I389" s="17">
        <f>IFERROR(__xludf.DUMMYFUNCTION("INDEX(GOOGLEFINANCE(""NSE:""&amp;D389,""PRICE"",TODAY()-14),2,2)"),369.2)</f>
        <v>369.2</v>
      </c>
      <c r="J389" s="17">
        <f>IFERROR(__xludf.DUMMYFUNCTION("INDEX(GOOGLEFINANCE(""NSE:""&amp;D389,""PRICE"",TODAY()-28),2,2)"),338.65)</f>
        <v>338.65</v>
      </c>
      <c r="K389" s="17">
        <f>IFERROR(__xludf.DUMMYFUNCTION("INDEX(GOOGLEFINANCE(""NSE:""&amp;D389,""PRICE"",TODAY()-84),2,2)"),359.55)</f>
        <v>359.55</v>
      </c>
      <c r="L389" s="16">
        <f t="shared" si="1"/>
        <v>-0.0008486562942</v>
      </c>
      <c r="M389" s="16">
        <f t="shared" si="2"/>
        <v>-0.02295988935</v>
      </c>
      <c r="N389" s="16">
        <f t="shared" si="3"/>
        <v>-0.04333694475</v>
      </c>
      <c r="O389" s="16">
        <f t="shared" si="4"/>
        <v>0.04296471283</v>
      </c>
      <c r="P389" s="16">
        <f t="shared" si="5"/>
        <v>-0.0176609651</v>
      </c>
      <c r="Q389" s="30">
        <f t="shared" si="6"/>
        <v>-0.03481834649</v>
      </c>
      <c r="R389" s="30">
        <f t="shared" si="7"/>
        <v>-0.06712129993</v>
      </c>
      <c r="S389" s="30">
        <f t="shared" si="8"/>
        <v>-0.0284074908</v>
      </c>
      <c r="T389" s="30">
        <f t="shared" si="9"/>
        <v>-0.1444538318</v>
      </c>
    </row>
    <row r="390">
      <c r="A390" s="1">
        <v>387.0</v>
      </c>
      <c r="B390" s="22" t="s">
        <v>1084</v>
      </c>
      <c r="C390" s="22" t="s">
        <v>541</v>
      </c>
      <c r="D390" s="22" t="s">
        <v>1085</v>
      </c>
      <c r="E390" s="23">
        <f>IFERROR(__xludf.DUMMYFUNCTION("GOOGLEFINANCE(""NSE:""&amp;D390,""marketcap"")/10000000"),5894.8191191)</f>
        <v>5894.819119</v>
      </c>
      <c r="F390" s="17">
        <f>IFERROR(__xludf.DUMMYFUNCTION("GOOGLEFINANCE(""NSE:""&amp;D390)"),366.25)</f>
        <v>366.25</v>
      </c>
      <c r="G390" s="17">
        <f>IFERROR(__xludf.DUMMYFUNCTION("GOOGLEFINANCE(""NSE:""&amp;D390,""closeyest"")"),370.55)</f>
        <v>370.55</v>
      </c>
      <c r="H390" s="17">
        <f>IFERROR(__xludf.DUMMYFUNCTION("INDEX(GOOGLEFINANCE(""NSE:""&amp;D390,""PRICE"",TODAY()-7),2,2)"),363.55)</f>
        <v>363.55</v>
      </c>
      <c r="I390" s="17">
        <f>IFERROR(__xludf.DUMMYFUNCTION("INDEX(GOOGLEFINANCE(""NSE:""&amp;D390,""PRICE"",TODAY()-14),2,2)"),358.95)</f>
        <v>358.95</v>
      </c>
      <c r="J390" s="17">
        <f>IFERROR(__xludf.DUMMYFUNCTION("INDEX(GOOGLEFINANCE(""NSE:""&amp;D390,""PRICE"",TODAY()-28),2,2)"),314.9)</f>
        <v>314.9</v>
      </c>
      <c r="K390" s="17">
        <f>IFERROR(__xludf.DUMMYFUNCTION("INDEX(GOOGLEFINANCE(""NSE:""&amp;D390,""PRICE"",TODAY()-84),2,2)"),287.15)</f>
        <v>287.15</v>
      </c>
      <c r="L390" s="16">
        <f t="shared" si="1"/>
        <v>-0.01160437188</v>
      </c>
      <c r="M390" s="16">
        <f t="shared" si="2"/>
        <v>0.007426763856</v>
      </c>
      <c r="N390" s="16">
        <f t="shared" si="3"/>
        <v>0.0203370943</v>
      </c>
      <c r="O390" s="16">
        <f t="shared" si="4"/>
        <v>0.1630676405</v>
      </c>
      <c r="P390" s="16">
        <f t="shared" si="5"/>
        <v>0.2754657844</v>
      </c>
      <c r="Q390" s="30">
        <f t="shared" si="6"/>
        <v>-0.00443169328</v>
      </c>
      <c r="R390" s="30">
        <f t="shared" si="7"/>
        <v>-0.003447260877</v>
      </c>
      <c r="S390" s="30">
        <f t="shared" si="8"/>
        <v>0.09169543689</v>
      </c>
      <c r="T390" s="30">
        <f t="shared" si="9"/>
        <v>0.1486729177</v>
      </c>
    </row>
    <row r="391">
      <c r="A391" s="1">
        <v>388.0</v>
      </c>
      <c r="B391" s="22" t="s">
        <v>1086</v>
      </c>
      <c r="C391" s="22" t="s">
        <v>560</v>
      </c>
      <c r="D391" s="22" t="s">
        <v>1087</v>
      </c>
      <c r="E391" s="23">
        <f>IFERROR(__xludf.DUMMYFUNCTION("GOOGLEFINANCE(""NSE:""&amp;D391,""marketcap"")/10000000"),5990.659556)</f>
        <v>5990.659556</v>
      </c>
      <c r="F391" s="17">
        <f>IFERROR(__xludf.DUMMYFUNCTION("GOOGLEFINANCE(""NSE:""&amp;D391)"),401.7)</f>
        <v>401.7</v>
      </c>
      <c r="G391" s="17">
        <f>IFERROR(__xludf.DUMMYFUNCTION("GOOGLEFINANCE(""NSE:""&amp;D391,""closeyest"")"),397.05)</f>
        <v>397.05</v>
      </c>
      <c r="H391" s="17">
        <f>IFERROR(__xludf.DUMMYFUNCTION("INDEX(GOOGLEFINANCE(""NSE:""&amp;D391,""PRICE"",TODAY()-7),2,2)"),408.1)</f>
        <v>408.1</v>
      </c>
      <c r="I391" s="17">
        <f>IFERROR(__xludf.DUMMYFUNCTION("INDEX(GOOGLEFINANCE(""NSE:""&amp;D391,""PRICE"",TODAY()-14),2,2)"),414.95)</f>
        <v>414.95</v>
      </c>
      <c r="J391" s="17">
        <f>IFERROR(__xludf.DUMMYFUNCTION("INDEX(GOOGLEFINANCE(""NSE:""&amp;D391,""PRICE"",TODAY()-28),2,2)"),388.15)</f>
        <v>388.15</v>
      </c>
      <c r="K391" s="17">
        <f>IFERROR(__xludf.DUMMYFUNCTION("INDEX(GOOGLEFINANCE(""NSE:""&amp;D391,""PRICE"",TODAY()-84),2,2)"),424.95)</f>
        <v>424.95</v>
      </c>
      <c r="L391" s="16">
        <f t="shared" si="1"/>
        <v>0.01171137136</v>
      </c>
      <c r="M391" s="16">
        <f t="shared" si="2"/>
        <v>-0.01568243078</v>
      </c>
      <c r="N391" s="16">
        <f t="shared" si="3"/>
        <v>-0.03193155802</v>
      </c>
      <c r="O391" s="16">
        <f t="shared" si="4"/>
        <v>0.03490918459</v>
      </c>
      <c r="P391" s="16">
        <f t="shared" si="5"/>
        <v>-0.0547123191</v>
      </c>
      <c r="Q391" s="30">
        <f t="shared" si="6"/>
        <v>-0.02754088791</v>
      </c>
      <c r="R391" s="30">
        <f t="shared" si="7"/>
        <v>-0.0557159132</v>
      </c>
      <c r="S391" s="30">
        <f t="shared" si="8"/>
        <v>-0.03646301904</v>
      </c>
      <c r="T391" s="30">
        <f t="shared" si="9"/>
        <v>-0.1815051858</v>
      </c>
    </row>
    <row r="392">
      <c r="A392" s="1">
        <v>389.0</v>
      </c>
      <c r="B392" s="22" t="s">
        <v>1088</v>
      </c>
      <c r="C392" s="22" t="s">
        <v>549</v>
      </c>
      <c r="D392" s="22" t="s">
        <v>1089</v>
      </c>
      <c r="E392" s="23">
        <f>IFERROR(__xludf.DUMMYFUNCTION("GOOGLEFINANCE(""NSE:""&amp;D392,""marketcap"")/10000000"),5979.13574)</f>
        <v>5979.13574</v>
      </c>
      <c r="F392" s="17">
        <f>IFERROR(__xludf.DUMMYFUNCTION("GOOGLEFINANCE(""NSE:""&amp;D392)"),1664.0)</f>
        <v>1664</v>
      </c>
      <c r="G392" s="17">
        <f>IFERROR(__xludf.DUMMYFUNCTION("GOOGLEFINANCE(""NSE:""&amp;D392,""closeyest"")"),1642.7)</f>
        <v>1642.7</v>
      </c>
      <c r="H392" s="17">
        <f>IFERROR(__xludf.DUMMYFUNCTION("INDEX(GOOGLEFINANCE(""NSE:""&amp;D392,""PRICE"",TODAY()-7),2,2)"),1652.9)</f>
        <v>1652.9</v>
      </c>
      <c r="I392" s="17">
        <f>IFERROR(__xludf.DUMMYFUNCTION("INDEX(GOOGLEFINANCE(""NSE:""&amp;D392,""PRICE"",TODAY()-14),2,2)"),1679.15)</f>
        <v>1679.15</v>
      </c>
      <c r="J392" s="17">
        <f>IFERROR(__xludf.DUMMYFUNCTION("INDEX(GOOGLEFINANCE(""NSE:""&amp;D392,""PRICE"",TODAY()-28),2,2)"),1630.45)</f>
        <v>1630.45</v>
      </c>
      <c r="K392" s="17">
        <f>IFERROR(__xludf.DUMMYFUNCTION("INDEX(GOOGLEFINANCE(""NSE:""&amp;D392,""PRICE"",TODAY()-84),2,2)"),1719.05)</f>
        <v>1719.05</v>
      </c>
      <c r="L392" s="16">
        <f t="shared" si="1"/>
        <v>0.01296645766</v>
      </c>
      <c r="M392" s="16">
        <f t="shared" si="2"/>
        <v>0.00671546978</v>
      </c>
      <c r="N392" s="16">
        <f t="shared" si="3"/>
        <v>-0.009022422059</v>
      </c>
      <c r="O392" s="16">
        <f t="shared" si="4"/>
        <v>0.02057714128</v>
      </c>
      <c r="P392" s="16">
        <f t="shared" si="5"/>
        <v>-0.03202350135</v>
      </c>
      <c r="Q392" s="30">
        <f t="shared" si="6"/>
        <v>-0.005142987356</v>
      </c>
      <c r="R392" s="30">
        <f t="shared" si="7"/>
        <v>-0.03280677724</v>
      </c>
      <c r="S392" s="30">
        <f t="shared" si="8"/>
        <v>-0.05079506235</v>
      </c>
      <c r="T392" s="30">
        <f t="shared" si="9"/>
        <v>-0.158816368</v>
      </c>
    </row>
    <row r="393">
      <c r="A393" s="1">
        <v>390.0</v>
      </c>
      <c r="B393" s="22" t="s">
        <v>1090</v>
      </c>
      <c r="C393" s="22" t="s">
        <v>526</v>
      </c>
      <c r="D393" s="22" t="s">
        <v>1091</v>
      </c>
      <c r="E393" s="23">
        <f>IFERROR(__xludf.DUMMYFUNCTION("GOOGLEFINANCE(""NSE:""&amp;D393,""marketcap"")/10000000"),5969.8837658)</f>
        <v>5969.883766</v>
      </c>
      <c r="F393" s="17">
        <f>IFERROR(__xludf.DUMMYFUNCTION("GOOGLEFINANCE(""NSE:""&amp;D393)"),2192.0)</f>
        <v>2192</v>
      </c>
      <c r="G393" s="17">
        <f>IFERROR(__xludf.DUMMYFUNCTION("GOOGLEFINANCE(""NSE:""&amp;D393,""closeyest"")"),2174.65)</f>
        <v>2174.65</v>
      </c>
      <c r="H393" s="17">
        <f>IFERROR(__xludf.DUMMYFUNCTION("INDEX(GOOGLEFINANCE(""NSE:""&amp;D393,""PRICE"",TODAY()-7),2,2)"),2237.75)</f>
        <v>2237.75</v>
      </c>
      <c r="I393" s="17">
        <f>IFERROR(__xludf.DUMMYFUNCTION("INDEX(GOOGLEFINANCE(""NSE:""&amp;D393,""PRICE"",TODAY()-14),2,2)"),2233.85)</f>
        <v>2233.85</v>
      </c>
      <c r="J393" s="17">
        <f>IFERROR(__xludf.DUMMYFUNCTION("INDEX(GOOGLEFINANCE(""NSE:""&amp;D393,""PRICE"",TODAY()-28),2,2)"),2162.25)</f>
        <v>2162.25</v>
      </c>
      <c r="K393" s="17">
        <f>IFERROR(__xludf.DUMMYFUNCTION("INDEX(GOOGLEFINANCE(""NSE:""&amp;D393,""PRICE"",TODAY()-84),2,2)"),2226.2)</f>
        <v>2226.2</v>
      </c>
      <c r="L393" s="16">
        <f t="shared" si="1"/>
        <v>0.007978295358</v>
      </c>
      <c r="M393" s="16">
        <f t="shared" si="2"/>
        <v>-0.02044464306</v>
      </c>
      <c r="N393" s="16">
        <f t="shared" si="3"/>
        <v>-0.01873447188</v>
      </c>
      <c r="O393" s="16">
        <f t="shared" si="4"/>
        <v>0.01375881605</v>
      </c>
      <c r="P393" s="16">
        <f t="shared" si="5"/>
        <v>-0.01536250112</v>
      </c>
      <c r="Q393" s="30">
        <f t="shared" si="6"/>
        <v>-0.03230310019</v>
      </c>
      <c r="R393" s="30">
        <f t="shared" si="7"/>
        <v>-0.04251882706</v>
      </c>
      <c r="S393" s="30">
        <f t="shared" si="8"/>
        <v>-0.05761338758</v>
      </c>
      <c r="T393" s="30">
        <f t="shared" si="9"/>
        <v>-0.1421553678</v>
      </c>
    </row>
    <row r="394">
      <c r="A394" s="1">
        <v>391.0</v>
      </c>
      <c r="B394" s="22" t="s">
        <v>1092</v>
      </c>
      <c r="C394" s="22" t="s">
        <v>635</v>
      </c>
      <c r="D394" s="22" t="s">
        <v>1093</v>
      </c>
      <c r="E394" s="23">
        <f>IFERROR(__xludf.DUMMYFUNCTION("GOOGLEFINANCE(""NSE:""&amp;D394,""marketcap"")/10000000"),5770.2597395)</f>
        <v>5770.25974</v>
      </c>
      <c r="F394" s="17">
        <f>IFERROR(__xludf.DUMMYFUNCTION("GOOGLEFINANCE(""NSE:""&amp;D394)"),1388.0)</f>
        <v>1388</v>
      </c>
      <c r="G394" s="17">
        <f>IFERROR(__xludf.DUMMYFUNCTION("GOOGLEFINANCE(""NSE:""&amp;D394,""closeyest"")"),1407.6)</f>
        <v>1407.6</v>
      </c>
      <c r="H394" s="17">
        <f>IFERROR(__xludf.DUMMYFUNCTION("INDEX(GOOGLEFINANCE(""NSE:""&amp;D394,""PRICE"",TODAY()-7),2,2)"),1416.9)</f>
        <v>1416.9</v>
      </c>
      <c r="I394" s="17">
        <f>IFERROR(__xludf.DUMMYFUNCTION("INDEX(GOOGLEFINANCE(""NSE:""&amp;D394,""PRICE"",TODAY()-14),2,2)"),1342.6)</f>
        <v>1342.6</v>
      </c>
      <c r="J394" s="17">
        <f>IFERROR(__xludf.DUMMYFUNCTION("INDEX(GOOGLEFINANCE(""NSE:""&amp;D394,""PRICE"",TODAY()-28),2,2)"),1298.6)</f>
        <v>1298.6</v>
      </c>
      <c r="K394" s="17">
        <f>IFERROR(__xludf.DUMMYFUNCTION("INDEX(GOOGLEFINANCE(""NSE:""&amp;D394,""PRICE"",TODAY()-84),2,2)"),1344.45)</f>
        <v>1344.45</v>
      </c>
      <c r="L394" s="16">
        <f t="shared" si="1"/>
        <v>-0.01392441034</v>
      </c>
      <c r="M394" s="16">
        <f t="shared" si="2"/>
        <v>-0.02039664055</v>
      </c>
      <c r="N394" s="16">
        <f t="shared" si="3"/>
        <v>0.03381498585</v>
      </c>
      <c r="O394" s="16">
        <f t="shared" si="4"/>
        <v>0.06884336978</v>
      </c>
      <c r="P394" s="16">
        <f t="shared" si="5"/>
        <v>0.03239242813</v>
      </c>
      <c r="Q394" s="30">
        <f t="shared" si="6"/>
        <v>-0.03225509769</v>
      </c>
      <c r="R394" s="30">
        <f t="shared" si="7"/>
        <v>0.01003063067</v>
      </c>
      <c r="S394" s="30">
        <f t="shared" si="8"/>
        <v>-0.002528833846</v>
      </c>
      <c r="T394" s="30">
        <f t="shared" si="9"/>
        <v>-0.09440043857</v>
      </c>
    </row>
    <row r="395">
      <c r="A395" s="1">
        <v>392.0</v>
      </c>
      <c r="B395" s="22" t="s">
        <v>1094</v>
      </c>
      <c r="C395" s="22" t="s">
        <v>543</v>
      </c>
      <c r="D395" s="22" t="s">
        <v>1095</v>
      </c>
      <c r="E395" s="23">
        <f>IFERROR(__xludf.DUMMYFUNCTION("GOOGLEFINANCE(""NSE:""&amp;D395,""marketcap"")/10000000"),5839.8198636)</f>
        <v>5839.819864</v>
      </c>
      <c r="F395" s="17">
        <f>IFERROR(__xludf.DUMMYFUNCTION("GOOGLEFINANCE(""NSE:""&amp;D395)"),257.7)</f>
        <v>257.7</v>
      </c>
      <c r="G395" s="17">
        <f>IFERROR(__xludf.DUMMYFUNCTION("GOOGLEFINANCE(""NSE:""&amp;D395,""closeyest"")"),256.65)</f>
        <v>256.65</v>
      </c>
      <c r="H395" s="17">
        <f>IFERROR(__xludf.DUMMYFUNCTION("INDEX(GOOGLEFINANCE(""NSE:""&amp;D395,""PRICE"",TODAY()-7),2,2)"),265.7)</f>
        <v>265.7</v>
      </c>
      <c r="I395" s="17">
        <f>IFERROR(__xludf.DUMMYFUNCTION("INDEX(GOOGLEFINANCE(""NSE:""&amp;D395,""PRICE"",TODAY()-14),2,2)"),263.95)</f>
        <v>263.95</v>
      </c>
      <c r="J395" s="17">
        <f>IFERROR(__xludf.DUMMYFUNCTION("INDEX(GOOGLEFINANCE(""NSE:""&amp;D395,""PRICE"",TODAY()-28),2,2)"),255.7)</f>
        <v>255.7</v>
      </c>
      <c r="K395" s="17">
        <f>IFERROR(__xludf.DUMMYFUNCTION("INDEX(GOOGLEFINANCE(""NSE:""&amp;D395,""PRICE"",TODAY()-84),2,2)"),248.6)</f>
        <v>248.6</v>
      </c>
      <c r="L395" s="16">
        <f t="shared" si="1"/>
        <v>0.004091174752</v>
      </c>
      <c r="M395" s="16">
        <f t="shared" si="2"/>
        <v>-0.03010914565</v>
      </c>
      <c r="N395" s="16">
        <f t="shared" si="3"/>
        <v>-0.02367872703</v>
      </c>
      <c r="O395" s="16">
        <f t="shared" si="4"/>
        <v>0.007821666015</v>
      </c>
      <c r="P395" s="16">
        <f t="shared" si="5"/>
        <v>0.03660498793</v>
      </c>
      <c r="Q395" s="30">
        <f t="shared" si="6"/>
        <v>-0.04196760279</v>
      </c>
      <c r="R395" s="30">
        <f t="shared" si="7"/>
        <v>-0.04746308221</v>
      </c>
      <c r="S395" s="30">
        <f t="shared" si="8"/>
        <v>-0.06355053761</v>
      </c>
      <c r="T395" s="30">
        <f t="shared" si="9"/>
        <v>-0.09018787876</v>
      </c>
    </row>
    <row r="396">
      <c r="A396" s="1">
        <v>393.0</v>
      </c>
      <c r="B396" s="22" t="s">
        <v>1096</v>
      </c>
      <c r="C396" s="22" t="s">
        <v>549</v>
      </c>
      <c r="D396" s="22" t="s">
        <v>1097</v>
      </c>
      <c r="E396" s="23">
        <f>IFERROR(__xludf.DUMMYFUNCTION("GOOGLEFINANCE(""NSE:""&amp;D396,""marketcap"")/10000000"),5749.997113)</f>
        <v>5749.997113</v>
      </c>
      <c r="F396" s="17">
        <f>IFERROR(__xludf.DUMMYFUNCTION("GOOGLEFINANCE(""NSE:""&amp;D396)"),620.95)</f>
        <v>620.95</v>
      </c>
      <c r="G396" s="17">
        <f>IFERROR(__xludf.DUMMYFUNCTION("GOOGLEFINANCE(""NSE:""&amp;D396,""closeyest"")"),621.6)</f>
        <v>621.6</v>
      </c>
      <c r="H396" s="17">
        <f>IFERROR(__xludf.DUMMYFUNCTION("INDEX(GOOGLEFINANCE(""NSE:""&amp;D396,""PRICE"",TODAY()-7),2,2)"),627.3)</f>
        <v>627.3</v>
      </c>
      <c r="I396" s="17">
        <f>IFERROR(__xludf.DUMMYFUNCTION("INDEX(GOOGLEFINANCE(""NSE:""&amp;D396,""PRICE"",TODAY()-14),2,2)"),606.05)</f>
        <v>606.05</v>
      </c>
      <c r="J396" s="17">
        <f>IFERROR(__xludf.DUMMYFUNCTION("INDEX(GOOGLEFINANCE(""NSE:""&amp;D396,""PRICE"",TODAY()-28),2,2)"),602.0)</f>
        <v>602</v>
      </c>
      <c r="K396" s="17">
        <f>IFERROR(__xludf.DUMMYFUNCTION("INDEX(GOOGLEFINANCE(""NSE:""&amp;D396,""PRICE"",TODAY()-84),2,2)"),729.25)</f>
        <v>729.25</v>
      </c>
      <c r="L396" s="16">
        <f t="shared" si="1"/>
        <v>-0.001045688546</v>
      </c>
      <c r="M396" s="16">
        <f t="shared" si="2"/>
        <v>-0.01012274829</v>
      </c>
      <c r="N396" s="16">
        <f t="shared" si="3"/>
        <v>0.02458543025</v>
      </c>
      <c r="O396" s="16">
        <f t="shared" si="4"/>
        <v>0.03147840532</v>
      </c>
      <c r="P396" s="16">
        <f t="shared" si="5"/>
        <v>-0.1485087419</v>
      </c>
      <c r="Q396" s="30">
        <f t="shared" si="6"/>
        <v>-0.02198120542</v>
      </c>
      <c r="R396" s="30">
        <f t="shared" si="7"/>
        <v>0.0008010750653</v>
      </c>
      <c r="S396" s="30">
        <f t="shared" si="8"/>
        <v>-0.03989379831</v>
      </c>
      <c r="T396" s="30">
        <f t="shared" si="9"/>
        <v>-0.2753016086</v>
      </c>
    </row>
    <row r="397">
      <c r="A397" s="1">
        <v>394.0</v>
      </c>
      <c r="B397" s="22" t="s">
        <v>1098</v>
      </c>
      <c r="C397" s="22" t="s">
        <v>635</v>
      </c>
      <c r="D397" s="22" t="s">
        <v>1099</v>
      </c>
      <c r="E397" s="23">
        <f>IFERROR(__xludf.DUMMYFUNCTION("GOOGLEFINANCE(""NSE:""&amp;D397,""marketcap"")/10000000"),5652.7691114)</f>
        <v>5652.769111</v>
      </c>
      <c r="F397" s="17">
        <f>IFERROR(__xludf.DUMMYFUNCTION("GOOGLEFINANCE(""NSE:""&amp;D397)"),6.4)</f>
        <v>6.4</v>
      </c>
      <c r="G397" s="17">
        <f>IFERROR(__xludf.DUMMYFUNCTION("GOOGLEFINANCE(""NSE:""&amp;D397,""closeyest"")"),6.4)</f>
        <v>6.4</v>
      </c>
      <c r="H397" s="17">
        <f>IFERROR(__xludf.DUMMYFUNCTION("INDEX(GOOGLEFINANCE(""NSE:""&amp;D397,""PRICE"",TODAY()-7),2,2)"),6.45)</f>
        <v>6.45</v>
      </c>
      <c r="I397" s="17">
        <f>IFERROR(__xludf.DUMMYFUNCTION("INDEX(GOOGLEFINANCE(""NSE:""&amp;D397,""PRICE"",TODAY()-14),2,2)"),6.25)</f>
        <v>6.25</v>
      </c>
      <c r="J397" s="17">
        <f>IFERROR(__xludf.DUMMYFUNCTION("INDEX(GOOGLEFINANCE(""NSE:""&amp;D397,""PRICE"",TODAY()-28),2,2)"),6.0)</f>
        <v>6</v>
      </c>
      <c r="K397" s="17">
        <f>IFERROR(__xludf.DUMMYFUNCTION("INDEX(GOOGLEFINANCE(""NSE:""&amp;D397,""PRICE"",TODAY()-84),2,2)"),8.8)</f>
        <v>8.8</v>
      </c>
      <c r="L397" s="16">
        <f t="shared" si="1"/>
        <v>0</v>
      </c>
      <c r="M397" s="16">
        <f t="shared" si="2"/>
        <v>-0.007751937984</v>
      </c>
      <c r="N397" s="16">
        <f t="shared" si="3"/>
        <v>0.024</v>
      </c>
      <c r="O397" s="16">
        <f t="shared" si="4"/>
        <v>0.06666666667</v>
      </c>
      <c r="P397" s="16">
        <f t="shared" si="5"/>
        <v>-0.2727272727</v>
      </c>
      <c r="Q397" s="30">
        <f t="shared" si="6"/>
        <v>-0.01961039512</v>
      </c>
      <c r="R397" s="30">
        <f t="shared" si="7"/>
        <v>0.0002156448203</v>
      </c>
      <c r="S397" s="30">
        <f t="shared" si="8"/>
        <v>-0.004705536962</v>
      </c>
      <c r="T397" s="30">
        <f t="shared" si="9"/>
        <v>-0.3995201394</v>
      </c>
    </row>
    <row r="398">
      <c r="A398" s="1">
        <v>395.0</v>
      </c>
      <c r="B398" s="22" t="s">
        <v>1100</v>
      </c>
      <c r="C398" s="22" t="s">
        <v>578</v>
      </c>
      <c r="D398" s="22" t="s">
        <v>1101</v>
      </c>
      <c r="E398" s="23">
        <f>IFERROR(__xludf.DUMMYFUNCTION("GOOGLEFINANCE(""NSE:""&amp;D398,""marketcap"")/10000000"),5598.7566333)</f>
        <v>5598.756633</v>
      </c>
      <c r="F398" s="17">
        <f>IFERROR(__xludf.DUMMYFUNCTION("GOOGLEFINANCE(""NSE:""&amp;D398)"),287.9)</f>
        <v>287.9</v>
      </c>
      <c r="G398" s="17">
        <f>IFERROR(__xludf.DUMMYFUNCTION("GOOGLEFINANCE(""NSE:""&amp;D398,""closeyest"")"),290.95)</f>
        <v>290.95</v>
      </c>
      <c r="H398" s="17">
        <f>IFERROR(__xludf.DUMMYFUNCTION("INDEX(GOOGLEFINANCE(""NSE:""&amp;D398,""PRICE"",TODAY()-7),2,2)"),291.65)</f>
        <v>291.65</v>
      </c>
      <c r="I398" s="17">
        <f>IFERROR(__xludf.DUMMYFUNCTION("INDEX(GOOGLEFINANCE(""NSE:""&amp;D398,""PRICE"",TODAY()-14),2,2)"),292.35)</f>
        <v>292.35</v>
      </c>
      <c r="J398" s="17">
        <f>IFERROR(__xludf.DUMMYFUNCTION("INDEX(GOOGLEFINANCE(""NSE:""&amp;D398,""PRICE"",TODAY()-28),2,2)"),279.4)</f>
        <v>279.4</v>
      </c>
      <c r="K398" s="17">
        <f>IFERROR(__xludf.DUMMYFUNCTION("INDEX(GOOGLEFINANCE(""NSE:""&amp;D398,""PRICE"",TODAY()-84),2,2)"),323.3)</f>
        <v>323.3</v>
      </c>
      <c r="L398" s="16">
        <f t="shared" si="1"/>
        <v>-0.01048290084</v>
      </c>
      <c r="M398" s="16">
        <f t="shared" si="2"/>
        <v>-0.01285787759</v>
      </c>
      <c r="N398" s="16">
        <f t="shared" si="3"/>
        <v>-0.0152214811</v>
      </c>
      <c r="O398" s="16">
        <f t="shared" si="4"/>
        <v>0.03042233357</v>
      </c>
      <c r="P398" s="16">
        <f t="shared" si="5"/>
        <v>-0.1094958243</v>
      </c>
      <c r="Q398" s="30">
        <f t="shared" si="6"/>
        <v>-0.02471633473</v>
      </c>
      <c r="R398" s="30">
        <f t="shared" si="7"/>
        <v>-0.03900583628</v>
      </c>
      <c r="S398" s="30">
        <f t="shared" si="8"/>
        <v>-0.04094987006</v>
      </c>
      <c r="T398" s="30">
        <f t="shared" si="9"/>
        <v>-0.236288691</v>
      </c>
    </row>
    <row r="399">
      <c r="A399" s="1">
        <v>396.0</v>
      </c>
      <c r="B399" s="22" t="s">
        <v>1102</v>
      </c>
      <c r="C399" s="22" t="s">
        <v>549</v>
      </c>
      <c r="D399" s="22" t="s">
        <v>1103</v>
      </c>
      <c r="E399" s="23">
        <f>IFERROR(__xludf.DUMMYFUNCTION("GOOGLEFINANCE(""NSE:""&amp;D399,""marketcap"")/10000000"),5516.2668894)</f>
        <v>5516.266889</v>
      </c>
      <c r="F399" s="17">
        <f>IFERROR(__xludf.DUMMYFUNCTION("GOOGLEFINANCE(""NSE:""&amp;D399)"),614.2)</f>
        <v>614.2</v>
      </c>
      <c r="G399" s="17">
        <f>IFERROR(__xludf.DUMMYFUNCTION("GOOGLEFINANCE(""NSE:""&amp;D399,""closeyest"")"),624.45)</f>
        <v>624.45</v>
      </c>
      <c r="H399" s="17">
        <f>IFERROR(__xludf.DUMMYFUNCTION("INDEX(GOOGLEFINANCE(""NSE:""&amp;D399,""PRICE"",TODAY()-7),2,2)"),609.4)</f>
        <v>609.4</v>
      </c>
      <c r="I399" s="17">
        <f>IFERROR(__xludf.DUMMYFUNCTION("INDEX(GOOGLEFINANCE(""NSE:""&amp;D399,""PRICE"",TODAY()-14),2,2)"),597.55)</f>
        <v>597.55</v>
      </c>
      <c r="J399" s="17">
        <f>IFERROR(__xludf.DUMMYFUNCTION("INDEX(GOOGLEFINANCE(""NSE:""&amp;D399,""PRICE"",TODAY()-28),2,2)"),603.2)</f>
        <v>603.2</v>
      </c>
      <c r="K399" s="17">
        <f>IFERROR(__xludf.DUMMYFUNCTION("INDEX(GOOGLEFINANCE(""NSE:""&amp;D399,""PRICE"",TODAY()-84),2,2)"),781.8)</f>
        <v>781.8</v>
      </c>
      <c r="L399" s="16">
        <f t="shared" si="1"/>
        <v>-0.01641444471</v>
      </c>
      <c r="M399" s="16">
        <f t="shared" si="2"/>
        <v>0.007876599934</v>
      </c>
      <c r="N399" s="16">
        <f t="shared" si="3"/>
        <v>0.02786377709</v>
      </c>
      <c r="O399" s="16">
        <f t="shared" si="4"/>
        <v>0.01823607427</v>
      </c>
      <c r="P399" s="16">
        <f t="shared" si="5"/>
        <v>-0.2143770785</v>
      </c>
      <c r="Q399" s="30">
        <f t="shared" si="6"/>
        <v>-0.003981857202</v>
      </c>
      <c r="R399" s="30">
        <f t="shared" si="7"/>
        <v>0.00407942191</v>
      </c>
      <c r="S399" s="30">
        <f t="shared" si="8"/>
        <v>-0.05313612936</v>
      </c>
      <c r="T399" s="30">
        <f t="shared" si="9"/>
        <v>-0.3411699452</v>
      </c>
    </row>
    <row r="400">
      <c r="A400" s="1">
        <v>397.0</v>
      </c>
      <c r="B400" s="22" t="s">
        <v>1104</v>
      </c>
      <c r="C400" s="22" t="s">
        <v>543</v>
      </c>
      <c r="D400" s="22" t="s">
        <v>1105</v>
      </c>
      <c r="E400" s="23">
        <f>IFERROR(__xludf.DUMMYFUNCTION("GOOGLEFINANCE(""NSE:""&amp;D400,""marketcap"")/10000000"),5750.140785)</f>
        <v>5750.140785</v>
      </c>
      <c r="F400" s="17">
        <f>IFERROR(__xludf.DUMMYFUNCTION("GOOGLEFINANCE(""NSE:""&amp;D400)"),185.3)</f>
        <v>185.3</v>
      </c>
      <c r="G400" s="17">
        <f>IFERROR(__xludf.DUMMYFUNCTION("GOOGLEFINANCE(""NSE:""&amp;D400,""closeyest"")"),179.75)</f>
        <v>179.75</v>
      </c>
      <c r="H400" s="17">
        <f>IFERROR(__xludf.DUMMYFUNCTION("INDEX(GOOGLEFINANCE(""NSE:""&amp;D400,""PRICE"",TODAY()-7),2,2)"),184.05)</f>
        <v>184.05</v>
      </c>
      <c r="I400" s="17">
        <f>IFERROR(__xludf.DUMMYFUNCTION("INDEX(GOOGLEFINANCE(""NSE:""&amp;D400,""PRICE"",TODAY()-14),2,2)"),178.65)</f>
        <v>178.65</v>
      </c>
      <c r="J400" s="17">
        <f>IFERROR(__xludf.DUMMYFUNCTION("INDEX(GOOGLEFINANCE(""NSE:""&amp;D400,""PRICE"",TODAY()-28),2,2)"),163.05)</f>
        <v>163.05</v>
      </c>
      <c r="K400" s="17">
        <f>IFERROR(__xludf.DUMMYFUNCTION("INDEX(GOOGLEFINANCE(""NSE:""&amp;D400,""PRICE"",TODAY()-84),2,2)"),192.55)</f>
        <v>192.55</v>
      </c>
      <c r="L400" s="16">
        <f t="shared" si="1"/>
        <v>0.03087621697</v>
      </c>
      <c r="M400" s="16">
        <f t="shared" si="2"/>
        <v>0.006791632709</v>
      </c>
      <c r="N400" s="16">
        <f t="shared" si="3"/>
        <v>0.03722362161</v>
      </c>
      <c r="O400" s="16">
        <f t="shared" si="4"/>
        <v>0.1364612082</v>
      </c>
      <c r="P400" s="16">
        <f t="shared" si="5"/>
        <v>-0.03765255778</v>
      </c>
      <c r="Q400" s="30">
        <f t="shared" si="6"/>
        <v>-0.005066824428</v>
      </c>
      <c r="R400" s="30">
        <f t="shared" si="7"/>
        <v>0.01343926643</v>
      </c>
      <c r="S400" s="30">
        <f t="shared" si="8"/>
        <v>0.06508900459</v>
      </c>
      <c r="T400" s="30">
        <f t="shared" si="9"/>
        <v>-0.1644454245</v>
      </c>
    </row>
    <row r="401">
      <c r="A401" s="1">
        <v>398.0</v>
      </c>
      <c r="B401" s="22" t="s">
        <v>1106</v>
      </c>
      <c r="C401" s="22" t="s">
        <v>526</v>
      </c>
      <c r="D401" s="22" t="s">
        <v>1107</v>
      </c>
      <c r="E401" s="23">
        <f>IFERROR(__xludf.DUMMYFUNCTION("GOOGLEFINANCE(""NSE:""&amp;D401,""marketcap"")/10000000"),5469.760384)</f>
        <v>5469.760384</v>
      </c>
      <c r="F401" s="17">
        <f>IFERROR(__xludf.DUMMYFUNCTION("GOOGLEFINANCE(""NSE:""&amp;D401)"),1052.0)</f>
        <v>1052</v>
      </c>
      <c r="G401" s="17">
        <f>IFERROR(__xludf.DUMMYFUNCTION("GOOGLEFINANCE(""NSE:""&amp;D401,""closeyest"")"),1063.1)</f>
        <v>1063.1</v>
      </c>
      <c r="H401" s="17">
        <f>IFERROR(__xludf.DUMMYFUNCTION("INDEX(GOOGLEFINANCE(""NSE:""&amp;D401,""PRICE"",TODAY()-7),2,2)"),1049.25)</f>
        <v>1049.25</v>
      </c>
      <c r="I401" s="17">
        <f>IFERROR(__xludf.DUMMYFUNCTION("INDEX(GOOGLEFINANCE(""NSE:""&amp;D401,""PRICE"",TODAY()-14),2,2)"),977.65)</f>
        <v>977.65</v>
      </c>
      <c r="J401" s="17">
        <f>IFERROR(__xludf.DUMMYFUNCTION("INDEX(GOOGLEFINANCE(""NSE:""&amp;D401,""PRICE"",TODAY()-28),2,2)"),986.75)</f>
        <v>986.75</v>
      </c>
      <c r="K401" s="17">
        <f>IFERROR(__xludf.DUMMYFUNCTION("INDEX(GOOGLEFINANCE(""NSE:""&amp;D401,""PRICE"",TODAY()-84),2,2)"),976.2)</f>
        <v>976.2</v>
      </c>
      <c r="L401" s="16">
        <f t="shared" si="1"/>
        <v>-0.01044116264</v>
      </c>
      <c r="M401" s="16">
        <f t="shared" si="2"/>
        <v>0.002620919705</v>
      </c>
      <c r="N401" s="16">
        <f t="shared" si="3"/>
        <v>0.07604971104</v>
      </c>
      <c r="O401" s="16">
        <f t="shared" si="4"/>
        <v>0.06612617178</v>
      </c>
      <c r="P401" s="16">
        <f t="shared" si="5"/>
        <v>0.07764802295</v>
      </c>
      <c r="Q401" s="30">
        <f t="shared" si="6"/>
        <v>-0.009237537432</v>
      </c>
      <c r="R401" s="30">
        <f t="shared" si="7"/>
        <v>0.05226535586</v>
      </c>
      <c r="S401" s="30">
        <f t="shared" si="8"/>
        <v>-0.005246031853</v>
      </c>
      <c r="T401" s="30">
        <f t="shared" si="9"/>
        <v>-0.04914484375</v>
      </c>
    </row>
    <row r="402">
      <c r="A402" s="1">
        <v>399.0</v>
      </c>
      <c r="B402" s="22" t="s">
        <v>1108</v>
      </c>
      <c r="C402" s="22" t="s">
        <v>524</v>
      </c>
      <c r="D402" s="22" t="s">
        <v>1109</v>
      </c>
      <c r="E402" s="23">
        <f>IFERROR(__xludf.DUMMYFUNCTION("GOOGLEFINANCE(""NSE:""&amp;D402,""marketcap"")/10000000"),5670.578025)</f>
        <v>5670.578025</v>
      </c>
      <c r="F402" s="17">
        <f>IFERROR(__xludf.DUMMYFUNCTION("GOOGLEFINANCE(""NSE:""&amp;D402)"),42.8)</f>
        <v>42.8</v>
      </c>
      <c r="G402" s="17">
        <f>IFERROR(__xludf.DUMMYFUNCTION("GOOGLEFINANCE(""NSE:""&amp;D402,""closeyest"")"),41.55)</f>
        <v>41.55</v>
      </c>
      <c r="H402" s="17">
        <f>IFERROR(__xludf.DUMMYFUNCTION("INDEX(GOOGLEFINANCE(""NSE:""&amp;D402,""PRICE"",TODAY()-7),2,2)"),42.15)</f>
        <v>42.15</v>
      </c>
      <c r="I402" s="17">
        <f>IFERROR(__xludf.DUMMYFUNCTION("INDEX(GOOGLEFINANCE(""NSE:""&amp;D402,""PRICE"",TODAY()-14),2,2)"),46.05)</f>
        <v>46.05</v>
      </c>
      <c r="J402" s="17">
        <f>IFERROR(__xludf.DUMMYFUNCTION("INDEX(GOOGLEFINANCE(""NSE:""&amp;D402,""PRICE"",TODAY()-28),2,2)"),40.15)</f>
        <v>40.15</v>
      </c>
      <c r="K402" s="17">
        <f>IFERROR(__xludf.DUMMYFUNCTION("INDEX(GOOGLEFINANCE(""NSE:""&amp;D402,""PRICE"",TODAY()-84),2,2)"),50.65)</f>
        <v>50.65</v>
      </c>
      <c r="L402" s="16">
        <f t="shared" si="1"/>
        <v>0.03008423586</v>
      </c>
      <c r="M402" s="16">
        <f t="shared" si="2"/>
        <v>0.01542111507</v>
      </c>
      <c r="N402" s="16">
        <f t="shared" si="3"/>
        <v>-0.07057546145</v>
      </c>
      <c r="O402" s="16">
        <f t="shared" si="4"/>
        <v>0.06600249066</v>
      </c>
      <c r="P402" s="16">
        <f t="shared" si="5"/>
        <v>-0.1549851925</v>
      </c>
      <c r="Q402" s="30">
        <f t="shared" si="6"/>
        <v>0.003562657929</v>
      </c>
      <c r="R402" s="30">
        <f t="shared" si="7"/>
        <v>-0.09435981663</v>
      </c>
      <c r="S402" s="30">
        <f t="shared" si="8"/>
        <v>-0.005369712969</v>
      </c>
      <c r="T402" s="30">
        <f t="shared" si="9"/>
        <v>-0.2817780592</v>
      </c>
    </row>
    <row r="403">
      <c r="A403" s="1">
        <v>400.0</v>
      </c>
      <c r="B403" s="22" t="s">
        <v>1110</v>
      </c>
      <c r="C403" s="22" t="s">
        <v>712</v>
      </c>
      <c r="D403" s="22" t="s">
        <v>1111</v>
      </c>
      <c r="E403" s="23">
        <f>IFERROR(__xludf.DUMMYFUNCTION("GOOGLEFINANCE(""NSE:""&amp;D403,""marketcap"")/10000000"),5433.5700647)</f>
        <v>5433.570065</v>
      </c>
      <c r="F403" s="17">
        <f>IFERROR(__xludf.DUMMYFUNCTION("GOOGLEFINANCE(""NSE:""&amp;D403)"),51.85)</f>
        <v>51.85</v>
      </c>
      <c r="G403" s="17">
        <f>IFERROR(__xludf.DUMMYFUNCTION("GOOGLEFINANCE(""NSE:""&amp;D403,""closeyest"")"),52.6)</f>
        <v>52.6</v>
      </c>
      <c r="H403" s="17">
        <f>IFERROR(__xludf.DUMMYFUNCTION("INDEX(GOOGLEFINANCE(""NSE:""&amp;D403,""PRICE"",TODAY()-7),2,2)"),50.8)</f>
        <v>50.8</v>
      </c>
      <c r="I403" s="17">
        <f>IFERROR(__xludf.DUMMYFUNCTION("INDEX(GOOGLEFINANCE(""NSE:""&amp;D403,""PRICE"",TODAY()-14),2,2)"),50.8)</f>
        <v>50.8</v>
      </c>
      <c r="J403" s="17">
        <f>IFERROR(__xludf.DUMMYFUNCTION("INDEX(GOOGLEFINANCE(""NSE:""&amp;D403,""PRICE"",TODAY()-28),2,2)"),49.0)</f>
        <v>49</v>
      </c>
      <c r="K403" s="17">
        <f>IFERROR(__xludf.DUMMYFUNCTION("INDEX(GOOGLEFINANCE(""NSE:""&amp;D403,""PRICE"",TODAY()-84),2,2)"),50.65)</f>
        <v>50.65</v>
      </c>
      <c r="L403" s="16">
        <f t="shared" si="1"/>
        <v>-0.01425855513</v>
      </c>
      <c r="M403" s="16">
        <f t="shared" si="2"/>
        <v>0.02066929134</v>
      </c>
      <c r="N403" s="16">
        <f t="shared" si="3"/>
        <v>0.02066929134</v>
      </c>
      <c r="O403" s="16">
        <f t="shared" si="4"/>
        <v>0.05816326531</v>
      </c>
      <c r="P403" s="16">
        <f t="shared" si="5"/>
        <v>0.02369200395</v>
      </c>
      <c r="Q403" s="30">
        <f t="shared" si="6"/>
        <v>0.008810834202</v>
      </c>
      <c r="R403" s="30">
        <f t="shared" si="7"/>
        <v>-0.003115063841</v>
      </c>
      <c r="S403" s="30">
        <f t="shared" si="8"/>
        <v>-0.01320893832</v>
      </c>
      <c r="T403" s="30">
        <f t="shared" si="9"/>
        <v>-0.1031008627</v>
      </c>
    </row>
    <row r="404">
      <c r="A404" s="1">
        <v>401.0</v>
      </c>
      <c r="B404" s="22" t="s">
        <v>1112</v>
      </c>
      <c r="C404" s="22" t="s">
        <v>545</v>
      </c>
      <c r="D404" s="22" t="s">
        <v>1113</v>
      </c>
      <c r="E404" s="23">
        <f>IFERROR(__xludf.DUMMYFUNCTION("GOOGLEFINANCE(""NSE:""&amp;D404,""marketcap"")/10000000"),5515.984168)</f>
        <v>5515.984168</v>
      </c>
      <c r="F404" s="17">
        <f>IFERROR(__xludf.DUMMYFUNCTION("GOOGLEFINANCE(""NSE:""&amp;D404)"),1360.2)</f>
        <v>1360.2</v>
      </c>
      <c r="G404" s="17">
        <f>IFERROR(__xludf.DUMMYFUNCTION("GOOGLEFINANCE(""NSE:""&amp;D404,""closeyest"")"),1361.4)</f>
        <v>1361.4</v>
      </c>
      <c r="H404" s="17">
        <f>IFERROR(__xludf.DUMMYFUNCTION("INDEX(GOOGLEFINANCE(""NSE:""&amp;D404,""PRICE"",TODAY()-7),2,2)"),1322.05)</f>
        <v>1322.05</v>
      </c>
      <c r="I404" s="17">
        <f>IFERROR(__xludf.DUMMYFUNCTION("INDEX(GOOGLEFINANCE(""NSE:""&amp;D404,""PRICE"",TODAY()-14),2,2)"),1309.05)</f>
        <v>1309.05</v>
      </c>
      <c r="J404" s="17">
        <f>IFERROR(__xludf.DUMMYFUNCTION("INDEX(GOOGLEFINANCE(""NSE:""&amp;D404,""PRICE"",TODAY()-28),2,2)"),1285.65)</f>
        <v>1285.65</v>
      </c>
      <c r="K404" s="17">
        <f>IFERROR(__xludf.DUMMYFUNCTION("INDEX(GOOGLEFINANCE(""NSE:""&amp;D404,""PRICE"",TODAY()-84),2,2)"),1357.45)</f>
        <v>1357.45</v>
      </c>
      <c r="L404" s="16">
        <f t="shared" si="1"/>
        <v>-0.0008814455707</v>
      </c>
      <c r="M404" s="16">
        <f t="shared" si="2"/>
        <v>0.02885669982</v>
      </c>
      <c r="N404" s="16">
        <f t="shared" si="3"/>
        <v>0.03907413773</v>
      </c>
      <c r="O404" s="16">
        <f t="shared" si="4"/>
        <v>0.05798623264</v>
      </c>
      <c r="P404" s="16">
        <f t="shared" si="5"/>
        <v>0.002025857306</v>
      </c>
      <c r="Q404" s="30">
        <f t="shared" si="6"/>
        <v>0.01699824269</v>
      </c>
      <c r="R404" s="30">
        <f t="shared" si="7"/>
        <v>0.01528978255</v>
      </c>
      <c r="S404" s="30">
        <f t="shared" si="8"/>
        <v>-0.01338597098</v>
      </c>
      <c r="T404" s="30">
        <f t="shared" si="9"/>
        <v>-0.1247670094</v>
      </c>
    </row>
    <row r="405">
      <c r="A405" s="1">
        <v>402.0</v>
      </c>
      <c r="B405" s="22" t="s">
        <v>1114</v>
      </c>
      <c r="C405" s="22" t="s">
        <v>635</v>
      </c>
      <c r="D405" s="22" t="s">
        <v>1115</v>
      </c>
      <c r="E405" s="23">
        <f>IFERROR(__xludf.DUMMYFUNCTION("GOOGLEFINANCE(""NSE:""&amp;D405,""marketcap"")/10000000"),5481.0644143)</f>
        <v>5481.064414</v>
      </c>
      <c r="F405" s="17">
        <f>IFERROR(__xludf.DUMMYFUNCTION("GOOGLEFINANCE(""NSE:""&amp;D405)"),1752.0)</f>
        <v>1752</v>
      </c>
      <c r="G405" s="17">
        <f>IFERROR(__xludf.DUMMYFUNCTION("GOOGLEFINANCE(""NSE:""&amp;D405,""closeyest"")"),1726.75)</f>
        <v>1726.75</v>
      </c>
      <c r="H405" s="17">
        <f>IFERROR(__xludf.DUMMYFUNCTION("INDEX(GOOGLEFINANCE(""NSE:""&amp;D405,""PRICE"",TODAY()-7),2,2)"),1743.4)</f>
        <v>1743.4</v>
      </c>
      <c r="I405" s="17">
        <f>IFERROR(__xludf.DUMMYFUNCTION("INDEX(GOOGLEFINANCE(""NSE:""&amp;D405,""PRICE"",TODAY()-14),2,2)"),1747.15)</f>
        <v>1747.15</v>
      </c>
      <c r="J405" s="17">
        <f>IFERROR(__xludf.DUMMYFUNCTION("INDEX(GOOGLEFINANCE(""NSE:""&amp;D405,""PRICE"",TODAY()-28),2,2)"),1479.8)</f>
        <v>1479.8</v>
      </c>
      <c r="K405" s="17">
        <f>IFERROR(__xludf.DUMMYFUNCTION("INDEX(GOOGLEFINANCE(""NSE:""&amp;D405,""PRICE"",TODAY()-84),2,2)"),1384.45)</f>
        <v>1384.45</v>
      </c>
      <c r="L405" s="16">
        <f t="shared" si="1"/>
        <v>0.01462284639</v>
      </c>
      <c r="M405" s="16">
        <f t="shared" si="2"/>
        <v>0.004932889756</v>
      </c>
      <c r="N405" s="16">
        <f t="shared" si="3"/>
        <v>0.002775949403</v>
      </c>
      <c r="O405" s="16">
        <f t="shared" si="4"/>
        <v>0.1839437762</v>
      </c>
      <c r="P405" s="16">
        <f t="shared" si="5"/>
        <v>0.2654844884</v>
      </c>
      <c r="Q405" s="30">
        <f t="shared" si="6"/>
        <v>-0.006925567381</v>
      </c>
      <c r="R405" s="30">
        <f t="shared" si="7"/>
        <v>-0.02100840578</v>
      </c>
      <c r="S405" s="30">
        <f t="shared" si="8"/>
        <v>0.1125715726</v>
      </c>
      <c r="T405" s="30">
        <f t="shared" si="9"/>
        <v>0.1386916217</v>
      </c>
    </row>
    <row r="406">
      <c r="A406" s="1">
        <v>403.0</v>
      </c>
      <c r="B406" s="22" t="s">
        <v>1116</v>
      </c>
      <c r="C406" s="22" t="s">
        <v>555</v>
      </c>
      <c r="D406" s="22" t="s">
        <v>1117</v>
      </c>
      <c r="E406" s="23">
        <f>IFERROR(__xludf.DUMMYFUNCTION("GOOGLEFINANCE(""NSE:""&amp;D406,""marketcap"")/10000000"),5354.0100003)</f>
        <v>5354.01</v>
      </c>
      <c r="F406" s="17">
        <f>IFERROR(__xludf.DUMMYFUNCTION("GOOGLEFINANCE(""NSE:""&amp;D406)"),365.0)</f>
        <v>365</v>
      </c>
      <c r="G406" s="17">
        <f>IFERROR(__xludf.DUMMYFUNCTION("GOOGLEFINANCE(""NSE:""&amp;D406,""closeyest"")"),367.95)</f>
        <v>367.95</v>
      </c>
      <c r="H406" s="17">
        <f>IFERROR(__xludf.DUMMYFUNCTION("INDEX(GOOGLEFINANCE(""NSE:""&amp;D406,""PRICE"",TODAY()-7),2,2)"),376.2)</f>
        <v>376.2</v>
      </c>
      <c r="I406" s="17">
        <f>IFERROR(__xludf.DUMMYFUNCTION("INDEX(GOOGLEFINANCE(""NSE:""&amp;D406,""PRICE"",TODAY()-14),2,2)"),363.1)</f>
        <v>363.1</v>
      </c>
      <c r="J406" s="17">
        <f>IFERROR(__xludf.DUMMYFUNCTION("INDEX(GOOGLEFINANCE(""NSE:""&amp;D406,""PRICE"",TODAY()-28),2,2)"),334.6)</f>
        <v>334.6</v>
      </c>
      <c r="K406" s="17">
        <f>IFERROR(__xludf.DUMMYFUNCTION("INDEX(GOOGLEFINANCE(""NSE:""&amp;D406,""PRICE"",TODAY()-84),2,2)"),383.9)</f>
        <v>383.9</v>
      </c>
      <c r="L406" s="16">
        <f t="shared" si="1"/>
        <v>-0.008017393668</v>
      </c>
      <c r="M406" s="16">
        <f t="shared" si="2"/>
        <v>-0.02977139819</v>
      </c>
      <c r="N406" s="16">
        <f t="shared" si="3"/>
        <v>0.005232718259</v>
      </c>
      <c r="O406" s="16">
        <f t="shared" si="4"/>
        <v>0.09085475194</v>
      </c>
      <c r="P406" s="16">
        <f t="shared" si="5"/>
        <v>-0.04923157072</v>
      </c>
      <c r="Q406" s="30">
        <f t="shared" si="6"/>
        <v>-0.04162985533</v>
      </c>
      <c r="R406" s="30">
        <f t="shared" si="7"/>
        <v>-0.01855163692</v>
      </c>
      <c r="S406" s="30">
        <f t="shared" si="8"/>
        <v>0.01948254831</v>
      </c>
      <c r="T406" s="30">
        <f t="shared" si="9"/>
        <v>-0.1760244374</v>
      </c>
    </row>
    <row r="407">
      <c r="A407" s="1">
        <v>404.0</v>
      </c>
      <c r="B407" s="22" t="s">
        <v>1118</v>
      </c>
      <c r="C407" s="22" t="s">
        <v>555</v>
      </c>
      <c r="D407" s="22" t="s">
        <v>1119</v>
      </c>
      <c r="E407" s="23">
        <f>IFERROR(__xludf.DUMMYFUNCTION("GOOGLEFINANCE(""NSE:""&amp;D407,""marketcap"")/10000000"),5410.2610898)</f>
        <v>5410.26109</v>
      </c>
      <c r="F407" s="17">
        <f>IFERROR(__xludf.DUMMYFUNCTION("GOOGLEFINANCE(""NSE:""&amp;D407)"),116.0)</f>
        <v>116</v>
      </c>
      <c r="G407" s="17">
        <f>IFERROR(__xludf.DUMMYFUNCTION("GOOGLEFINANCE(""NSE:""&amp;D407,""closeyest"")"),115.75)</f>
        <v>115.75</v>
      </c>
      <c r="H407" s="17">
        <f>IFERROR(__xludf.DUMMYFUNCTION("INDEX(GOOGLEFINANCE(""NSE:""&amp;D407,""PRICE"",TODAY()-7),2,2)"),112.05)</f>
        <v>112.05</v>
      </c>
      <c r="I407" s="17">
        <f>IFERROR(__xludf.DUMMYFUNCTION("INDEX(GOOGLEFINANCE(""NSE:""&amp;D407,""PRICE"",TODAY()-14),2,2)"),115.1)</f>
        <v>115.1</v>
      </c>
      <c r="J407" s="17">
        <f>IFERROR(__xludf.DUMMYFUNCTION("INDEX(GOOGLEFINANCE(""NSE:""&amp;D407,""PRICE"",TODAY()-28),2,2)"),106.7)</f>
        <v>106.7</v>
      </c>
      <c r="K407" s="17">
        <f>IFERROR(__xludf.DUMMYFUNCTION("INDEX(GOOGLEFINANCE(""NSE:""&amp;D407,""PRICE"",TODAY()-84),2,2)"),109.15)</f>
        <v>109.15</v>
      </c>
      <c r="L407" s="16">
        <f t="shared" si="1"/>
        <v>0.002159827214</v>
      </c>
      <c r="M407" s="16">
        <f t="shared" si="2"/>
        <v>0.03525211959</v>
      </c>
      <c r="N407" s="16">
        <f t="shared" si="3"/>
        <v>0.007819287576</v>
      </c>
      <c r="O407" s="16">
        <f t="shared" si="4"/>
        <v>0.08716026242</v>
      </c>
      <c r="P407" s="16">
        <f t="shared" si="5"/>
        <v>0.06275767293</v>
      </c>
      <c r="Q407" s="30">
        <f t="shared" si="6"/>
        <v>0.02339366245</v>
      </c>
      <c r="R407" s="30">
        <f t="shared" si="7"/>
        <v>-0.0159650676</v>
      </c>
      <c r="S407" s="30">
        <f t="shared" si="8"/>
        <v>0.01578805879</v>
      </c>
      <c r="T407" s="30">
        <f t="shared" si="9"/>
        <v>-0.06403519377</v>
      </c>
    </row>
    <row r="408">
      <c r="A408" s="1">
        <v>405.0</v>
      </c>
      <c r="B408" s="22" t="s">
        <v>1120</v>
      </c>
      <c r="C408" s="22" t="s">
        <v>555</v>
      </c>
      <c r="D408" s="22" t="s">
        <v>1121</v>
      </c>
      <c r="E408" s="23">
        <f>IFERROR(__xludf.DUMMYFUNCTION("GOOGLEFINANCE(""NSE:""&amp;D408,""marketcap"")/10000000"),5255.32016)</f>
        <v>5255.32016</v>
      </c>
      <c r="F408" s="17">
        <f>IFERROR(__xludf.DUMMYFUNCTION("GOOGLEFINANCE(""NSE:""&amp;D408)"),727.0)</f>
        <v>727</v>
      </c>
      <c r="G408" s="17">
        <f>IFERROR(__xludf.DUMMYFUNCTION("GOOGLEFINANCE(""NSE:""&amp;D408,""closeyest"")"),741.7)</f>
        <v>741.7</v>
      </c>
      <c r="H408" s="17">
        <f>IFERROR(__xludf.DUMMYFUNCTION("INDEX(GOOGLEFINANCE(""NSE:""&amp;D408,""PRICE"",TODAY()-7),2,2)"),727.4)</f>
        <v>727.4</v>
      </c>
      <c r="I408" s="17">
        <f>IFERROR(__xludf.DUMMYFUNCTION("INDEX(GOOGLEFINANCE(""NSE:""&amp;D408,""PRICE"",TODAY()-14),2,2)"),707.55)</f>
        <v>707.55</v>
      </c>
      <c r="J408" s="17">
        <f>IFERROR(__xludf.DUMMYFUNCTION("INDEX(GOOGLEFINANCE(""NSE:""&amp;D408,""PRICE"",TODAY()-28),2,2)"),766.1)</f>
        <v>766.1</v>
      </c>
      <c r="K408" s="17">
        <f>IFERROR(__xludf.DUMMYFUNCTION("INDEX(GOOGLEFINANCE(""NSE:""&amp;D408,""PRICE"",TODAY()-84),2,2)"),560.6)</f>
        <v>560.6</v>
      </c>
      <c r="L408" s="16">
        <f t="shared" si="1"/>
        <v>-0.01981933396</v>
      </c>
      <c r="M408" s="16">
        <f t="shared" si="2"/>
        <v>-0.0005499037668</v>
      </c>
      <c r="N408" s="16">
        <f t="shared" si="3"/>
        <v>0.02748922338</v>
      </c>
      <c r="O408" s="16">
        <f t="shared" si="4"/>
        <v>-0.05103772353</v>
      </c>
      <c r="P408" s="16">
        <f t="shared" si="5"/>
        <v>0.2968248305</v>
      </c>
      <c r="Q408" s="30">
        <f t="shared" si="6"/>
        <v>-0.0124083609</v>
      </c>
      <c r="R408" s="30">
        <f t="shared" si="7"/>
        <v>0.003704868197</v>
      </c>
      <c r="S408" s="30">
        <f t="shared" si="8"/>
        <v>-0.1224099272</v>
      </c>
      <c r="T408" s="30">
        <f t="shared" si="9"/>
        <v>0.1700319638</v>
      </c>
    </row>
    <row r="409">
      <c r="A409" s="1">
        <v>406.0</v>
      </c>
      <c r="B409" s="22" t="s">
        <v>1122</v>
      </c>
      <c r="C409" s="22" t="s">
        <v>549</v>
      </c>
      <c r="D409" s="22" t="s">
        <v>1123</v>
      </c>
      <c r="E409" s="23">
        <f>IFERROR(__xludf.DUMMYFUNCTION("GOOGLEFINANCE(""NSE:""&amp;D409,""marketcap"")/10000000"),5374.24718)</f>
        <v>5374.24718</v>
      </c>
      <c r="F409" s="17">
        <f>IFERROR(__xludf.DUMMYFUNCTION("GOOGLEFINANCE(""NSE:""&amp;D409)"),217.3)</f>
        <v>217.3</v>
      </c>
      <c r="G409" s="17">
        <f>IFERROR(__xludf.DUMMYFUNCTION("GOOGLEFINANCE(""NSE:""&amp;D409,""closeyest"")"),213.6)</f>
        <v>213.6</v>
      </c>
      <c r="H409" s="17">
        <f>IFERROR(__xludf.DUMMYFUNCTION("INDEX(GOOGLEFINANCE(""NSE:""&amp;D409,""PRICE"",TODAY()-7),2,2)"),218.8)</f>
        <v>218.8</v>
      </c>
      <c r="I409" s="17">
        <f>IFERROR(__xludf.DUMMYFUNCTION("INDEX(GOOGLEFINANCE(""NSE:""&amp;D409,""PRICE"",TODAY()-14),2,2)"),232.5)</f>
        <v>232.5</v>
      </c>
      <c r="J409" s="17">
        <f>IFERROR(__xludf.DUMMYFUNCTION("INDEX(GOOGLEFINANCE(""NSE:""&amp;D409,""PRICE"",TODAY()-28),2,2)"),233.45)</f>
        <v>233.45</v>
      </c>
      <c r="K409" s="17">
        <f>IFERROR(__xludf.DUMMYFUNCTION("INDEX(GOOGLEFINANCE(""NSE:""&amp;D409,""PRICE"",TODAY()-84),2,2)"),286.4)</f>
        <v>286.4</v>
      </c>
      <c r="L409" s="16">
        <f t="shared" si="1"/>
        <v>0.01732209738</v>
      </c>
      <c r="M409" s="16">
        <f t="shared" si="2"/>
        <v>-0.006855575868</v>
      </c>
      <c r="N409" s="16">
        <f t="shared" si="3"/>
        <v>-0.06537634409</v>
      </c>
      <c r="O409" s="16">
        <f t="shared" si="4"/>
        <v>-0.06917969587</v>
      </c>
      <c r="P409" s="16">
        <f t="shared" si="5"/>
        <v>-0.2412709497</v>
      </c>
      <c r="Q409" s="30">
        <f t="shared" si="6"/>
        <v>-0.018714033</v>
      </c>
      <c r="R409" s="30">
        <f t="shared" si="7"/>
        <v>-0.08916069927</v>
      </c>
      <c r="S409" s="30">
        <f t="shared" si="8"/>
        <v>-0.1405518995</v>
      </c>
      <c r="T409" s="30">
        <f t="shared" si="9"/>
        <v>-0.3680638164</v>
      </c>
    </row>
    <row r="410">
      <c r="A410" s="1">
        <v>407.0</v>
      </c>
      <c r="B410" s="22" t="s">
        <v>1124</v>
      </c>
      <c r="C410" s="22" t="s">
        <v>528</v>
      </c>
      <c r="D410" s="22" t="s">
        <v>1125</v>
      </c>
      <c r="E410" s="23">
        <f>IFERROR(__xludf.DUMMYFUNCTION("GOOGLEFINANCE(""NSE:""&amp;D410,""marketcap"")/10000000"),5425.137432)</f>
        <v>5425.137432</v>
      </c>
      <c r="F410" s="17">
        <f>IFERROR(__xludf.DUMMYFUNCTION("GOOGLEFINANCE(""NSE:""&amp;D410)"),4747.0)</f>
        <v>4747</v>
      </c>
      <c r="G410" s="17">
        <f>IFERROR(__xludf.DUMMYFUNCTION("GOOGLEFINANCE(""NSE:""&amp;D410,""closeyest"")"),4600.6)</f>
        <v>4600.6</v>
      </c>
      <c r="H410" s="17">
        <f>IFERROR(__xludf.DUMMYFUNCTION("INDEX(GOOGLEFINANCE(""NSE:""&amp;D410,""PRICE"",TODAY()-7),2,2)"),4431.75)</f>
        <v>4431.75</v>
      </c>
      <c r="I410" s="17">
        <f>IFERROR(__xludf.DUMMYFUNCTION("INDEX(GOOGLEFINANCE(""NSE:""&amp;D410,""PRICE"",TODAY()-14),2,2)"),4446.75)</f>
        <v>4446.75</v>
      </c>
      <c r="J410" s="17">
        <f>IFERROR(__xludf.DUMMYFUNCTION("INDEX(GOOGLEFINANCE(""NSE:""&amp;D410,""PRICE"",TODAY()-28),2,2)"),4352.2)</f>
        <v>4352.2</v>
      </c>
      <c r="K410" s="17">
        <f>IFERROR(__xludf.DUMMYFUNCTION("INDEX(GOOGLEFINANCE(""NSE:""&amp;D410,""PRICE"",TODAY()-84),2,2)"),3800.65)</f>
        <v>3800.65</v>
      </c>
      <c r="L410" s="16">
        <f t="shared" si="1"/>
        <v>0.03182193627</v>
      </c>
      <c r="M410" s="16">
        <f t="shared" si="2"/>
        <v>0.07113442771</v>
      </c>
      <c r="N410" s="16">
        <f t="shared" si="3"/>
        <v>0.06752122337</v>
      </c>
      <c r="O410" s="16">
        <f t="shared" si="4"/>
        <v>0.09071274298</v>
      </c>
      <c r="P410" s="16">
        <f t="shared" si="5"/>
        <v>0.2489968821</v>
      </c>
      <c r="Q410" s="30">
        <f t="shared" si="6"/>
        <v>0.05927597057</v>
      </c>
      <c r="R410" s="30">
        <f t="shared" si="7"/>
        <v>0.04373686819</v>
      </c>
      <c r="S410" s="30">
        <f t="shared" si="8"/>
        <v>0.01934053935</v>
      </c>
      <c r="T410" s="30">
        <f t="shared" si="9"/>
        <v>0.1222040154</v>
      </c>
    </row>
    <row r="411">
      <c r="A411" s="1">
        <v>408.0</v>
      </c>
      <c r="B411" s="22" t="s">
        <v>1126</v>
      </c>
      <c r="C411" s="22" t="s">
        <v>528</v>
      </c>
      <c r="D411" s="22" t="s">
        <v>1127</v>
      </c>
      <c r="E411" s="23">
        <f>IFERROR(__xludf.DUMMYFUNCTION("GOOGLEFINANCE(""NSE:""&amp;D411,""marketcap"")/10000000"),5326.37469)</f>
        <v>5326.37469</v>
      </c>
      <c r="F411" s="17">
        <f>IFERROR(__xludf.DUMMYFUNCTION("GOOGLEFINANCE(""NSE:""&amp;D411)"),1183.0)</f>
        <v>1183</v>
      </c>
      <c r="G411" s="17">
        <f>IFERROR(__xludf.DUMMYFUNCTION("GOOGLEFINANCE(""NSE:""&amp;D411,""closeyest"")"),1170.2)</f>
        <v>1170.2</v>
      </c>
      <c r="H411" s="17">
        <f>IFERROR(__xludf.DUMMYFUNCTION("INDEX(GOOGLEFINANCE(""NSE:""&amp;D411,""PRICE"",TODAY()-7),2,2)"),1189.3)</f>
        <v>1189.3</v>
      </c>
      <c r="I411" s="17">
        <f>IFERROR(__xludf.DUMMYFUNCTION("INDEX(GOOGLEFINANCE(""NSE:""&amp;D411,""PRICE"",TODAY()-14),2,2)"),1228.05)</f>
        <v>1228.05</v>
      </c>
      <c r="J411" s="17">
        <f>IFERROR(__xludf.DUMMYFUNCTION("INDEX(GOOGLEFINANCE(""NSE:""&amp;D411,""PRICE"",TODAY()-28),2,2)"),1098.9)</f>
        <v>1098.9</v>
      </c>
      <c r="K411" s="17">
        <f>IFERROR(__xludf.DUMMYFUNCTION("INDEX(GOOGLEFINANCE(""NSE:""&amp;D411,""PRICE"",TODAY()-84),2,2)"),958.1)</f>
        <v>958.1</v>
      </c>
      <c r="L411" s="16">
        <f t="shared" si="1"/>
        <v>0.01093830115</v>
      </c>
      <c r="M411" s="16">
        <f t="shared" si="2"/>
        <v>-0.005297233667</v>
      </c>
      <c r="N411" s="16">
        <f t="shared" si="3"/>
        <v>-0.0366841741</v>
      </c>
      <c r="O411" s="16">
        <f t="shared" si="4"/>
        <v>0.07653107653</v>
      </c>
      <c r="P411" s="16">
        <f t="shared" si="5"/>
        <v>0.2347354138</v>
      </c>
      <c r="Q411" s="30">
        <f t="shared" si="6"/>
        <v>-0.0171556908</v>
      </c>
      <c r="R411" s="30">
        <f t="shared" si="7"/>
        <v>-0.06046852928</v>
      </c>
      <c r="S411" s="30">
        <f t="shared" si="8"/>
        <v>0.005158872902</v>
      </c>
      <c r="T411" s="30">
        <f t="shared" si="9"/>
        <v>0.1079425471</v>
      </c>
    </row>
    <row r="412">
      <c r="A412" s="1">
        <v>409.0</v>
      </c>
      <c r="B412" s="22" t="s">
        <v>1128</v>
      </c>
      <c r="C412" s="22" t="s">
        <v>526</v>
      </c>
      <c r="D412" s="22" t="s">
        <v>1129</v>
      </c>
      <c r="E412" s="23">
        <f>IFERROR(__xludf.DUMMYFUNCTION("GOOGLEFINANCE(""NSE:""&amp;D412,""marketcap"")/10000000"),5323.8299503)</f>
        <v>5323.82995</v>
      </c>
      <c r="F412" s="17">
        <f>IFERROR(__xludf.DUMMYFUNCTION("GOOGLEFINANCE(""NSE:""&amp;D412)"),3447.65)</f>
        <v>3447.65</v>
      </c>
      <c r="G412" s="17">
        <f>IFERROR(__xludf.DUMMYFUNCTION("GOOGLEFINANCE(""NSE:""&amp;D412,""closeyest"")"),3412.0)</f>
        <v>3412</v>
      </c>
      <c r="H412" s="17">
        <f>IFERROR(__xludf.DUMMYFUNCTION("INDEX(GOOGLEFINANCE(""NSE:""&amp;D412,""PRICE"",TODAY()-7),2,2)"),3478.2)</f>
        <v>3478.2</v>
      </c>
      <c r="I412" s="17">
        <f>IFERROR(__xludf.DUMMYFUNCTION("INDEX(GOOGLEFINANCE(""NSE:""&amp;D412,""PRICE"",TODAY()-14),2,2)"),3424.5)</f>
        <v>3424.5</v>
      </c>
      <c r="J412" s="17">
        <f>IFERROR(__xludf.DUMMYFUNCTION("INDEX(GOOGLEFINANCE(""NSE:""&amp;D412,""PRICE"",TODAY()-28),2,2)"),3352.7)</f>
        <v>3352.7</v>
      </c>
      <c r="K412" s="17">
        <f>IFERROR(__xludf.DUMMYFUNCTION("INDEX(GOOGLEFINANCE(""NSE:""&amp;D412,""PRICE"",TODAY()-84),2,2)"),3616.4)</f>
        <v>3616.4</v>
      </c>
      <c r="L412" s="16">
        <f t="shared" si="1"/>
        <v>0.01044841735</v>
      </c>
      <c r="M412" s="16">
        <f t="shared" si="2"/>
        <v>-0.008783278707</v>
      </c>
      <c r="N412" s="16">
        <f t="shared" si="3"/>
        <v>0.006760110965</v>
      </c>
      <c r="O412" s="16">
        <f t="shared" si="4"/>
        <v>0.02832045814</v>
      </c>
      <c r="P412" s="16">
        <f t="shared" si="5"/>
        <v>-0.04666242672</v>
      </c>
      <c r="Q412" s="30">
        <f t="shared" si="6"/>
        <v>-0.02064173584</v>
      </c>
      <c r="R412" s="30">
        <f t="shared" si="7"/>
        <v>-0.01702424421</v>
      </c>
      <c r="S412" s="30">
        <f t="shared" si="8"/>
        <v>-0.04305174549</v>
      </c>
      <c r="T412" s="30">
        <f t="shared" si="9"/>
        <v>-0.1734552934</v>
      </c>
    </row>
    <row r="413">
      <c r="A413" s="1">
        <v>410.0</v>
      </c>
      <c r="B413" s="22" t="s">
        <v>1130</v>
      </c>
      <c r="C413" s="22" t="s">
        <v>578</v>
      </c>
      <c r="D413" s="22" t="s">
        <v>1131</v>
      </c>
      <c r="E413" s="23">
        <f>IFERROR(__xludf.DUMMYFUNCTION("GOOGLEFINANCE(""NSE:""&amp;D413,""marketcap"")/10000000"),5285.43256)</f>
        <v>5285.43256</v>
      </c>
      <c r="F413" s="17">
        <f>IFERROR(__xludf.DUMMYFUNCTION("GOOGLEFINANCE(""NSE:""&amp;D413)"),12440.0)</f>
        <v>12440</v>
      </c>
      <c r="G413" s="17">
        <f>IFERROR(__xludf.DUMMYFUNCTION("GOOGLEFINANCE(""NSE:""&amp;D413,""closeyest"")"),12228.45)</f>
        <v>12228.45</v>
      </c>
      <c r="H413" s="17">
        <f>IFERROR(__xludf.DUMMYFUNCTION("INDEX(GOOGLEFINANCE(""NSE:""&amp;D413,""PRICE"",TODAY()-7),2,2)"),12488.9)</f>
        <v>12488.9</v>
      </c>
      <c r="I413" s="17">
        <f>IFERROR(__xludf.DUMMYFUNCTION("INDEX(GOOGLEFINANCE(""NSE:""&amp;D413,""PRICE"",TODAY()-14),2,2)"),12824.2)</f>
        <v>12824.2</v>
      </c>
      <c r="J413" s="17">
        <f>IFERROR(__xludf.DUMMYFUNCTION("INDEX(GOOGLEFINANCE(""NSE:""&amp;D413,""PRICE"",TODAY()-28),2,2)"),12313.35)</f>
        <v>12313.35</v>
      </c>
      <c r="K413" s="17">
        <f>IFERROR(__xludf.DUMMYFUNCTION("INDEX(GOOGLEFINANCE(""NSE:""&amp;D413,""PRICE"",TODAY()-84),2,2)"),13620.8)</f>
        <v>13620.8</v>
      </c>
      <c r="L413" s="16">
        <f t="shared" si="1"/>
        <v>0.01729982132</v>
      </c>
      <c r="M413" s="16">
        <f t="shared" si="2"/>
        <v>-0.003915476944</v>
      </c>
      <c r="N413" s="16">
        <f t="shared" si="3"/>
        <v>-0.0299589838</v>
      </c>
      <c r="O413" s="16">
        <f t="shared" si="4"/>
        <v>0.01028558435</v>
      </c>
      <c r="P413" s="16">
        <f t="shared" si="5"/>
        <v>-0.08669094326</v>
      </c>
      <c r="Q413" s="30">
        <f t="shared" si="6"/>
        <v>-0.01577393408</v>
      </c>
      <c r="R413" s="30">
        <f t="shared" si="7"/>
        <v>-0.05374333898</v>
      </c>
      <c r="S413" s="30">
        <f t="shared" si="8"/>
        <v>-0.06108661928</v>
      </c>
      <c r="T413" s="30">
        <f t="shared" si="9"/>
        <v>-0.21348381</v>
      </c>
    </row>
    <row r="414">
      <c r="A414" s="1">
        <v>411.0</v>
      </c>
      <c r="B414" s="22" t="s">
        <v>1132</v>
      </c>
      <c r="C414" s="22" t="s">
        <v>526</v>
      </c>
      <c r="D414" s="22" t="s">
        <v>1133</v>
      </c>
      <c r="E414" s="23">
        <f>IFERROR(__xludf.DUMMYFUNCTION("GOOGLEFINANCE(""NSE:""&amp;D414,""marketcap"")/10000000"),5274.556235)</f>
        <v>5274.556235</v>
      </c>
      <c r="F414" s="17">
        <f>IFERROR(__xludf.DUMMYFUNCTION("GOOGLEFINANCE(""NSE:""&amp;D414)"),396.5)</f>
        <v>396.5</v>
      </c>
      <c r="G414" s="17">
        <f>IFERROR(__xludf.DUMMYFUNCTION("GOOGLEFINANCE(""NSE:""&amp;D414,""closeyest"")"),389.3)</f>
        <v>389.3</v>
      </c>
      <c r="H414" s="17">
        <f>IFERROR(__xludf.DUMMYFUNCTION("INDEX(GOOGLEFINANCE(""NSE:""&amp;D414,""PRICE"",TODAY()-7),2,2)"),397.4)</f>
        <v>397.4</v>
      </c>
      <c r="I414" s="17">
        <f>IFERROR(__xludf.DUMMYFUNCTION("INDEX(GOOGLEFINANCE(""NSE:""&amp;D414,""PRICE"",TODAY()-14),2,2)"),407.0)</f>
        <v>407</v>
      </c>
      <c r="J414" s="17">
        <f>IFERROR(__xludf.DUMMYFUNCTION("INDEX(GOOGLEFINANCE(""NSE:""&amp;D414,""PRICE"",TODAY()-28),2,2)"),381.4)</f>
        <v>381.4</v>
      </c>
      <c r="K414" s="17">
        <f>IFERROR(__xludf.DUMMYFUNCTION("INDEX(GOOGLEFINANCE(""NSE:""&amp;D414,""PRICE"",TODAY()-84),2,2)"),383.35)</f>
        <v>383.35</v>
      </c>
      <c r="L414" s="16">
        <f t="shared" si="1"/>
        <v>0.01849473414</v>
      </c>
      <c r="M414" s="16">
        <f t="shared" si="2"/>
        <v>-0.002264720684</v>
      </c>
      <c r="N414" s="16">
        <f t="shared" si="3"/>
        <v>-0.0257985258</v>
      </c>
      <c r="O414" s="16">
        <f t="shared" si="4"/>
        <v>0.0395909806</v>
      </c>
      <c r="P414" s="16">
        <f t="shared" si="5"/>
        <v>0.0343028564</v>
      </c>
      <c r="Q414" s="30">
        <f t="shared" si="6"/>
        <v>-0.01412317782</v>
      </c>
      <c r="R414" s="30">
        <f t="shared" si="7"/>
        <v>-0.04958288098</v>
      </c>
      <c r="S414" s="30">
        <f t="shared" si="8"/>
        <v>-0.03178122303</v>
      </c>
      <c r="T414" s="30">
        <f t="shared" si="9"/>
        <v>-0.0924900103</v>
      </c>
    </row>
    <row r="415">
      <c r="A415" s="1">
        <v>412.0</v>
      </c>
      <c r="B415" s="22" t="s">
        <v>1134</v>
      </c>
      <c r="C415" s="22" t="s">
        <v>665</v>
      </c>
      <c r="D415" s="22" t="s">
        <v>1135</v>
      </c>
      <c r="E415" s="23">
        <f>IFERROR(__xludf.DUMMYFUNCTION("GOOGLEFINANCE(""NSE:""&amp;D415,""marketcap"")/10000000"),5107.61209)</f>
        <v>5107.61209</v>
      </c>
      <c r="F415" s="17">
        <f>IFERROR(__xludf.DUMMYFUNCTION("GOOGLEFINANCE(""NSE:""&amp;D415)"),259.6)</f>
        <v>259.6</v>
      </c>
      <c r="G415" s="17">
        <f>IFERROR(__xludf.DUMMYFUNCTION("GOOGLEFINANCE(""NSE:""&amp;D415,""closeyest"")"),263.45)</f>
        <v>263.45</v>
      </c>
      <c r="H415" s="17">
        <f>IFERROR(__xludf.DUMMYFUNCTION("INDEX(GOOGLEFINANCE(""NSE:""&amp;D415,""PRICE"",TODAY()-7),2,2)"),268.85)</f>
        <v>268.85</v>
      </c>
      <c r="I415" s="17">
        <f>IFERROR(__xludf.DUMMYFUNCTION("INDEX(GOOGLEFINANCE(""NSE:""&amp;D415,""PRICE"",TODAY()-14),2,2)"),276.3)</f>
        <v>276.3</v>
      </c>
      <c r="J415" s="17">
        <f>IFERROR(__xludf.DUMMYFUNCTION("INDEX(GOOGLEFINANCE(""NSE:""&amp;D415,""PRICE"",TODAY()-28),2,2)"),228.0)</f>
        <v>228</v>
      </c>
      <c r="K415" s="17">
        <f>IFERROR(__xludf.DUMMYFUNCTION("INDEX(GOOGLEFINANCE(""NSE:""&amp;D415,""PRICE"",TODAY()-84),2,2)"),171.5)</f>
        <v>171.5</v>
      </c>
      <c r="L415" s="16">
        <f t="shared" si="1"/>
        <v>-0.01461377871</v>
      </c>
      <c r="M415" s="16">
        <f t="shared" si="2"/>
        <v>-0.03440580249</v>
      </c>
      <c r="N415" s="16">
        <f t="shared" si="3"/>
        <v>-0.06044154904</v>
      </c>
      <c r="O415" s="16">
        <f t="shared" si="4"/>
        <v>0.1385964912</v>
      </c>
      <c r="P415" s="16">
        <f t="shared" si="5"/>
        <v>0.5137026239</v>
      </c>
      <c r="Q415" s="30">
        <f t="shared" si="6"/>
        <v>-0.04626425963</v>
      </c>
      <c r="R415" s="30">
        <f t="shared" si="7"/>
        <v>-0.08422590422</v>
      </c>
      <c r="S415" s="30">
        <f t="shared" si="8"/>
        <v>0.0672242876</v>
      </c>
      <c r="T415" s="30">
        <f t="shared" si="9"/>
        <v>0.3869097572</v>
      </c>
    </row>
    <row r="416">
      <c r="A416" s="1">
        <v>413.0</v>
      </c>
      <c r="B416" s="22" t="s">
        <v>1136</v>
      </c>
      <c r="C416" s="22" t="s">
        <v>528</v>
      </c>
      <c r="D416" s="22" t="s">
        <v>1137</v>
      </c>
      <c r="E416" s="23">
        <f>IFERROR(__xludf.DUMMYFUNCTION("GOOGLEFINANCE(""NSE:""&amp;D416,""marketcap"")/10000000"),5103.4347791)</f>
        <v>5103.434779</v>
      </c>
      <c r="F416" s="17">
        <f>IFERROR(__xludf.DUMMYFUNCTION("GOOGLEFINANCE(""NSE:""&amp;D416)"),302.9)</f>
        <v>302.9</v>
      </c>
      <c r="G416" s="17">
        <f>IFERROR(__xludf.DUMMYFUNCTION("GOOGLEFINANCE(""NSE:""&amp;D416,""closeyest"")"),301.8)</f>
        <v>301.8</v>
      </c>
      <c r="H416" s="17">
        <f>IFERROR(__xludf.DUMMYFUNCTION("INDEX(GOOGLEFINANCE(""NSE:""&amp;D416,""PRICE"",TODAY()-7),2,2)"),307.2)</f>
        <v>307.2</v>
      </c>
      <c r="I416" s="17">
        <f>IFERROR(__xludf.DUMMYFUNCTION("INDEX(GOOGLEFINANCE(""NSE:""&amp;D416,""PRICE"",TODAY()-14),2,2)"),300.05)</f>
        <v>300.05</v>
      </c>
      <c r="J416" s="17">
        <f>IFERROR(__xludf.DUMMYFUNCTION("INDEX(GOOGLEFINANCE(""NSE:""&amp;D416,""PRICE"",TODAY()-28),2,2)"),296.65)</f>
        <v>296.65</v>
      </c>
      <c r="K416" s="17">
        <f>IFERROR(__xludf.DUMMYFUNCTION("INDEX(GOOGLEFINANCE(""NSE:""&amp;D416,""PRICE"",TODAY()-84),2,2)"),348.0)</f>
        <v>348</v>
      </c>
      <c r="L416" s="16">
        <f t="shared" si="1"/>
        <v>0.003644797879</v>
      </c>
      <c r="M416" s="16">
        <f t="shared" si="2"/>
        <v>-0.01399739583</v>
      </c>
      <c r="N416" s="16">
        <f t="shared" si="3"/>
        <v>0.009498416931</v>
      </c>
      <c r="O416" s="16">
        <f t="shared" si="4"/>
        <v>0.02106859936</v>
      </c>
      <c r="P416" s="16">
        <f t="shared" si="5"/>
        <v>-0.1295977011</v>
      </c>
      <c r="Q416" s="30">
        <f t="shared" si="6"/>
        <v>-0.02585585297</v>
      </c>
      <c r="R416" s="30">
        <f t="shared" si="7"/>
        <v>-0.01428593825</v>
      </c>
      <c r="S416" s="30">
        <f t="shared" si="8"/>
        <v>-0.05030360427</v>
      </c>
      <c r="T416" s="30">
        <f t="shared" si="9"/>
        <v>-0.2563905678</v>
      </c>
    </row>
    <row r="417">
      <c r="A417" s="1">
        <v>414.0</v>
      </c>
      <c r="B417" s="22" t="s">
        <v>1138</v>
      </c>
      <c r="C417" s="22" t="s">
        <v>635</v>
      </c>
      <c r="D417" s="22" t="s">
        <v>1139</v>
      </c>
      <c r="E417" s="23">
        <f>IFERROR(__xludf.DUMMYFUNCTION("GOOGLEFINANCE(""NSE:""&amp;D417,""marketcap"")/10000000"),5093.685025)</f>
        <v>5093.685025</v>
      </c>
      <c r="F417" s="17">
        <f>IFERROR(__xludf.DUMMYFUNCTION("GOOGLEFINANCE(""NSE:""&amp;D417)"),252.8)</f>
        <v>252.8</v>
      </c>
      <c r="G417" s="17">
        <f>IFERROR(__xludf.DUMMYFUNCTION("GOOGLEFINANCE(""NSE:""&amp;D417,""closeyest"")"),251.55)</f>
        <v>251.55</v>
      </c>
      <c r="H417" s="17">
        <f>IFERROR(__xludf.DUMMYFUNCTION("INDEX(GOOGLEFINANCE(""NSE:""&amp;D417,""PRICE"",TODAY()-7),2,2)"),256.85)</f>
        <v>256.85</v>
      </c>
      <c r="I417" s="17">
        <f>IFERROR(__xludf.DUMMYFUNCTION("INDEX(GOOGLEFINANCE(""NSE:""&amp;D417,""PRICE"",TODAY()-14),2,2)"),246.55)</f>
        <v>246.55</v>
      </c>
      <c r="J417" s="17">
        <f>IFERROR(__xludf.DUMMYFUNCTION("INDEX(GOOGLEFINANCE(""NSE:""&amp;D417,""PRICE"",TODAY()-28),2,2)"),232.2)</f>
        <v>232.2</v>
      </c>
      <c r="K417" s="17">
        <f>IFERROR(__xludf.DUMMYFUNCTION("INDEX(GOOGLEFINANCE(""NSE:""&amp;D417,""PRICE"",TODAY()-84),2,2)"),246.05)</f>
        <v>246.05</v>
      </c>
      <c r="L417" s="16">
        <f t="shared" si="1"/>
        <v>0.004969191016</v>
      </c>
      <c r="M417" s="16">
        <f t="shared" si="2"/>
        <v>-0.01576795795</v>
      </c>
      <c r="N417" s="16">
        <f t="shared" si="3"/>
        <v>0.02534982762</v>
      </c>
      <c r="O417" s="16">
        <f t="shared" si="4"/>
        <v>0.0887166236</v>
      </c>
      <c r="P417" s="16">
        <f t="shared" si="5"/>
        <v>0.02743344849</v>
      </c>
      <c r="Q417" s="30">
        <f t="shared" si="6"/>
        <v>-0.02762641509</v>
      </c>
      <c r="R417" s="30">
        <f t="shared" si="7"/>
        <v>0.001565472441</v>
      </c>
      <c r="S417" s="30">
        <f t="shared" si="8"/>
        <v>0.01734441997</v>
      </c>
      <c r="T417" s="30">
        <f t="shared" si="9"/>
        <v>-0.09935941821</v>
      </c>
    </row>
    <row r="418">
      <c r="A418" s="1">
        <v>415.0</v>
      </c>
      <c r="B418" s="22" t="s">
        <v>534</v>
      </c>
      <c r="C418" s="22" t="s">
        <v>524</v>
      </c>
      <c r="D418" s="22" t="s">
        <v>40</v>
      </c>
      <c r="E418" s="23">
        <f>IFERROR(__xludf.DUMMYFUNCTION("GOOGLEFINANCE(""NSE:""&amp;D418,""marketcap"")/10000000"),5092.4768245)</f>
        <v>5092.476825</v>
      </c>
      <c r="F418" s="17">
        <f>IFERROR(__xludf.DUMMYFUNCTION("GOOGLEFINANCE(""NSE:""&amp;D418)"),674.0)</f>
        <v>674</v>
      </c>
      <c r="G418" s="17">
        <f>IFERROR(__xludf.DUMMYFUNCTION("GOOGLEFINANCE(""NSE:""&amp;D418,""closeyest"")"),668.15)</f>
        <v>668.15</v>
      </c>
      <c r="H418" s="17">
        <f>IFERROR(__xludf.DUMMYFUNCTION("INDEX(GOOGLEFINANCE(""NSE:""&amp;D418,""PRICE"",TODAY()-7),2,2)"),665.25)</f>
        <v>665.25</v>
      </c>
      <c r="I418" s="17">
        <f>IFERROR(__xludf.DUMMYFUNCTION("INDEX(GOOGLEFINANCE(""NSE:""&amp;D418,""PRICE"",TODAY()-14),2,2)"),670.75)</f>
        <v>670.75</v>
      </c>
      <c r="J418" s="17">
        <f>IFERROR(__xludf.DUMMYFUNCTION("INDEX(GOOGLEFINANCE(""NSE:""&amp;D418,""PRICE"",TODAY()-28),2,2)"),634.95)</f>
        <v>634.95</v>
      </c>
      <c r="K418" s="17">
        <f>IFERROR(__xludf.DUMMYFUNCTION("INDEX(GOOGLEFINANCE(""NSE:""&amp;D418,""PRICE"",TODAY()-84),2,2)"),538.6)</f>
        <v>538.6</v>
      </c>
      <c r="L418" s="16">
        <f t="shared" si="1"/>
        <v>0.00875551897</v>
      </c>
      <c r="M418" s="16">
        <f t="shared" si="2"/>
        <v>0.01315295002</v>
      </c>
      <c r="N418" s="16">
        <f t="shared" si="3"/>
        <v>0.0048453224</v>
      </c>
      <c r="O418" s="16">
        <f t="shared" si="4"/>
        <v>0.06150090558</v>
      </c>
      <c r="P418" s="16">
        <f t="shared" si="5"/>
        <v>0.2513924991</v>
      </c>
      <c r="Q418" s="30">
        <f t="shared" si="6"/>
        <v>0.001294492883</v>
      </c>
      <c r="R418" s="30">
        <f t="shared" si="7"/>
        <v>-0.01893903278</v>
      </c>
      <c r="S418" s="30">
        <f t="shared" si="8"/>
        <v>-0.009871298046</v>
      </c>
      <c r="T418" s="30">
        <f t="shared" si="9"/>
        <v>0.1245996324</v>
      </c>
    </row>
    <row r="419">
      <c r="A419" s="1">
        <v>416.0</v>
      </c>
      <c r="B419" s="22" t="s">
        <v>1140</v>
      </c>
      <c r="C419" s="22" t="s">
        <v>603</v>
      </c>
      <c r="D419" s="22" t="s">
        <v>1141</v>
      </c>
      <c r="E419" s="23">
        <f>IFERROR(__xludf.DUMMYFUNCTION("GOOGLEFINANCE(""NSE:""&amp;D419,""marketcap"")/10000000"),4906.5234525)</f>
        <v>4906.523453</v>
      </c>
      <c r="F419" s="17">
        <f>IFERROR(__xludf.DUMMYFUNCTION("GOOGLEFINANCE(""NSE:""&amp;D419)"),293.8)</f>
        <v>293.8</v>
      </c>
      <c r="G419" s="17">
        <f>IFERROR(__xludf.DUMMYFUNCTION("GOOGLEFINANCE(""NSE:""&amp;D419,""closeyest"")"),298.1)</f>
        <v>298.1</v>
      </c>
      <c r="H419" s="17">
        <f>IFERROR(__xludf.DUMMYFUNCTION("INDEX(GOOGLEFINANCE(""NSE:""&amp;D419,""PRICE"",TODAY()-7),2,2)"),296.8)</f>
        <v>296.8</v>
      </c>
      <c r="I419" s="17">
        <f>IFERROR(__xludf.DUMMYFUNCTION("INDEX(GOOGLEFINANCE(""NSE:""&amp;D419,""PRICE"",TODAY()-14),2,2)"),290.55)</f>
        <v>290.55</v>
      </c>
      <c r="J419" s="17">
        <f>IFERROR(__xludf.DUMMYFUNCTION("INDEX(GOOGLEFINANCE(""NSE:""&amp;D419,""PRICE"",TODAY()-28),2,2)"),277.55)</f>
        <v>277.55</v>
      </c>
      <c r="K419" s="17">
        <f>IFERROR(__xludf.DUMMYFUNCTION("INDEX(GOOGLEFINANCE(""NSE:""&amp;D419,""PRICE"",TODAY()-84),2,2)"),230.45)</f>
        <v>230.45</v>
      </c>
      <c r="L419" s="16">
        <f t="shared" si="1"/>
        <v>-0.0144246897</v>
      </c>
      <c r="M419" s="16">
        <f t="shared" si="2"/>
        <v>-0.01010781671</v>
      </c>
      <c r="N419" s="16">
        <f t="shared" si="3"/>
        <v>0.01118568233</v>
      </c>
      <c r="O419" s="16">
        <f t="shared" si="4"/>
        <v>0.05854800937</v>
      </c>
      <c r="P419" s="16">
        <f t="shared" si="5"/>
        <v>0.2748969408</v>
      </c>
      <c r="Q419" s="30">
        <f t="shared" si="6"/>
        <v>-0.02196627385</v>
      </c>
      <c r="R419" s="30">
        <f t="shared" si="7"/>
        <v>-0.01259867285</v>
      </c>
      <c r="S419" s="30">
        <f t="shared" si="8"/>
        <v>-0.01282419426</v>
      </c>
      <c r="T419" s="30">
        <f t="shared" si="9"/>
        <v>0.1481040741</v>
      </c>
    </row>
    <row r="420">
      <c r="A420" s="1">
        <v>417.0</v>
      </c>
      <c r="B420" s="22" t="s">
        <v>1142</v>
      </c>
      <c r="C420" s="22" t="s">
        <v>555</v>
      </c>
      <c r="D420" s="22" t="s">
        <v>1143</v>
      </c>
      <c r="E420" s="23">
        <f>IFERROR(__xludf.DUMMYFUNCTION("GOOGLEFINANCE(""NSE:""&amp;D420,""marketcap"")/10000000"),4986.7108271)</f>
        <v>4986.710827</v>
      </c>
      <c r="F420" s="17">
        <f>IFERROR(__xludf.DUMMYFUNCTION("GOOGLEFINANCE(""NSE:""&amp;D420)"),103.35)</f>
        <v>103.35</v>
      </c>
      <c r="G420" s="17">
        <f>IFERROR(__xludf.DUMMYFUNCTION("GOOGLEFINANCE(""NSE:""&amp;D420,""closeyest"")"),102.0)</f>
        <v>102</v>
      </c>
      <c r="H420" s="17">
        <f>IFERROR(__xludf.DUMMYFUNCTION("INDEX(GOOGLEFINANCE(""NSE:""&amp;D420,""PRICE"",TODAY()-7),2,2)"),100.05)</f>
        <v>100.05</v>
      </c>
      <c r="I420" s="17">
        <f>IFERROR(__xludf.DUMMYFUNCTION("INDEX(GOOGLEFINANCE(""NSE:""&amp;D420,""PRICE"",TODAY()-14),2,2)"),100.9)</f>
        <v>100.9</v>
      </c>
      <c r="J420" s="17">
        <f>IFERROR(__xludf.DUMMYFUNCTION("INDEX(GOOGLEFINANCE(""NSE:""&amp;D420,""PRICE"",TODAY()-28),2,2)"),100.9)</f>
        <v>100.9</v>
      </c>
      <c r="K420" s="17">
        <f>IFERROR(__xludf.DUMMYFUNCTION("INDEX(GOOGLEFINANCE(""NSE:""&amp;D420,""PRICE"",TODAY()-84),2,2)"),113.2)</f>
        <v>113.2</v>
      </c>
      <c r="L420" s="16">
        <f t="shared" si="1"/>
        <v>0.01323529412</v>
      </c>
      <c r="M420" s="16">
        <f t="shared" si="2"/>
        <v>0.03298350825</v>
      </c>
      <c r="N420" s="16">
        <f t="shared" si="3"/>
        <v>0.0242814668</v>
      </c>
      <c r="O420" s="16">
        <f t="shared" si="4"/>
        <v>0.0242814668</v>
      </c>
      <c r="P420" s="16">
        <f t="shared" si="5"/>
        <v>-0.08701413428</v>
      </c>
      <c r="Q420" s="30">
        <f t="shared" si="6"/>
        <v>0.02112505111</v>
      </c>
      <c r="R420" s="30">
        <f t="shared" si="7"/>
        <v>0.0004971116191</v>
      </c>
      <c r="S420" s="30">
        <f t="shared" si="8"/>
        <v>-0.04709073683</v>
      </c>
      <c r="T420" s="30">
        <f t="shared" si="9"/>
        <v>-0.213807001</v>
      </c>
    </row>
    <row r="421">
      <c r="A421" s="1">
        <v>418.0</v>
      </c>
      <c r="B421" s="22" t="s">
        <v>1144</v>
      </c>
      <c r="C421" s="22" t="s">
        <v>541</v>
      </c>
      <c r="D421" s="22" t="s">
        <v>1145</v>
      </c>
      <c r="E421" s="23">
        <f>IFERROR(__xludf.DUMMYFUNCTION("GOOGLEFINANCE(""NSE:""&amp;D421,""marketcap"")/10000000"),5040.0726177)</f>
        <v>5040.072618</v>
      </c>
      <c r="F421" s="17">
        <f>IFERROR(__xludf.DUMMYFUNCTION("GOOGLEFINANCE(""NSE:""&amp;D421)"),82.7)</f>
        <v>82.7</v>
      </c>
      <c r="G421" s="17">
        <f>IFERROR(__xludf.DUMMYFUNCTION("GOOGLEFINANCE(""NSE:""&amp;D421,""closeyest"")"),81.05)</f>
        <v>81.05</v>
      </c>
      <c r="H421" s="17">
        <f>IFERROR(__xludf.DUMMYFUNCTION("INDEX(GOOGLEFINANCE(""NSE:""&amp;D421,""PRICE"",TODAY()-7),2,2)"),80.0)</f>
        <v>80</v>
      </c>
      <c r="I421" s="17">
        <f>IFERROR(__xludf.DUMMYFUNCTION("INDEX(GOOGLEFINANCE(""NSE:""&amp;D421,""PRICE"",TODAY()-14),2,2)"),77.95)</f>
        <v>77.95</v>
      </c>
      <c r="J421" s="17">
        <f>IFERROR(__xludf.DUMMYFUNCTION("INDEX(GOOGLEFINANCE(""NSE:""&amp;D421,""PRICE"",TODAY()-28),2,2)"),76.45)</f>
        <v>76.45</v>
      </c>
      <c r="K421" s="17">
        <f>IFERROR(__xludf.DUMMYFUNCTION("INDEX(GOOGLEFINANCE(""NSE:""&amp;D421,""PRICE"",TODAY()-84),2,2)"),90.1)</f>
        <v>90.1</v>
      </c>
      <c r="L421" s="16">
        <f t="shared" si="1"/>
        <v>0.02035780382</v>
      </c>
      <c r="M421" s="16">
        <f t="shared" si="2"/>
        <v>0.03375</v>
      </c>
      <c r="N421" s="16">
        <f t="shared" si="3"/>
        <v>0.06093649775</v>
      </c>
      <c r="O421" s="16">
        <f t="shared" si="4"/>
        <v>0.08175277959</v>
      </c>
      <c r="P421" s="16">
        <f t="shared" si="5"/>
        <v>-0.08213096559</v>
      </c>
      <c r="Q421" s="30">
        <f t="shared" si="6"/>
        <v>0.02189154286</v>
      </c>
      <c r="R421" s="30">
        <f t="shared" si="7"/>
        <v>0.03715214258</v>
      </c>
      <c r="S421" s="30">
        <f t="shared" si="8"/>
        <v>0.01038057597</v>
      </c>
      <c r="T421" s="30">
        <f t="shared" si="9"/>
        <v>-0.2089238323</v>
      </c>
    </row>
    <row r="422">
      <c r="A422" s="1">
        <v>419.0</v>
      </c>
      <c r="B422" s="22" t="s">
        <v>1146</v>
      </c>
      <c r="C422" s="22" t="s">
        <v>526</v>
      </c>
      <c r="D422" s="22" t="s">
        <v>1147</v>
      </c>
      <c r="E422" s="23">
        <f>IFERROR(__xludf.DUMMYFUNCTION("GOOGLEFINANCE(""NSE:""&amp;D422,""marketcap"")/10000000"),4855.9741897)</f>
        <v>4855.97419</v>
      </c>
      <c r="F422" s="17">
        <f>IFERROR(__xludf.DUMMYFUNCTION("GOOGLEFINANCE(""NSE:""&amp;D422)"),1198.45)</f>
        <v>1198.45</v>
      </c>
      <c r="G422" s="17">
        <f>IFERROR(__xludf.DUMMYFUNCTION("GOOGLEFINANCE(""NSE:""&amp;D422,""closeyest"")"),1205.6)</f>
        <v>1205.6</v>
      </c>
      <c r="H422" s="17">
        <f>IFERROR(__xludf.DUMMYFUNCTION("INDEX(GOOGLEFINANCE(""NSE:""&amp;D422,""PRICE"",TODAY()-7),2,2)"),1209.95)</f>
        <v>1209.95</v>
      </c>
      <c r="I422" s="17">
        <f>IFERROR(__xludf.DUMMYFUNCTION("INDEX(GOOGLEFINANCE(""NSE:""&amp;D422,""PRICE"",TODAY()-14),2,2)"),1075.85)</f>
        <v>1075.85</v>
      </c>
      <c r="J422" s="17">
        <f>IFERROR(__xludf.DUMMYFUNCTION("INDEX(GOOGLEFINANCE(""NSE:""&amp;D422,""PRICE"",TODAY()-28),2,2)"),915.75)</f>
        <v>915.75</v>
      </c>
      <c r="K422" s="17">
        <f>IFERROR(__xludf.DUMMYFUNCTION("INDEX(GOOGLEFINANCE(""NSE:""&amp;D422,""PRICE"",TODAY()-84),2,2)"),1032.85)</f>
        <v>1032.85</v>
      </c>
      <c r="L422" s="16">
        <f t="shared" si="1"/>
        <v>-0.005930656934</v>
      </c>
      <c r="M422" s="16">
        <f t="shared" si="2"/>
        <v>-0.00950452498</v>
      </c>
      <c r="N422" s="16">
        <f t="shared" si="3"/>
        <v>0.1139564066</v>
      </c>
      <c r="O422" s="16">
        <f t="shared" si="4"/>
        <v>0.3087087087</v>
      </c>
      <c r="P422" s="16">
        <f t="shared" si="5"/>
        <v>0.160333059</v>
      </c>
      <c r="Q422" s="30">
        <f t="shared" si="6"/>
        <v>-0.02136298212</v>
      </c>
      <c r="R422" s="30">
        <f t="shared" si="7"/>
        <v>0.09017205138</v>
      </c>
      <c r="S422" s="30">
        <f t="shared" si="8"/>
        <v>0.2373365051</v>
      </c>
      <c r="T422" s="30">
        <f t="shared" si="9"/>
        <v>0.03354019231</v>
      </c>
    </row>
    <row r="423">
      <c r="A423" s="1">
        <v>420.0</v>
      </c>
      <c r="B423" s="22" t="s">
        <v>1148</v>
      </c>
      <c r="C423" s="22" t="s">
        <v>590</v>
      </c>
      <c r="D423" s="22" t="s">
        <v>1149</v>
      </c>
      <c r="E423" s="23">
        <f>IFERROR(__xludf.DUMMYFUNCTION("GOOGLEFINANCE(""NSE:""&amp;D423,""marketcap"")/10000000"),4816.8016869)</f>
        <v>4816.801687</v>
      </c>
      <c r="F423" s="17">
        <f>IFERROR(__xludf.DUMMYFUNCTION("GOOGLEFINANCE(""NSE:""&amp;D423)"),241.55)</f>
        <v>241.55</v>
      </c>
      <c r="G423" s="17">
        <f>IFERROR(__xludf.DUMMYFUNCTION("GOOGLEFINANCE(""NSE:""&amp;D423,""closeyest"")"),240.35)</f>
        <v>240.35</v>
      </c>
      <c r="H423" s="17">
        <f>IFERROR(__xludf.DUMMYFUNCTION("INDEX(GOOGLEFINANCE(""NSE:""&amp;D423,""PRICE"",TODAY()-7),2,2)"),235.25)</f>
        <v>235.25</v>
      </c>
      <c r="I423" s="17">
        <f>IFERROR(__xludf.DUMMYFUNCTION("INDEX(GOOGLEFINANCE(""NSE:""&amp;D423,""PRICE"",TODAY()-14),2,2)"),234.4)</f>
        <v>234.4</v>
      </c>
      <c r="J423" s="17">
        <f>IFERROR(__xludf.DUMMYFUNCTION("INDEX(GOOGLEFINANCE(""NSE:""&amp;D423,""PRICE"",TODAY()-28),2,2)"),205.87)</f>
        <v>205.87</v>
      </c>
      <c r="K423" s="17">
        <f>IFERROR(__xludf.DUMMYFUNCTION("INDEX(GOOGLEFINANCE(""NSE:""&amp;D423,""PRICE"",TODAY()-84),2,2)"),172.83)</f>
        <v>172.83</v>
      </c>
      <c r="L423" s="16">
        <f t="shared" si="1"/>
        <v>0.004992718952</v>
      </c>
      <c r="M423" s="16">
        <f t="shared" si="2"/>
        <v>0.02678002125</v>
      </c>
      <c r="N423" s="16">
        <f t="shared" si="3"/>
        <v>0.03050341297</v>
      </c>
      <c r="O423" s="16">
        <f t="shared" si="4"/>
        <v>0.1733132559</v>
      </c>
      <c r="P423" s="16">
        <f t="shared" si="5"/>
        <v>0.3976161546</v>
      </c>
      <c r="Q423" s="30">
        <f t="shared" si="6"/>
        <v>0.01492156412</v>
      </c>
      <c r="R423" s="30">
        <f t="shared" si="7"/>
        <v>0.00671905779</v>
      </c>
      <c r="S423" s="30">
        <f t="shared" si="8"/>
        <v>0.1019410523</v>
      </c>
      <c r="T423" s="30">
        <f t="shared" si="9"/>
        <v>0.2708232879</v>
      </c>
    </row>
    <row r="424">
      <c r="A424" s="1">
        <v>421.0</v>
      </c>
      <c r="B424" s="22" t="s">
        <v>1150</v>
      </c>
      <c r="C424" s="22" t="s">
        <v>635</v>
      </c>
      <c r="D424" s="22" t="s">
        <v>1151</v>
      </c>
      <c r="E424" s="23">
        <f>IFERROR(__xludf.DUMMYFUNCTION("GOOGLEFINANCE(""NSE:""&amp;D424,""marketcap"")/10000000"),4784.7767587)</f>
        <v>4784.776759</v>
      </c>
      <c r="F424" s="17">
        <f>IFERROR(__xludf.DUMMYFUNCTION("GOOGLEFINANCE(""NSE:""&amp;D424)"),363.95)</f>
        <v>363.95</v>
      </c>
      <c r="G424" s="17">
        <f>IFERROR(__xludf.DUMMYFUNCTION("GOOGLEFINANCE(""NSE:""&amp;D424,""closeyest"")"),363.15)</f>
        <v>363.15</v>
      </c>
      <c r="H424" s="17">
        <f>IFERROR(__xludf.DUMMYFUNCTION("INDEX(GOOGLEFINANCE(""NSE:""&amp;D424,""PRICE"",TODAY()-7),2,2)"),378.1)</f>
        <v>378.1</v>
      </c>
      <c r="I424" s="17">
        <f>IFERROR(__xludf.DUMMYFUNCTION("INDEX(GOOGLEFINANCE(""NSE:""&amp;D424,""PRICE"",TODAY()-14),2,2)"),367.0)</f>
        <v>367</v>
      </c>
      <c r="J424" s="17">
        <f>IFERROR(__xludf.DUMMYFUNCTION("INDEX(GOOGLEFINANCE(""NSE:""&amp;D424,""PRICE"",TODAY()-28),2,2)"),352.7)</f>
        <v>352.7</v>
      </c>
      <c r="K424" s="17">
        <f>IFERROR(__xludf.DUMMYFUNCTION("INDEX(GOOGLEFINANCE(""NSE:""&amp;D424,""PRICE"",TODAY()-84),2,2)"),391.25)</f>
        <v>391.25</v>
      </c>
      <c r="L424" s="16">
        <f t="shared" si="1"/>
        <v>0.002202946441</v>
      </c>
      <c r="M424" s="16">
        <f t="shared" si="2"/>
        <v>-0.03742396191</v>
      </c>
      <c r="N424" s="16">
        <f t="shared" si="3"/>
        <v>-0.008310626703</v>
      </c>
      <c r="O424" s="16">
        <f t="shared" si="4"/>
        <v>0.03189679614</v>
      </c>
      <c r="P424" s="16">
        <f t="shared" si="5"/>
        <v>-0.06977635783</v>
      </c>
      <c r="Q424" s="30">
        <f t="shared" si="6"/>
        <v>-0.04928241905</v>
      </c>
      <c r="R424" s="30">
        <f t="shared" si="7"/>
        <v>-0.03209498188</v>
      </c>
      <c r="S424" s="30">
        <f t="shared" si="8"/>
        <v>-0.03947540748</v>
      </c>
      <c r="T424" s="30">
        <f t="shared" si="9"/>
        <v>-0.1965692245</v>
      </c>
    </row>
    <row r="425">
      <c r="A425" s="1">
        <v>422.0</v>
      </c>
      <c r="B425" s="22" t="s">
        <v>1152</v>
      </c>
      <c r="C425" s="22" t="s">
        <v>549</v>
      </c>
      <c r="D425" s="22" t="s">
        <v>1153</v>
      </c>
      <c r="E425" s="23">
        <f>IFERROR(__xludf.DUMMYFUNCTION("GOOGLEFINANCE(""NSE:""&amp;D425,""marketcap"")/10000000"),4797.3024943)</f>
        <v>4797.302494</v>
      </c>
      <c r="F425" s="17">
        <f>IFERROR(__xludf.DUMMYFUNCTION("GOOGLEFINANCE(""NSE:""&amp;D425)"),433.5)</f>
        <v>433.5</v>
      </c>
      <c r="G425" s="17">
        <f>IFERROR(__xludf.DUMMYFUNCTION("GOOGLEFINANCE(""NSE:""&amp;D425,""closeyest"")"),430.15)</f>
        <v>430.15</v>
      </c>
      <c r="H425" s="17">
        <f>IFERROR(__xludf.DUMMYFUNCTION("INDEX(GOOGLEFINANCE(""NSE:""&amp;D425,""PRICE"",TODAY()-7),2,2)"),440.2)</f>
        <v>440.2</v>
      </c>
      <c r="I425" s="17">
        <f>IFERROR(__xludf.DUMMYFUNCTION("INDEX(GOOGLEFINANCE(""NSE:""&amp;D425,""PRICE"",TODAY()-14),2,2)"),414.65)</f>
        <v>414.65</v>
      </c>
      <c r="J425" s="17">
        <f>IFERROR(__xludf.DUMMYFUNCTION("INDEX(GOOGLEFINANCE(""NSE:""&amp;D425,""PRICE"",TODAY()-28),2,2)"),396.2)</f>
        <v>396.2</v>
      </c>
      <c r="K425" s="17">
        <f>IFERROR(__xludf.DUMMYFUNCTION("INDEX(GOOGLEFINANCE(""NSE:""&amp;D425,""PRICE"",TODAY()-84),2,2)"),533.45)</f>
        <v>533.45</v>
      </c>
      <c r="L425" s="16">
        <f t="shared" si="1"/>
        <v>0.007787980937</v>
      </c>
      <c r="M425" s="16">
        <f t="shared" si="2"/>
        <v>-0.01522035438</v>
      </c>
      <c r="N425" s="16">
        <f t="shared" si="3"/>
        <v>0.04546002653</v>
      </c>
      <c r="O425" s="16">
        <f t="shared" si="4"/>
        <v>0.09414437153</v>
      </c>
      <c r="P425" s="16">
        <f t="shared" si="5"/>
        <v>-0.1873652638</v>
      </c>
      <c r="Q425" s="30">
        <f t="shared" si="6"/>
        <v>-0.02707881152</v>
      </c>
      <c r="R425" s="30">
        <f t="shared" si="7"/>
        <v>0.02167567135</v>
      </c>
      <c r="S425" s="30">
        <f t="shared" si="8"/>
        <v>0.0227721679</v>
      </c>
      <c r="T425" s="30">
        <f t="shared" si="9"/>
        <v>-0.3141581305</v>
      </c>
    </row>
    <row r="426">
      <c r="A426" s="1">
        <v>423.0</v>
      </c>
      <c r="B426" s="22" t="s">
        <v>1154</v>
      </c>
      <c r="C426" s="22" t="s">
        <v>526</v>
      </c>
      <c r="D426" s="22" t="s">
        <v>1155</v>
      </c>
      <c r="E426" s="23">
        <f>IFERROR(__xludf.DUMMYFUNCTION("GOOGLEFINANCE(""NSE:""&amp;D426,""marketcap"")/10000000"),4721.44)</f>
        <v>4721.44</v>
      </c>
      <c r="F426" s="17">
        <f>IFERROR(__xludf.DUMMYFUNCTION("GOOGLEFINANCE(""NSE:""&amp;D426)"),18400.0)</f>
        <v>18400</v>
      </c>
      <c r="G426" s="17">
        <f>IFERROR(__xludf.DUMMYFUNCTION("GOOGLEFINANCE(""NSE:""&amp;D426,""closeyest"")"),18344.65)</f>
        <v>18344.65</v>
      </c>
      <c r="H426" s="17">
        <f>IFERROR(__xludf.DUMMYFUNCTION("INDEX(GOOGLEFINANCE(""NSE:""&amp;D426,""PRICE"",TODAY()-7),2,2)"),18738.4)</f>
        <v>18738.4</v>
      </c>
      <c r="I426" s="17">
        <f>IFERROR(__xludf.DUMMYFUNCTION("INDEX(GOOGLEFINANCE(""NSE:""&amp;D426,""PRICE"",TODAY()-14),2,2)"),18706.55)</f>
        <v>18706.55</v>
      </c>
      <c r="J426" s="17">
        <f>IFERROR(__xludf.DUMMYFUNCTION("INDEX(GOOGLEFINANCE(""NSE:""&amp;D426,""PRICE"",TODAY()-28),2,2)"),18287.8)</f>
        <v>18287.8</v>
      </c>
      <c r="K426" s="17">
        <f>IFERROR(__xludf.DUMMYFUNCTION("INDEX(GOOGLEFINANCE(""NSE:""&amp;D426,""PRICE"",TODAY()-84),2,2)"),17488.35)</f>
        <v>17488.35</v>
      </c>
      <c r="L426" s="16">
        <f t="shared" si="1"/>
        <v>0.003017228456</v>
      </c>
      <c r="M426" s="16">
        <f t="shared" si="2"/>
        <v>-0.01805917261</v>
      </c>
      <c r="N426" s="16">
        <f t="shared" si="3"/>
        <v>-0.01638730819</v>
      </c>
      <c r="O426" s="16">
        <f t="shared" si="4"/>
        <v>0.006135237699</v>
      </c>
      <c r="P426" s="16">
        <f t="shared" si="5"/>
        <v>0.05212898873</v>
      </c>
      <c r="Q426" s="30">
        <f t="shared" si="6"/>
        <v>-0.02991762974</v>
      </c>
      <c r="R426" s="30">
        <f t="shared" si="7"/>
        <v>-0.04017166337</v>
      </c>
      <c r="S426" s="30">
        <f t="shared" si="8"/>
        <v>-0.06523696593</v>
      </c>
      <c r="T426" s="30">
        <f t="shared" si="9"/>
        <v>-0.07466387797</v>
      </c>
    </row>
    <row r="427">
      <c r="A427" s="1">
        <v>424.0</v>
      </c>
      <c r="B427" s="22" t="s">
        <v>1156</v>
      </c>
      <c r="C427" s="22" t="s">
        <v>555</v>
      </c>
      <c r="D427" s="22" t="s">
        <v>1157</v>
      </c>
      <c r="E427" s="23">
        <f>IFERROR(__xludf.DUMMYFUNCTION("GOOGLEFINANCE(""NSE:""&amp;D427,""marketcap"")/10000000"),4687.7502208)</f>
        <v>4687.750221</v>
      </c>
      <c r="F427" s="17">
        <f>IFERROR(__xludf.DUMMYFUNCTION("GOOGLEFINANCE(""NSE:""&amp;D427)"),77.75)</f>
        <v>77.75</v>
      </c>
      <c r="G427" s="17">
        <f>IFERROR(__xludf.DUMMYFUNCTION("GOOGLEFINANCE(""NSE:""&amp;D427,""closeyest"")"),78.2)</f>
        <v>78.2</v>
      </c>
      <c r="H427" s="17">
        <f>IFERROR(__xludf.DUMMYFUNCTION("INDEX(GOOGLEFINANCE(""NSE:""&amp;D427,""PRICE"",TODAY()-7),2,2)"),78.55)</f>
        <v>78.55</v>
      </c>
      <c r="I427" s="17">
        <f>IFERROR(__xludf.DUMMYFUNCTION("INDEX(GOOGLEFINANCE(""NSE:""&amp;D427,""PRICE"",TODAY()-14),2,2)"),69.8)</f>
        <v>69.8</v>
      </c>
      <c r="J427" s="17">
        <f>IFERROR(__xludf.DUMMYFUNCTION("INDEX(GOOGLEFINANCE(""NSE:""&amp;D427,""PRICE"",TODAY()-28),2,2)"),73.0)</f>
        <v>73</v>
      </c>
      <c r="K427" s="17">
        <f>IFERROR(__xludf.DUMMYFUNCTION("INDEX(GOOGLEFINANCE(""NSE:""&amp;D427,""PRICE"",TODAY()-84),2,2)"),78.0)</f>
        <v>78</v>
      </c>
      <c r="L427" s="16">
        <f t="shared" si="1"/>
        <v>-0.005754475703</v>
      </c>
      <c r="M427" s="16">
        <f t="shared" si="2"/>
        <v>-0.0101845958</v>
      </c>
      <c r="N427" s="16">
        <f t="shared" si="3"/>
        <v>0.1138968481</v>
      </c>
      <c r="O427" s="16">
        <f t="shared" si="4"/>
        <v>0.06506849315</v>
      </c>
      <c r="P427" s="16">
        <f t="shared" si="5"/>
        <v>-0.003205128205</v>
      </c>
      <c r="Q427" s="30">
        <f t="shared" si="6"/>
        <v>-0.02204305294</v>
      </c>
      <c r="R427" s="30">
        <f t="shared" si="7"/>
        <v>0.09011249296</v>
      </c>
      <c r="S427" s="30">
        <f t="shared" si="8"/>
        <v>-0.006303710478</v>
      </c>
      <c r="T427" s="30">
        <f t="shared" si="9"/>
        <v>-0.1299979949</v>
      </c>
    </row>
    <row r="428">
      <c r="A428" s="1">
        <v>425.0</v>
      </c>
      <c r="B428" s="22" t="s">
        <v>1158</v>
      </c>
      <c r="C428" s="22" t="s">
        <v>549</v>
      </c>
      <c r="D428" s="22" t="s">
        <v>1159</v>
      </c>
      <c r="E428" s="23">
        <f>IFERROR(__xludf.DUMMYFUNCTION("GOOGLEFINANCE(""NSE:""&amp;D428,""marketcap"")/10000000"),4634.804265)</f>
        <v>4634.804265</v>
      </c>
      <c r="F428" s="17">
        <f>IFERROR(__xludf.DUMMYFUNCTION("GOOGLEFINANCE(""NSE:""&amp;D428)"),568.5)</f>
        <v>568.5</v>
      </c>
      <c r="G428" s="17">
        <f>IFERROR(__xludf.DUMMYFUNCTION("GOOGLEFINANCE(""NSE:""&amp;D428,""closeyest"")"),565.2)</f>
        <v>565.2</v>
      </c>
      <c r="H428" s="17">
        <f>IFERROR(__xludf.DUMMYFUNCTION("INDEX(GOOGLEFINANCE(""NSE:""&amp;D428,""PRICE"",TODAY()-7),2,2)"),569.6)</f>
        <v>569.6</v>
      </c>
      <c r="I428" s="17">
        <f>IFERROR(__xludf.DUMMYFUNCTION("INDEX(GOOGLEFINANCE(""NSE:""&amp;D428,""PRICE"",TODAY()-14),2,2)"),588.7)</f>
        <v>588.7</v>
      </c>
      <c r="J428" s="17">
        <f>IFERROR(__xludf.DUMMYFUNCTION("INDEX(GOOGLEFINANCE(""NSE:""&amp;D428,""PRICE"",TODAY()-28),2,2)"),572.95)</f>
        <v>572.95</v>
      </c>
      <c r="K428" s="17">
        <f>IFERROR(__xludf.DUMMYFUNCTION("INDEX(GOOGLEFINANCE(""NSE:""&amp;D428,""PRICE"",TODAY()-84),2,2)"),557.2)</f>
        <v>557.2</v>
      </c>
      <c r="L428" s="16">
        <f t="shared" si="1"/>
        <v>0.005838641189</v>
      </c>
      <c r="M428" s="16">
        <f t="shared" si="2"/>
        <v>-0.001931179775</v>
      </c>
      <c r="N428" s="16">
        <f t="shared" si="3"/>
        <v>-0.03431289281</v>
      </c>
      <c r="O428" s="16">
        <f t="shared" si="4"/>
        <v>-0.00776682084</v>
      </c>
      <c r="P428" s="16">
        <f t="shared" si="5"/>
        <v>0.02027997128</v>
      </c>
      <c r="Q428" s="30">
        <f t="shared" si="6"/>
        <v>-0.01378963691</v>
      </c>
      <c r="R428" s="30">
        <f t="shared" si="7"/>
        <v>-0.05809724799</v>
      </c>
      <c r="S428" s="30">
        <f t="shared" si="8"/>
        <v>-0.07913902447</v>
      </c>
      <c r="T428" s="30">
        <f t="shared" si="9"/>
        <v>-0.1065128954</v>
      </c>
    </row>
    <row r="429">
      <c r="A429" s="1">
        <v>426.0</v>
      </c>
      <c r="B429" s="22" t="s">
        <v>1160</v>
      </c>
      <c r="C429" s="22" t="s">
        <v>578</v>
      </c>
      <c r="D429" s="22" t="s">
        <v>1161</v>
      </c>
      <c r="E429" s="23">
        <f>IFERROR(__xludf.DUMMYFUNCTION("GOOGLEFINANCE(""NSE:""&amp;D429,""marketcap"")/10000000"),4522.719625)</f>
        <v>4522.719625</v>
      </c>
      <c r="F429" s="17">
        <f>IFERROR(__xludf.DUMMYFUNCTION("GOOGLEFINANCE(""NSE:""&amp;D429)"),113.5)</f>
        <v>113.5</v>
      </c>
      <c r="G429" s="17">
        <f>IFERROR(__xludf.DUMMYFUNCTION("GOOGLEFINANCE(""NSE:""&amp;D429,""closeyest"")"),114.65)</f>
        <v>114.65</v>
      </c>
      <c r="H429" s="17">
        <f>IFERROR(__xludf.DUMMYFUNCTION("INDEX(GOOGLEFINANCE(""NSE:""&amp;D429,""PRICE"",TODAY()-7),2,2)"),110.2)</f>
        <v>110.2</v>
      </c>
      <c r="I429" s="17">
        <f>IFERROR(__xludf.DUMMYFUNCTION("INDEX(GOOGLEFINANCE(""NSE:""&amp;D429,""PRICE"",TODAY()-14),2,2)"),106.8)</f>
        <v>106.8</v>
      </c>
      <c r="J429" s="17">
        <f>IFERROR(__xludf.DUMMYFUNCTION("INDEX(GOOGLEFINANCE(""NSE:""&amp;D429,""PRICE"",TODAY()-28),2,2)"),98.6)</f>
        <v>98.6</v>
      </c>
      <c r="K429" s="17">
        <f>IFERROR(__xludf.DUMMYFUNCTION("INDEX(GOOGLEFINANCE(""NSE:""&amp;D429,""PRICE"",TODAY()-84),2,2)"),116.4)</f>
        <v>116.4</v>
      </c>
      <c r="L429" s="16">
        <f t="shared" si="1"/>
        <v>-0.01003052769</v>
      </c>
      <c r="M429" s="16">
        <f t="shared" si="2"/>
        <v>0.02994555354</v>
      </c>
      <c r="N429" s="16">
        <f t="shared" si="3"/>
        <v>0.0627340824</v>
      </c>
      <c r="O429" s="16">
        <f t="shared" si="4"/>
        <v>0.1511156187</v>
      </c>
      <c r="P429" s="16">
        <f t="shared" si="5"/>
        <v>-0.02491408935</v>
      </c>
      <c r="Q429" s="30">
        <f t="shared" si="6"/>
        <v>0.0180870964</v>
      </c>
      <c r="R429" s="30">
        <f t="shared" si="7"/>
        <v>0.03894972722</v>
      </c>
      <c r="S429" s="30">
        <f t="shared" si="8"/>
        <v>0.07974341503</v>
      </c>
      <c r="T429" s="30">
        <f t="shared" si="9"/>
        <v>-0.151706956</v>
      </c>
    </row>
    <row r="430">
      <c r="A430" s="1">
        <v>427.0</v>
      </c>
      <c r="B430" s="22" t="s">
        <v>1162</v>
      </c>
      <c r="C430" s="22" t="s">
        <v>545</v>
      </c>
      <c r="D430" s="22" t="s">
        <v>1163</v>
      </c>
      <c r="E430" s="23">
        <f>IFERROR(__xludf.DUMMYFUNCTION("GOOGLEFINANCE(""NSE:""&amp;D430,""marketcap"")/10000000"),4494.255535)</f>
        <v>4494.255535</v>
      </c>
      <c r="F430" s="17">
        <f>IFERROR(__xludf.DUMMYFUNCTION("GOOGLEFINANCE(""NSE:""&amp;D430)"),294.0)</f>
        <v>294</v>
      </c>
      <c r="G430" s="17">
        <f>IFERROR(__xludf.DUMMYFUNCTION("GOOGLEFINANCE(""NSE:""&amp;D430,""closeyest"")"),294.75)</f>
        <v>294.75</v>
      </c>
      <c r="H430" s="17">
        <f>IFERROR(__xludf.DUMMYFUNCTION("INDEX(GOOGLEFINANCE(""NSE:""&amp;D430,""PRICE"",TODAY()-7),2,2)"),309.25)</f>
        <v>309.25</v>
      </c>
      <c r="I430" s="17">
        <f>IFERROR(__xludf.DUMMYFUNCTION("INDEX(GOOGLEFINANCE(""NSE:""&amp;D430,""PRICE"",TODAY()-14),2,2)"),264.55)</f>
        <v>264.55</v>
      </c>
      <c r="J430" s="17">
        <f>IFERROR(__xludf.DUMMYFUNCTION("INDEX(GOOGLEFINANCE(""NSE:""&amp;D430,""PRICE"",TODAY()-28),2,2)"),292.4)</f>
        <v>292.4</v>
      </c>
      <c r="K430" s="17">
        <f>IFERROR(__xludf.DUMMYFUNCTION("INDEX(GOOGLEFINANCE(""NSE:""&amp;D430,""PRICE"",TODAY()-84),2,2)"),376.05)</f>
        <v>376.05</v>
      </c>
      <c r="L430" s="16">
        <f t="shared" si="1"/>
        <v>-0.002544529262</v>
      </c>
      <c r="M430" s="16">
        <f t="shared" si="2"/>
        <v>-0.04931285368</v>
      </c>
      <c r="N430" s="16">
        <f t="shared" si="3"/>
        <v>0.1113211113</v>
      </c>
      <c r="O430" s="16">
        <f t="shared" si="4"/>
        <v>0.005471956224</v>
      </c>
      <c r="P430" s="16">
        <f t="shared" si="5"/>
        <v>-0.2181890706</v>
      </c>
      <c r="Q430" s="30">
        <f t="shared" si="6"/>
        <v>-0.06117131081</v>
      </c>
      <c r="R430" s="30">
        <f t="shared" si="7"/>
        <v>0.08753675614</v>
      </c>
      <c r="S430" s="30">
        <f t="shared" si="8"/>
        <v>-0.0659002474</v>
      </c>
      <c r="T430" s="30">
        <f t="shared" si="9"/>
        <v>-0.3449819373</v>
      </c>
    </row>
    <row r="431">
      <c r="A431" s="1">
        <v>428.0</v>
      </c>
      <c r="B431" s="22" t="s">
        <v>1164</v>
      </c>
      <c r="C431" s="22" t="s">
        <v>603</v>
      </c>
      <c r="D431" s="22" t="s">
        <v>1165</v>
      </c>
      <c r="E431" s="23">
        <f>IFERROR(__xludf.DUMMYFUNCTION("GOOGLEFINANCE(""NSE:""&amp;D431,""marketcap"")/10000000"),4575.294068)</f>
        <v>4575.294068</v>
      </c>
      <c r="F431" s="17">
        <f>IFERROR(__xludf.DUMMYFUNCTION("GOOGLEFINANCE(""NSE:""&amp;D431)"),664.1)</f>
        <v>664.1</v>
      </c>
      <c r="G431" s="17">
        <f>IFERROR(__xludf.DUMMYFUNCTION("GOOGLEFINANCE(""NSE:""&amp;D431,""closeyest"")"),651.2)</f>
        <v>651.2</v>
      </c>
      <c r="H431" s="17">
        <f>IFERROR(__xludf.DUMMYFUNCTION("INDEX(GOOGLEFINANCE(""NSE:""&amp;D431,""PRICE"",TODAY()-7),2,2)"),658.0)</f>
        <v>658</v>
      </c>
      <c r="I431" s="17">
        <f>IFERROR(__xludf.DUMMYFUNCTION("INDEX(GOOGLEFINANCE(""NSE:""&amp;D431,""PRICE"",TODAY()-14),2,2)"),685.25)</f>
        <v>685.25</v>
      </c>
      <c r="J431" s="17" t="str">
        <f>IFERROR(__xludf.DUMMYFUNCTION("INDEX(GOOGLEFINANCE(""NSE:""&amp;D431,""PRICE"",TODAY()-28),2,2)"),"#N/A")</f>
        <v>#N/A</v>
      </c>
      <c r="K431" s="17">
        <f>IFERROR(__xludf.DUMMYFUNCTION("INDEX(GOOGLEFINANCE(""NSE:""&amp;D431,""PRICE"",TODAY()-84),2,2)"),767.1)</f>
        <v>767.1</v>
      </c>
      <c r="L431" s="16">
        <f t="shared" si="1"/>
        <v>0.01980958231</v>
      </c>
      <c r="M431" s="16">
        <f t="shared" si="2"/>
        <v>0.009270516717</v>
      </c>
      <c r="N431" s="16">
        <f t="shared" si="3"/>
        <v>-0.03086464794</v>
      </c>
      <c r="O431" s="16" t="str">
        <f t="shared" si="4"/>
        <v>#N/A</v>
      </c>
      <c r="P431" s="16">
        <f t="shared" si="5"/>
        <v>-0.1342719333</v>
      </c>
      <c r="Q431" s="30">
        <f t="shared" si="6"/>
        <v>-0.002587940419</v>
      </c>
      <c r="R431" s="30">
        <f t="shared" si="7"/>
        <v>-0.05464900312</v>
      </c>
      <c r="S431" s="32" t="str">
        <f t="shared" si="8"/>
        <v>#N/A</v>
      </c>
      <c r="T431" s="30">
        <f t="shared" si="9"/>
        <v>-0.2610648</v>
      </c>
    </row>
    <row r="432">
      <c r="A432" s="1">
        <v>429.0</v>
      </c>
      <c r="B432" s="22" t="s">
        <v>1166</v>
      </c>
      <c r="C432" s="22" t="s">
        <v>543</v>
      </c>
      <c r="D432" s="22" t="s">
        <v>1167</v>
      </c>
      <c r="E432" s="23">
        <f>IFERROR(__xludf.DUMMYFUNCTION("GOOGLEFINANCE(""NSE:""&amp;D432,""marketcap"")/10000000"),4421.2387541)</f>
        <v>4421.238754</v>
      </c>
      <c r="F432" s="17">
        <f>IFERROR(__xludf.DUMMYFUNCTION("GOOGLEFINANCE(""NSE:""&amp;D432)"),107.2)</f>
        <v>107.2</v>
      </c>
      <c r="G432" s="17">
        <f>IFERROR(__xludf.DUMMYFUNCTION("GOOGLEFINANCE(""NSE:""&amp;D432,""closeyest"")"),107.45)</f>
        <v>107.45</v>
      </c>
      <c r="H432" s="17">
        <f>IFERROR(__xludf.DUMMYFUNCTION("INDEX(GOOGLEFINANCE(""NSE:""&amp;D432,""PRICE"",TODAY()-7),2,2)"),108.65)</f>
        <v>108.65</v>
      </c>
      <c r="I432" s="17">
        <f>IFERROR(__xludf.DUMMYFUNCTION("INDEX(GOOGLEFINANCE(""NSE:""&amp;D432,""PRICE"",TODAY()-14),2,2)"),106.25)</f>
        <v>106.25</v>
      </c>
      <c r="J432" s="17">
        <f>IFERROR(__xludf.DUMMYFUNCTION("INDEX(GOOGLEFINANCE(""NSE:""&amp;D432,""PRICE"",TODAY()-28),2,2)"),106.75)</f>
        <v>106.75</v>
      </c>
      <c r="K432" s="17">
        <f>IFERROR(__xludf.DUMMYFUNCTION("INDEX(GOOGLEFINANCE(""NSE:""&amp;D432,""PRICE"",TODAY()-84),2,2)"),108.25)</f>
        <v>108.25</v>
      </c>
      <c r="L432" s="16">
        <f t="shared" si="1"/>
        <v>-0.002326663564</v>
      </c>
      <c r="M432" s="16">
        <f t="shared" si="2"/>
        <v>-0.01334560515</v>
      </c>
      <c r="N432" s="16">
        <f t="shared" si="3"/>
        <v>0.008941176471</v>
      </c>
      <c r="O432" s="16">
        <f t="shared" si="4"/>
        <v>0.004215456674</v>
      </c>
      <c r="P432" s="16">
        <f t="shared" si="5"/>
        <v>-0.009699769053</v>
      </c>
      <c r="Q432" s="30">
        <f t="shared" si="6"/>
        <v>-0.02520406229</v>
      </c>
      <c r="R432" s="30">
        <f t="shared" si="7"/>
        <v>-0.01484317871</v>
      </c>
      <c r="S432" s="30">
        <f t="shared" si="8"/>
        <v>-0.06715674695</v>
      </c>
      <c r="T432" s="30">
        <f t="shared" si="9"/>
        <v>-0.1364926358</v>
      </c>
    </row>
    <row r="433">
      <c r="A433" s="1">
        <v>430.0</v>
      </c>
      <c r="B433" s="22" t="s">
        <v>1168</v>
      </c>
      <c r="C433" s="22" t="s">
        <v>635</v>
      </c>
      <c r="D433" s="22" t="s">
        <v>1169</v>
      </c>
      <c r="E433" s="23">
        <f>IFERROR(__xludf.DUMMYFUNCTION("GOOGLEFINANCE(""NSE:""&amp;D433,""marketcap"")/10000000"),4433.5583086)</f>
        <v>4433.558309</v>
      </c>
      <c r="F433" s="17">
        <f>IFERROR(__xludf.DUMMYFUNCTION("GOOGLEFINANCE(""NSE:""&amp;D433)"),1272.0)</f>
        <v>1272</v>
      </c>
      <c r="G433" s="17">
        <f>IFERROR(__xludf.DUMMYFUNCTION("GOOGLEFINANCE(""NSE:""&amp;D433,""closeyest"")"),1274.6)</f>
        <v>1274.6</v>
      </c>
      <c r="H433" s="17">
        <f>IFERROR(__xludf.DUMMYFUNCTION("INDEX(GOOGLEFINANCE(""NSE:""&amp;D433,""PRICE"",TODAY()-7),2,2)"),1244.6)</f>
        <v>1244.6</v>
      </c>
      <c r="I433" s="17">
        <f>IFERROR(__xludf.DUMMYFUNCTION("INDEX(GOOGLEFINANCE(""NSE:""&amp;D433,""PRICE"",TODAY()-14),2,2)"),1199.1)</f>
        <v>1199.1</v>
      </c>
      <c r="J433" s="17">
        <f>IFERROR(__xludf.DUMMYFUNCTION("INDEX(GOOGLEFINANCE(""NSE:""&amp;D433,""PRICE"",TODAY()-28),2,2)"),1179.25)</f>
        <v>1179.25</v>
      </c>
      <c r="K433" s="17">
        <f>IFERROR(__xludf.DUMMYFUNCTION("INDEX(GOOGLEFINANCE(""NSE:""&amp;D433,""PRICE"",TODAY()-84),2,2)"),1014.6)</f>
        <v>1014.6</v>
      </c>
      <c r="L433" s="16">
        <f t="shared" si="1"/>
        <v>-0.002039855641</v>
      </c>
      <c r="M433" s="16">
        <f t="shared" si="2"/>
        <v>0.02201510525</v>
      </c>
      <c r="N433" s="16">
        <f t="shared" si="3"/>
        <v>0.0607955967</v>
      </c>
      <c r="O433" s="16">
        <f t="shared" si="4"/>
        <v>0.07865168539</v>
      </c>
      <c r="P433" s="16">
        <f t="shared" si="5"/>
        <v>0.2536960378</v>
      </c>
      <c r="Q433" s="30">
        <f t="shared" si="6"/>
        <v>0.01015664812</v>
      </c>
      <c r="R433" s="30">
        <f t="shared" si="7"/>
        <v>0.03701124152</v>
      </c>
      <c r="S433" s="30">
        <f t="shared" si="8"/>
        <v>0.007279481765</v>
      </c>
      <c r="T433" s="30">
        <f t="shared" si="9"/>
        <v>0.1269031712</v>
      </c>
    </row>
    <row r="434">
      <c r="A434" s="1">
        <v>431.0</v>
      </c>
      <c r="B434" s="22" t="s">
        <v>1170</v>
      </c>
      <c r="C434" s="22" t="s">
        <v>712</v>
      </c>
      <c r="D434" s="22" t="s">
        <v>1171</v>
      </c>
      <c r="E434" s="23">
        <f>IFERROR(__xludf.DUMMYFUNCTION("GOOGLEFINANCE(""NSE:""&amp;D434,""marketcap"")/10000000"),4259.83668)</f>
        <v>4259.83668</v>
      </c>
      <c r="F434" s="17">
        <f>IFERROR(__xludf.DUMMYFUNCTION("GOOGLEFINANCE(""NSE:""&amp;D434)"),347.5)</f>
        <v>347.5</v>
      </c>
      <c r="G434" s="17">
        <f>IFERROR(__xludf.DUMMYFUNCTION("GOOGLEFINANCE(""NSE:""&amp;D434,""closeyest"")"),359.75)</f>
        <v>359.75</v>
      </c>
      <c r="H434" s="17">
        <f>IFERROR(__xludf.DUMMYFUNCTION("INDEX(GOOGLEFINANCE(""NSE:""&amp;D434,""PRICE"",TODAY()-7),2,2)"),306.2)</f>
        <v>306.2</v>
      </c>
      <c r="I434" s="17">
        <f>IFERROR(__xludf.DUMMYFUNCTION("INDEX(GOOGLEFINANCE(""NSE:""&amp;D434,""PRICE"",TODAY()-14),2,2)"),300.55)</f>
        <v>300.55</v>
      </c>
      <c r="J434" s="17">
        <f>IFERROR(__xludf.DUMMYFUNCTION("INDEX(GOOGLEFINANCE(""NSE:""&amp;D434,""PRICE"",TODAY()-28),2,2)"),306.0)</f>
        <v>306</v>
      </c>
      <c r="K434" s="17">
        <f>IFERROR(__xludf.DUMMYFUNCTION("INDEX(GOOGLEFINANCE(""NSE:""&amp;D434,""PRICE"",TODAY()-84),2,2)"),311.9)</f>
        <v>311.9</v>
      </c>
      <c r="L434" s="16">
        <f t="shared" si="1"/>
        <v>-0.0340514246</v>
      </c>
      <c r="M434" s="16">
        <f t="shared" si="2"/>
        <v>0.1348791639</v>
      </c>
      <c r="N434" s="16">
        <f t="shared" si="3"/>
        <v>0.1562136084</v>
      </c>
      <c r="O434" s="16">
        <f t="shared" si="4"/>
        <v>0.135620915</v>
      </c>
      <c r="P434" s="16">
        <f t="shared" si="5"/>
        <v>0.1141391472</v>
      </c>
      <c r="Q434" s="30">
        <f t="shared" si="6"/>
        <v>0.1230207068</v>
      </c>
      <c r="R434" s="30">
        <f t="shared" si="7"/>
        <v>0.1324292532</v>
      </c>
      <c r="S434" s="30">
        <f t="shared" si="8"/>
        <v>0.0642487114</v>
      </c>
      <c r="T434" s="30">
        <f t="shared" si="9"/>
        <v>-0.01265371953</v>
      </c>
    </row>
    <row r="435">
      <c r="A435" s="1">
        <v>432.0</v>
      </c>
      <c r="B435" s="22" t="s">
        <v>1172</v>
      </c>
      <c r="C435" s="22" t="s">
        <v>635</v>
      </c>
      <c r="D435" s="22" t="s">
        <v>1173</v>
      </c>
      <c r="E435" s="23">
        <f>IFERROR(__xludf.DUMMYFUNCTION("GOOGLEFINANCE(""NSE:""&amp;D435,""marketcap"")/10000000"),4275.754)</f>
        <v>4275.754</v>
      </c>
      <c r="F435" s="17">
        <f>IFERROR(__xludf.DUMMYFUNCTION("GOOGLEFINANCE(""NSE:""&amp;D435)"),360.0)</f>
        <v>360</v>
      </c>
      <c r="G435" s="17">
        <f>IFERROR(__xludf.DUMMYFUNCTION("GOOGLEFINANCE(""NSE:""&amp;D435,""closeyest"")"),361.85)</f>
        <v>361.85</v>
      </c>
      <c r="H435" s="17">
        <f>IFERROR(__xludf.DUMMYFUNCTION("INDEX(GOOGLEFINANCE(""NSE:""&amp;D435,""PRICE"",TODAY()-7),2,2)"),372.4)</f>
        <v>372.4</v>
      </c>
      <c r="I435" s="17">
        <f>IFERROR(__xludf.DUMMYFUNCTION("INDEX(GOOGLEFINANCE(""NSE:""&amp;D435,""PRICE"",TODAY()-14),2,2)"),387.45)</f>
        <v>387.45</v>
      </c>
      <c r="J435" s="17">
        <f>IFERROR(__xludf.DUMMYFUNCTION("INDEX(GOOGLEFINANCE(""NSE:""&amp;D435,""PRICE"",TODAY()-28),2,2)"),367.95)</f>
        <v>367.95</v>
      </c>
      <c r="K435" s="17" t="str">
        <f>IFERROR(__xludf.DUMMYFUNCTION("INDEX(GOOGLEFINANCE(""NSE:""&amp;D435,""PRICE"",TODAY()-84),2,2)"),"#N/A")</f>
        <v>#N/A</v>
      </c>
      <c r="L435" s="16">
        <f t="shared" si="1"/>
        <v>-0.005112615725</v>
      </c>
      <c r="M435" s="16">
        <f t="shared" si="2"/>
        <v>-0.03329752954</v>
      </c>
      <c r="N435" s="16">
        <f t="shared" si="3"/>
        <v>-0.07084785134</v>
      </c>
      <c r="O435" s="16">
        <f t="shared" si="4"/>
        <v>-0.02160619649</v>
      </c>
      <c r="P435" s="16" t="str">
        <f t="shared" si="5"/>
        <v>#N/A</v>
      </c>
      <c r="Q435" s="30">
        <f t="shared" si="6"/>
        <v>-0.04515598667</v>
      </c>
      <c r="R435" s="30">
        <f t="shared" si="7"/>
        <v>-0.09463220652</v>
      </c>
      <c r="S435" s="30">
        <f t="shared" si="8"/>
        <v>-0.09297840012</v>
      </c>
      <c r="T435" s="32" t="str">
        <f t="shared" si="9"/>
        <v>#N/A</v>
      </c>
    </row>
    <row r="436">
      <c r="A436" s="1">
        <v>433.0</v>
      </c>
      <c r="B436" s="22" t="s">
        <v>1174</v>
      </c>
      <c r="C436" s="22" t="s">
        <v>555</v>
      </c>
      <c r="D436" s="22" t="s">
        <v>1175</v>
      </c>
      <c r="E436" s="23">
        <f>IFERROR(__xludf.DUMMYFUNCTION("GOOGLEFINANCE(""NSE:""&amp;D436,""marketcap"")/10000000"),4351.463455)</f>
        <v>4351.463455</v>
      </c>
      <c r="F436" s="17">
        <f>IFERROR(__xludf.DUMMYFUNCTION("GOOGLEFINANCE(""NSE:""&amp;D436)"),617.5)</f>
        <v>617.5</v>
      </c>
      <c r="G436" s="17">
        <f>IFERROR(__xludf.DUMMYFUNCTION("GOOGLEFINANCE(""NSE:""&amp;D436,""closeyest"")"),619.0)</f>
        <v>619</v>
      </c>
      <c r="H436" s="17">
        <f>IFERROR(__xludf.DUMMYFUNCTION("INDEX(GOOGLEFINANCE(""NSE:""&amp;D436,""PRICE"",TODAY()-7),2,2)"),598.65)</f>
        <v>598.65</v>
      </c>
      <c r="I436" s="17">
        <f>IFERROR(__xludf.DUMMYFUNCTION("INDEX(GOOGLEFINANCE(""NSE:""&amp;D436,""PRICE"",TODAY()-14),2,2)"),596.15)</f>
        <v>596.15</v>
      </c>
      <c r="J436" s="17">
        <f>IFERROR(__xludf.DUMMYFUNCTION("INDEX(GOOGLEFINANCE(""NSE:""&amp;D436,""PRICE"",TODAY()-28),2,2)"),569.75)</f>
        <v>569.75</v>
      </c>
      <c r="K436" s="17">
        <f>IFERROR(__xludf.DUMMYFUNCTION("INDEX(GOOGLEFINANCE(""NSE:""&amp;D436,""PRICE"",TODAY()-84),2,2)"),603.75)</f>
        <v>603.75</v>
      </c>
      <c r="L436" s="16">
        <f t="shared" si="1"/>
        <v>-0.002423263328</v>
      </c>
      <c r="M436" s="16">
        <f t="shared" si="2"/>
        <v>0.03148751357</v>
      </c>
      <c r="N436" s="16">
        <f t="shared" si="3"/>
        <v>0.03581313428</v>
      </c>
      <c r="O436" s="16">
        <f t="shared" si="4"/>
        <v>0.08380868802</v>
      </c>
      <c r="P436" s="16">
        <f t="shared" si="5"/>
        <v>0.02277432712</v>
      </c>
      <c r="Q436" s="30">
        <f t="shared" si="6"/>
        <v>0.01962905644</v>
      </c>
      <c r="R436" s="30">
        <f t="shared" si="7"/>
        <v>0.0120287791</v>
      </c>
      <c r="S436" s="30">
        <f t="shared" si="8"/>
        <v>0.01243648439</v>
      </c>
      <c r="T436" s="30">
        <f t="shared" si="9"/>
        <v>-0.1040185396</v>
      </c>
    </row>
    <row r="437">
      <c r="A437" s="1">
        <v>434.0</v>
      </c>
      <c r="B437" s="22" t="s">
        <v>1176</v>
      </c>
      <c r="C437" s="22" t="s">
        <v>545</v>
      </c>
      <c r="D437" s="22" t="s">
        <v>1177</v>
      </c>
      <c r="E437" s="23">
        <f>IFERROR(__xludf.DUMMYFUNCTION("GOOGLEFINANCE(""NSE:""&amp;D437,""marketcap"")/10000000"),4366.7101065)</f>
        <v>4366.710107</v>
      </c>
      <c r="F437" s="17">
        <f>IFERROR(__xludf.DUMMYFUNCTION("GOOGLEFINANCE(""NSE:""&amp;D437)"),315.55)</f>
        <v>315.55</v>
      </c>
      <c r="G437" s="17">
        <f>IFERROR(__xludf.DUMMYFUNCTION("GOOGLEFINANCE(""NSE:""&amp;D437,""closeyest"")"),314.3)</f>
        <v>314.3</v>
      </c>
      <c r="H437" s="17">
        <f>IFERROR(__xludf.DUMMYFUNCTION("INDEX(GOOGLEFINANCE(""NSE:""&amp;D437,""PRICE"",TODAY()-7),2,2)"),326.4)</f>
        <v>326.4</v>
      </c>
      <c r="I437" s="17">
        <f>IFERROR(__xludf.DUMMYFUNCTION("INDEX(GOOGLEFINANCE(""NSE:""&amp;D437,""PRICE"",TODAY()-14),2,2)"),308.65)</f>
        <v>308.65</v>
      </c>
      <c r="J437" s="17">
        <f>IFERROR(__xludf.DUMMYFUNCTION("INDEX(GOOGLEFINANCE(""NSE:""&amp;D437,""PRICE"",TODAY()-28),2,2)"),322.2)</f>
        <v>322.2</v>
      </c>
      <c r="K437" s="17">
        <f>IFERROR(__xludf.DUMMYFUNCTION("INDEX(GOOGLEFINANCE(""NSE:""&amp;D437,""PRICE"",TODAY()-84),2,2)"),284.55)</f>
        <v>284.55</v>
      </c>
      <c r="L437" s="16">
        <f t="shared" si="1"/>
        <v>0.00397709195</v>
      </c>
      <c r="M437" s="16">
        <f t="shared" si="2"/>
        <v>-0.03324142157</v>
      </c>
      <c r="N437" s="16">
        <f t="shared" si="3"/>
        <v>0.02235541876</v>
      </c>
      <c r="O437" s="16">
        <f t="shared" si="4"/>
        <v>-0.02063935444</v>
      </c>
      <c r="P437" s="16">
        <f t="shared" si="5"/>
        <v>0.1089439466</v>
      </c>
      <c r="Q437" s="30">
        <f t="shared" si="6"/>
        <v>-0.0450998787</v>
      </c>
      <c r="R437" s="30">
        <f t="shared" si="7"/>
        <v>-0.001428936421</v>
      </c>
      <c r="S437" s="30">
        <f t="shared" si="8"/>
        <v>-0.09201155807</v>
      </c>
      <c r="T437" s="30">
        <f t="shared" si="9"/>
        <v>-0.01784892011</v>
      </c>
    </row>
    <row r="438">
      <c r="A438" s="1">
        <v>435.0</v>
      </c>
      <c r="B438" s="22" t="s">
        <v>1178</v>
      </c>
      <c r="C438" s="22" t="s">
        <v>526</v>
      </c>
      <c r="D438" s="22" t="s">
        <v>1179</v>
      </c>
      <c r="E438" s="23">
        <f>IFERROR(__xludf.DUMMYFUNCTION("GOOGLEFINANCE(""NSE:""&amp;D438,""marketcap"")/10000000"),4329.1734225)</f>
        <v>4329.173423</v>
      </c>
      <c r="F438" s="17">
        <f>IFERROR(__xludf.DUMMYFUNCTION("GOOGLEFINANCE(""NSE:""&amp;D438)"),387.3)</f>
        <v>387.3</v>
      </c>
      <c r="G438" s="17">
        <f>IFERROR(__xludf.DUMMYFUNCTION("GOOGLEFINANCE(""NSE:""&amp;D438,""closeyest"")"),390.6)</f>
        <v>390.6</v>
      </c>
      <c r="H438" s="17">
        <f>IFERROR(__xludf.DUMMYFUNCTION("INDEX(GOOGLEFINANCE(""NSE:""&amp;D438,""PRICE"",TODAY()-7),2,2)"),398.95)</f>
        <v>398.95</v>
      </c>
      <c r="I438" s="17">
        <f>IFERROR(__xludf.DUMMYFUNCTION("INDEX(GOOGLEFINANCE(""NSE:""&amp;D438,""PRICE"",TODAY()-14),2,2)"),412.3)</f>
        <v>412.3</v>
      </c>
      <c r="J438" s="17">
        <f>IFERROR(__xludf.DUMMYFUNCTION("INDEX(GOOGLEFINANCE(""NSE:""&amp;D438,""PRICE"",TODAY()-28),2,2)"),370.95)</f>
        <v>370.95</v>
      </c>
      <c r="K438" s="17">
        <f>IFERROR(__xludf.DUMMYFUNCTION("INDEX(GOOGLEFINANCE(""NSE:""&amp;D438,""PRICE"",TODAY()-84),2,2)"),407.6)</f>
        <v>407.6</v>
      </c>
      <c r="L438" s="16">
        <f t="shared" si="1"/>
        <v>-0.008448540707</v>
      </c>
      <c r="M438" s="16">
        <f t="shared" si="2"/>
        <v>-0.02920165434</v>
      </c>
      <c r="N438" s="16">
        <f t="shared" si="3"/>
        <v>-0.06063545962</v>
      </c>
      <c r="O438" s="16">
        <f t="shared" si="4"/>
        <v>0.04407602103</v>
      </c>
      <c r="P438" s="16">
        <f t="shared" si="5"/>
        <v>-0.04980372915</v>
      </c>
      <c r="Q438" s="30">
        <f t="shared" si="6"/>
        <v>-0.04106011148</v>
      </c>
      <c r="R438" s="30">
        <f t="shared" si="7"/>
        <v>-0.0844198148</v>
      </c>
      <c r="S438" s="30">
        <f t="shared" si="8"/>
        <v>-0.0272961826</v>
      </c>
      <c r="T438" s="30">
        <f t="shared" si="9"/>
        <v>-0.1765965958</v>
      </c>
    </row>
    <row r="439">
      <c r="A439" s="1">
        <v>436.0</v>
      </c>
      <c r="B439" s="22" t="s">
        <v>1180</v>
      </c>
      <c r="C439" s="22" t="s">
        <v>603</v>
      </c>
      <c r="D439" s="22" t="s">
        <v>1181</v>
      </c>
      <c r="E439" s="23">
        <f>IFERROR(__xludf.DUMMYFUNCTION("GOOGLEFINANCE(""NSE:""&amp;D439,""marketcap"")/10000000"),4389.5518906)</f>
        <v>4389.551891</v>
      </c>
      <c r="F439" s="17">
        <f>IFERROR(__xludf.DUMMYFUNCTION("GOOGLEFINANCE(""NSE:""&amp;D439)"),254.0)</f>
        <v>254</v>
      </c>
      <c r="G439" s="17">
        <f>IFERROR(__xludf.DUMMYFUNCTION("GOOGLEFINANCE(""NSE:""&amp;D439,""closeyest"")"),250.75)</f>
        <v>250.75</v>
      </c>
      <c r="H439" s="17">
        <f>IFERROR(__xludf.DUMMYFUNCTION("INDEX(GOOGLEFINANCE(""NSE:""&amp;D439,""PRICE"",TODAY()-7),2,2)"),251.35)</f>
        <v>251.35</v>
      </c>
      <c r="I439" s="17">
        <f>IFERROR(__xludf.DUMMYFUNCTION("INDEX(GOOGLEFINANCE(""NSE:""&amp;D439,""PRICE"",TODAY()-14),2,2)"),249.0)</f>
        <v>249</v>
      </c>
      <c r="J439" s="17">
        <f>IFERROR(__xludf.DUMMYFUNCTION("INDEX(GOOGLEFINANCE(""NSE:""&amp;D439,""PRICE"",TODAY()-28),2,2)"),239.65)</f>
        <v>239.65</v>
      </c>
      <c r="K439" s="17">
        <f>IFERROR(__xludf.DUMMYFUNCTION("INDEX(GOOGLEFINANCE(""NSE:""&amp;D439,""PRICE"",TODAY()-84),2,2)"),236.05)</f>
        <v>236.05</v>
      </c>
      <c r="L439" s="16">
        <f t="shared" si="1"/>
        <v>0.01296111665</v>
      </c>
      <c r="M439" s="16">
        <f t="shared" si="2"/>
        <v>0.01054306744</v>
      </c>
      <c r="N439" s="16">
        <f t="shared" si="3"/>
        <v>0.02008032129</v>
      </c>
      <c r="O439" s="16">
        <f t="shared" si="4"/>
        <v>0.05987899019</v>
      </c>
      <c r="P439" s="16">
        <f t="shared" si="5"/>
        <v>0.07604321118</v>
      </c>
      <c r="Q439" s="30">
        <f t="shared" si="6"/>
        <v>-0.0013153897</v>
      </c>
      <c r="R439" s="30">
        <f t="shared" si="7"/>
        <v>-0.003704033895</v>
      </c>
      <c r="S439" s="30">
        <f t="shared" si="8"/>
        <v>-0.01149321343</v>
      </c>
      <c r="T439" s="30">
        <f t="shared" si="9"/>
        <v>-0.05074965551</v>
      </c>
    </row>
    <row r="440">
      <c r="A440" s="1">
        <v>437.0</v>
      </c>
      <c r="B440" s="22" t="s">
        <v>1182</v>
      </c>
      <c r="C440" s="22" t="s">
        <v>528</v>
      </c>
      <c r="D440" s="22" t="s">
        <v>1183</v>
      </c>
      <c r="E440" s="23">
        <f>IFERROR(__xludf.DUMMYFUNCTION("GOOGLEFINANCE(""NSE:""&amp;D440,""marketcap"")/10000000"),4295.28043)</f>
        <v>4295.28043</v>
      </c>
      <c r="F440" s="17">
        <f>IFERROR(__xludf.DUMMYFUNCTION("GOOGLEFINANCE(""NSE:""&amp;D440)"),787.1)</f>
        <v>787.1</v>
      </c>
      <c r="G440" s="17">
        <f>IFERROR(__xludf.DUMMYFUNCTION("GOOGLEFINANCE(""NSE:""&amp;D440,""closeyest"")"),785.3)</f>
        <v>785.3</v>
      </c>
      <c r="H440" s="17">
        <f>IFERROR(__xludf.DUMMYFUNCTION("INDEX(GOOGLEFINANCE(""NSE:""&amp;D440,""PRICE"",TODAY()-7),2,2)"),794.35)</f>
        <v>794.35</v>
      </c>
      <c r="I440" s="17">
        <f>IFERROR(__xludf.DUMMYFUNCTION("INDEX(GOOGLEFINANCE(""NSE:""&amp;D440,""PRICE"",TODAY()-14),2,2)"),768.4)</f>
        <v>768.4</v>
      </c>
      <c r="J440" s="17">
        <f>IFERROR(__xludf.DUMMYFUNCTION("INDEX(GOOGLEFINANCE(""NSE:""&amp;D440,""PRICE"",TODAY()-28),2,2)"),762.3)</f>
        <v>762.3</v>
      </c>
      <c r="K440" s="17">
        <f>IFERROR(__xludf.DUMMYFUNCTION("INDEX(GOOGLEFINANCE(""NSE:""&amp;D440,""PRICE"",TODAY()-84),2,2)"),843.8)</f>
        <v>843.8</v>
      </c>
      <c r="L440" s="16">
        <f t="shared" si="1"/>
        <v>0.002292117662</v>
      </c>
      <c r="M440" s="16">
        <f t="shared" si="2"/>
        <v>-0.009126959149</v>
      </c>
      <c r="N440" s="16">
        <f t="shared" si="3"/>
        <v>0.02433628319</v>
      </c>
      <c r="O440" s="16">
        <f t="shared" si="4"/>
        <v>0.03253312344</v>
      </c>
      <c r="P440" s="16">
        <f t="shared" si="5"/>
        <v>-0.06719601801</v>
      </c>
      <c r="Q440" s="30">
        <f t="shared" si="6"/>
        <v>-0.02098541629</v>
      </c>
      <c r="R440" s="30">
        <f t="shared" si="7"/>
        <v>0.0005519280061</v>
      </c>
      <c r="S440" s="30">
        <f t="shared" si="8"/>
        <v>-0.03883908019</v>
      </c>
      <c r="T440" s="30">
        <f t="shared" si="9"/>
        <v>-0.1939888847</v>
      </c>
    </row>
    <row r="441">
      <c r="A441" s="1">
        <v>438.0</v>
      </c>
      <c r="B441" s="22" t="s">
        <v>1184</v>
      </c>
      <c r="C441" s="22" t="s">
        <v>549</v>
      </c>
      <c r="D441" s="22" t="s">
        <v>1185</v>
      </c>
      <c r="E441" s="23">
        <f>IFERROR(__xludf.DUMMYFUNCTION("GOOGLEFINANCE(""NSE:""&amp;D441,""marketcap"")/10000000"),4248.131135)</f>
        <v>4248.131135</v>
      </c>
      <c r="F441" s="17">
        <f>IFERROR(__xludf.DUMMYFUNCTION("GOOGLEFINANCE(""NSE:""&amp;D441)"),460.95)</f>
        <v>460.95</v>
      </c>
      <c r="G441" s="17">
        <f>IFERROR(__xludf.DUMMYFUNCTION("GOOGLEFINANCE(""NSE:""&amp;D441,""closeyest"")"),465.05)</f>
        <v>465.05</v>
      </c>
      <c r="H441" s="17">
        <f>IFERROR(__xludf.DUMMYFUNCTION("INDEX(GOOGLEFINANCE(""NSE:""&amp;D441,""PRICE"",TODAY()-7),2,2)"),481.4)</f>
        <v>481.4</v>
      </c>
      <c r="I441" s="17">
        <f>IFERROR(__xludf.DUMMYFUNCTION("INDEX(GOOGLEFINANCE(""NSE:""&amp;D441,""PRICE"",TODAY()-14),2,2)"),456.75)</f>
        <v>456.75</v>
      </c>
      <c r="J441" s="17">
        <f>IFERROR(__xludf.DUMMYFUNCTION("INDEX(GOOGLEFINANCE(""NSE:""&amp;D441,""PRICE"",TODAY()-28),2,2)"),450.0)</f>
        <v>450</v>
      </c>
      <c r="K441" s="17">
        <f>IFERROR(__xludf.DUMMYFUNCTION("INDEX(GOOGLEFINANCE(""NSE:""&amp;D441,""PRICE"",TODAY()-84),2,2)"),474.65)</f>
        <v>474.65</v>
      </c>
      <c r="L441" s="16">
        <f t="shared" si="1"/>
        <v>-0.008816256317</v>
      </c>
      <c r="M441" s="16">
        <f t="shared" si="2"/>
        <v>-0.04248026589</v>
      </c>
      <c r="N441" s="16">
        <f t="shared" si="3"/>
        <v>0.009195402299</v>
      </c>
      <c r="O441" s="16">
        <f t="shared" si="4"/>
        <v>0.02433333333</v>
      </c>
      <c r="P441" s="16">
        <f t="shared" si="5"/>
        <v>-0.02886337301</v>
      </c>
      <c r="Q441" s="30">
        <f t="shared" si="6"/>
        <v>-0.05433872303</v>
      </c>
      <c r="R441" s="30">
        <f t="shared" si="7"/>
        <v>-0.01458895288</v>
      </c>
      <c r="S441" s="30">
        <f t="shared" si="8"/>
        <v>-0.0470388703</v>
      </c>
      <c r="T441" s="30">
        <f t="shared" si="9"/>
        <v>-0.1556562397</v>
      </c>
    </row>
    <row r="442">
      <c r="A442" s="1">
        <v>439.0</v>
      </c>
      <c r="B442" s="22" t="s">
        <v>1186</v>
      </c>
      <c r="C442" s="22" t="s">
        <v>635</v>
      </c>
      <c r="D442" s="22" t="s">
        <v>1187</v>
      </c>
      <c r="E442" s="23">
        <f>IFERROR(__xludf.DUMMYFUNCTION("GOOGLEFINANCE(""NSE:""&amp;D442,""marketcap"")/10000000"),4477.781175)</f>
        <v>4477.781175</v>
      </c>
      <c r="F442" s="17">
        <f>IFERROR(__xludf.DUMMYFUNCTION("GOOGLEFINANCE(""NSE:""&amp;D442)"),138.5)</f>
        <v>138.5</v>
      </c>
      <c r="G442" s="17">
        <f>IFERROR(__xludf.DUMMYFUNCTION("GOOGLEFINANCE(""NSE:""&amp;D442,""closeyest"")"),132.15)</f>
        <v>132.15</v>
      </c>
      <c r="H442" s="17">
        <f>IFERROR(__xludf.DUMMYFUNCTION("INDEX(GOOGLEFINANCE(""NSE:""&amp;D442,""PRICE"",TODAY()-7),2,2)"),139.0)</f>
        <v>139</v>
      </c>
      <c r="I442" s="17">
        <f>IFERROR(__xludf.DUMMYFUNCTION("INDEX(GOOGLEFINANCE(""NSE:""&amp;D442,""PRICE"",TODAY()-14),2,2)"),138.1)</f>
        <v>138.1</v>
      </c>
      <c r="J442" s="17">
        <f>IFERROR(__xludf.DUMMYFUNCTION("INDEX(GOOGLEFINANCE(""NSE:""&amp;D442,""PRICE"",TODAY()-28),2,2)"),123.0)</f>
        <v>123</v>
      </c>
      <c r="K442" s="17">
        <f>IFERROR(__xludf.DUMMYFUNCTION("INDEX(GOOGLEFINANCE(""NSE:""&amp;D442,""PRICE"",TODAY()-84),2,2)"),122.15)</f>
        <v>122.15</v>
      </c>
      <c r="L442" s="16">
        <f t="shared" si="1"/>
        <v>0.04805145668</v>
      </c>
      <c r="M442" s="16">
        <f t="shared" si="2"/>
        <v>-0.003597122302</v>
      </c>
      <c r="N442" s="16">
        <f t="shared" si="3"/>
        <v>0.002896451846</v>
      </c>
      <c r="O442" s="16">
        <f t="shared" si="4"/>
        <v>0.1260162602</v>
      </c>
      <c r="P442" s="16">
        <f t="shared" si="5"/>
        <v>0.1338518215</v>
      </c>
      <c r="Q442" s="30">
        <f t="shared" si="6"/>
        <v>-0.01545557944</v>
      </c>
      <c r="R442" s="30">
        <f t="shared" si="7"/>
        <v>-0.02088790333</v>
      </c>
      <c r="S442" s="30">
        <f t="shared" si="8"/>
        <v>0.05464405653</v>
      </c>
      <c r="T442" s="30">
        <f t="shared" si="9"/>
        <v>0.007058954834</v>
      </c>
    </row>
    <row r="443">
      <c r="A443" s="1">
        <v>440.0</v>
      </c>
      <c r="B443" s="22" t="s">
        <v>1188</v>
      </c>
      <c r="C443" s="22" t="s">
        <v>635</v>
      </c>
      <c r="D443" s="22" t="s">
        <v>1189</v>
      </c>
      <c r="E443" s="23">
        <f>IFERROR(__xludf.DUMMYFUNCTION("GOOGLEFINANCE(""NSE:""&amp;D443,""marketcap"")/10000000"),4268.6567721)</f>
        <v>4268.656772</v>
      </c>
      <c r="F443" s="17">
        <f>IFERROR(__xludf.DUMMYFUNCTION("GOOGLEFINANCE(""NSE:""&amp;D443)"),2865.0)</f>
        <v>2865</v>
      </c>
      <c r="G443" s="17">
        <f>IFERROR(__xludf.DUMMYFUNCTION("GOOGLEFINANCE(""NSE:""&amp;D443,""closeyest"")"),2844.85)</f>
        <v>2844.85</v>
      </c>
      <c r="H443" s="17">
        <f>IFERROR(__xludf.DUMMYFUNCTION("INDEX(GOOGLEFINANCE(""NSE:""&amp;D443,""PRICE"",TODAY()-7),2,2)"),2903.6)</f>
        <v>2903.6</v>
      </c>
      <c r="I443" s="17">
        <f>IFERROR(__xludf.DUMMYFUNCTION("INDEX(GOOGLEFINANCE(""NSE:""&amp;D443,""PRICE"",TODAY()-14),2,2)"),2786.55)</f>
        <v>2786.55</v>
      </c>
      <c r="J443" s="17">
        <f>IFERROR(__xludf.DUMMYFUNCTION("INDEX(GOOGLEFINANCE(""NSE:""&amp;D443,""PRICE"",TODAY()-28),2,2)"),2757.55)</f>
        <v>2757.55</v>
      </c>
      <c r="K443" s="17">
        <f>IFERROR(__xludf.DUMMYFUNCTION("INDEX(GOOGLEFINANCE(""NSE:""&amp;D443,""PRICE"",TODAY()-84),2,2)"),2272.45)</f>
        <v>2272.45</v>
      </c>
      <c r="L443" s="16">
        <f t="shared" si="1"/>
        <v>0.007082974498</v>
      </c>
      <c r="M443" s="16">
        <f t="shared" si="2"/>
        <v>-0.01329384213</v>
      </c>
      <c r="N443" s="16">
        <f t="shared" si="3"/>
        <v>0.02815309253</v>
      </c>
      <c r="O443" s="16">
        <f t="shared" si="4"/>
        <v>0.03896574858</v>
      </c>
      <c r="P443" s="16">
        <f t="shared" si="5"/>
        <v>0.260753812</v>
      </c>
      <c r="Q443" s="30">
        <f t="shared" si="6"/>
        <v>-0.02515229926</v>
      </c>
      <c r="R443" s="30">
        <f t="shared" si="7"/>
        <v>0.004368737354</v>
      </c>
      <c r="S443" s="30">
        <f t="shared" si="8"/>
        <v>-0.03240645505</v>
      </c>
      <c r="T443" s="30">
        <f t="shared" si="9"/>
        <v>0.1339609453</v>
      </c>
    </row>
    <row r="444">
      <c r="A444" s="1">
        <v>441.0</v>
      </c>
      <c r="B444" s="22" t="s">
        <v>1190</v>
      </c>
      <c r="C444" s="22" t="s">
        <v>526</v>
      </c>
      <c r="D444" s="22" t="s">
        <v>1191</v>
      </c>
      <c r="E444" s="23">
        <f>IFERROR(__xludf.DUMMYFUNCTION("GOOGLEFINANCE(""NSE:""&amp;D444,""marketcap"")/10000000"),4212.11167)</f>
        <v>4212.11167</v>
      </c>
      <c r="F444" s="17">
        <f>IFERROR(__xludf.DUMMYFUNCTION("GOOGLEFINANCE(""NSE:""&amp;D444)"),2990.0)</f>
        <v>2990</v>
      </c>
      <c r="G444" s="17">
        <f>IFERROR(__xludf.DUMMYFUNCTION("GOOGLEFINANCE(""NSE:""&amp;D444,""closeyest"")"),3013.4)</f>
        <v>3013.4</v>
      </c>
      <c r="H444" s="17">
        <f>IFERROR(__xludf.DUMMYFUNCTION("INDEX(GOOGLEFINANCE(""NSE:""&amp;D444,""PRICE"",TODAY()-7),2,2)"),3060.0)</f>
        <v>3060</v>
      </c>
      <c r="I444" s="17">
        <f>IFERROR(__xludf.DUMMYFUNCTION("INDEX(GOOGLEFINANCE(""NSE:""&amp;D444,""PRICE"",TODAY()-14),2,2)"),2961.9)</f>
        <v>2961.9</v>
      </c>
      <c r="J444" s="17">
        <f>IFERROR(__xludf.DUMMYFUNCTION("INDEX(GOOGLEFINANCE(""NSE:""&amp;D444,""PRICE"",TODAY()-28),2,2)"),2844.9)</f>
        <v>2844.9</v>
      </c>
      <c r="K444" s="17">
        <f>IFERROR(__xludf.DUMMYFUNCTION("INDEX(GOOGLEFINANCE(""NSE:""&amp;D444,""PRICE"",TODAY()-84),2,2)"),3580.25)</f>
        <v>3580.25</v>
      </c>
      <c r="L444" s="16">
        <f t="shared" si="1"/>
        <v>-0.007765314927</v>
      </c>
      <c r="M444" s="16">
        <f t="shared" si="2"/>
        <v>-0.02287581699</v>
      </c>
      <c r="N444" s="16">
        <f t="shared" si="3"/>
        <v>0.009487153516</v>
      </c>
      <c r="O444" s="16">
        <f t="shared" si="4"/>
        <v>0.05100355021</v>
      </c>
      <c r="P444" s="16">
        <f t="shared" si="5"/>
        <v>-0.1648627889</v>
      </c>
      <c r="Q444" s="30">
        <f t="shared" si="6"/>
        <v>-0.03473427413</v>
      </c>
      <c r="R444" s="30">
        <f t="shared" si="7"/>
        <v>-0.01429720166</v>
      </c>
      <c r="S444" s="30">
        <f t="shared" si="8"/>
        <v>-0.02036865342</v>
      </c>
      <c r="T444" s="30">
        <f t="shared" si="9"/>
        <v>-0.2916556556</v>
      </c>
    </row>
    <row r="445">
      <c r="A445" s="1">
        <v>442.0</v>
      </c>
      <c r="B445" s="22" t="s">
        <v>1192</v>
      </c>
      <c r="C445" s="22" t="s">
        <v>524</v>
      </c>
      <c r="D445" s="22" t="s">
        <v>1193</v>
      </c>
      <c r="E445" s="23">
        <f>IFERROR(__xludf.DUMMYFUNCTION("GOOGLEFINANCE(""NSE:""&amp;D445,""marketcap"")/10000000"),4195.226619)</f>
        <v>4195.226619</v>
      </c>
      <c r="F445" s="17">
        <f>IFERROR(__xludf.DUMMYFUNCTION("GOOGLEFINANCE(""NSE:""&amp;D445)"),39.5)</f>
        <v>39.5</v>
      </c>
      <c r="G445" s="17">
        <f>IFERROR(__xludf.DUMMYFUNCTION("GOOGLEFINANCE(""NSE:""&amp;D445,""closeyest"")"),39.65)</f>
        <v>39.65</v>
      </c>
      <c r="H445" s="17">
        <f>IFERROR(__xludf.DUMMYFUNCTION("INDEX(GOOGLEFINANCE(""NSE:""&amp;D445,""PRICE"",TODAY()-7),2,2)"),41.65)</f>
        <v>41.65</v>
      </c>
      <c r="I445" s="17">
        <f>IFERROR(__xludf.DUMMYFUNCTION("INDEX(GOOGLEFINANCE(""NSE:""&amp;D445,""PRICE"",TODAY()-14),2,2)"),43.15)</f>
        <v>43.15</v>
      </c>
      <c r="J445" s="17">
        <f>IFERROR(__xludf.DUMMYFUNCTION("INDEX(GOOGLEFINANCE(""NSE:""&amp;D445,""PRICE"",TODAY()-28),2,2)"),40.8)</f>
        <v>40.8</v>
      </c>
      <c r="K445" s="17" t="str">
        <f>IFERROR(__xludf.DUMMYFUNCTION("INDEX(GOOGLEFINANCE(""NSE:""&amp;D445,""PRICE"",TODAY()-84),2,2)"),"#N/A")</f>
        <v>#N/A</v>
      </c>
      <c r="L445" s="16">
        <f t="shared" si="1"/>
        <v>-0.003783102144</v>
      </c>
      <c r="M445" s="16">
        <f t="shared" si="2"/>
        <v>-0.05162064826</v>
      </c>
      <c r="N445" s="16">
        <f t="shared" si="3"/>
        <v>-0.08458864426</v>
      </c>
      <c r="O445" s="16">
        <f t="shared" si="4"/>
        <v>-0.0318627451</v>
      </c>
      <c r="P445" s="16" t="str">
        <f t="shared" si="5"/>
        <v>#N/A</v>
      </c>
      <c r="Q445" s="30">
        <f t="shared" si="6"/>
        <v>-0.0634791054</v>
      </c>
      <c r="R445" s="30">
        <f t="shared" si="7"/>
        <v>-0.1083729994</v>
      </c>
      <c r="S445" s="30">
        <f t="shared" si="8"/>
        <v>-0.1032349487</v>
      </c>
      <c r="T445" s="32" t="str">
        <f t="shared" si="9"/>
        <v>#N/A</v>
      </c>
    </row>
    <row r="446">
      <c r="A446" s="1">
        <v>443.0</v>
      </c>
      <c r="B446" s="22" t="s">
        <v>1194</v>
      </c>
      <c r="C446" s="22" t="s">
        <v>541</v>
      </c>
      <c r="D446" s="22" t="s">
        <v>1195</v>
      </c>
      <c r="E446" s="23">
        <f>IFERROR(__xludf.DUMMYFUNCTION("GOOGLEFINANCE(""NSE:""&amp;D446,""marketcap"")/10000000"),4161.9241435)</f>
        <v>4161.924144</v>
      </c>
      <c r="F446" s="17">
        <f>IFERROR(__xludf.DUMMYFUNCTION("GOOGLEFINANCE(""NSE:""&amp;D446)"),74.05)</f>
        <v>74.05</v>
      </c>
      <c r="G446" s="17">
        <f>IFERROR(__xludf.DUMMYFUNCTION("GOOGLEFINANCE(""NSE:""&amp;D446,""closeyest"")"),73.9)</f>
        <v>73.9</v>
      </c>
      <c r="H446" s="17">
        <f>IFERROR(__xludf.DUMMYFUNCTION("INDEX(GOOGLEFINANCE(""NSE:""&amp;D446,""PRICE"",TODAY()-7),2,2)"),73.6)</f>
        <v>73.6</v>
      </c>
      <c r="I446" s="17">
        <f>IFERROR(__xludf.DUMMYFUNCTION("INDEX(GOOGLEFINANCE(""NSE:""&amp;D446,""PRICE"",TODAY()-14),2,2)"),72.6)</f>
        <v>72.6</v>
      </c>
      <c r="J446" s="17">
        <f>IFERROR(__xludf.DUMMYFUNCTION("INDEX(GOOGLEFINANCE(""NSE:""&amp;D446,""PRICE"",TODAY()-28),2,2)"),70.6)</f>
        <v>70.6</v>
      </c>
      <c r="K446" s="17">
        <f>IFERROR(__xludf.DUMMYFUNCTION("INDEX(GOOGLEFINANCE(""NSE:""&amp;D446,""PRICE"",TODAY()-84),2,2)"),79.1)</f>
        <v>79.1</v>
      </c>
      <c r="L446" s="16">
        <f t="shared" si="1"/>
        <v>0.002029769959</v>
      </c>
      <c r="M446" s="16">
        <f t="shared" si="2"/>
        <v>0.006114130435</v>
      </c>
      <c r="N446" s="16">
        <f t="shared" si="3"/>
        <v>0.01997245179</v>
      </c>
      <c r="O446" s="16">
        <f t="shared" si="4"/>
        <v>0.04886685552</v>
      </c>
      <c r="P446" s="16">
        <f t="shared" si="5"/>
        <v>-0.06384323641</v>
      </c>
      <c r="Q446" s="30">
        <f t="shared" si="6"/>
        <v>-0.005744326701</v>
      </c>
      <c r="R446" s="30">
        <f t="shared" si="7"/>
        <v>-0.003811903389</v>
      </c>
      <c r="S446" s="30">
        <f t="shared" si="8"/>
        <v>-0.0225053481</v>
      </c>
      <c r="T446" s="30">
        <f t="shared" si="9"/>
        <v>-0.1906361031</v>
      </c>
    </row>
    <row r="447">
      <c r="A447" s="1">
        <v>444.0</v>
      </c>
      <c r="B447" s="22" t="s">
        <v>1196</v>
      </c>
      <c r="C447" s="22" t="s">
        <v>541</v>
      </c>
      <c r="D447" s="22" t="s">
        <v>1197</v>
      </c>
      <c r="E447" s="23">
        <f>IFERROR(__xludf.DUMMYFUNCTION("GOOGLEFINANCE(""NSE:""&amp;D447,""marketcap"")/10000000"),4185.1423128)</f>
        <v>4185.142313</v>
      </c>
      <c r="F447" s="17">
        <f>IFERROR(__xludf.DUMMYFUNCTION("GOOGLEFINANCE(""NSE:""&amp;D447)"),44.6)</f>
        <v>44.6</v>
      </c>
      <c r="G447" s="17">
        <f>IFERROR(__xludf.DUMMYFUNCTION("GOOGLEFINANCE(""NSE:""&amp;D447,""closeyest"")"),43.6)</f>
        <v>43.6</v>
      </c>
      <c r="H447" s="17">
        <f>IFERROR(__xludf.DUMMYFUNCTION("INDEX(GOOGLEFINANCE(""NSE:""&amp;D447,""PRICE"",TODAY()-7),2,2)"),44.8)</f>
        <v>44.8</v>
      </c>
      <c r="I447" s="17">
        <f>IFERROR(__xludf.DUMMYFUNCTION("INDEX(GOOGLEFINANCE(""NSE:""&amp;D447,""PRICE"",TODAY()-14),2,2)"),45.2)</f>
        <v>45.2</v>
      </c>
      <c r="J447" s="17">
        <f>IFERROR(__xludf.DUMMYFUNCTION("INDEX(GOOGLEFINANCE(""NSE:""&amp;D447,""PRICE"",TODAY()-28),2,2)"),42.85)</f>
        <v>42.85</v>
      </c>
      <c r="K447" s="17">
        <f>IFERROR(__xludf.DUMMYFUNCTION("INDEX(GOOGLEFINANCE(""NSE:""&amp;D447,""PRICE"",TODAY()-84),2,2)"),47.4)</f>
        <v>47.4</v>
      </c>
      <c r="L447" s="16">
        <f t="shared" si="1"/>
        <v>0.02293577982</v>
      </c>
      <c r="M447" s="16">
        <f t="shared" si="2"/>
        <v>-0.004464285714</v>
      </c>
      <c r="N447" s="16">
        <f t="shared" si="3"/>
        <v>-0.01327433628</v>
      </c>
      <c r="O447" s="16">
        <f t="shared" si="4"/>
        <v>0.04084014002</v>
      </c>
      <c r="P447" s="16">
        <f t="shared" si="5"/>
        <v>-0.05907172996</v>
      </c>
      <c r="Q447" s="30">
        <f t="shared" si="6"/>
        <v>-0.01632274285</v>
      </c>
      <c r="R447" s="30">
        <f t="shared" si="7"/>
        <v>-0.03705869146</v>
      </c>
      <c r="S447" s="30">
        <f t="shared" si="8"/>
        <v>-0.03053206361</v>
      </c>
      <c r="T447" s="30">
        <f t="shared" si="9"/>
        <v>-0.1858645967</v>
      </c>
    </row>
    <row r="448">
      <c r="A448" s="1">
        <v>445.0</v>
      </c>
      <c r="B448" s="22" t="s">
        <v>1198</v>
      </c>
      <c r="C448" s="22" t="s">
        <v>590</v>
      </c>
      <c r="D448" s="22" t="s">
        <v>1199</v>
      </c>
      <c r="E448" s="23">
        <f>IFERROR(__xludf.DUMMYFUNCTION("GOOGLEFINANCE(""NSE:""&amp;D448,""marketcap"")/10000000"),4229.6410565)</f>
        <v>4229.641057</v>
      </c>
      <c r="F448" s="17">
        <f>IFERROR(__xludf.DUMMYFUNCTION("GOOGLEFINANCE(""NSE:""&amp;D448)"),206.3)</f>
        <v>206.3</v>
      </c>
      <c r="G448" s="17">
        <f>IFERROR(__xludf.DUMMYFUNCTION("GOOGLEFINANCE(""NSE:""&amp;D448,""closeyest"")"),200.25)</f>
        <v>200.25</v>
      </c>
      <c r="H448" s="17">
        <f>IFERROR(__xludf.DUMMYFUNCTION("INDEX(GOOGLEFINANCE(""NSE:""&amp;D448,""PRICE"",TODAY()-7),2,2)"),180.1)</f>
        <v>180.1</v>
      </c>
      <c r="I448" s="17">
        <f>IFERROR(__xludf.DUMMYFUNCTION("INDEX(GOOGLEFINANCE(""NSE:""&amp;D448,""PRICE"",TODAY()-14),2,2)"),186.55)</f>
        <v>186.55</v>
      </c>
      <c r="J448" s="17">
        <f>IFERROR(__xludf.DUMMYFUNCTION("INDEX(GOOGLEFINANCE(""NSE:""&amp;D448,""PRICE"",TODAY()-28),2,2)"),163.75)</f>
        <v>163.75</v>
      </c>
      <c r="K448" s="17">
        <f>IFERROR(__xludf.DUMMYFUNCTION("INDEX(GOOGLEFINANCE(""NSE:""&amp;D448,""PRICE"",TODAY()-84),2,2)"),178.5)</f>
        <v>178.5</v>
      </c>
      <c r="L448" s="16">
        <f t="shared" si="1"/>
        <v>0.03021223471</v>
      </c>
      <c r="M448" s="16">
        <f t="shared" si="2"/>
        <v>0.1454747363</v>
      </c>
      <c r="N448" s="16">
        <f t="shared" si="3"/>
        <v>0.10586974</v>
      </c>
      <c r="O448" s="16">
        <f t="shared" si="4"/>
        <v>0.2598473282</v>
      </c>
      <c r="P448" s="16">
        <f t="shared" si="5"/>
        <v>0.1557422969</v>
      </c>
      <c r="Q448" s="30">
        <f t="shared" si="6"/>
        <v>0.1336162791</v>
      </c>
      <c r="R448" s="30">
        <f t="shared" si="7"/>
        <v>0.08208538484</v>
      </c>
      <c r="S448" s="30">
        <f t="shared" si="8"/>
        <v>0.1884751246</v>
      </c>
      <c r="T448" s="30">
        <f t="shared" si="9"/>
        <v>0.02894943022</v>
      </c>
    </row>
    <row r="449">
      <c r="A449" s="1">
        <v>446.0</v>
      </c>
      <c r="B449" s="22" t="s">
        <v>1200</v>
      </c>
      <c r="C449" s="22" t="s">
        <v>578</v>
      </c>
      <c r="D449" s="22" t="s">
        <v>1201</v>
      </c>
      <c r="E449" s="23">
        <f>IFERROR(__xludf.DUMMYFUNCTION("GOOGLEFINANCE(""NSE:""&amp;D449,""marketcap"")/10000000"),4088.0087368)</f>
        <v>4088.008737</v>
      </c>
      <c r="F449" s="17">
        <f>IFERROR(__xludf.DUMMYFUNCTION("GOOGLEFINANCE(""NSE:""&amp;D449)"),74.3)</f>
        <v>74.3</v>
      </c>
      <c r="G449" s="17">
        <f>IFERROR(__xludf.DUMMYFUNCTION("GOOGLEFINANCE(""NSE:""&amp;D449,""closeyest"")"),74.1)</f>
        <v>74.1</v>
      </c>
      <c r="H449" s="17">
        <f>IFERROR(__xludf.DUMMYFUNCTION("INDEX(GOOGLEFINANCE(""NSE:""&amp;D449,""PRICE"",TODAY()-7),2,2)"),74.05)</f>
        <v>74.05</v>
      </c>
      <c r="I449" s="17">
        <f>IFERROR(__xludf.DUMMYFUNCTION("INDEX(GOOGLEFINANCE(""NSE:""&amp;D449,""PRICE"",TODAY()-14),2,2)"),73.7)</f>
        <v>73.7</v>
      </c>
      <c r="J449" s="17">
        <f>IFERROR(__xludf.DUMMYFUNCTION("INDEX(GOOGLEFINANCE(""NSE:""&amp;D449,""PRICE"",TODAY()-28),2,2)"),72.35)</f>
        <v>72.35</v>
      </c>
      <c r="K449" s="17">
        <f>IFERROR(__xludf.DUMMYFUNCTION("INDEX(GOOGLEFINANCE(""NSE:""&amp;D449,""PRICE"",TODAY()-84),2,2)"),84.1)</f>
        <v>84.1</v>
      </c>
      <c r="L449" s="16">
        <f t="shared" si="1"/>
        <v>0.002699055331</v>
      </c>
      <c r="M449" s="16">
        <f t="shared" si="2"/>
        <v>0.003376097232</v>
      </c>
      <c r="N449" s="16">
        <f t="shared" si="3"/>
        <v>0.008141112619</v>
      </c>
      <c r="O449" s="16">
        <f t="shared" si="4"/>
        <v>0.02695231513</v>
      </c>
      <c r="P449" s="16">
        <f t="shared" si="5"/>
        <v>-0.1165279429</v>
      </c>
      <c r="Q449" s="30">
        <f t="shared" si="6"/>
        <v>-0.008482359905</v>
      </c>
      <c r="R449" s="30">
        <f t="shared" si="7"/>
        <v>-0.01564324256</v>
      </c>
      <c r="S449" s="30">
        <f t="shared" si="8"/>
        <v>-0.04441988849</v>
      </c>
      <c r="T449" s="30">
        <f t="shared" si="9"/>
        <v>-0.2433208096</v>
      </c>
    </row>
    <row r="450">
      <c r="A450" s="1">
        <v>447.0</v>
      </c>
      <c r="B450" s="22" t="s">
        <v>1202</v>
      </c>
      <c r="C450" s="22" t="s">
        <v>528</v>
      </c>
      <c r="D450" s="22" t="s">
        <v>1203</v>
      </c>
      <c r="E450" s="23">
        <f>IFERROR(__xludf.DUMMYFUNCTION("GOOGLEFINANCE(""NSE:""&amp;D450,""marketcap"")/10000000"),4080.9738461)</f>
        <v>4080.973846</v>
      </c>
      <c r="F450" s="17">
        <f>IFERROR(__xludf.DUMMYFUNCTION("GOOGLEFINANCE(""NSE:""&amp;D450)"),119.1)</f>
        <v>119.1</v>
      </c>
      <c r="G450" s="17">
        <f>IFERROR(__xludf.DUMMYFUNCTION("GOOGLEFINANCE(""NSE:""&amp;D450,""closeyest"")"),118.0)</f>
        <v>118</v>
      </c>
      <c r="H450" s="17">
        <f>IFERROR(__xludf.DUMMYFUNCTION("INDEX(GOOGLEFINANCE(""NSE:""&amp;D450,""PRICE"",TODAY()-7),2,2)"),120.0)</f>
        <v>120</v>
      </c>
      <c r="I450" s="17">
        <f>IFERROR(__xludf.DUMMYFUNCTION("INDEX(GOOGLEFINANCE(""NSE:""&amp;D450,""PRICE"",TODAY()-14),2,2)"),128.4)</f>
        <v>128.4</v>
      </c>
      <c r="J450" s="17">
        <f>IFERROR(__xludf.DUMMYFUNCTION("INDEX(GOOGLEFINANCE(""NSE:""&amp;D450,""PRICE"",TODAY()-28),2,2)"),115.5)</f>
        <v>115.5</v>
      </c>
      <c r="K450" s="17">
        <f>IFERROR(__xludf.DUMMYFUNCTION("INDEX(GOOGLEFINANCE(""NSE:""&amp;D450,""PRICE"",TODAY()-84),2,2)"),93.6)</f>
        <v>93.6</v>
      </c>
      <c r="L450" s="16">
        <f t="shared" si="1"/>
        <v>0.009322033898</v>
      </c>
      <c r="M450" s="16">
        <f t="shared" si="2"/>
        <v>-0.0075</v>
      </c>
      <c r="N450" s="16">
        <f t="shared" si="3"/>
        <v>-0.07242990654</v>
      </c>
      <c r="O450" s="16">
        <f t="shared" si="4"/>
        <v>0.03116883117</v>
      </c>
      <c r="P450" s="16">
        <f t="shared" si="5"/>
        <v>0.2724358974</v>
      </c>
      <c r="Q450" s="30">
        <f t="shared" si="6"/>
        <v>-0.01935845714</v>
      </c>
      <c r="R450" s="30">
        <f t="shared" si="7"/>
        <v>-0.09621426172</v>
      </c>
      <c r="S450" s="30">
        <f t="shared" si="8"/>
        <v>-0.04020337246</v>
      </c>
      <c r="T450" s="30">
        <f t="shared" si="9"/>
        <v>0.1456430307</v>
      </c>
    </row>
    <row r="451">
      <c r="A451" s="1">
        <v>448.0</v>
      </c>
      <c r="B451" s="22" t="s">
        <v>1204</v>
      </c>
      <c r="C451" s="22" t="s">
        <v>914</v>
      </c>
      <c r="D451" s="22" t="s">
        <v>1205</v>
      </c>
      <c r="E451" s="23">
        <f>IFERROR(__xludf.DUMMYFUNCTION("GOOGLEFINANCE(""NSE:""&amp;D451,""marketcap"")/10000000"),4045.20884)</f>
        <v>4045.20884</v>
      </c>
      <c r="F451" s="17">
        <f>IFERROR(__xludf.DUMMYFUNCTION("GOOGLEFINANCE(""NSE:""&amp;D451)"),239.5)</f>
        <v>239.5</v>
      </c>
      <c r="G451" s="17">
        <f>IFERROR(__xludf.DUMMYFUNCTION("GOOGLEFINANCE(""NSE:""&amp;D451,""closeyest"")"),235.8)</f>
        <v>235.8</v>
      </c>
      <c r="H451" s="17">
        <f>IFERROR(__xludf.DUMMYFUNCTION("INDEX(GOOGLEFINANCE(""NSE:""&amp;D451,""PRICE"",TODAY()-7),2,2)"),243.4)</f>
        <v>243.4</v>
      </c>
      <c r="I451" s="17">
        <f>IFERROR(__xludf.DUMMYFUNCTION("INDEX(GOOGLEFINANCE(""NSE:""&amp;D451,""PRICE"",TODAY()-14),2,2)"),251.4)</f>
        <v>251.4</v>
      </c>
      <c r="J451" s="17">
        <f>IFERROR(__xludf.DUMMYFUNCTION("INDEX(GOOGLEFINANCE(""NSE:""&amp;D451,""PRICE"",TODAY()-28),2,2)"),239.55)</f>
        <v>239.55</v>
      </c>
      <c r="K451" s="17">
        <f>IFERROR(__xludf.DUMMYFUNCTION("INDEX(GOOGLEFINANCE(""NSE:""&amp;D451,""PRICE"",TODAY()-84),2,2)"),219.6)</f>
        <v>219.6</v>
      </c>
      <c r="L451" s="16">
        <f t="shared" si="1"/>
        <v>0.01569126378</v>
      </c>
      <c r="M451" s="16">
        <f t="shared" si="2"/>
        <v>-0.0160230074</v>
      </c>
      <c r="N451" s="16">
        <f t="shared" si="3"/>
        <v>-0.04733492442</v>
      </c>
      <c r="O451" s="16">
        <f t="shared" si="4"/>
        <v>-0.0002087246921</v>
      </c>
      <c r="P451" s="16">
        <f t="shared" si="5"/>
        <v>0.09061930783</v>
      </c>
      <c r="Q451" s="30">
        <f t="shared" si="6"/>
        <v>-0.02788146453</v>
      </c>
      <c r="R451" s="30">
        <f t="shared" si="7"/>
        <v>-0.0711192796</v>
      </c>
      <c r="S451" s="30">
        <f t="shared" si="8"/>
        <v>-0.07158092832</v>
      </c>
      <c r="T451" s="30">
        <f t="shared" si="9"/>
        <v>-0.03617355886</v>
      </c>
    </row>
    <row r="452">
      <c r="A452" s="1">
        <v>449.0</v>
      </c>
      <c r="B452" s="22" t="s">
        <v>1206</v>
      </c>
      <c r="C452" s="22" t="s">
        <v>526</v>
      </c>
      <c r="D452" s="22" t="s">
        <v>1207</v>
      </c>
      <c r="E452" s="23">
        <f>IFERROR(__xludf.DUMMYFUNCTION("GOOGLEFINANCE(""NSE:""&amp;D452,""marketcap"")/10000000"),3990.43422)</f>
        <v>3990.43422</v>
      </c>
      <c r="F452" s="17">
        <f>IFERROR(__xludf.DUMMYFUNCTION("GOOGLEFINANCE(""NSE:""&amp;D452)"),174.0)</f>
        <v>174</v>
      </c>
      <c r="G452" s="17">
        <f>IFERROR(__xludf.DUMMYFUNCTION("GOOGLEFINANCE(""NSE:""&amp;D452,""closeyest"")"),173.75)</f>
        <v>173.75</v>
      </c>
      <c r="H452" s="17">
        <f>IFERROR(__xludf.DUMMYFUNCTION("INDEX(GOOGLEFINANCE(""NSE:""&amp;D452,""PRICE"",TODAY()-7),2,2)"),181.55)</f>
        <v>181.55</v>
      </c>
      <c r="I452" s="17">
        <f>IFERROR(__xludf.DUMMYFUNCTION("INDEX(GOOGLEFINANCE(""NSE:""&amp;D452,""PRICE"",TODAY()-14),2,2)"),176.65)</f>
        <v>176.65</v>
      </c>
      <c r="J452" s="17">
        <f>IFERROR(__xludf.DUMMYFUNCTION("INDEX(GOOGLEFINANCE(""NSE:""&amp;D452,""PRICE"",TODAY()-28),2,2)"),164.75)</f>
        <v>164.75</v>
      </c>
      <c r="K452" s="17">
        <f>IFERROR(__xludf.DUMMYFUNCTION("INDEX(GOOGLEFINANCE(""NSE:""&amp;D452,""PRICE"",TODAY()-84),2,2)"),179.55)</f>
        <v>179.55</v>
      </c>
      <c r="L452" s="16">
        <f t="shared" si="1"/>
        <v>0.001438848921</v>
      </c>
      <c r="M452" s="16">
        <f t="shared" si="2"/>
        <v>-0.04158633985</v>
      </c>
      <c r="N452" s="16">
        <f t="shared" si="3"/>
        <v>-0.01500141523</v>
      </c>
      <c r="O452" s="16">
        <f t="shared" si="4"/>
        <v>0.05614567527</v>
      </c>
      <c r="P452" s="16">
        <f t="shared" si="5"/>
        <v>-0.03091060986</v>
      </c>
      <c r="Q452" s="30">
        <f t="shared" si="6"/>
        <v>-0.05344479699</v>
      </c>
      <c r="R452" s="30">
        <f t="shared" si="7"/>
        <v>-0.03878577041</v>
      </c>
      <c r="S452" s="30">
        <f t="shared" si="8"/>
        <v>-0.01522652836</v>
      </c>
      <c r="T452" s="30">
        <f t="shared" si="9"/>
        <v>-0.1577034766</v>
      </c>
    </row>
    <row r="453">
      <c r="A453" s="1">
        <v>450.0</v>
      </c>
      <c r="B453" s="22" t="s">
        <v>1208</v>
      </c>
      <c r="C453" s="22" t="s">
        <v>603</v>
      </c>
      <c r="D453" s="22" t="s">
        <v>1209</v>
      </c>
      <c r="E453" s="23">
        <f>IFERROR(__xludf.DUMMYFUNCTION("GOOGLEFINANCE(""NSE:""&amp;D453,""marketcap"")/10000000"),4070.3091786)</f>
        <v>4070.309179</v>
      </c>
      <c r="F453" s="17">
        <f>IFERROR(__xludf.DUMMYFUNCTION("GOOGLEFINANCE(""NSE:""&amp;D453)"),551.5)</f>
        <v>551.5</v>
      </c>
      <c r="G453" s="17">
        <f>IFERROR(__xludf.DUMMYFUNCTION("GOOGLEFINANCE(""NSE:""&amp;D453,""closeyest"")"),540.5)</f>
        <v>540.5</v>
      </c>
      <c r="H453" s="17">
        <f>IFERROR(__xludf.DUMMYFUNCTION("INDEX(GOOGLEFINANCE(""NSE:""&amp;D453,""PRICE"",TODAY()-7),2,2)"),492.25)</f>
        <v>492.25</v>
      </c>
      <c r="I453" s="17">
        <f>IFERROR(__xludf.DUMMYFUNCTION("INDEX(GOOGLEFINANCE(""NSE:""&amp;D453,""PRICE"",TODAY()-14),2,2)"),495.95)</f>
        <v>495.95</v>
      </c>
      <c r="J453" s="17">
        <f>IFERROR(__xludf.DUMMYFUNCTION("INDEX(GOOGLEFINANCE(""NSE:""&amp;D453,""PRICE"",TODAY()-28),2,2)"),448.9)</f>
        <v>448.9</v>
      </c>
      <c r="K453" s="17">
        <f>IFERROR(__xludf.DUMMYFUNCTION("INDEX(GOOGLEFINANCE(""NSE:""&amp;D453,""PRICE"",TODAY()-84),2,2)"),418.0)</f>
        <v>418</v>
      </c>
      <c r="L453" s="16">
        <f t="shared" si="1"/>
        <v>0.02035152636</v>
      </c>
      <c r="M453" s="16">
        <f t="shared" si="2"/>
        <v>0.1203656679</v>
      </c>
      <c r="N453" s="16">
        <f t="shared" si="3"/>
        <v>0.1120072588</v>
      </c>
      <c r="O453" s="16">
        <f t="shared" si="4"/>
        <v>0.228558699</v>
      </c>
      <c r="P453" s="16">
        <f t="shared" si="5"/>
        <v>0.3193779904</v>
      </c>
      <c r="Q453" s="30">
        <f t="shared" si="6"/>
        <v>0.1085072107</v>
      </c>
      <c r="R453" s="30">
        <f t="shared" si="7"/>
        <v>0.08822290362</v>
      </c>
      <c r="S453" s="30">
        <f t="shared" si="8"/>
        <v>0.1571864954</v>
      </c>
      <c r="T453" s="30">
        <f t="shared" si="9"/>
        <v>0.1925851237</v>
      </c>
      <c r="U453" s="31" t="str">
        <f>RANK(Q453,$Q$4:$Q$103)</f>
        <v>#N/A</v>
      </c>
      <c r="V453" s="31" t="str">
        <f>rank(R453,$R$4:$R$103)</f>
        <v>#N/A</v>
      </c>
      <c r="W453" s="31" t="str">
        <f>rank(S453,$S$4:$S$103)</f>
        <v>#N/A</v>
      </c>
      <c r="X453" s="31" t="str">
        <f>rank(T453,$T$4:$T$103)</f>
        <v>#N/A</v>
      </c>
    </row>
    <row r="454">
      <c r="A454" s="1">
        <v>451.0</v>
      </c>
      <c r="B454" s="22" t="s">
        <v>1210</v>
      </c>
      <c r="C454" s="22" t="s">
        <v>541</v>
      </c>
      <c r="D454" s="22" t="s">
        <v>1211</v>
      </c>
      <c r="E454" s="23">
        <f>IFERROR(__xludf.DUMMYFUNCTION("GOOGLEFINANCE(""NSE:""&amp;D454,""marketcap"")/10000000"),4238.1287594)</f>
        <v>4238.128759</v>
      </c>
      <c r="F454" s="17">
        <f>IFERROR(__xludf.DUMMYFUNCTION("GOOGLEFINANCE(""NSE:""&amp;D454)"),149.5)</f>
        <v>149.5</v>
      </c>
      <c r="G454" s="17">
        <f>IFERROR(__xludf.DUMMYFUNCTION("GOOGLEFINANCE(""NSE:""&amp;D454,""closeyest"")"),137.6)</f>
        <v>137.6</v>
      </c>
      <c r="H454" s="17" t="str">
        <f>IFERROR(__xludf.DUMMYFUNCTION("INDEX(GOOGLEFINANCE(""NSE:""&amp;D454,""PRICE"",TODAY()-7),2,2)"),"#N/A")</f>
        <v>#N/A</v>
      </c>
      <c r="I454" s="17">
        <f>IFERROR(__xludf.DUMMYFUNCTION("INDEX(GOOGLEFINANCE(""NSE:""&amp;D454,""PRICE"",TODAY()-14),2,2)"),132.1)</f>
        <v>132.1</v>
      </c>
      <c r="J454" s="17">
        <f>IFERROR(__xludf.DUMMYFUNCTION("INDEX(GOOGLEFINANCE(""NSE:""&amp;D454,""PRICE"",TODAY()-28),2,2)"),125.8)</f>
        <v>125.8</v>
      </c>
      <c r="K454" s="17">
        <f>IFERROR(__xludf.DUMMYFUNCTION("INDEX(GOOGLEFINANCE(""NSE:""&amp;D454,""PRICE"",TODAY()-84),2,2)"),140.15)</f>
        <v>140.15</v>
      </c>
      <c r="L454" s="16">
        <f t="shared" si="1"/>
        <v>0.08648255814</v>
      </c>
      <c r="M454" s="16" t="str">
        <f t="shared" si="2"/>
        <v>#N/A</v>
      </c>
      <c r="N454" s="16">
        <f t="shared" si="3"/>
        <v>0.1317183952</v>
      </c>
      <c r="O454" s="16">
        <f t="shared" si="4"/>
        <v>0.1883942766</v>
      </c>
      <c r="P454" s="16">
        <f t="shared" si="5"/>
        <v>0.06671423475</v>
      </c>
      <c r="Q454" s="32" t="str">
        <f t="shared" si="6"/>
        <v>#N/A</v>
      </c>
      <c r="R454" s="30">
        <f t="shared" si="7"/>
        <v>0.10793404</v>
      </c>
      <c r="S454" s="30">
        <f t="shared" si="8"/>
        <v>0.117022073</v>
      </c>
      <c r="T454" s="30">
        <f t="shared" si="9"/>
        <v>-0.06007863195</v>
      </c>
    </row>
    <row r="455">
      <c r="A455" s="1">
        <v>452.0</v>
      </c>
      <c r="B455" s="22" t="s">
        <v>1212</v>
      </c>
      <c r="C455" s="22" t="s">
        <v>528</v>
      </c>
      <c r="D455" s="22" t="s">
        <v>1213</v>
      </c>
      <c r="E455" s="23">
        <f>IFERROR(__xludf.DUMMYFUNCTION("GOOGLEFINANCE(""NSE:""&amp;D455,""marketcap"")/10000000"),3832.7476124)</f>
        <v>3832.747612</v>
      </c>
      <c r="F455" s="17">
        <f>IFERROR(__xludf.DUMMYFUNCTION("GOOGLEFINANCE(""NSE:""&amp;D455)"),47.95)</f>
        <v>47.95</v>
      </c>
      <c r="G455" s="17">
        <f>IFERROR(__xludf.DUMMYFUNCTION("GOOGLEFINANCE(""NSE:""&amp;D455,""closeyest"")"),48.6)</f>
        <v>48.6</v>
      </c>
      <c r="H455" s="17">
        <f>IFERROR(__xludf.DUMMYFUNCTION("INDEX(GOOGLEFINANCE(""NSE:""&amp;D455,""PRICE"",TODAY()-7),2,2)"),49.9)</f>
        <v>49.9</v>
      </c>
      <c r="I455" s="17">
        <f>IFERROR(__xludf.DUMMYFUNCTION("INDEX(GOOGLEFINANCE(""NSE:""&amp;D455,""PRICE"",TODAY()-14),2,2)"),42.3)</f>
        <v>42.3</v>
      </c>
      <c r="J455" s="17">
        <f>IFERROR(__xludf.DUMMYFUNCTION("INDEX(GOOGLEFINANCE(""NSE:""&amp;D455,""PRICE"",TODAY()-28),2,2)"),42.45)</f>
        <v>42.45</v>
      </c>
      <c r="K455" s="17">
        <f>IFERROR(__xludf.DUMMYFUNCTION("INDEX(GOOGLEFINANCE(""NSE:""&amp;D455,""PRICE"",TODAY()-84),2,2)"),51.6)</f>
        <v>51.6</v>
      </c>
      <c r="L455" s="16">
        <f t="shared" si="1"/>
        <v>-0.0133744856</v>
      </c>
      <c r="M455" s="16">
        <f t="shared" si="2"/>
        <v>-0.03907815631</v>
      </c>
      <c r="N455" s="16">
        <f t="shared" si="3"/>
        <v>0.13356974</v>
      </c>
      <c r="O455" s="16">
        <f t="shared" si="4"/>
        <v>0.1295641932</v>
      </c>
      <c r="P455" s="16">
        <f t="shared" si="5"/>
        <v>-0.07073643411</v>
      </c>
      <c r="Q455" s="30">
        <f t="shared" si="6"/>
        <v>-0.05093661345</v>
      </c>
      <c r="R455" s="30">
        <f t="shared" si="7"/>
        <v>0.1097853848</v>
      </c>
      <c r="S455" s="30">
        <f t="shared" si="8"/>
        <v>0.05819198954</v>
      </c>
      <c r="T455" s="30">
        <f t="shared" si="9"/>
        <v>-0.1975293008</v>
      </c>
    </row>
    <row r="456">
      <c r="A456" s="1">
        <v>453.0</v>
      </c>
      <c r="B456" s="22" t="s">
        <v>1214</v>
      </c>
      <c r="C456" s="22" t="s">
        <v>665</v>
      </c>
      <c r="D456" s="22" t="s">
        <v>1215</v>
      </c>
      <c r="E456" s="23">
        <f>IFERROR(__xludf.DUMMYFUNCTION("GOOGLEFINANCE(""NSE:""&amp;D456,""marketcap"")/10000000"),3884.0181033)</f>
        <v>3884.018103</v>
      </c>
      <c r="F456" s="17">
        <f>IFERROR(__xludf.DUMMYFUNCTION("GOOGLEFINANCE(""NSE:""&amp;D456)"),628.05)</f>
        <v>628.05</v>
      </c>
      <c r="G456" s="17">
        <f>IFERROR(__xludf.DUMMYFUNCTION("GOOGLEFINANCE(""NSE:""&amp;D456,""closeyest"")"),635.3)</f>
        <v>635.3</v>
      </c>
      <c r="H456" s="17">
        <f>IFERROR(__xludf.DUMMYFUNCTION("INDEX(GOOGLEFINANCE(""NSE:""&amp;D456,""PRICE"",TODAY()-7),2,2)"),651.75)</f>
        <v>651.75</v>
      </c>
      <c r="I456" s="17">
        <f>IFERROR(__xludf.DUMMYFUNCTION("INDEX(GOOGLEFINANCE(""NSE:""&amp;D456,""PRICE"",TODAY()-14),2,2)"),668.7)</f>
        <v>668.7</v>
      </c>
      <c r="J456" s="17">
        <f>IFERROR(__xludf.DUMMYFUNCTION("INDEX(GOOGLEFINANCE(""NSE:""&amp;D456,""PRICE"",TODAY()-28),2,2)"),590.4)</f>
        <v>590.4</v>
      </c>
      <c r="K456" s="17">
        <f>IFERROR(__xludf.DUMMYFUNCTION("INDEX(GOOGLEFINANCE(""NSE:""&amp;D456,""PRICE"",TODAY()-84),2,2)"),580.65)</f>
        <v>580.65</v>
      </c>
      <c r="L456" s="16">
        <f t="shared" si="1"/>
        <v>-0.01141193137</v>
      </c>
      <c r="M456" s="16">
        <f t="shared" si="2"/>
        <v>-0.03636363636</v>
      </c>
      <c r="N456" s="16">
        <f t="shared" si="3"/>
        <v>-0.06078959175</v>
      </c>
      <c r="O456" s="16">
        <f t="shared" si="4"/>
        <v>0.0637703252</v>
      </c>
      <c r="P456" s="16">
        <f t="shared" si="5"/>
        <v>0.08163265306</v>
      </c>
      <c r="Q456" s="30">
        <f t="shared" si="6"/>
        <v>-0.0482220935</v>
      </c>
      <c r="R456" s="30">
        <f t="shared" si="7"/>
        <v>-0.08457394692</v>
      </c>
      <c r="S456" s="30">
        <f t="shared" si="8"/>
        <v>-0.007601878425</v>
      </c>
      <c r="T456" s="30">
        <f t="shared" si="9"/>
        <v>-0.04516021364</v>
      </c>
    </row>
    <row r="457">
      <c r="A457" s="1">
        <v>454.0</v>
      </c>
      <c r="B457" s="22" t="s">
        <v>1216</v>
      </c>
      <c r="C457" s="22" t="s">
        <v>635</v>
      </c>
      <c r="D457" s="22" t="s">
        <v>1217</v>
      </c>
      <c r="E457" s="23">
        <f>IFERROR(__xludf.DUMMYFUNCTION("GOOGLEFINANCE(""NSE:""&amp;D457,""marketcap"")/10000000"),3980.7581114)</f>
        <v>3980.758111</v>
      </c>
      <c r="F457" s="17">
        <f>IFERROR(__xludf.DUMMYFUNCTION("GOOGLEFINANCE(""NSE:""&amp;D457)"),550.0)</f>
        <v>550</v>
      </c>
      <c r="G457" s="17">
        <f>IFERROR(__xludf.DUMMYFUNCTION("GOOGLEFINANCE(""NSE:""&amp;D457,""closeyest"")"),536.75)</f>
        <v>536.75</v>
      </c>
      <c r="H457" s="17">
        <f>IFERROR(__xludf.DUMMYFUNCTION("INDEX(GOOGLEFINANCE(""NSE:""&amp;D457,""PRICE"",TODAY()-7),2,2)"),559.25)</f>
        <v>559.25</v>
      </c>
      <c r="I457" s="17">
        <f>IFERROR(__xludf.DUMMYFUNCTION("INDEX(GOOGLEFINANCE(""NSE:""&amp;D457,""PRICE"",TODAY()-14),2,2)"),508.45)</f>
        <v>508.45</v>
      </c>
      <c r="J457" s="17">
        <f>IFERROR(__xludf.DUMMYFUNCTION("INDEX(GOOGLEFINANCE(""NSE:""&amp;D457,""PRICE"",TODAY()-28),2,2)"),478.0)</f>
        <v>478</v>
      </c>
      <c r="K457" s="17">
        <f>IFERROR(__xludf.DUMMYFUNCTION("INDEX(GOOGLEFINANCE(""NSE:""&amp;D457,""PRICE"",TODAY()-84),2,2)"),541.4)</f>
        <v>541.4</v>
      </c>
      <c r="L457" s="16">
        <f t="shared" si="1"/>
        <v>0.02468560782</v>
      </c>
      <c r="M457" s="16">
        <f t="shared" si="2"/>
        <v>-0.01654000894</v>
      </c>
      <c r="N457" s="16">
        <f t="shared" si="3"/>
        <v>0.08171894975</v>
      </c>
      <c r="O457" s="16">
        <f t="shared" si="4"/>
        <v>0.1506276151</v>
      </c>
      <c r="P457" s="16">
        <f t="shared" si="5"/>
        <v>0.01588474326</v>
      </c>
      <c r="Q457" s="30">
        <f t="shared" si="6"/>
        <v>-0.02839846608</v>
      </c>
      <c r="R457" s="30">
        <f t="shared" si="7"/>
        <v>0.05793459457</v>
      </c>
      <c r="S457" s="30">
        <f t="shared" si="8"/>
        <v>0.07925541143</v>
      </c>
      <c r="T457" s="30">
        <f t="shared" si="9"/>
        <v>-0.1109081234</v>
      </c>
    </row>
    <row r="458">
      <c r="A458" s="1">
        <v>455.0</v>
      </c>
      <c r="B458" s="22" t="s">
        <v>1218</v>
      </c>
      <c r="C458" s="22" t="s">
        <v>552</v>
      </c>
      <c r="D458" s="22" t="s">
        <v>1219</v>
      </c>
      <c r="E458" s="23">
        <f>IFERROR(__xludf.DUMMYFUNCTION("GOOGLEFINANCE(""NSE:""&amp;D458,""marketcap"")/10000000"),3857.7650869)</f>
        <v>3857.765087</v>
      </c>
      <c r="F458" s="17">
        <f>IFERROR(__xludf.DUMMYFUNCTION("GOOGLEFINANCE(""NSE:""&amp;D458)"),162.55)</f>
        <v>162.55</v>
      </c>
      <c r="G458" s="17">
        <f>IFERROR(__xludf.DUMMYFUNCTION("GOOGLEFINANCE(""NSE:""&amp;D458,""closeyest"")"),162.25)</f>
        <v>162.25</v>
      </c>
      <c r="H458" s="17">
        <f>IFERROR(__xludf.DUMMYFUNCTION("INDEX(GOOGLEFINANCE(""NSE:""&amp;D458,""PRICE"",TODAY()-7),2,2)"),162.9)</f>
        <v>162.9</v>
      </c>
      <c r="I458" s="17">
        <f>IFERROR(__xludf.DUMMYFUNCTION("INDEX(GOOGLEFINANCE(""NSE:""&amp;D458,""PRICE"",TODAY()-14),2,2)"),162.4)</f>
        <v>162.4</v>
      </c>
      <c r="J458" s="17">
        <f>IFERROR(__xludf.DUMMYFUNCTION("INDEX(GOOGLEFINANCE(""NSE:""&amp;D458,""PRICE"",TODAY()-28),2,2)"),162.25)</f>
        <v>162.25</v>
      </c>
      <c r="K458" s="17">
        <f>IFERROR(__xludf.DUMMYFUNCTION("INDEX(GOOGLEFINANCE(""NSE:""&amp;D458,""PRICE"",TODAY()-84),2,2)"),192.3)</f>
        <v>192.3</v>
      </c>
      <c r="L458" s="16">
        <f t="shared" si="1"/>
        <v>0.001848998459</v>
      </c>
      <c r="M458" s="16">
        <f t="shared" si="2"/>
        <v>-0.002148557397</v>
      </c>
      <c r="N458" s="16">
        <f t="shared" si="3"/>
        <v>0.0009236453202</v>
      </c>
      <c r="O458" s="16">
        <f t="shared" si="4"/>
        <v>0.001848998459</v>
      </c>
      <c r="P458" s="16">
        <f t="shared" si="5"/>
        <v>-0.1547061882</v>
      </c>
      <c r="Q458" s="30">
        <f t="shared" si="6"/>
        <v>-0.01400701453</v>
      </c>
      <c r="R458" s="30">
        <f t="shared" si="7"/>
        <v>-0.02286070986</v>
      </c>
      <c r="S458" s="30">
        <f t="shared" si="8"/>
        <v>-0.06952320517</v>
      </c>
      <c r="T458" s="30">
        <f t="shared" si="9"/>
        <v>-0.2814990549</v>
      </c>
    </row>
    <row r="459">
      <c r="A459" s="1">
        <v>456.0</v>
      </c>
      <c r="B459" s="22" t="s">
        <v>1220</v>
      </c>
      <c r="C459" s="22" t="s">
        <v>526</v>
      </c>
      <c r="D459" s="22" t="s">
        <v>1221</v>
      </c>
      <c r="E459" s="23">
        <f>IFERROR(__xludf.DUMMYFUNCTION("GOOGLEFINANCE(""NSE:""&amp;D459,""marketcap"")/10000000"),3854.938878)</f>
        <v>3854.938878</v>
      </c>
      <c r="F459" s="17">
        <f>IFERROR(__xludf.DUMMYFUNCTION("GOOGLEFINANCE(""NSE:""&amp;D459)"),206.5)</f>
        <v>206.5</v>
      </c>
      <c r="G459" s="17">
        <f>IFERROR(__xludf.DUMMYFUNCTION("GOOGLEFINANCE(""NSE:""&amp;D459,""closeyest"")"),205.8)</f>
        <v>205.8</v>
      </c>
      <c r="H459" s="17">
        <f>IFERROR(__xludf.DUMMYFUNCTION("INDEX(GOOGLEFINANCE(""NSE:""&amp;D459,""PRICE"",TODAY()-7),2,2)"),208.4)</f>
        <v>208.4</v>
      </c>
      <c r="I459" s="17">
        <f>IFERROR(__xludf.DUMMYFUNCTION("INDEX(GOOGLEFINANCE(""NSE:""&amp;D459,""PRICE"",TODAY()-14),2,2)"),208.25)</f>
        <v>208.25</v>
      </c>
      <c r="J459" s="17">
        <f>IFERROR(__xludf.DUMMYFUNCTION("INDEX(GOOGLEFINANCE(""NSE:""&amp;D459,""PRICE"",TODAY()-28),2,2)"),194.95)</f>
        <v>194.95</v>
      </c>
      <c r="K459" s="17">
        <f>IFERROR(__xludf.DUMMYFUNCTION("INDEX(GOOGLEFINANCE(""NSE:""&amp;D459,""PRICE"",TODAY()-84),2,2)"),186.4)</f>
        <v>186.4</v>
      </c>
      <c r="L459" s="16">
        <f t="shared" si="1"/>
        <v>0.003401360544</v>
      </c>
      <c r="M459" s="16">
        <f t="shared" si="2"/>
        <v>-0.009117082534</v>
      </c>
      <c r="N459" s="16">
        <f t="shared" si="3"/>
        <v>-0.008403361345</v>
      </c>
      <c r="O459" s="16">
        <f t="shared" si="4"/>
        <v>0.0592459605</v>
      </c>
      <c r="P459" s="16">
        <f t="shared" si="5"/>
        <v>0.107832618</v>
      </c>
      <c r="Q459" s="30">
        <f t="shared" si="6"/>
        <v>-0.02097553967</v>
      </c>
      <c r="R459" s="30">
        <f t="shared" si="7"/>
        <v>-0.03218771652</v>
      </c>
      <c r="S459" s="30">
        <f t="shared" si="8"/>
        <v>-0.01212624313</v>
      </c>
      <c r="T459" s="30">
        <f t="shared" si="9"/>
        <v>-0.01896024867</v>
      </c>
    </row>
    <row r="460">
      <c r="A460" s="1">
        <v>457.0</v>
      </c>
      <c r="B460" s="22" t="s">
        <v>1222</v>
      </c>
      <c r="C460" s="22" t="s">
        <v>578</v>
      </c>
      <c r="D460" s="22" t="s">
        <v>1223</v>
      </c>
      <c r="E460" s="23">
        <f>IFERROR(__xludf.DUMMYFUNCTION("GOOGLEFINANCE(""NSE:""&amp;D460,""marketcap"")/10000000"),3877.1087778)</f>
        <v>3877.108778</v>
      </c>
      <c r="F460" s="17">
        <f>IFERROR(__xludf.DUMMYFUNCTION("GOOGLEFINANCE(""NSE:""&amp;D460)"),829.8)</f>
        <v>829.8</v>
      </c>
      <c r="G460" s="17">
        <f>IFERROR(__xludf.DUMMYFUNCTION("GOOGLEFINANCE(""NSE:""&amp;D460,""closeyest"")"),825.85)</f>
        <v>825.85</v>
      </c>
      <c r="H460" s="17">
        <f>IFERROR(__xludf.DUMMYFUNCTION("INDEX(GOOGLEFINANCE(""NSE:""&amp;D460,""PRICE"",TODAY()-7),2,2)"),839.1)</f>
        <v>839.1</v>
      </c>
      <c r="I460" s="17">
        <f>IFERROR(__xludf.DUMMYFUNCTION("INDEX(GOOGLEFINANCE(""NSE:""&amp;D460,""PRICE"",TODAY()-14),2,2)"),811.9)</f>
        <v>811.9</v>
      </c>
      <c r="J460" s="17">
        <f>IFERROR(__xludf.DUMMYFUNCTION("INDEX(GOOGLEFINANCE(""NSE:""&amp;D460,""PRICE"",TODAY()-28),2,2)"),865.4)</f>
        <v>865.4</v>
      </c>
      <c r="K460" s="17">
        <f>IFERROR(__xludf.DUMMYFUNCTION("INDEX(GOOGLEFINANCE(""NSE:""&amp;D460,""PRICE"",TODAY()-84),2,2)"),993.65)</f>
        <v>993.65</v>
      </c>
      <c r="L460" s="16">
        <f t="shared" si="1"/>
        <v>0.004782950899</v>
      </c>
      <c r="M460" s="16">
        <f t="shared" si="2"/>
        <v>-0.01108330354</v>
      </c>
      <c r="N460" s="16">
        <f t="shared" si="3"/>
        <v>0.02204705013</v>
      </c>
      <c r="O460" s="16">
        <f t="shared" si="4"/>
        <v>-0.04113704645</v>
      </c>
      <c r="P460" s="16">
        <f t="shared" si="5"/>
        <v>-0.1648970966</v>
      </c>
      <c r="Q460" s="30">
        <f t="shared" si="6"/>
        <v>-0.02294176068</v>
      </c>
      <c r="R460" s="30">
        <f t="shared" si="7"/>
        <v>-0.00173730505</v>
      </c>
      <c r="S460" s="30">
        <f t="shared" si="8"/>
        <v>-0.1125092501</v>
      </c>
      <c r="T460" s="30">
        <f t="shared" si="9"/>
        <v>-0.2916899633</v>
      </c>
    </row>
    <row r="461">
      <c r="A461" s="1">
        <v>458.0</v>
      </c>
      <c r="B461" s="22" t="s">
        <v>1224</v>
      </c>
      <c r="C461" s="22" t="s">
        <v>545</v>
      </c>
      <c r="D461" s="22" t="s">
        <v>1225</v>
      </c>
      <c r="E461" s="23">
        <f>IFERROR(__xludf.DUMMYFUNCTION("GOOGLEFINANCE(""NSE:""&amp;D461,""marketcap"")/10000000"),3828.88894)</f>
        <v>3828.88894</v>
      </c>
      <c r="F461" s="17">
        <f>IFERROR(__xludf.DUMMYFUNCTION("GOOGLEFINANCE(""NSE:""&amp;D461)"),155.5)</f>
        <v>155.5</v>
      </c>
      <c r="G461" s="17">
        <f>IFERROR(__xludf.DUMMYFUNCTION("GOOGLEFINANCE(""NSE:""&amp;D461,""closeyest"")"),155.4)</f>
        <v>155.4</v>
      </c>
      <c r="H461" s="17">
        <f>IFERROR(__xludf.DUMMYFUNCTION("INDEX(GOOGLEFINANCE(""NSE:""&amp;D461,""PRICE"",TODAY()-7),2,2)"),153.4)</f>
        <v>153.4</v>
      </c>
      <c r="I461" s="17">
        <f>IFERROR(__xludf.DUMMYFUNCTION("INDEX(GOOGLEFINANCE(""NSE:""&amp;D461,""PRICE"",TODAY()-14),2,2)"),150.45)</f>
        <v>150.45</v>
      </c>
      <c r="J461" s="17">
        <f>IFERROR(__xludf.DUMMYFUNCTION("INDEX(GOOGLEFINANCE(""NSE:""&amp;D461,""PRICE"",TODAY()-28),2,2)"),144.95)</f>
        <v>144.95</v>
      </c>
      <c r="K461" s="17">
        <f>IFERROR(__xludf.DUMMYFUNCTION("INDEX(GOOGLEFINANCE(""NSE:""&amp;D461,""PRICE"",TODAY()-84),2,2)"),145.8)</f>
        <v>145.8</v>
      </c>
      <c r="L461" s="16">
        <f t="shared" si="1"/>
        <v>0.0006435006435</v>
      </c>
      <c r="M461" s="16">
        <f t="shared" si="2"/>
        <v>0.01368970013</v>
      </c>
      <c r="N461" s="16">
        <f t="shared" si="3"/>
        <v>0.03356596876</v>
      </c>
      <c r="O461" s="16">
        <f t="shared" si="4"/>
        <v>0.07278371852</v>
      </c>
      <c r="P461" s="16">
        <f t="shared" si="5"/>
        <v>0.06652949246</v>
      </c>
      <c r="Q461" s="30">
        <f t="shared" si="6"/>
        <v>0.001831242994</v>
      </c>
      <c r="R461" s="30">
        <f t="shared" si="7"/>
        <v>0.009781613581</v>
      </c>
      <c r="S461" s="30">
        <f t="shared" si="8"/>
        <v>0.001411514895</v>
      </c>
      <c r="T461" s="30">
        <f t="shared" si="9"/>
        <v>-0.06026337424</v>
      </c>
    </row>
    <row r="462">
      <c r="A462" s="1">
        <v>459.0</v>
      </c>
      <c r="B462" s="22" t="s">
        <v>1226</v>
      </c>
      <c r="C462" s="22" t="s">
        <v>526</v>
      </c>
      <c r="D462" s="22" t="s">
        <v>1227</v>
      </c>
      <c r="E462" s="23">
        <f>IFERROR(__xludf.DUMMYFUNCTION("GOOGLEFINANCE(""NSE:""&amp;D462,""marketcap"")/10000000"),3822.6983538)</f>
        <v>3822.698354</v>
      </c>
      <c r="F462" s="17">
        <f>IFERROR(__xludf.DUMMYFUNCTION("GOOGLEFINANCE(""NSE:""&amp;D462)"),260.5)</f>
        <v>260.5</v>
      </c>
      <c r="G462" s="17">
        <f>IFERROR(__xludf.DUMMYFUNCTION("GOOGLEFINANCE(""NSE:""&amp;D462,""closeyest"")"),257.05)</f>
        <v>257.05</v>
      </c>
      <c r="H462" s="17">
        <f>IFERROR(__xludf.DUMMYFUNCTION("INDEX(GOOGLEFINANCE(""NSE:""&amp;D462,""PRICE"",TODAY()-7),2,2)"),259.2)</f>
        <v>259.2</v>
      </c>
      <c r="I462" s="17">
        <f>IFERROR(__xludf.DUMMYFUNCTION("INDEX(GOOGLEFINANCE(""NSE:""&amp;D462,""PRICE"",TODAY()-14),2,2)"),259.15)</f>
        <v>259.15</v>
      </c>
      <c r="J462" s="17">
        <f>IFERROR(__xludf.DUMMYFUNCTION("INDEX(GOOGLEFINANCE(""NSE:""&amp;D462,""PRICE"",TODAY()-28),2,2)"),248.05)</f>
        <v>248.05</v>
      </c>
      <c r="K462" s="17">
        <f>IFERROR(__xludf.DUMMYFUNCTION("INDEX(GOOGLEFINANCE(""NSE:""&amp;D462,""PRICE"",TODAY()-84),2,2)"),285.9)</f>
        <v>285.9</v>
      </c>
      <c r="L462" s="16">
        <f t="shared" si="1"/>
        <v>0.01342151332</v>
      </c>
      <c r="M462" s="16">
        <f t="shared" si="2"/>
        <v>0.005015432099</v>
      </c>
      <c r="N462" s="16">
        <f t="shared" si="3"/>
        <v>0.005209338221</v>
      </c>
      <c r="O462" s="16">
        <f t="shared" si="4"/>
        <v>0.05019149365</v>
      </c>
      <c r="P462" s="16">
        <f t="shared" si="5"/>
        <v>-0.08884225254</v>
      </c>
      <c r="Q462" s="30">
        <f t="shared" si="6"/>
        <v>-0.006843025037</v>
      </c>
      <c r="R462" s="30">
        <f t="shared" si="7"/>
        <v>-0.01857501696</v>
      </c>
      <c r="S462" s="30">
        <f t="shared" si="8"/>
        <v>-0.02118070998</v>
      </c>
      <c r="T462" s="30">
        <f t="shared" si="9"/>
        <v>-0.2156351192</v>
      </c>
    </row>
    <row r="463">
      <c r="A463" s="1">
        <v>460.0</v>
      </c>
      <c r="B463" s="22" t="s">
        <v>1228</v>
      </c>
      <c r="C463" s="22" t="s">
        <v>528</v>
      </c>
      <c r="D463" s="22" t="s">
        <v>1229</v>
      </c>
      <c r="E463" s="23">
        <f>IFERROR(__xludf.DUMMYFUNCTION("GOOGLEFINANCE(""NSE:""&amp;D463,""marketcap"")/10000000"),3816.1848726)</f>
        <v>3816.184873</v>
      </c>
      <c r="F463" s="17">
        <f>IFERROR(__xludf.DUMMYFUNCTION("GOOGLEFINANCE(""NSE:""&amp;D463)"),592.45)</f>
        <v>592.45</v>
      </c>
      <c r="G463" s="17">
        <f>IFERROR(__xludf.DUMMYFUNCTION("GOOGLEFINANCE(""NSE:""&amp;D463,""closeyest"")"),589.7)</f>
        <v>589.7</v>
      </c>
      <c r="H463" s="17">
        <f>IFERROR(__xludf.DUMMYFUNCTION("INDEX(GOOGLEFINANCE(""NSE:""&amp;D463,""PRICE"",TODAY()-7),2,2)"),629.15)</f>
        <v>629.15</v>
      </c>
      <c r="I463" s="17">
        <f>IFERROR(__xludf.DUMMYFUNCTION("INDEX(GOOGLEFINANCE(""NSE:""&amp;D463,""PRICE"",TODAY()-14),2,2)"),622.85)</f>
        <v>622.85</v>
      </c>
      <c r="J463" s="17">
        <f>IFERROR(__xludf.DUMMYFUNCTION("INDEX(GOOGLEFINANCE(""NSE:""&amp;D463,""PRICE"",TODAY()-28),2,2)"),629.85)</f>
        <v>629.85</v>
      </c>
      <c r="K463" s="17">
        <f>IFERROR(__xludf.DUMMYFUNCTION("INDEX(GOOGLEFINANCE(""NSE:""&amp;D463,""PRICE"",TODAY()-84),2,2)"),669.1)</f>
        <v>669.1</v>
      </c>
      <c r="L463" s="16">
        <f t="shared" si="1"/>
        <v>0.004663388163</v>
      </c>
      <c r="M463" s="16">
        <f t="shared" si="2"/>
        <v>-0.05833267106</v>
      </c>
      <c r="N463" s="16">
        <f t="shared" si="3"/>
        <v>-0.04880789917</v>
      </c>
      <c r="O463" s="16">
        <f t="shared" si="4"/>
        <v>-0.05937921727</v>
      </c>
      <c r="P463" s="16">
        <f t="shared" si="5"/>
        <v>-0.1145568674</v>
      </c>
      <c r="Q463" s="30">
        <f t="shared" si="6"/>
        <v>-0.0701911282</v>
      </c>
      <c r="R463" s="30">
        <f t="shared" si="7"/>
        <v>-0.07259225435</v>
      </c>
      <c r="S463" s="30">
        <f t="shared" si="8"/>
        <v>-0.1307514209</v>
      </c>
      <c r="T463" s="30">
        <f t="shared" si="9"/>
        <v>-0.2413497341</v>
      </c>
    </row>
    <row r="464">
      <c r="A464" s="1">
        <v>461.0</v>
      </c>
      <c r="B464" s="22" t="s">
        <v>1230</v>
      </c>
      <c r="C464" s="22" t="s">
        <v>603</v>
      </c>
      <c r="D464" s="22" t="s">
        <v>1231</v>
      </c>
      <c r="E464" s="23">
        <f>IFERROR(__xludf.DUMMYFUNCTION("GOOGLEFINANCE(""NSE:""&amp;D464,""marketcap"")/10000000"),3739.713033)</f>
        <v>3739.713033</v>
      </c>
      <c r="F464" s="17">
        <f>IFERROR(__xludf.DUMMYFUNCTION("GOOGLEFINANCE(""NSE:""&amp;D464)"),1377.25)</f>
        <v>1377.25</v>
      </c>
      <c r="G464" s="17">
        <f>IFERROR(__xludf.DUMMYFUNCTION("GOOGLEFINANCE(""NSE:""&amp;D464,""closeyest"")"),1370.9)</f>
        <v>1370.9</v>
      </c>
      <c r="H464" s="17">
        <f>IFERROR(__xludf.DUMMYFUNCTION("INDEX(GOOGLEFINANCE(""NSE:""&amp;D464,""PRICE"",TODAY()-7),2,2)"),1427.9)</f>
        <v>1427.9</v>
      </c>
      <c r="I464" s="17">
        <f>IFERROR(__xludf.DUMMYFUNCTION("INDEX(GOOGLEFINANCE(""NSE:""&amp;D464,""PRICE"",TODAY()-14),2,2)"),1456.3)</f>
        <v>1456.3</v>
      </c>
      <c r="J464" s="17">
        <f>IFERROR(__xludf.DUMMYFUNCTION("INDEX(GOOGLEFINANCE(""NSE:""&amp;D464,""PRICE"",TODAY()-28),2,2)"),1288.45)</f>
        <v>1288.45</v>
      </c>
      <c r="K464" s="17">
        <f>IFERROR(__xludf.DUMMYFUNCTION("INDEX(GOOGLEFINANCE(""NSE:""&amp;D464,""PRICE"",TODAY()-84),2,2)"),1548.9)</f>
        <v>1548.9</v>
      </c>
      <c r="L464" s="16">
        <f t="shared" si="1"/>
        <v>0.004631993581</v>
      </c>
      <c r="M464" s="16">
        <f t="shared" si="2"/>
        <v>-0.03547167169</v>
      </c>
      <c r="N464" s="16">
        <f t="shared" si="3"/>
        <v>-0.05428139806</v>
      </c>
      <c r="O464" s="16">
        <f t="shared" si="4"/>
        <v>0.06892002018</v>
      </c>
      <c r="P464" s="16">
        <f t="shared" si="5"/>
        <v>-0.1108205823</v>
      </c>
      <c r="Q464" s="30">
        <f t="shared" si="6"/>
        <v>-0.04733012882</v>
      </c>
      <c r="R464" s="30">
        <f t="shared" si="7"/>
        <v>-0.07806575324</v>
      </c>
      <c r="S464" s="30">
        <f t="shared" si="8"/>
        <v>-0.002452183449</v>
      </c>
      <c r="T464" s="30">
        <f t="shared" si="9"/>
        <v>-0.237613449</v>
      </c>
    </row>
    <row r="465">
      <c r="A465" s="1">
        <v>462.0</v>
      </c>
      <c r="B465" s="22" t="s">
        <v>1232</v>
      </c>
      <c r="C465" s="22" t="s">
        <v>552</v>
      </c>
      <c r="D465" s="22" t="s">
        <v>1233</v>
      </c>
      <c r="E465" s="23">
        <f>IFERROR(__xludf.DUMMYFUNCTION("GOOGLEFINANCE(""NSE:""&amp;D465,""marketcap"")/10000000"),3721.62141)</f>
        <v>3721.62141</v>
      </c>
      <c r="F465" s="17">
        <f>IFERROR(__xludf.DUMMYFUNCTION("GOOGLEFINANCE(""NSE:""&amp;D465)"),116.75)</f>
        <v>116.75</v>
      </c>
      <c r="G465" s="17">
        <f>IFERROR(__xludf.DUMMYFUNCTION("GOOGLEFINANCE(""NSE:""&amp;D465,""closeyest"")"),116.75)</f>
        <v>116.75</v>
      </c>
      <c r="H465" s="17">
        <f>IFERROR(__xludf.DUMMYFUNCTION("INDEX(GOOGLEFINANCE(""NSE:""&amp;D465,""PRICE"",TODAY()-7),2,2)"),123.0)</f>
        <v>123</v>
      </c>
      <c r="I465" s="17">
        <f>IFERROR(__xludf.DUMMYFUNCTION("INDEX(GOOGLEFINANCE(""NSE:""&amp;D465,""PRICE"",TODAY()-14),2,2)"),120.05)</f>
        <v>120.05</v>
      </c>
      <c r="J465" s="17">
        <f>IFERROR(__xludf.DUMMYFUNCTION("INDEX(GOOGLEFINANCE(""NSE:""&amp;D465,""PRICE"",TODAY()-28),2,2)"),119.95)</f>
        <v>119.95</v>
      </c>
      <c r="K465" s="17">
        <f>IFERROR(__xludf.DUMMYFUNCTION("INDEX(GOOGLEFINANCE(""NSE:""&amp;D465,""PRICE"",TODAY()-84),2,2)"),122.35)</f>
        <v>122.35</v>
      </c>
      <c r="L465" s="16">
        <f t="shared" si="1"/>
        <v>0</v>
      </c>
      <c r="M465" s="16">
        <f t="shared" si="2"/>
        <v>-0.05081300813</v>
      </c>
      <c r="N465" s="16">
        <f t="shared" si="3"/>
        <v>-0.02748854644</v>
      </c>
      <c r="O465" s="16">
        <f t="shared" si="4"/>
        <v>-0.02667778241</v>
      </c>
      <c r="P465" s="16">
        <f t="shared" si="5"/>
        <v>-0.04577033102</v>
      </c>
      <c r="Q465" s="30">
        <f t="shared" si="6"/>
        <v>-0.06267146527</v>
      </c>
      <c r="R465" s="30">
        <f t="shared" si="7"/>
        <v>-0.05127290162</v>
      </c>
      <c r="S465" s="30">
        <f t="shared" si="8"/>
        <v>-0.09804998604</v>
      </c>
      <c r="T465" s="30">
        <f t="shared" si="9"/>
        <v>-0.1725631977</v>
      </c>
    </row>
    <row r="466">
      <c r="A466" s="1">
        <v>463.0</v>
      </c>
      <c r="B466" s="22" t="s">
        <v>1234</v>
      </c>
      <c r="C466" s="22" t="s">
        <v>545</v>
      </c>
      <c r="D466" s="22" t="s">
        <v>1235</v>
      </c>
      <c r="E466" s="23">
        <f>IFERROR(__xludf.DUMMYFUNCTION("GOOGLEFINANCE(""NSE:""&amp;D466,""marketcap"")/10000000"),3544.36537)</f>
        <v>3544.36537</v>
      </c>
      <c r="F466" s="17">
        <f>IFERROR(__xludf.DUMMYFUNCTION("GOOGLEFINANCE(""NSE:""&amp;D466)"),89.0)</f>
        <v>89</v>
      </c>
      <c r="G466" s="17">
        <f>IFERROR(__xludf.DUMMYFUNCTION("GOOGLEFINANCE(""NSE:""&amp;D466,""closeyest"")"),91.8)</f>
        <v>91.8</v>
      </c>
      <c r="H466" s="17">
        <f>IFERROR(__xludf.DUMMYFUNCTION("INDEX(GOOGLEFINANCE(""NSE:""&amp;D466,""PRICE"",TODAY()-7),2,2)"),96.45)</f>
        <v>96.45</v>
      </c>
      <c r="I466" s="17">
        <f>IFERROR(__xludf.DUMMYFUNCTION("INDEX(GOOGLEFINANCE(""NSE:""&amp;D466,""PRICE"",TODAY()-14),2,2)"),85.55)</f>
        <v>85.55</v>
      </c>
      <c r="J466" s="17">
        <f>IFERROR(__xludf.DUMMYFUNCTION("INDEX(GOOGLEFINANCE(""NSE:""&amp;D466,""PRICE"",TODAY()-28),2,2)"),87.6)</f>
        <v>87.6</v>
      </c>
      <c r="K466" s="17">
        <f>IFERROR(__xludf.DUMMYFUNCTION("INDEX(GOOGLEFINANCE(""NSE:""&amp;D466,""PRICE"",TODAY()-84),2,2)"),84.2)</f>
        <v>84.2</v>
      </c>
      <c r="L466" s="16">
        <f t="shared" si="1"/>
        <v>-0.03050108932</v>
      </c>
      <c r="M466" s="16">
        <f t="shared" si="2"/>
        <v>-0.07724209435</v>
      </c>
      <c r="N466" s="16">
        <f t="shared" si="3"/>
        <v>0.04032729398</v>
      </c>
      <c r="O466" s="16">
        <f t="shared" si="4"/>
        <v>0.01598173516</v>
      </c>
      <c r="P466" s="16">
        <f t="shared" si="5"/>
        <v>0.05700712589</v>
      </c>
      <c r="Q466" s="30">
        <f t="shared" si="6"/>
        <v>-0.08910055149</v>
      </c>
      <c r="R466" s="30">
        <f t="shared" si="7"/>
        <v>0.0165429388</v>
      </c>
      <c r="S466" s="30">
        <f t="shared" si="8"/>
        <v>-0.05539046847</v>
      </c>
      <c r="T466" s="30">
        <f t="shared" si="9"/>
        <v>-0.06978574081</v>
      </c>
    </row>
    <row r="467">
      <c r="A467" s="1">
        <v>464.0</v>
      </c>
      <c r="B467" s="22" t="s">
        <v>1236</v>
      </c>
      <c r="C467" s="22" t="s">
        <v>712</v>
      </c>
      <c r="D467" s="22" t="s">
        <v>1237</v>
      </c>
      <c r="E467" s="23">
        <f>IFERROR(__xludf.DUMMYFUNCTION("GOOGLEFINANCE(""NSE:""&amp;D467,""marketcap"")/10000000"),3779.7292159)</f>
        <v>3779.729216</v>
      </c>
      <c r="F467" s="17">
        <f>IFERROR(__xludf.DUMMYFUNCTION("GOOGLEFINANCE(""NSE:""&amp;D467)"),20.6)</f>
        <v>20.6</v>
      </c>
      <c r="G467" s="17">
        <f>IFERROR(__xludf.DUMMYFUNCTION("GOOGLEFINANCE(""NSE:""&amp;D467,""closeyest"")"),19.75)</f>
        <v>19.75</v>
      </c>
      <c r="H467" s="17">
        <f>IFERROR(__xludf.DUMMYFUNCTION("INDEX(GOOGLEFINANCE(""NSE:""&amp;D467,""PRICE"",TODAY()-7),2,2)"),20.8)</f>
        <v>20.8</v>
      </c>
      <c r="I467" s="17">
        <f>IFERROR(__xludf.DUMMYFUNCTION("INDEX(GOOGLEFINANCE(""NSE:""&amp;D467,""PRICE"",TODAY()-14),2,2)"),19.35)</f>
        <v>19.35</v>
      </c>
      <c r="J467" s="17">
        <f>IFERROR(__xludf.DUMMYFUNCTION("INDEX(GOOGLEFINANCE(""NSE:""&amp;D467,""PRICE"",TODAY()-28),2,2)"),12.75)</f>
        <v>12.75</v>
      </c>
      <c r="K467" s="17">
        <f>IFERROR(__xludf.DUMMYFUNCTION("INDEX(GOOGLEFINANCE(""NSE:""&amp;D467,""PRICE"",TODAY()-84),2,2)"),13.5)</f>
        <v>13.5</v>
      </c>
      <c r="L467" s="16">
        <f t="shared" si="1"/>
        <v>0.04303797468</v>
      </c>
      <c r="M467" s="16">
        <f t="shared" si="2"/>
        <v>-0.009615384615</v>
      </c>
      <c r="N467" s="16">
        <f t="shared" si="3"/>
        <v>0.0645994832</v>
      </c>
      <c r="O467" s="16">
        <f t="shared" si="4"/>
        <v>0.6156862745</v>
      </c>
      <c r="P467" s="16">
        <f t="shared" si="5"/>
        <v>0.5259259259</v>
      </c>
      <c r="Q467" s="30">
        <f t="shared" si="6"/>
        <v>-0.02147384175</v>
      </c>
      <c r="R467" s="30">
        <f t="shared" si="7"/>
        <v>0.04081512802</v>
      </c>
      <c r="S467" s="30">
        <f t="shared" si="8"/>
        <v>0.5443140709</v>
      </c>
      <c r="T467" s="30">
        <f t="shared" si="9"/>
        <v>0.3991330592</v>
      </c>
    </row>
    <row r="468">
      <c r="A468" s="1">
        <v>465.0</v>
      </c>
      <c r="B468" s="22" t="s">
        <v>1238</v>
      </c>
      <c r="C468" s="22" t="s">
        <v>526</v>
      </c>
      <c r="D468" s="22" t="s">
        <v>1239</v>
      </c>
      <c r="E468" s="23">
        <f>IFERROR(__xludf.DUMMYFUNCTION("GOOGLEFINANCE(""NSE:""&amp;D468,""marketcap"")/10000000"),3550.9814815)</f>
        <v>3550.981482</v>
      </c>
      <c r="F468" s="17">
        <f>IFERROR(__xludf.DUMMYFUNCTION("GOOGLEFINANCE(""NSE:""&amp;D468)"),590.0)</f>
        <v>590</v>
      </c>
      <c r="G468" s="17">
        <f>IFERROR(__xludf.DUMMYFUNCTION("GOOGLEFINANCE(""NSE:""&amp;D468,""closeyest"")"),594.45)</f>
        <v>594.45</v>
      </c>
      <c r="H468" s="17">
        <f>IFERROR(__xludf.DUMMYFUNCTION("INDEX(GOOGLEFINANCE(""NSE:""&amp;D468,""PRICE"",TODAY()-7),2,2)"),606.85)</f>
        <v>606.85</v>
      </c>
      <c r="I468" s="17">
        <f>IFERROR(__xludf.DUMMYFUNCTION("INDEX(GOOGLEFINANCE(""NSE:""&amp;D468,""PRICE"",TODAY()-14),2,2)"),604.7)</f>
        <v>604.7</v>
      </c>
      <c r="J468" s="17">
        <f>IFERROR(__xludf.DUMMYFUNCTION("INDEX(GOOGLEFINANCE(""NSE:""&amp;D468,""PRICE"",TODAY()-28),2,2)"),581.45)</f>
        <v>581.45</v>
      </c>
      <c r="K468" s="17">
        <f>IFERROR(__xludf.DUMMYFUNCTION("INDEX(GOOGLEFINANCE(""NSE:""&amp;D468,""PRICE"",TODAY()-84),2,2)"),766.0)</f>
        <v>766</v>
      </c>
      <c r="L468" s="16">
        <f t="shared" si="1"/>
        <v>-0.007485911347</v>
      </c>
      <c r="M468" s="16">
        <f t="shared" si="2"/>
        <v>-0.02776633435</v>
      </c>
      <c r="N468" s="16">
        <f t="shared" si="3"/>
        <v>-0.024309575</v>
      </c>
      <c r="O468" s="16">
        <f t="shared" si="4"/>
        <v>0.01470461777</v>
      </c>
      <c r="P468" s="16">
        <f t="shared" si="5"/>
        <v>-0.2297650131</v>
      </c>
      <c r="Q468" s="30">
        <f t="shared" si="6"/>
        <v>-0.03962479149</v>
      </c>
      <c r="R468" s="30">
        <f t="shared" si="7"/>
        <v>-0.04809393018</v>
      </c>
      <c r="S468" s="30">
        <f t="shared" si="8"/>
        <v>-0.05666758586</v>
      </c>
      <c r="T468" s="30">
        <f t="shared" si="9"/>
        <v>-0.3565578798</v>
      </c>
    </row>
    <row r="469">
      <c r="A469" s="1">
        <v>466.0</v>
      </c>
      <c r="B469" s="22" t="s">
        <v>1240</v>
      </c>
      <c r="C469" s="22" t="s">
        <v>552</v>
      </c>
      <c r="D469" s="22" t="s">
        <v>1241</v>
      </c>
      <c r="E469" s="23">
        <f>IFERROR(__xludf.DUMMYFUNCTION("GOOGLEFINANCE(""NSE:""&amp;D469,""marketcap"")/10000000"),3477.0305143)</f>
        <v>3477.030514</v>
      </c>
      <c r="F469" s="17">
        <f>IFERROR(__xludf.DUMMYFUNCTION("GOOGLEFINANCE(""NSE:""&amp;D469)"),185.6)</f>
        <v>185.6</v>
      </c>
      <c r="G469" s="17">
        <f>IFERROR(__xludf.DUMMYFUNCTION("GOOGLEFINANCE(""NSE:""&amp;D469,""closeyest"")"),185.45)</f>
        <v>185.45</v>
      </c>
      <c r="H469" s="17">
        <f>IFERROR(__xludf.DUMMYFUNCTION("INDEX(GOOGLEFINANCE(""NSE:""&amp;D469,""PRICE"",TODAY()-7),2,2)"),185.05)</f>
        <v>185.05</v>
      </c>
      <c r="I469" s="17">
        <f>IFERROR(__xludf.DUMMYFUNCTION("INDEX(GOOGLEFINANCE(""NSE:""&amp;D469,""PRICE"",TODAY()-14),2,2)"),185.7)</f>
        <v>185.7</v>
      </c>
      <c r="J469" s="17">
        <f>IFERROR(__xludf.DUMMYFUNCTION("INDEX(GOOGLEFINANCE(""NSE:""&amp;D469,""PRICE"",TODAY()-28),2,2)"),181.45)</f>
        <v>181.45</v>
      </c>
      <c r="K469" s="17">
        <f>IFERROR(__xludf.DUMMYFUNCTION("INDEX(GOOGLEFINANCE(""NSE:""&amp;D469,""PRICE"",TODAY()-84),2,2)"),199.75)</f>
        <v>199.75</v>
      </c>
      <c r="L469" s="16">
        <f t="shared" si="1"/>
        <v>0.000808843354</v>
      </c>
      <c r="M469" s="16">
        <f t="shared" si="2"/>
        <v>0.002972169684</v>
      </c>
      <c r="N469" s="16">
        <f t="shared" si="3"/>
        <v>-0.0005385029618</v>
      </c>
      <c r="O469" s="16">
        <f t="shared" si="4"/>
        <v>0.02287131441</v>
      </c>
      <c r="P469" s="16">
        <f t="shared" si="5"/>
        <v>-0.07083854819</v>
      </c>
      <c r="Q469" s="30">
        <f t="shared" si="6"/>
        <v>-0.008886287452</v>
      </c>
      <c r="R469" s="30">
        <f t="shared" si="7"/>
        <v>-0.02432285814</v>
      </c>
      <c r="S469" s="30">
        <f t="shared" si="8"/>
        <v>-0.04850088922</v>
      </c>
      <c r="T469" s="30">
        <f t="shared" si="9"/>
        <v>-0.1976314149</v>
      </c>
    </row>
    <row r="470">
      <c r="A470" s="1">
        <v>467.0</v>
      </c>
      <c r="B470" s="22" t="s">
        <v>1242</v>
      </c>
      <c r="C470" s="22" t="s">
        <v>528</v>
      </c>
      <c r="D470" s="22" t="s">
        <v>1243</v>
      </c>
      <c r="E470" s="23">
        <f>IFERROR(__xludf.DUMMYFUNCTION("GOOGLEFINANCE(""NSE:""&amp;D470,""marketcap"")/10000000"),3430.6954159)</f>
        <v>3430.695416</v>
      </c>
      <c r="F470" s="17">
        <f>IFERROR(__xludf.DUMMYFUNCTION("GOOGLEFINANCE(""NSE:""&amp;D470)"),19.9)</f>
        <v>19.9</v>
      </c>
      <c r="G470" s="17">
        <f>IFERROR(__xludf.DUMMYFUNCTION("GOOGLEFINANCE(""NSE:""&amp;D470,""closeyest"")"),19.9)</f>
        <v>19.9</v>
      </c>
      <c r="H470" s="17">
        <f>IFERROR(__xludf.DUMMYFUNCTION("INDEX(GOOGLEFINANCE(""NSE:""&amp;D470,""PRICE"",TODAY()-7),2,2)"),20.65)</f>
        <v>20.65</v>
      </c>
      <c r="I470" s="17">
        <f>IFERROR(__xludf.DUMMYFUNCTION("INDEX(GOOGLEFINANCE(""NSE:""&amp;D470,""PRICE"",TODAY()-14),2,2)"),20.5)</f>
        <v>20.5</v>
      </c>
      <c r="J470" s="17">
        <f>IFERROR(__xludf.DUMMYFUNCTION("INDEX(GOOGLEFINANCE(""NSE:""&amp;D470,""PRICE"",TODAY()-28),2,2)"),19.9)</f>
        <v>19.9</v>
      </c>
      <c r="K470" s="17">
        <f>IFERROR(__xludf.DUMMYFUNCTION("INDEX(GOOGLEFINANCE(""NSE:""&amp;D470,""PRICE"",TODAY()-84),2,2)"),30.65)</f>
        <v>30.65</v>
      </c>
      <c r="L470" s="16">
        <f t="shared" si="1"/>
        <v>0</v>
      </c>
      <c r="M470" s="16">
        <f t="shared" si="2"/>
        <v>-0.03631961259</v>
      </c>
      <c r="N470" s="16">
        <f t="shared" si="3"/>
        <v>-0.02926829268</v>
      </c>
      <c r="O470" s="16">
        <f t="shared" si="4"/>
        <v>0</v>
      </c>
      <c r="P470" s="16">
        <f t="shared" si="5"/>
        <v>-0.3507340946</v>
      </c>
      <c r="Q470" s="30">
        <f t="shared" si="6"/>
        <v>-0.04817806973</v>
      </c>
      <c r="R470" s="30">
        <f t="shared" si="7"/>
        <v>-0.05305264786</v>
      </c>
      <c r="S470" s="30">
        <f t="shared" si="8"/>
        <v>-0.07137220363</v>
      </c>
      <c r="T470" s="30">
        <f t="shared" si="9"/>
        <v>-0.4775269613</v>
      </c>
    </row>
    <row r="471">
      <c r="A471" s="1">
        <v>468.0</v>
      </c>
      <c r="B471" s="22" t="s">
        <v>1244</v>
      </c>
      <c r="C471" s="22" t="s">
        <v>526</v>
      </c>
      <c r="D471" s="22" t="s">
        <v>1245</v>
      </c>
      <c r="E471" s="23">
        <f>IFERROR(__xludf.DUMMYFUNCTION("GOOGLEFINANCE(""NSE:""&amp;D471,""marketcap"")/10000000"),3379.1018007)</f>
        <v>3379.101801</v>
      </c>
      <c r="F471" s="17">
        <f>IFERROR(__xludf.DUMMYFUNCTION("GOOGLEFINANCE(""NSE:""&amp;D471)"),124.9)</f>
        <v>124.9</v>
      </c>
      <c r="G471" s="17">
        <f>IFERROR(__xludf.DUMMYFUNCTION("GOOGLEFINANCE(""NSE:""&amp;D471,""closeyest"")"),124.9)</f>
        <v>124.9</v>
      </c>
      <c r="H471" s="17">
        <f>IFERROR(__xludf.DUMMYFUNCTION("INDEX(GOOGLEFINANCE(""NSE:""&amp;D471,""PRICE"",TODAY()-7),2,2)"),125.25)</f>
        <v>125.25</v>
      </c>
      <c r="I471" s="17">
        <f>IFERROR(__xludf.DUMMYFUNCTION("INDEX(GOOGLEFINANCE(""NSE:""&amp;D471,""PRICE"",TODAY()-14),2,2)"),129.2)</f>
        <v>129.2</v>
      </c>
      <c r="J471" s="17">
        <f>IFERROR(__xludf.DUMMYFUNCTION("INDEX(GOOGLEFINANCE(""NSE:""&amp;D471,""PRICE"",TODAY()-28),2,2)"),125.85)</f>
        <v>125.85</v>
      </c>
      <c r="K471" s="17">
        <f>IFERROR(__xludf.DUMMYFUNCTION("INDEX(GOOGLEFINANCE(""NSE:""&amp;D471,""PRICE"",TODAY()-84),2,2)"),141.75)</f>
        <v>141.75</v>
      </c>
      <c r="L471" s="16">
        <f t="shared" si="1"/>
        <v>0</v>
      </c>
      <c r="M471" s="16">
        <f t="shared" si="2"/>
        <v>-0.002794411178</v>
      </c>
      <c r="N471" s="16">
        <f t="shared" si="3"/>
        <v>-0.03328173375</v>
      </c>
      <c r="O471" s="16">
        <f t="shared" si="4"/>
        <v>-0.00754866905</v>
      </c>
      <c r="P471" s="16">
        <f t="shared" si="5"/>
        <v>-0.1188712522</v>
      </c>
      <c r="Q471" s="30">
        <f t="shared" si="6"/>
        <v>-0.01465286831</v>
      </c>
      <c r="R471" s="30">
        <f t="shared" si="7"/>
        <v>-0.05706608893</v>
      </c>
      <c r="S471" s="30">
        <f t="shared" si="8"/>
        <v>-0.07892087268</v>
      </c>
      <c r="T471" s="30">
        <f t="shared" si="9"/>
        <v>-0.2456641189</v>
      </c>
    </row>
    <row r="472">
      <c r="A472" s="1">
        <v>469.0</v>
      </c>
      <c r="B472" s="22" t="s">
        <v>1246</v>
      </c>
      <c r="C472" s="22" t="s">
        <v>549</v>
      </c>
      <c r="D472" s="22" t="s">
        <v>1247</v>
      </c>
      <c r="E472" s="23">
        <f>IFERROR(__xludf.DUMMYFUNCTION("GOOGLEFINANCE(""NSE:""&amp;D472,""marketcap"")/10000000"),3301.26752)</f>
        <v>3301.26752</v>
      </c>
      <c r="F472" s="17">
        <f>IFERROR(__xludf.DUMMYFUNCTION("GOOGLEFINANCE(""NSE:""&amp;D472)"),562.95)</f>
        <v>562.95</v>
      </c>
      <c r="G472" s="17">
        <f>IFERROR(__xludf.DUMMYFUNCTION("GOOGLEFINANCE(""NSE:""&amp;D472,""closeyest"")"),564.7)</f>
        <v>564.7</v>
      </c>
      <c r="H472" s="17">
        <f>IFERROR(__xludf.DUMMYFUNCTION("INDEX(GOOGLEFINANCE(""NSE:""&amp;D472,""PRICE"",TODAY()-7),2,2)"),581.7)</f>
        <v>581.7</v>
      </c>
      <c r="I472" s="17">
        <f>IFERROR(__xludf.DUMMYFUNCTION("INDEX(GOOGLEFINANCE(""NSE:""&amp;D472,""PRICE"",TODAY()-14),2,2)"),556.1)</f>
        <v>556.1</v>
      </c>
      <c r="J472" s="17">
        <f>IFERROR(__xludf.DUMMYFUNCTION("INDEX(GOOGLEFINANCE(""NSE:""&amp;D472,""PRICE"",TODAY()-28),2,2)"),556.5)</f>
        <v>556.5</v>
      </c>
      <c r="K472" s="17">
        <f>IFERROR(__xludf.DUMMYFUNCTION("INDEX(GOOGLEFINANCE(""NSE:""&amp;D472,""PRICE"",TODAY()-84),2,2)"),646.75)</f>
        <v>646.75</v>
      </c>
      <c r="L472" s="16">
        <f t="shared" si="1"/>
        <v>-0.003098990614</v>
      </c>
      <c r="M472" s="16">
        <f t="shared" si="2"/>
        <v>-0.03223310985</v>
      </c>
      <c r="N472" s="16">
        <f t="shared" si="3"/>
        <v>0.01231792843</v>
      </c>
      <c r="O472" s="16">
        <f t="shared" si="4"/>
        <v>0.0115902965</v>
      </c>
      <c r="P472" s="16">
        <f t="shared" si="5"/>
        <v>-0.1295709316</v>
      </c>
      <c r="Q472" s="30">
        <f t="shared" si="6"/>
        <v>-0.04409156699</v>
      </c>
      <c r="R472" s="30">
        <f t="shared" si="7"/>
        <v>-0.01146642675</v>
      </c>
      <c r="S472" s="30">
        <f t="shared" si="8"/>
        <v>-0.05978190713</v>
      </c>
      <c r="T472" s="30">
        <f t="shared" si="9"/>
        <v>-0.2563637983</v>
      </c>
    </row>
    <row r="473">
      <c r="A473" s="1">
        <v>470.0</v>
      </c>
      <c r="B473" s="22" t="s">
        <v>1248</v>
      </c>
      <c r="C473" s="22" t="s">
        <v>549</v>
      </c>
      <c r="D473" s="22" t="s">
        <v>1249</v>
      </c>
      <c r="E473" s="23">
        <f>IFERROR(__xludf.DUMMYFUNCTION("GOOGLEFINANCE(""NSE:""&amp;D473,""marketcap"")/10000000"),3201.5805385)</f>
        <v>3201.580539</v>
      </c>
      <c r="F473" s="17">
        <f>IFERROR(__xludf.DUMMYFUNCTION("GOOGLEFINANCE(""NSE:""&amp;D473)"),204.7)</f>
        <v>204.7</v>
      </c>
      <c r="G473" s="17">
        <f>IFERROR(__xludf.DUMMYFUNCTION("GOOGLEFINANCE(""NSE:""&amp;D473,""closeyest"")"),210.0)</f>
        <v>210</v>
      </c>
      <c r="H473" s="17">
        <f>IFERROR(__xludf.DUMMYFUNCTION("INDEX(GOOGLEFINANCE(""NSE:""&amp;D473,""PRICE"",TODAY()-7),2,2)"),209.05)</f>
        <v>209.05</v>
      </c>
      <c r="I473" s="17">
        <f>IFERROR(__xludf.DUMMYFUNCTION("INDEX(GOOGLEFINANCE(""NSE:""&amp;D473,""PRICE"",TODAY()-14),2,2)"),212.1)</f>
        <v>212.1</v>
      </c>
      <c r="J473" s="17">
        <f>IFERROR(__xludf.DUMMYFUNCTION("INDEX(GOOGLEFINANCE(""NSE:""&amp;D473,""PRICE"",TODAY()-28),2,2)"),182.95)</f>
        <v>182.95</v>
      </c>
      <c r="K473" s="17">
        <f>IFERROR(__xludf.DUMMYFUNCTION("INDEX(GOOGLEFINANCE(""NSE:""&amp;D473,""PRICE"",TODAY()-84),2,2)"),212.85)</f>
        <v>212.85</v>
      </c>
      <c r="L473" s="16">
        <f t="shared" si="1"/>
        <v>-0.02523809524</v>
      </c>
      <c r="M473" s="16">
        <f t="shared" si="2"/>
        <v>-0.02080841904</v>
      </c>
      <c r="N473" s="16">
        <f t="shared" si="3"/>
        <v>-0.03488920321</v>
      </c>
      <c r="O473" s="16">
        <f t="shared" si="4"/>
        <v>0.1188849412</v>
      </c>
      <c r="P473" s="16">
        <f t="shared" si="5"/>
        <v>-0.0382898755</v>
      </c>
      <c r="Q473" s="30">
        <f t="shared" si="6"/>
        <v>-0.03266687617</v>
      </c>
      <c r="R473" s="30">
        <f t="shared" si="7"/>
        <v>-0.05867355839</v>
      </c>
      <c r="S473" s="30">
        <f t="shared" si="8"/>
        <v>0.04751273761</v>
      </c>
      <c r="T473" s="30">
        <f t="shared" si="9"/>
        <v>-0.1650827422</v>
      </c>
    </row>
    <row r="474">
      <c r="A474" s="1">
        <v>471.0</v>
      </c>
      <c r="B474" s="22" t="s">
        <v>1250</v>
      </c>
      <c r="C474" s="22" t="s">
        <v>526</v>
      </c>
      <c r="D474" s="22" t="s">
        <v>1251</v>
      </c>
      <c r="E474" s="23">
        <f>IFERROR(__xludf.DUMMYFUNCTION("GOOGLEFINANCE(""NSE:""&amp;D474,""marketcap"")/10000000"),3280.05)</f>
        <v>3280.05</v>
      </c>
      <c r="F474" s="17">
        <f>IFERROR(__xludf.DUMMYFUNCTION("GOOGLEFINANCE(""NSE:""&amp;D474)"),295.5)</f>
        <v>295.5</v>
      </c>
      <c r="G474" s="17">
        <f>IFERROR(__xludf.DUMMYFUNCTION("GOOGLEFINANCE(""NSE:""&amp;D474,""closeyest"")"),294.6)</f>
        <v>294.6</v>
      </c>
      <c r="H474" s="17">
        <f>IFERROR(__xludf.DUMMYFUNCTION("INDEX(GOOGLEFINANCE(""NSE:""&amp;D474,""PRICE"",TODAY()-7),2,2)"),301.65)</f>
        <v>301.65</v>
      </c>
      <c r="I474" s="17">
        <f>IFERROR(__xludf.DUMMYFUNCTION("INDEX(GOOGLEFINANCE(""NSE:""&amp;D474,""PRICE"",TODAY()-14),2,2)"),293.1)</f>
        <v>293.1</v>
      </c>
      <c r="J474" s="17">
        <f>IFERROR(__xludf.DUMMYFUNCTION("INDEX(GOOGLEFINANCE(""NSE:""&amp;D474,""PRICE"",TODAY()-28),2,2)"),276.5)</f>
        <v>276.5</v>
      </c>
      <c r="K474" s="17">
        <f>IFERROR(__xludf.DUMMYFUNCTION("INDEX(GOOGLEFINANCE(""NSE:""&amp;D474,""PRICE"",TODAY()-84),2,2)"),269.25)</f>
        <v>269.25</v>
      </c>
      <c r="L474" s="16">
        <f t="shared" si="1"/>
        <v>0.003054989817</v>
      </c>
      <c r="M474" s="16">
        <f t="shared" si="2"/>
        <v>-0.02038786673</v>
      </c>
      <c r="N474" s="16">
        <f t="shared" si="3"/>
        <v>0.008188331627</v>
      </c>
      <c r="O474" s="16">
        <f t="shared" si="4"/>
        <v>0.06871609403</v>
      </c>
      <c r="P474" s="16">
        <f t="shared" si="5"/>
        <v>0.09749303621</v>
      </c>
      <c r="Q474" s="30">
        <f t="shared" si="6"/>
        <v>-0.03224632387</v>
      </c>
      <c r="R474" s="30">
        <f t="shared" si="7"/>
        <v>-0.01559602355</v>
      </c>
      <c r="S474" s="30">
        <f t="shared" si="8"/>
        <v>-0.002656109596</v>
      </c>
      <c r="T474" s="30">
        <f t="shared" si="9"/>
        <v>-0.02929983049</v>
      </c>
    </row>
    <row r="475">
      <c r="A475" s="1">
        <v>472.0</v>
      </c>
      <c r="B475" s="22" t="s">
        <v>1252</v>
      </c>
      <c r="C475" s="22" t="s">
        <v>590</v>
      </c>
      <c r="D475" s="22" t="s">
        <v>1253</v>
      </c>
      <c r="E475" s="23">
        <f>IFERROR(__xludf.DUMMYFUNCTION("GOOGLEFINANCE(""NSE:""&amp;D475,""marketcap"")/10000000"),3391.2054412)</f>
        <v>3391.205441</v>
      </c>
      <c r="F475" s="17">
        <f>IFERROR(__xludf.DUMMYFUNCTION("GOOGLEFINANCE(""NSE:""&amp;D475)"),43.05)</f>
        <v>43.05</v>
      </c>
      <c r="G475" s="17">
        <f>IFERROR(__xludf.DUMMYFUNCTION("GOOGLEFINANCE(""NSE:""&amp;D475,""closeyest"")"),41.5)</f>
        <v>41.5</v>
      </c>
      <c r="H475" s="17">
        <f>IFERROR(__xludf.DUMMYFUNCTION("INDEX(GOOGLEFINANCE(""NSE:""&amp;D475,""PRICE"",TODAY()-7),2,2)"),40.3)</f>
        <v>40.3</v>
      </c>
      <c r="I475" s="17">
        <f>IFERROR(__xludf.DUMMYFUNCTION("INDEX(GOOGLEFINANCE(""NSE:""&amp;D475,""PRICE"",TODAY()-14),2,2)"),40.05)</f>
        <v>40.05</v>
      </c>
      <c r="J475" s="17">
        <f>IFERROR(__xludf.DUMMYFUNCTION("INDEX(GOOGLEFINANCE(""NSE:""&amp;D475,""PRICE"",TODAY()-28),2,2)"),38.35)</f>
        <v>38.35</v>
      </c>
      <c r="K475" s="17">
        <f>IFERROR(__xludf.DUMMYFUNCTION("INDEX(GOOGLEFINANCE(""NSE:""&amp;D475,""PRICE"",TODAY()-84),2,2)"),41.75)</f>
        <v>41.75</v>
      </c>
      <c r="L475" s="16">
        <f t="shared" si="1"/>
        <v>0.03734939759</v>
      </c>
      <c r="M475" s="16">
        <f t="shared" si="2"/>
        <v>0.0682382134</v>
      </c>
      <c r="N475" s="16">
        <f t="shared" si="3"/>
        <v>0.07490636704</v>
      </c>
      <c r="O475" s="16">
        <f t="shared" si="4"/>
        <v>0.1225554107</v>
      </c>
      <c r="P475" s="16">
        <f t="shared" si="5"/>
        <v>0.03113772455</v>
      </c>
      <c r="Q475" s="30">
        <f t="shared" si="6"/>
        <v>0.05637975626</v>
      </c>
      <c r="R475" s="30">
        <f t="shared" si="7"/>
        <v>0.05112201186</v>
      </c>
      <c r="S475" s="30">
        <f t="shared" si="8"/>
        <v>0.05118320706</v>
      </c>
      <c r="T475" s="30">
        <f t="shared" si="9"/>
        <v>-0.09565514215</v>
      </c>
    </row>
    <row r="476">
      <c r="A476" s="1">
        <v>473.0</v>
      </c>
      <c r="B476" s="22" t="s">
        <v>1254</v>
      </c>
      <c r="C476" s="22" t="s">
        <v>552</v>
      </c>
      <c r="D476" s="22" t="s">
        <v>1255</v>
      </c>
      <c r="E476" s="23">
        <f>IFERROR(__xludf.DUMMYFUNCTION("GOOGLEFINANCE(""NSE:""&amp;D476,""marketcap"")/10000000"),3320.6125663)</f>
        <v>3320.612566</v>
      </c>
      <c r="F476" s="17">
        <f>IFERROR(__xludf.DUMMYFUNCTION("GOOGLEFINANCE(""NSE:""&amp;D476)"),126.75)</f>
        <v>126.75</v>
      </c>
      <c r="G476" s="17">
        <f>IFERROR(__xludf.DUMMYFUNCTION("GOOGLEFINANCE(""NSE:""&amp;D476,""closeyest"")"),125.35)</f>
        <v>125.35</v>
      </c>
      <c r="H476" s="17">
        <f>IFERROR(__xludf.DUMMYFUNCTION("INDEX(GOOGLEFINANCE(""NSE:""&amp;D476,""PRICE"",TODAY()-7),2,2)"),121.6)</f>
        <v>121.6</v>
      </c>
      <c r="I476" s="17">
        <f>IFERROR(__xludf.DUMMYFUNCTION("INDEX(GOOGLEFINANCE(""NSE:""&amp;D476,""PRICE"",TODAY()-14),2,2)"),122.1)</f>
        <v>122.1</v>
      </c>
      <c r="J476" s="17">
        <f>IFERROR(__xludf.DUMMYFUNCTION("INDEX(GOOGLEFINANCE(""NSE:""&amp;D476,""PRICE"",TODAY()-28),2,2)"),118.8)</f>
        <v>118.8</v>
      </c>
      <c r="K476" s="17">
        <f>IFERROR(__xludf.DUMMYFUNCTION("INDEX(GOOGLEFINANCE(""NSE:""&amp;D476,""PRICE"",TODAY()-84),2,2)"),139.95)</f>
        <v>139.95</v>
      </c>
      <c r="L476" s="16">
        <f t="shared" si="1"/>
        <v>0.01116872756</v>
      </c>
      <c r="M476" s="16">
        <f t="shared" si="2"/>
        <v>0.04235197368</v>
      </c>
      <c r="N476" s="16">
        <f t="shared" si="3"/>
        <v>0.03808353808</v>
      </c>
      <c r="O476" s="16">
        <f t="shared" si="4"/>
        <v>0.06691919192</v>
      </c>
      <c r="P476" s="16">
        <f t="shared" si="5"/>
        <v>-0.09431939979</v>
      </c>
      <c r="Q476" s="30">
        <f t="shared" si="6"/>
        <v>0.03049351655</v>
      </c>
      <c r="R476" s="30">
        <f t="shared" si="7"/>
        <v>0.0142991829</v>
      </c>
      <c r="S476" s="30">
        <f t="shared" si="8"/>
        <v>-0.004453011709</v>
      </c>
      <c r="T476" s="30">
        <f t="shared" si="9"/>
        <v>-0.2211122665</v>
      </c>
    </row>
    <row r="477">
      <c r="A477" s="1">
        <v>474.0</v>
      </c>
      <c r="B477" s="22" t="s">
        <v>1256</v>
      </c>
      <c r="C477" s="22" t="s">
        <v>665</v>
      </c>
      <c r="D477" s="22" t="s">
        <v>1257</v>
      </c>
      <c r="E477" s="23">
        <f>IFERROR(__xludf.DUMMYFUNCTION("GOOGLEFINANCE(""NSE:""&amp;D477,""marketcap"")/10000000"),3158.2430845)</f>
        <v>3158.243085</v>
      </c>
      <c r="F477" s="17">
        <f>IFERROR(__xludf.DUMMYFUNCTION("GOOGLEFINANCE(""NSE:""&amp;D477)"),129.3)</f>
        <v>129.3</v>
      </c>
      <c r="G477" s="17">
        <f>IFERROR(__xludf.DUMMYFUNCTION("GOOGLEFINANCE(""NSE:""&amp;D477,""closeyest"")"),130.45)</f>
        <v>130.45</v>
      </c>
      <c r="H477" s="17">
        <f>IFERROR(__xludf.DUMMYFUNCTION("INDEX(GOOGLEFINANCE(""NSE:""&amp;D477,""PRICE"",TODAY()-7),2,2)"),129.1)</f>
        <v>129.1</v>
      </c>
      <c r="I477" s="17">
        <f>IFERROR(__xludf.DUMMYFUNCTION("INDEX(GOOGLEFINANCE(""NSE:""&amp;D477,""PRICE"",TODAY()-14),2,2)"),136.25)</f>
        <v>136.25</v>
      </c>
      <c r="J477" s="17">
        <f>IFERROR(__xludf.DUMMYFUNCTION("INDEX(GOOGLEFINANCE(""NSE:""&amp;D477,""PRICE"",TODAY()-28),2,2)"),140.65)</f>
        <v>140.65</v>
      </c>
      <c r="K477" s="17">
        <f>IFERROR(__xludf.DUMMYFUNCTION("INDEX(GOOGLEFINANCE(""NSE:""&amp;D477,""PRICE"",TODAY()-84),2,2)"),142.75)</f>
        <v>142.75</v>
      </c>
      <c r="L477" s="16">
        <f t="shared" si="1"/>
        <v>-0.008815638176</v>
      </c>
      <c r="M477" s="16">
        <f t="shared" si="2"/>
        <v>0.001549186677</v>
      </c>
      <c r="N477" s="16">
        <f t="shared" si="3"/>
        <v>-0.05100917431</v>
      </c>
      <c r="O477" s="16">
        <f t="shared" si="4"/>
        <v>-0.08069676502</v>
      </c>
      <c r="P477" s="16">
        <f t="shared" si="5"/>
        <v>-0.0942206655</v>
      </c>
      <c r="Q477" s="30">
        <f t="shared" si="6"/>
        <v>-0.01030927046</v>
      </c>
      <c r="R477" s="30">
        <f t="shared" si="7"/>
        <v>-0.07479352949</v>
      </c>
      <c r="S477" s="30">
        <f t="shared" si="8"/>
        <v>-0.1520689686</v>
      </c>
      <c r="T477" s="30">
        <f t="shared" si="9"/>
        <v>-0.2210135322</v>
      </c>
    </row>
    <row r="478">
      <c r="A478" s="1">
        <v>475.0</v>
      </c>
      <c r="B478" s="22" t="s">
        <v>1258</v>
      </c>
      <c r="C478" s="22" t="s">
        <v>635</v>
      </c>
      <c r="D478" s="22" t="s">
        <v>1259</v>
      </c>
      <c r="E478" s="23">
        <f>IFERROR(__xludf.DUMMYFUNCTION("GOOGLEFINANCE(""NSE:""&amp;D478,""marketcap"")/10000000"),3220.6726695)</f>
        <v>3220.67267</v>
      </c>
      <c r="F478" s="17">
        <f>IFERROR(__xludf.DUMMYFUNCTION("GOOGLEFINANCE(""NSE:""&amp;D478)"),139.95)</f>
        <v>139.95</v>
      </c>
      <c r="G478" s="17">
        <f>IFERROR(__xludf.DUMMYFUNCTION("GOOGLEFINANCE(""NSE:""&amp;D478,""closeyest"")"),136.5)</f>
        <v>136.5</v>
      </c>
      <c r="H478" s="17">
        <f>IFERROR(__xludf.DUMMYFUNCTION("INDEX(GOOGLEFINANCE(""NSE:""&amp;D478,""PRICE"",TODAY()-7),2,2)"),141.5)</f>
        <v>141.5</v>
      </c>
      <c r="I478" s="17">
        <f>IFERROR(__xludf.DUMMYFUNCTION("INDEX(GOOGLEFINANCE(""NSE:""&amp;D478,""PRICE"",TODAY()-14),2,2)"),140.75)</f>
        <v>140.75</v>
      </c>
      <c r="J478" s="17">
        <f>IFERROR(__xludf.DUMMYFUNCTION("INDEX(GOOGLEFINANCE(""NSE:""&amp;D478,""PRICE"",TODAY()-28),2,2)"),129.75)</f>
        <v>129.75</v>
      </c>
      <c r="K478" s="17">
        <f>IFERROR(__xludf.DUMMYFUNCTION("INDEX(GOOGLEFINANCE(""NSE:""&amp;D478,""PRICE"",TODAY()-84),2,2)"),171.6)</f>
        <v>171.6</v>
      </c>
      <c r="L478" s="16">
        <f t="shared" si="1"/>
        <v>0.02527472527</v>
      </c>
      <c r="M478" s="16">
        <f t="shared" si="2"/>
        <v>-0.0109540636</v>
      </c>
      <c r="N478" s="16">
        <f t="shared" si="3"/>
        <v>-0.00568383659</v>
      </c>
      <c r="O478" s="16">
        <f t="shared" si="4"/>
        <v>0.07861271676</v>
      </c>
      <c r="P478" s="16">
        <f t="shared" si="5"/>
        <v>-0.1844405594</v>
      </c>
      <c r="Q478" s="30">
        <f t="shared" si="6"/>
        <v>-0.02281252074</v>
      </c>
      <c r="R478" s="30">
        <f t="shared" si="7"/>
        <v>-0.02946819177</v>
      </c>
      <c r="S478" s="30">
        <f t="shared" si="8"/>
        <v>0.007240513134</v>
      </c>
      <c r="T478" s="30">
        <f t="shared" si="9"/>
        <v>-0.3112334261</v>
      </c>
    </row>
    <row r="479">
      <c r="A479" s="1">
        <v>476.0</v>
      </c>
      <c r="B479" s="22" t="s">
        <v>1260</v>
      </c>
      <c r="C479" s="22" t="s">
        <v>635</v>
      </c>
      <c r="D479" s="22" t="s">
        <v>1261</v>
      </c>
      <c r="E479" s="23">
        <f>IFERROR(__xludf.DUMMYFUNCTION("GOOGLEFINANCE(""NSE:""&amp;D479,""marketcap"")/10000000"),3093.3522285)</f>
        <v>3093.352229</v>
      </c>
      <c r="F479" s="17">
        <f>IFERROR(__xludf.DUMMYFUNCTION("GOOGLEFINANCE(""NSE:""&amp;D479)"),980.0)</f>
        <v>980</v>
      </c>
      <c r="G479" s="17">
        <f>IFERROR(__xludf.DUMMYFUNCTION("GOOGLEFINANCE(""NSE:""&amp;D479,""closeyest"")"),979.1)</f>
        <v>979.1</v>
      </c>
      <c r="H479" s="17">
        <f>IFERROR(__xludf.DUMMYFUNCTION("INDEX(GOOGLEFINANCE(""NSE:""&amp;D479,""PRICE"",TODAY()-7),2,2)"),998.45)</f>
        <v>998.45</v>
      </c>
      <c r="I479" s="17">
        <f>IFERROR(__xludf.DUMMYFUNCTION("INDEX(GOOGLEFINANCE(""NSE:""&amp;D479,""PRICE"",TODAY()-14),2,2)"),967.15)</f>
        <v>967.15</v>
      </c>
      <c r="J479" s="17">
        <f>IFERROR(__xludf.DUMMYFUNCTION("INDEX(GOOGLEFINANCE(""NSE:""&amp;D479,""PRICE"",TODAY()-28),2,2)"),920.05)</f>
        <v>920.05</v>
      </c>
      <c r="K479" s="17">
        <f>IFERROR(__xludf.DUMMYFUNCTION("INDEX(GOOGLEFINANCE(""NSE:""&amp;D479,""PRICE"",TODAY()-84),2,2)"),969.05)</f>
        <v>969.05</v>
      </c>
      <c r="L479" s="16">
        <f t="shared" si="1"/>
        <v>0.0009192115208</v>
      </c>
      <c r="M479" s="16">
        <f t="shared" si="2"/>
        <v>-0.01847864189</v>
      </c>
      <c r="N479" s="16">
        <f t="shared" si="3"/>
        <v>0.01328646022</v>
      </c>
      <c r="O479" s="16">
        <f t="shared" si="4"/>
        <v>0.0651595022</v>
      </c>
      <c r="P479" s="16">
        <f t="shared" si="5"/>
        <v>0.01129972654</v>
      </c>
      <c r="Q479" s="30">
        <f t="shared" si="6"/>
        <v>-0.03033709903</v>
      </c>
      <c r="R479" s="30">
        <f t="shared" si="7"/>
        <v>-0.01049789496</v>
      </c>
      <c r="S479" s="30">
        <f t="shared" si="8"/>
        <v>-0.006212701428</v>
      </c>
      <c r="T479" s="30">
        <f t="shared" si="9"/>
        <v>-0.1154931402</v>
      </c>
    </row>
    <row r="480">
      <c r="A480" s="1">
        <v>477.0</v>
      </c>
      <c r="B480" s="22" t="s">
        <v>1262</v>
      </c>
      <c r="C480" s="22" t="s">
        <v>578</v>
      </c>
      <c r="D480" s="22" t="s">
        <v>1263</v>
      </c>
      <c r="E480" s="23">
        <f>IFERROR(__xludf.DUMMYFUNCTION("GOOGLEFINANCE(""NSE:""&amp;D480,""marketcap"")/10000000"),3013.364032)</f>
        <v>3013.364032</v>
      </c>
      <c r="F480" s="17">
        <f>IFERROR(__xludf.DUMMYFUNCTION("GOOGLEFINANCE(""NSE:""&amp;D480)"),334.0)</f>
        <v>334</v>
      </c>
      <c r="G480" s="17">
        <f>IFERROR(__xludf.DUMMYFUNCTION("GOOGLEFINANCE(""NSE:""&amp;D480,""closeyest"")"),334.55)</f>
        <v>334.55</v>
      </c>
      <c r="H480" s="17">
        <f>IFERROR(__xludf.DUMMYFUNCTION("INDEX(GOOGLEFINANCE(""NSE:""&amp;D480,""PRICE"",TODAY()-7),2,2)"),338.1)</f>
        <v>338.1</v>
      </c>
      <c r="I480" s="17">
        <f>IFERROR(__xludf.DUMMYFUNCTION("INDEX(GOOGLEFINANCE(""NSE:""&amp;D480,""PRICE"",TODAY()-14),2,2)"),325.1)</f>
        <v>325.1</v>
      </c>
      <c r="J480" s="17">
        <f>IFERROR(__xludf.DUMMYFUNCTION("INDEX(GOOGLEFINANCE(""NSE:""&amp;D480,""PRICE"",TODAY()-28),2,2)"),313.35)</f>
        <v>313.35</v>
      </c>
      <c r="K480" s="17">
        <f>IFERROR(__xludf.DUMMYFUNCTION("INDEX(GOOGLEFINANCE(""NSE:""&amp;D480,""PRICE"",TODAY()-84),2,2)"),359.75)</f>
        <v>359.75</v>
      </c>
      <c r="L480" s="16">
        <f t="shared" si="1"/>
        <v>-0.001643999402</v>
      </c>
      <c r="M480" s="16">
        <f t="shared" si="2"/>
        <v>-0.01212658977</v>
      </c>
      <c r="N480" s="16">
        <f t="shared" si="3"/>
        <v>0.02737619194</v>
      </c>
      <c r="O480" s="16">
        <f t="shared" si="4"/>
        <v>0.06590074996</v>
      </c>
      <c r="P480" s="16">
        <f t="shared" si="5"/>
        <v>-0.07157748436</v>
      </c>
      <c r="Q480" s="30">
        <f t="shared" si="6"/>
        <v>-0.0239850469</v>
      </c>
      <c r="R480" s="30">
        <f t="shared" si="7"/>
        <v>0.003591836761</v>
      </c>
      <c r="S480" s="30">
        <f t="shared" si="8"/>
        <v>-0.005471453669</v>
      </c>
      <c r="T480" s="30">
        <f t="shared" si="9"/>
        <v>-0.1983703511</v>
      </c>
    </row>
    <row r="481">
      <c r="A481" s="1">
        <v>478.0</v>
      </c>
      <c r="B481" s="22" t="s">
        <v>1264</v>
      </c>
      <c r="C481" s="22" t="s">
        <v>522</v>
      </c>
      <c r="D481" s="22" t="s">
        <v>1265</v>
      </c>
      <c r="E481" s="23">
        <f>IFERROR(__xludf.DUMMYFUNCTION("GOOGLEFINANCE(""NSE:""&amp;D481,""marketcap"")/10000000"),2997.1586234)</f>
        <v>2997.158623</v>
      </c>
      <c r="F481" s="17">
        <f>IFERROR(__xludf.DUMMYFUNCTION("GOOGLEFINANCE(""NSE:""&amp;D481)"),596.0)</f>
        <v>596</v>
      </c>
      <c r="G481" s="17">
        <f>IFERROR(__xludf.DUMMYFUNCTION("GOOGLEFINANCE(""NSE:""&amp;D481,""closeyest"")"),596.3)</f>
        <v>596.3</v>
      </c>
      <c r="H481" s="17">
        <f>IFERROR(__xludf.DUMMYFUNCTION("INDEX(GOOGLEFINANCE(""NSE:""&amp;D481,""PRICE"",TODAY()-7),2,2)"),615.85)</f>
        <v>615.85</v>
      </c>
      <c r="I481" s="17">
        <f>IFERROR(__xludf.DUMMYFUNCTION("INDEX(GOOGLEFINANCE(""NSE:""&amp;D481,""PRICE"",TODAY()-14),2,2)"),603.9)</f>
        <v>603.9</v>
      </c>
      <c r="J481" s="17">
        <f>IFERROR(__xludf.DUMMYFUNCTION("INDEX(GOOGLEFINANCE(""NSE:""&amp;D481,""PRICE"",TODAY()-28),2,2)"),615.45)</f>
        <v>615.45</v>
      </c>
      <c r="K481" s="17">
        <f>IFERROR(__xludf.DUMMYFUNCTION("INDEX(GOOGLEFINANCE(""NSE:""&amp;D481,""PRICE"",TODAY()-84),2,2)"),692.35)</f>
        <v>692.35</v>
      </c>
      <c r="L481" s="16">
        <f t="shared" si="1"/>
        <v>-0.0005031024652</v>
      </c>
      <c r="M481" s="16">
        <f t="shared" si="2"/>
        <v>-0.03223187464</v>
      </c>
      <c r="N481" s="16">
        <f t="shared" si="3"/>
        <v>-0.01308163603</v>
      </c>
      <c r="O481" s="16">
        <f t="shared" si="4"/>
        <v>-0.03160289219</v>
      </c>
      <c r="P481" s="16">
        <f t="shared" si="5"/>
        <v>-0.1391637178</v>
      </c>
      <c r="Q481" s="30">
        <f t="shared" si="6"/>
        <v>-0.04409033178</v>
      </c>
      <c r="R481" s="30">
        <f t="shared" si="7"/>
        <v>-0.03686599121</v>
      </c>
      <c r="S481" s="30">
        <f t="shared" si="8"/>
        <v>-0.1029750958</v>
      </c>
      <c r="T481" s="30">
        <f t="shared" si="9"/>
        <v>-0.2659565845</v>
      </c>
    </row>
    <row r="482">
      <c r="A482" s="1">
        <v>479.0</v>
      </c>
      <c r="B482" s="22" t="s">
        <v>1266</v>
      </c>
      <c r="C482" s="22" t="s">
        <v>545</v>
      </c>
      <c r="D482" s="22" t="s">
        <v>1267</v>
      </c>
      <c r="E482" s="23">
        <f>IFERROR(__xludf.DUMMYFUNCTION("GOOGLEFINANCE(""NSE:""&amp;D482,""marketcap"")/10000000"),3023.5475945)</f>
        <v>3023.547595</v>
      </c>
      <c r="F482" s="17">
        <f>IFERROR(__xludf.DUMMYFUNCTION("GOOGLEFINANCE(""NSE:""&amp;D482)"),129.3)</f>
        <v>129.3</v>
      </c>
      <c r="G482" s="17">
        <f>IFERROR(__xludf.DUMMYFUNCTION("GOOGLEFINANCE(""NSE:""&amp;D482,""closeyest"")"),127.9)</f>
        <v>127.9</v>
      </c>
      <c r="H482" s="17">
        <f>IFERROR(__xludf.DUMMYFUNCTION("INDEX(GOOGLEFINANCE(""NSE:""&amp;D482,""PRICE"",TODAY()-7),2,2)"),136.05)</f>
        <v>136.05</v>
      </c>
      <c r="I482" s="17">
        <f>IFERROR(__xludf.DUMMYFUNCTION("INDEX(GOOGLEFINANCE(""NSE:""&amp;D482,""PRICE"",TODAY()-14),2,2)"),126.6)</f>
        <v>126.6</v>
      </c>
      <c r="J482" s="17">
        <f>IFERROR(__xludf.DUMMYFUNCTION("INDEX(GOOGLEFINANCE(""NSE:""&amp;D482,""PRICE"",TODAY()-28),2,2)"),119.05)</f>
        <v>119.05</v>
      </c>
      <c r="K482" s="17">
        <f>IFERROR(__xludf.DUMMYFUNCTION("INDEX(GOOGLEFINANCE(""NSE:""&amp;D482,""PRICE"",TODAY()-84),2,2)"),125.8)</f>
        <v>125.8</v>
      </c>
      <c r="L482" s="16">
        <f t="shared" si="1"/>
        <v>0.0109460516</v>
      </c>
      <c r="M482" s="16">
        <f t="shared" si="2"/>
        <v>-0.04961411246</v>
      </c>
      <c r="N482" s="16">
        <f t="shared" si="3"/>
        <v>0.02132701422</v>
      </c>
      <c r="O482" s="16">
        <f t="shared" si="4"/>
        <v>0.08609827803</v>
      </c>
      <c r="P482" s="16">
        <f t="shared" si="5"/>
        <v>0.02782193959</v>
      </c>
      <c r="Q482" s="30">
        <f t="shared" si="6"/>
        <v>-0.06147256959</v>
      </c>
      <c r="R482" s="30">
        <f t="shared" si="7"/>
        <v>-0.002457340962</v>
      </c>
      <c r="S482" s="30">
        <f t="shared" si="8"/>
        <v>0.01472607441</v>
      </c>
      <c r="T482" s="30">
        <f t="shared" si="9"/>
        <v>-0.09897092711</v>
      </c>
    </row>
    <row r="483">
      <c r="A483" s="1">
        <v>480.0</v>
      </c>
      <c r="B483" s="22" t="s">
        <v>1268</v>
      </c>
      <c r="C483" s="22" t="s">
        <v>549</v>
      </c>
      <c r="D483" s="22" t="s">
        <v>1269</v>
      </c>
      <c r="E483" s="23">
        <f>IFERROR(__xludf.DUMMYFUNCTION("GOOGLEFINANCE(""NSE:""&amp;D483,""marketcap"")/10000000"),3092.872295)</f>
        <v>3092.872295</v>
      </c>
      <c r="F483" s="17">
        <f>IFERROR(__xludf.DUMMYFUNCTION("GOOGLEFINANCE(""NSE:""&amp;D483)"),120.75)</f>
        <v>120.75</v>
      </c>
      <c r="G483" s="17">
        <f>IFERROR(__xludf.DUMMYFUNCTION("GOOGLEFINANCE(""NSE:""&amp;D483,""closeyest"")"),115.95)</f>
        <v>115.95</v>
      </c>
      <c r="H483" s="17">
        <f>IFERROR(__xludf.DUMMYFUNCTION("INDEX(GOOGLEFINANCE(""NSE:""&amp;D483,""PRICE"",TODAY()-7),2,2)"),116.25)</f>
        <v>116.25</v>
      </c>
      <c r="I483" s="17">
        <f>IFERROR(__xludf.DUMMYFUNCTION("INDEX(GOOGLEFINANCE(""NSE:""&amp;D483,""PRICE"",TODAY()-14),2,2)"),114.8)</f>
        <v>114.8</v>
      </c>
      <c r="J483" s="17">
        <f>IFERROR(__xludf.DUMMYFUNCTION("INDEX(GOOGLEFINANCE(""NSE:""&amp;D483,""PRICE"",TODAY()-28),2,2)"),103.15)</f>
        <v>103.15</v>
      </c>
      <c r="K483" s="17">
        <f>IFERROR(__xludf.DUMMYFUNCTION("INDEX(GOOGLEFINANCE(""NSE:""&amp;D483,""PRICE"",TODAY()-84),2,2)"),125.85)</f>
        <v>125.85</v>
      </c>
      <c r="L483" s="16">
        <f t="shared" si="1"/>
        <v>0.04139715395</v>
      </c>
      <c r="M483" s="16">
        <f t="shared" si="2"/>
        <v>0.03870967742</v>
      </c>
      <c r="N483" s="16">
        <f t="shared" si="3"/>
        <v>0.05182926829</v>
      </c>
      <c r="O483" s="16">
        <f t="shared" si="4"/>
        <v>0.170625303</v>
      </c>
      <c r="P483" s="16">
        <f t="shared" si="5"/>
        <v>-0.04052443385</v>
      </c>
      <c r="Q483" s="30">
        <f t="shared" si="6"/>
        <v>0.02685122028</v>
      </c>
      <c r="R483" s="30">
        <f t="shared" si="7"/>
        <v>0.02804491311</v>
      </c>
      <c r="S483" s="30">
        <f t="shared" si="8"/>
        <v>0.09925309933</v>
      </c>
      <c r="T483" s="30">
        <f t="shared" si="9"/>
        <v>-0.1673173005</v>
      </c>
    </row>
    <row r="484">
      <c r="A484" s="1">
        <v>481.0</v>
      </c>
      <c r="B484" s="22" t="s">
        <v>1270</v>
      </c>
      <c r="C484" s="22" t="s">
        <v>665</v>
      </c>
      <c r="D484" s="22" t="s">
        <v>1271</v>
      </c>
      <c r="E484" s="23">
        <f>IFERROR(__xludf.DUMMYFUNCTION("GOOGLEFINANCE(""NSE:""&amp;D484,""marketcap"")/10000000"),2974.7119314)</f>
        <v>2974.711931</v>
      </c>
      <c r="F484" s="17">
        <f>IFERROR(__xludf.DUMMYFUNCTION("GOOGLEFINANCE(""NSE:""&amp;D484)"),446.15)</f>
        <v>446.15</v>
      </c>
      <c r="G484" s="17">
        <f>IFERROR(__xludf.DUMMYFUNCTION("GOOGLEFINANCE(""NSE:""&amp;D484,""closeyest"")"),435.45)</f>
        <v>435.45</v>
      </c>
      <c r="H484" s="17">
        <f>IFERROR(__xludf.DUMMYFUNCTION("INDEX(GOOGLEFINANCE(""NSE:""&amp;D484,""PRICE"",TODAY()-7),2,2)"),418.8)</f>
        <v>418.8</v>
      </c>
      <c r="I484" s="17">
        <f>IFERROR(__xludf.DUMMYFUNCTION("INDEX(GOOGLEFINANCE(""NSE:""&amp;D484,""PRICE"",TODAY()-14),2,2)"),429.45)</f>
        <v>429.45</v>
      </c>
      <c r="J484" s="17">
        <f>IFERROR(__xludf.DUMMYFUNCTION("INDEX(GOOGLEFINANCE(""NSE:""&amp;D484,""PRICE"",TODAY()-28),2,2)"),393.95)</f>
        <v>393.95</v>
      </c>
      <c r="K484" s="17">
        <f>IFERROR(__xludf.DUMMYFUNCTION("INDEX(GOOGLEFINANCE(""NSE:""&amp;D484,""PRICE"",TODAY()-84),2,2)"),411.6)</f>
        <v>411.6</v>
      </c>
      <c r="L484" s="16">
        <f t="shared" si="1"/>
        <v>0.02457228155</v>
      </c>
      <c r="M484" s="16">
        <f t="shared" si="2"/>
        <v>0.06530563515</v>
      </c>
      <c r="N484" s="16">
        <f t="shared" si="3"/>
        <v>0.03888694842</v>
      </c>
      <c r="O484" s="16">
        <f t="shared" si="4"/>
        <v>0.1325041249</v>
      </c>
      <c r="P484" s="16">
        <f t="shared" si="5"/>
        <v>0.08394071914</v>
      </c>
      <c r="Q484" s="30">
        <f t="shared" si="6"/>
        <v>0.05344717801</v>
      </c>
      <c r="R484" s="30">
        <f t="shared" si="7"/>
        <v>0.01510259324</v>
      </c>
      <c r="S484" s="30">
        <f t="shared" si="8"/>
        <v>0.06113192126</v>
      </c>
      <c r="T484" s="30">
        <f t="shared" si="9"/>
        <v>-0.04285214755</v>
      </c>
    </row>
    <row r="485">
      <c r="A485" s="1">
        <v>482.0</v>
      </c>
      <c r="B485" s="22" t="s">
        <v>1272</v>
      </c>
      <c r="C485" s="22" t="s">
        <v>528</v>
      </c>
      <c r="D485" s="22" t="s">
        <v>1273</v>
      </c>
      <c r="E485" s="23">
        <f>IFERROR(__xludf.DUMMYFUNCTION("GOOGLEFINANCE(""NSE:""&amp;D485,""marketcap"")/10000000"),2868.3871073)</f>
        <v>2868.387107</v>
      </c>
      <c r="F485" s="17">
        <f>IFERROR(__xludf.DUMMYFUNCTION("GOOGLEFINANCE(""NSE:""&amp;D485)"),92.3)</f>
        <v>92.3</v>
      </c>
      <c r="G485" s="17">
        <f>IFERROR(__xludf.DUMMYFUNCTION("GOOGLEFINANCE(""NSE:""&amp;D485,""closeyest"")"),90.7)</f>
        <v>90.7</v>
      </c>
      <c r="H485" s="17">
        <f>IFERROR(__xludf.DUMMYFUNCTION("INDEX(GOOGLEFINANCE(""NSE:""&amp;D485,""PRICE"",TODAY()-7),2,2)"),91.95)</f>
        <v>91.95</v>
      </c>
      <c r="I485" s="17">
        <f>IFERROR(__xludf.DUMMYFUNCTION("INDEX(GOOGLEFINANCE(""NSE:""&amp;D485,""PRICE"",TODAY()-14),2,2)"),94.85)</f>
        <v>94.85</v>
      </c>
      <c r="J485" s="17">
        <f>IFERROR(__xludf.DUMMYFUNCTION("INDEX(GOOGLEFINANCE(""NSE:""&amp;D485,""PRICE"",TODAY()-28),2,2)"),88.15)</f>
        <v>88.15</v>
      </c>
      <c r="K485" s="17">
        <f>IFERROR(__xludf.DUMMYFUNCTION("INDEX(GOOGLEFINANCE(""NSE:""&amp;D485,""PRICE"",TODAY()-84),2,2)"),103.7)</f>
        <v>103.7</v>
      </c>
      <c r="L485" s="16">
        <f t="shared" si="1"/>
        <v>0.01764057332</v>
      </c>
      <c r="M485" s="16">
        <f t="shared" si="2"/>
        <v>0.003806416531</v>
      </c>
      <c r="N485" s="16">
        <f t="shared" si="3"/>
        <v>-0.02688455456</v>
      </c>
      <c r="O485" s="16">
        <f t="shared" si="4"/>
        <v>0.04707884288</v>
      </c>
      <c r="P485" s="16">
        <f t="shared" si="5"/>
        <v>-0.1099324976</v>
      </c>
      <c r="Q485" s="30">
        <f t="shared" si="6"/>
        <v>-0.008052040605</v>
      </c>
      <c r="R485" s="30">
        <f t="shared" si="7"/>
        <v>-0.05066890974</v>
      </c>
      <c r="S485" s="30">
        <f t="shared" si="8"/>
        <v>-0.02429336075</v>
      </c>
      <c r="T485" s="30">
        <f t="shared" si="9"/>
        <v>-0.2367253643</v>
      </c>
    </row>
    <row r="486">
      <c r="A486" s="1">
        <v>483.0</v>
      </c>
      <c r="B486" s="22" t="s">
        <v>1274</v>
      </c>
      <c r="C486" s="22" t="s">
        <v>635</v>
      </c>
      <c r="D486" s="22" t="s">
        <v>1275</v>
      </c>
      <c r="E486" s="23">
        <f>IFERROR(__xludf.DUMMYFUNCTION("GOOGLEFINANCE(""NSE:""&amp;D486,""marketcap"")/10000000"),2743.7156869)</f>
        <v>2743.715687</v>
      </c>
      <c r="F486" s="17">
        <f>IFERROR(__xludf.DUMMYFUNCTION("GOOGLEFINANCE(""NSE:""&amp;D486)"),115.0)</f>
        <v>115</v>
      </c>
      <c r="G486" s="17">
        <f>IFERROR(__xludf.DUMMYFUNCTION("GOOGLEFINANCE(""NSE:""&amp;D486,""closeyest"")"),115.85)</f>
        <v>115.85</v>
      </c>
      <c r="H486" s="17">
        <f>IFERROR(__xludf.DUMMYFUNCTION("INDEX(GOOGLEFINANCE(""NSE:""&amp;D486,""PRICE"",TODAY()-7),2,2)"),119.5)</f>
        <v>119.5</v>
      </c>
      <c r="I486" s="17">
        <f>IFERROR(__xludf.DUMMYFUNCTION("INDEX(GOOGLEFINANCE(""NSE:""&amp;D486,""PRICE"",TODAY()-14),2,2)"),116.05)</f>
        <v>116.05</v>
      </c>
      <c r="J486" s="17">
        <f>IFERROR(__xludf.DUMMYFUNCTION("INDEX(GOOGLEFINANCE(""NSE:""&amp;D486,""PRICE"",TODAY()-28),2,2)"),118.3)</f>
        <v>118.3</v>
      </c>
      <c r="K486" s="17">
        <f>IFERROR(__xludf.DUMMYFUNCTION("INDEX(GOOGLEFINANCE(""NSE:""&amp;D486,""PRICE"",TODAY()-84),2,2)"),123.4)</f>
        <v>123.4</v>
      </c>
      <c r="L486" s="16">
        <f t="shared" si="1"/>
        <v>-0.007337073802</v>
      </c>
      <c r="M486" s="16">
        <f t="shared" si="2"/>
        <v>-0.03765690377</v>
      </c>
      <c r="N486" s="16">
        <f t="shared" si="3"/>
        <v>-0.009047824214</v>
      </c>
      <c r="O486" s="16">
        <f t="shared" si="4"/>
        <v>-0.02789518174</v>
      </c>
      <c r="P486" s="16">
        <f t="shared" si="5"/>
        <v>-0.0680713128</v>
      </c>
      <c r="Q486" s="30">
        <f t="shared" si="6"/>
        <v>-0.0495153609</v>
      </c>
      <c r="R486" s="30">
        <f t="shared" si="7"/>
        <v>-0.03283217939</v>
      </c>
      <c r="S486" s="30">
        <f t="shared" si="8"/>
        <v>-0.09926738537</v>
      </c>
      <c r="T486" s="30">
        <f t="shared" si="9"/>
        <v>-0.1948641795</v>
      </c>
    </row>
    <row r="487">
      <c r="A487" s="1">
        <v>484.0</v>
      </c>
      <c r="B487" s="22" t="s">
        <v>1276</v>
      </c>
      <c r="C487" s="22" t="s">
        <v>578</v>
      </c>
      <c r="D487" s="22" t="s">
        <v>1277</v>
      </c>
      <c r="E487" s="23">
        <f>IFERROR(__xludf.DUMMYFUNCTION("GOOGLEFINANCE(""NSE:""&amp;D487,""marketcap"")/10000000"),2734.9649579)</f>
        <v>2734.964958</v>
      </c>
      <c r="F487" s="17">
        <f>IFERROR(__xludf.DUMMYFUNCTION("GOOGLEFINANCE(""NSE:""&amp;D487)"),55.65)</f>
        <v>55.65</v>
      </c>
      <c r="G487" s="17">
        <f>IFERROR(__xludf.DUMMYFUNCTION("GOOGLEFINANCE(""NSE:""&amp;D487,""closeyest"")"),55.85)</f>
        <v>55.85</v>
      </c>
      <c r="H487" s="17">
        <f>IFERROR(__xludf.DUMMYFUNCTION("INDEX(GOOGLEFINANCE(""NSE:""&amp;D487,""PRICE"",TODAY()-7),2,2)"),56.95)</f>
        <v>56.95</v>
      </c>
      <c r="I487" s="17">
        <f>IFERROR(__xludf.DUMMYFUNCTION("INDEX(GOOGLEFINANCE(""NSE:""&amp;D487,""PRICE"",TODAY()-14),2,2)"),54.1)</f>
        <v>54.1</v>
      </c>
      <c r="J487" s="17">
        <f>IFERROR(__xludf.DUMMYFUNCTION("INDEX(GOOGLEFINANCE(""NSE:""&amp;D487,""PRICE"",TODAY()-28),2,2)"),53.95)</f>
        <v>53.95</v>
      </c>
      <c r="K487" s="17">
        <f>IFERROR(__xludf.DUMMYFUNCTION("INDEX(GOOGLEFINANCE(""NSE:""&amp;D487,""PRICE"",TODAY()-84),2,2)"),65.9)</f>
        <v>65.9</v>
      </c>
      <c r="L487" s="16">
        <f t="shared" si="1"/>
        <v>-0.003581020591</v>
      </c>
      <c r="M487" s="16">
        <f t="shared" si="2"/>
        <v>-0.02282704126</v>
      </c>
      <c r="N487" s="16">
        <f t="shared" si="3"/>
        <v>0.02865064695</v>
      </c>
      <c r="O487" s="16">
        <f t="shared" si="4"/>
        <v>0.03151065802</v>
      </c>
      <c r="P487" s="16">
        <f t="shared" si="5"/>
        <v>-0.155538695</v>
      </c>
      <c r="Q487" s="30">
        <f t="shared" si="6"/>
        <v>-0.0346854984</v>
      </c>
      <c r="R487" s="30">
        <f t="shared" si="7"/>
        <v>0.00486629177</v>
      </c>
      <c r="S487" s="30">
        <f t="shared" si="8"/>
        <v>-0.03986154561</v>
      </c>
      <c r="T487" s="30">
        <f t="shared" si="9"/>
        <v>-0.2823315617</v>
      </c>
    </row>
    <row r="488">
      <c r="A488" s="1">
        <v>485.0</v>
      </c>
      <c r="B488" s="22" t="s">
        <v>1278</v>
      </c>
      <c r="C488" s="22" t="s">
        <v>590</v>
      </c>
      <c r="D488" s="22" t="s">
        <v>1279</v>
      </c>
      <c r="E488" s="23">
        <f>IFERROR(__xludf.DUMMYFUNCTION("GOOGLEFINANCE(""NSE:""&amp;D488,""marketcap"")/10000000"),2725.8802525)</f>
        <v>2725.880253</v>
      </c>
      <c r="F488" s="17">
        <f>IFERROR(__xludf.DUMMYFUNCTION("GOOGLEFINANCE(""NSE:""&amp;D488)"),250.9)</f>
        <v>250.9</v>
      </c>
      <c r="G488" s="17">
        <f>IFERROR(__xludf.DUMMYFUNCTION("GOOGLEFINANCE(""NSE:""&amp;D488,""closeyest"")"),250.1)</f>
        <v>250.1</v>
      </c>
      <c r="H488" s="17">
        <f>IFERROR(__xludf.DUMMYFUNCTION("INDEX(GOOGLEFINANCE(""NSE:""&amp;D488,""PRICE"",TODAY()-7),2,2)"),259.3)</f>
        <v>259.3</v>
      </c>
      <c r="I488" s="17">
        <f>IFERROR(__xludf.DUMMYFUNCTION("INDEX(GOOGLEFINANCE(""NSE:""&amp;D488,""PRICE"",TODAY()-14),2,2)"),250.4)</f>
        <v>250.4</v>
      </c>
      <c r="J488" s="17">
        <f>IFERROR(__xludf.DUMMYFUNCTION("INDEX(GOOGLEFINANCE(""NSE:""&amp;D488,""PRICE"",TODAY()-28),2,2)"),243.95)</f>
        <v>243.95</v>
      </c>
      <c r="K488" s="17">
        <f>IFERROR(__xludf.DUMMYFUNCTION("INDEX(GOOGLEFINANCE(""NSE:""&amp;D488,""PRICE"",TODAY()-84),2,2)"),237.75)</f>
        <v>237.75</v>
      </c>
      <c r="L488" s="16">
        <f t="shared" si="1"/>
        <v>0.003198720512</v>
      </c>
      <c r="M488" s="16">
        <f t="shared" si="2"/>
        <v>-0.03239490937</v>
      </c>
      <c r="N488" s="16">
        <f t="shared" si="3"/>
        <v>0.001996805112</v>
      </c>
      <c r="O488" s="16">
        <f t="shared" si="4"/>
        <v>0.02848944456</v>
      </c>
      <c r="P488" s="16">
        <f t="shared" si="5"/>
        <v>0.05531019979</v>
      </c>
      <c r="Q488" s="30">
        <f t="shared" si="6"/>
        <v>-0.04425336651</v>
      </c>
      <c r="R488" s="30">
        <f t="shared" si="7"/>
        <v>-0.02178755007</v>
      </c>
      <c r="S488" s="30">
        <f t="shared" si="8"/>
        <v>-0.04288275907</v>
      </c>
      <c r="T488" s="30">
        <f t="shared" si="9"/>
        <v>-0.07148266691</v>
      </c>
    </row>
    <row r="489">
      <c r="A489" s="1">
        <v>486.0</v>
      </c>
      <c r="B489" s="22" t="s">
        <v>1280</v>
      </c>
      <c r="C489" s="22" t="s">
        <v>541</v>
      </c>
      <c r="D489" s="22" t="s">
        <v>1281</v>
      </c>
      <c r="E489" s="23">
        <f>IFERROR(__xludf.DUMMYFUNCTION("GOOGLEFINANCE(""NSE:""&amp;D489,""marketcap"")/10000000"),2790.29044)</f>
        <v>2790.29044</v>
      </c>
      <c r="F489" s="17">
        <f>IFERROR(__xludf.DUMMYFUNCTION("GOOGLEFINANCE(""NSE:""&amp;D489)"),99.45)</f>
        <v>99.45</v>
      </c>
      <c r="G489" s="17">
        <f>IFERROR(__xludf.DUMMYFUNCTION("GOOGLEFINANCE(""NSE:""&amp;D489,""closeyest"")"),94.9)</f>
        <v>94.9</v>
      </c>
      <c r="H489" s="17">
        <f>IFERROR(__xludf.DUMMYFUNCTION("INDEX(GOOGLEFINANCE(""NSE:""&amp;D489,""PRICE"",TODAY()-7),2,2)"),99.3)</f>
        <v>99.3</v>
      </c>
      <c r="I489" s="17">
        <f>IFERROR(__xludf.DUMMYFUNCTION("INDEX(GOOGLEFINANCE(""NSE:""&amp;D489,""PRICE"",TODAY()-14),2,2)"),103.5)</f>
        <v>103.5</v>
      </c>
      <c r="J489" s="17">
        <f>IFERROR(__xludf.DUMMYFUNCTION("INDEX(GOOGLEFINANCE(""NSE:""&amp;D489,""PRICE"",TODAY()-28),2,2)"),98.7)</f>
        <v>98.7</v>
      </c>
      <c r="K489" s="17">
        <f>IFERROR(__xludf.DUMMYFUNCTION("INDEX(GOOGLEFINANCE(""NSE:""&amp;D489,""PRICE"",TODAY()-84),2,2)"),112.2)</f>
        <v>112.2</v>
      </c>
      <c r="L489" s="16">
        <f t="shared" si="1"/>
        <v>0.04794520548</v>
      </c>
      <c r="M489" s="16">
        <f t="shared" si="2"/>
        <v>0.001510574018</v>
      </c>
      <c r="N489" s="16">
        <f t="shared" si="3"/>
        <v>-0.03913043478</v>
      </c>
      <c r="O489" s="16">
        <f t="shared" si="4"/>
        <v>0.007598784195</v>
      </c>
      <c r="P489" s="16">
        <f t="shared" si="5"/>
        <v>-0.1136363636</v>
      </c>
      <c r="Q489" s="30">
        <f t="shared" si="6"/>
        <v>-0.01034788312</v>
      </c>
      <c r="R489" s="30">
        <f t="shared" si="7"/>
        <v>-0.06291478996</v>
      </c>
      <c r="S489" s="30">
        <f t="shared" si="8"/>
        <v>-0.06377341943</v>
      </c>
      <c r="T489" s="30">
        <f t="shared" si="9"/>
        <v>-0.2404292303</v>
      </c>
    </row>
    <row r="490">
      <c r="A490" s="1">
        <v>487.0</v>
      </c>
      <c r="B490" s="22" t="s">
        <v>1282</v>
      </c>
      <c r="C490" s="22" t="s">
        <v>545</v>
      </c>
      <c r="D490" s="22" t="s">
        <v>1283</v>
      </c>
      <c r="E490" s="23">
        <f>IFERROR(__xludf.DUMMYFUNCTION("GOOGLEFINANCE(""NSE:""&amp;D490,""marketcap"")/10000000"),2695.39641)</f>
        <v>2695.39641</v>
      </c>
      <c r="F490" s="17">
        <f>IFERROR(__xludf.DUMMYFUNCTION("GOOGLEFINANCE(""NSE:""&amp;D490)"),110.25)</f>
        <v>110.25</v>
      </c>
      <c r="G490" s="17">
        <f>IFERROR(__xludf.DUMMYFUNCTION("GOOGLEFINANCE(""NSE:""&amp;D490,""closeyest"")"),106.05)</f>
        <v>106.05</v>
      </c>
      <c r="H490" s="17">
        <f>IFERROR(__xludf.DUMMYFUNCTION("INDEX(GOOGLEFINANCE(""NSE:""&amp;D490,""PRICE"",TODAY()-7),2,2)"),108.8)</f>
        <v>108.8</v>
      </c>
      <c r="I490" s="17">
        <f>IFERROR(__xludf.DUMMYFUNCTION("INDEX(GOOGLEFINANCE(""NSE:""&amp;D490,""PRICE"",TODAY()-14),2,2)"),102.1)</f>
        <v>102.1</v>
      </c>
      <c r="J490" s="17">
        <f>IFERROR(__xludf.DUMMYFUNCTION("INDEX(GOOGLEFINANCE(""NSE:""&amp;D490,""PRICE"",TODAY()-28),2,2)"),102.6)</f>
        <v>102.6</v>
      </c>
      <c r="K490" s="17">
        <f>IFERROR(__xludf.DUMMYFUNCTION("INDEX(GOOGLEFINANCE(""NSE:""&amp;D490,""PRICE"",TODAY()-84),2,2)"),110.05)</f>
        <v>110.05</v>
      </c>
      <c r="L490" s="16">
        <f t="shared" si="1"/>
        <v>0.0396039604</v>
      </c>
      <c r="M490" s="16">
        <f t="shared" si="2"/>
        <v>0.01332720588</v>
      </c>
      <c r="N490" s="16">
        <f t="shared" si="3"/>
        <v>0.07982370225</v>
      </c>
      <c r="O490" s="16">
        <f t="shared" si="4"/>
        <v>0.07456140351</v>
      </c>
      <c r="P490" s="16">
        <f t="shared" si="5"/>
        <v>0.001817355747</v>
      </c>
      <c r="Q490" s="30">
        <f t="shared" si="6"/>
        <v>0.001468748746</v>
      </c>
      <c r="R490" s="30">
        <f t="shared" si="7"/>
        <v>0.05603934707</v>
      </c>
      <c r="S490" s="30">
        <f t="shared" si="8"/>
        <v>0.00318919988</v>
      </c>
      <c r="T490" s="30">
        <f t="shared" si="9"/>
        <v>-0.1249755109</v>
      </c>
    </row>
    <row r="491">
      <c r="A491" s="1">
        <v>488.0</v>
      </c>
      <c r="B491" s="22" t="s">
        <v>1284</v>
      </c>
      <c r="C491" s="22" t="s">
        <v>590</v>
      </c>
      <c r="D491" s="22" t="s">
        <v>1285</v>
      </c>
      <c r="E491" s="23">
        <f>IFERROR(__xludf.DUMMYFUNCTION("GOOGLEFINANCE(""NSE:""&amp;D491,""marketcap"")/10000000"),2594.7861926)</f>
        <v>2594.786193</v>
      </c>
      <c r="F491" s="17">
        <f>IFERROR(__xludf.DUMMYFUNCTION("GOOGLEFINANCE(""NSE:""&amp;D491)"),47.95)</f>
        <v>47.95</v>
      </c>
      <c r="G491" s="17">
        <f>IFERROR(__xludf.DUMMYFUNCTION("GOOGLEFINANCE(""NSE:""&amp;D491,""closeyest"")"),47.65)</f>
        <v>47.65</v>
      </c>
      <c r="H491" s="17">
        <f>IFERROR(__xludf.DUMMYFUNCTION("INDEX(GOOGLEFINANCE(""NSE:""&amp;D491,""PRICE"",TODAY()-7),2,2)"),47.35)</f>
        <v>47.35</v>
      </c>
      <c r="I491" s="17">
        <f>IFERROR(__xludf.DUMMYFUNCTION("INDEX(GOOGLEFINANCE(""NSE:""&amp;D491,""PRICE"",TODAY()-14),2,2)"),48.3)</f>
        <v>48.3</v>
      </c>
      <c r="J491" s="17">
        <f>IFERROR(__xludf.DUMMYFUNCTION("INDEX(GOOGLEFINANCE(""NSE:""&amp;D491,""PRICE"",TODAY()-28),2,2)"),45.15)</f>
        <v>45.15</v>
      </c>
      <c r="K491" s="17">
        <f>IFERROR(__xludf.DUMMYFUNCTION("INDEX(GOOGLEFINANCE(""NSE:""&amp;D491,""PRICE"",TODAY()-84),2,2)"),65.7)</f>
        <v>65.7</v>
      </c>
      <c r="L491" s="16">
        <f t="shared" si="1"/>
        <v>0.00629590766</v>
      </c>
      <c r="M491" s="16">
        <f t="shared" si="2"/>
        <v>0.01267159451</v>
      </c>
      <c r="N491" s="16">
        <f t="shared" si="3"/>
        <v>-0.007246376812</v>
      </c>
      <c r="O491" s="16">
        <f t="shared" si="4"/>
        <v>0.06201550388</v>
      </c>
      <c r="P491" s="16">
        <f t="shared" si="5"/>
        <v>-0.2701674277</v>
      </c>
      <c r="Q491" s="30">
        <f t="shared" si="6"/>
        <v>0.0008131373728</v>
      </c>
      <c r="R491" s="30">
        <f t="shared" si="7"/>
        <v>-0.03103073199</v>
      </c>
      <c r="S491" s="30">
        <f t="shared" si="8"/>
        <v>-0.009356699753</v>
      </c>
      <c r="T491" s="30">
        <f t="shared" si="9"/>
        <v>-0.3969602944</v>
      </c>
    </row>
    <row r="492">
      <c r="A492" s="1">
        <v>489.0</v>
      </c>
      <c r="B492" s="22" t="s">
        <v>1286</v>
      </c>
      <c r="C492" s="22" t="s">
        <v>603</v>
      </c>
      <c r="D492" s="22" t="s">
        <v>1287</v>
      </c>
      <c r="E492" s="23">
        <f>IFERROR(__xludf.DUMMYFUNCTION("GOOGLEFINANCE(""NSE:""&amp;D492,""marketcap"")/10000000"),2189.0639299)</f>
        <v>2189.06393</v>
      </c>
      <c r="F492" s="17">
        <f>IFERROR(__xludf.DUMMYFUNCTION("GOOGLEFINANCE(""NSE:""&amp;D492)"),52.0)</f>
        <v>52</v>
      </c>
      <c r="G492" s="17">
        <f>IFERROR(__xludf.DUMMYFUNCTION("GOOGLEFINANCE(""NSE:""&amp;D492,""closeyest"")"),53.8)</f>
        <v>53.8</v>
      </c>
      <c r="H492" s="17">
        <f>IFERROR(__xludf.DUMMYFUNCTION("INDEX(GOOGLEFINANCE(""NSE:""&amp;D492,""PRICE"",TODAY()-7),2,2)"),50.05)</f>
        <v>50.05</v>
      </c>
      <c r="I492" s="17">
        <f>IFERROR(__xludf.DUMMYFUNCTION("INDEX(GOOGLEFINANCE(""NSE:""&amp;D492,""PRICE"",TODAY()-14),2,2)"),46.8)</f>
        <v>46.8</v>
      </c>
      <c r="J492" s="17">
        <f>IFERROR(__xludf.DUMMYFUNCTION("INDEX(GOOGLEFINANCE(""NSE:""&amp;D492,""PRICE"",TODAY()-28),2,2)"),46.2)</f>
        <v>46.2</v>
      </c>
      <c r="K492" s="17">
        <f>IFERROR(__xludf.DUMMYFUNCTION("INDEX(GOOGLEFINANCE(""NSE:""&amp;D492,""PRICE"",TODAY()-84),2,2)"),55.3)</f>
        <v>55.3</v>
      </c>
      <c r="L492" s="16">
        <f t="shared" si="1"/>
        <v>-0.03345724907</v>
      </c>
      <c r="M492" s="16">
        <f t="shared" si="2"/>
        <v>0.03896103896</v>
      </c>
      <c r="N492" s="16">
        <f t="shared" si="3"/>
        <v>0.1111111111</v>
      </c>
      <c r="O492" s="16">
        <f t="shared" si="4"/>
        <v>0.1255411255</v>
      </c>
      <c r="P492" s="16">
        <f t="shared" si="5"/>
        <v>-0.05967450271</v>
      </c>
      <c r="Q492" s="30">
        <f t="shared" si="6"/>
        <v>0.02710258182</v>
      </c>
      <c r="R492" s="30">
        <f t="shared" si="7"/>
        <v>0.08732675593</v>
      </c>
      <c r="S492" s="30">
        <f t="shared" si="8"/>
        <v>0.05416892191</v>
      </c>
      <c r="T492" s="30">
        <f t="shared" si="9"/>
        <v>-0.1864673694</v>
      </c>
    </row>
    <row r="493">
      <c r="A493" s="1">
        <v>490.0</v>
      </c>
      <c r="B493" s="22" t="s">
        <v>1288</v>
      </c>
      <c r="C493" s="22" t="s">
        <v>635</v>
      </c>
      <c r="D493" s="22" t="s">
        <v>1289</v>
      </c>
      <c r="E493" s="23">
        <f>IFERROR(__xludf.DUMMYFUNCTION("GOOGLEFINANCE(""NSE:""&amp;D493,""marketcap"")/10000000"),2209.3690438)</f>
        <v>2209.369044</v>
      </c>
      <c r="F493" s="17">
        <f>IFERROR(__xludf.DUMMYFUNCTION("GOOGLEFINANCE(""NSE:""&amp;D493)"),129.3)</f>
        <v>129.3</v>
      </c>
      <c r="G493" s="17">
        <f>IFERROR(__xludf.DUMMYFUNCTION("GOOGLEFINANCE(""NSE:""&amp;D493,""closeyest"")"),129.55)</f>
        <v>129.55</v>
      </c>
      <c r="H493" s="17">
        <f>IFERROR(__xludf.DUMMYFUNCTION("INDEX(GOOGLEFINANCE(""NSE:""&amp;D493,""PRICE"",TODAY()-7),2,2)"),139.35)</f>
        <v>139.35</v>
      </c>
      <c r="I493" s="17">
        <f>IFERROR(__xludf.DUMMYFUNCTION("INDEX(GOOGLEFINANCE(""NSE:""&amp;D493,""PRICE"",TODAY()-14),2,2)"),135.1)</f>
        <v>135.1</v>
      </c>
      <c r="J493" s="17">
        <f>IFERROR(__xludf.DUMMYFUNCTION("INDEX(GOOGLEFINANCE(""NSE:""&amp;D493,""PRICE"",TODAY()-28),2,2)"),126.35)</f>
        <v>126.35</v>
      </c>
      <c r="K493" s="17">
        <f>IFERROR(__xludf.DUMMYFUNCTION("INDEX(GOOGLEFINANCE(""NSE:""&amp;D493,""PRICE"",TODAY()-84),2,2)"),138.8)</f>
        <v>138.8</v>
      </c>
      <c r="L493" s="16">
        <f t="shared" si="1"/>
        <v>-0.001929756851</v>
      </c>
      <c r="M493" s="16">
        <f t="shared" si="2"/>
        <v>-0.07212055974</v>
      </c>
      <c r="N493" s="16">
        <f t="shared" si="3"/>
        <v>-0.0429311621</v>
      </c>
      <c r="O493" s="16">
        <f t="shared" si="4"/>
        <v>0.02334784329</v>
      </c>
      <c r="P493" s="16">
        <f t="shared" si="5"/>
        <v>-0.06844380403</v>
      </c>
      <c r="Q493" s="30">
        <f t="shared" si="6"/>
        <v>-0.08397901688</v>
      </c>
      <c r="R493" s="30">
        <f t="shared" si="7"/>
        <v>-0.06671551728</v>
      </c>
      <c r="S493" s="30">
        <f t="shared" si="8"/>
        <v>-0.04802436034</v>
      </c>
      <c r="T493" s="30">
        <f t="shared" si="9"/>
        <v>-0.1952366707</v>
      </c>
    </row>
    <row r="494">
      <c r="A494" s="1">
        <v>491.0</v>
      </c>
      <c r="B494" s="22" t="s">
        <v>1290</v>
      </c>
      <c r="C494" s="22" t="s">
        <v>635</v>
      </c>
      <c r="D494" s="22" t="s">
        <v>1291</v>
      </c>
      <c r="E494" s="23">
        <f>IFERROR(__xludf.DUMMYFUNCTION("GOOGLEFINANCE(""NSE:""&amp;D494,""marketcap"")/10000000"),2224.63292)</f>
        <v>2224.63292</v>
      </c>
      <c r="F494" s="17">
        <f>IFERROR(__xludf.DUMMYFUNCTION("GOOGLEFINANCE(""NSE:""&amp;D494)"),193.2)</f>
        <v>193.2</v>
      </c>
      <c r="G494" s="17">
        <f>IFERROR(__xludf.DUMMYFUNCTION("GOOGLEFINANCE(""NSE:""&amp;D494,""closeyest"")"),190.8)</f>
        <v>190.8</v>
      </c>
      <c r="H494" s="17">
        <f>IFERROR(__xludf.DUMMYFUNCTION("INDEX(GOOGLEFINANCE(""NSE:""&amp;D494,""PRICE"",TODAY()-7),2,2)"),194.15)</f>
        <v>194.15</v>
      </c>
      <c r="I494" s="17">
        <f>IFERROR(__xludf.DUMMYFUNCTION("INDEX(GOOGLEFINANCE(""NSE:""&amp;D494,""PRICE"",TODAY()-14),2,2)"),193.85)</f>
        <v>193.85</v>
      </c>
      <c r="J494" s="17">
        <f>IFERROR(__xludf.DUMMYFUNCTION("INDEX(GOOGLEFINANCE(""NSE:""&amp;D494,""PRICE"",TODAY()-28),2,2)"),183.65)</f>
        <v>183.65</v>
      </c>
      <c r="K494" s="17">
        <f>IFERROR(__xludf.DUMMYFUNCTION("INDEX(GOOGLEFINANCE(""NSE:""&amp;D494,""PRICE"",TODAY()-84),2,2)"),204.8)</f>
        <v>204.8</v>
      </c>
      <c r="L494" s="16">
        <f t="shared" si="1"/>
        <v>0.01257861635</v>
      </c>
      <c r="M494" s="16">
        <f t="shared" si="2"/>
        <v>-0.004893123873</v>
      </c>
      <c r="N494" s="16">
        <f t="shared" si="3"/>
        <v>-0.003353108073</v>
      </c>
      <c r="O494" s="16">
        <f t="shared" si="4"/>
        <v>0.05200108903</v>
      </c>
      <c r="P494" s="16">
        <f t="shared" si="5"/>
        <v>-0.056640625</v>
      </c>
      <c r="Q494" s="30">
        <f t="shared" si="6"/>
        <v>-0.01675158101</v>
      </c>
      <c r="R494" s="30">
        <f t="shared" si="7"/>
        <v>-0.02713746325</v>
      </c>
      <c r="S494" s="30">
        <f t="shared" si="8"/>
        <v>-0.0193711146</v>
      </c>
      <c r="T494" s="30">
        <f t="shared" si="9"/>
        <v>-0.1834334917</v>
      </c>
    </row>
    <row r="495">
      <c r="A495" s="1">
        <v>492.0</v>
      </c>
      <c r="B495" s="22" t="s">
        <v>1292</v>
      </c>
      <c r="C495" s="22" t="s">
        <v>552</v>
      </c>
      <c r="D495" s="22" t="s">
        <v>1293</v>
      </c>
      <c r="E495" s="23">
        <f>IFERROR(__xludf.DUMMYFUNCTION("GOOGLEFINANCE(""NSE:""&amp;D495,""marketcap"")/10000000"),2118.5522548)</f>
        <v>2118.552255</v>
      </c>
      <c r="F495" s="17">
        <f>IFERROR(__xludf.DUMMYFUNCTION("GOOGLEFINANCE(""NSE:""&amp;D495)"),315.95)</f>
        <v>315.95</v>
      </c>
      <c r="G495" s="17">
        <f>IFERROR(__xludf.DUMMYFUNCTION("GOOGLEFINANCE(""NSE:""&amp;D495,""closeyest"")"),316.7)</f>
        <v>316.7</v>
      </c>
      <c r="H495" s="17">
        <f>IFERROR(__xludf.DUMMYFUNCTION("INDEX(GOOGLEFINANCE(""NSE:""&amp;D495,""PRICE"",TODAY()-7),2,2)"),319.25)</f>
        <v>319.25</v>
      </c>
      <c r="I495" s="17">
        <f>IFERROR(__xludf.DUMMYFUNCTION("INDEX(GOOGLEFINANCE(""NSE:""&amp;D495,""PRICE"",TODAY()-14),2,2)"),318.75)</f>
        <v>318.75</v>
      </c>
      <c r="J495" s="17">
        <f>IFERROR(__xludf.DUMMYFUNCTION("INDEX(GOOGLEFINANCE(""NSE:""&amp;D495,""PRICE"",TODAY()-28),2,2)"),314.3)</f>
        <v>314.3</v>
      </c>
      <c r="K495" s="17">
        <f>IFERROR(__xludf.DUMMYFUNCTION("INDEX(GOOGLEFINANCE(""NSE:""&amp;D495,""PRICE"",TODAY()-84),2,2)"),297.3)</f>
        <v>297.3</v>
      </c>
      <c r="L495" s="16">
        <f t="shared" si="1"/>
        <v>-0.002368171771</v>
      </c>
      <c r="M495" s="16">
        <f t="shared" si="2"/>
        <v>-0.0103367267</v>
      </c>
      <c r="N495" s="16">
        <f t="shared" si="3"/>
        <v>-0.008784313725</v>
      </c>
      <c r="O495" s="16">
        <f t="shared" si="4"/>
        <v>0.005249761374</v>
      </c>
      <c r="P495" s="16">
        <f t="shared" si="5"/>
        <v>0.0627312479</v>
      </c>
      <c r="Q495" s="30">
        <f t="shared" si="6"/>
        <v>-0.02219518384</v>
      </c>
      <c r="R495" s="30">
        <f t="shared" si="7"/>
        <v>-0.03256866891</v>
      </c>
      <c r="S495" s="30">
        <f t="shared" si="8"/>
        <v>-0.06612244225</v>
      </c>
      <c r="T495" s="30">
        <f t="shared" si="9"/>
        <v>-0.0640616188</v>
      </c>
    </row>
    <row r="496">
      <c r="A496" s="1">
        <v>493.0</v>
      </c>
      <c r="B496" s="22" t="s">
        <v>1294</v>
      </c>
      <c r="C496" s="22" t="s">
        <v>635</v>
      </c>
      <c r="D496" s="22" t="s">
        <v>1295</v>
      </c>
      <c r="E496" s="23">
        <f>IFERROR(__xludf.DUMMYFUNCTION("GOOGLEFINANCE(""NSE:""&amp;D496,""marketcap"")/10000000"),2066.5717719)</f>
        <v>2066.571772</v>
      </c>
      <c r="F496" s="17">
        <f>IFERROR(__xludf.DUMMYFUNCTION("GOOGLEFINANCE(""NSE:""&amp;D496)"),307.4)</f>
        <v>307.4</v>
      </c>
      <c r="G496" s="17">
        <f>IFERROR(__xludf.DUMMYFUNCTION("GOOGLEFINANCE(""NSE:""&amp;D496,""closeyest"")"),311.3)</f>
        <v>311.3</v>
      </c>
      <c r="H496" s="17">
        <f>IFERROR(__xludf.DUMMYFUNCTION("INDEX(GOOGLEFINANCE(""NSE:""&amp;D496,""PRICE"",TODAY()-7),2,2)"),318.05)</f>
        <v>318.05</v>
      </c>
      <c r="I496" s="17">
        <f>IFERROR(__xludf.DUMMYFUNCTION("INDEX(GOOGLEFINANCE(""NSE:""&amp;D496,""PRICE"",TODAY()-14),2,2)"),318.1)</f>
        <v>318.1</v>
      </c>
      <c r="J496" s="17">
        <f>IFERROR(__xludf.DUMMYFUNCTION("INDEX(GOOGLEFINANCE(""NSE:""&amp;D496,""PRICE"",TODAY()-28),2,2)"),321.6)</f>
        <v>321.6</v>
      </c>
      <c r="K496" s="17">
        <f>IFERROR(__xludf.DUMMYFUNCTION("INDEX(GOOGLEFINANCE(""NSE:""&amp;D496,""PRICE"",TODAY()-84),2,2)"),351.6)</f>
        <v>351.6</v>
      </c>
      <c r="L496" s="16">
        <f t="shared" si="1"/>
        <v>-0.01252810793</v>
      </c>
      <c r="M496" s="16">
        <f t="shared" si="2"/>
        <v>-0.03348530105</v>
      </c>
      <c r="N496" s="16">
        <f t="shared" si="3"/>
        <v>-0.033637221</v>
      </c>
      <c r="O496" s="16">
        <f t="shared" si="4"/>
        <v>-0.04415422886</v>
      </c>
      <c r="P496" s="16">
        <f t="shared" si="5"/>
        <v>-0.1257110353</v>
      </c>
      <c r="Q496" s="30">
        <f t="shared" si="6"/>
        <v>-0.04534375819</v>
      </c>
      <c r="R496" s="30">
        <f t="shared" si="7"/>
        <v>-0.05742157618</v>
      </c>
      <c r="S496" s="30">
        <f t="shared" si="8"/>
        <v>-0.1155264325</v>
      </c>
      <c r="T496" s="30">
        <f t="shared" si="9"/>
        <v>-0.252503902</v>
      </c>
    </row>
    <row r="497">
      <c r="A497" s="1">
        <v>494.0</v>
      </c>
      <c r="B497" s="22" t="s">
        <v>1296</v>
      </c>
      <c r="C497" s="22" t="s">
        <v>635</v>
      </c>
      <c r="D497" s="22" t="s">
        <v>1297</v>
      </c>
      <c r="E497" s="23">
        <f>IFERROR(__xludf.DUMMYFUNCTION("GOOGLEFINANCE(""NSE:""&amp;D497,""marketcap"")/10000000"),2034.190912)</f>
        <v>2034.190912</v>
      </c>
      <c r="F497" s="17">
        <f>IFERROR(__xludf.DUMMYFUNCTION("GOOGLEFINANCE(""NSE:""&amp;D497)"),269.0)</f>
        <v>269</v>
      </c>
      <c r="G497" s="17">
        <f>IFERROR(__xludf.DUMMYFUNCTION("GOOGLEFINANCE(""NSE:""&amp;D497,""closeyest"")"),270.15)</f>
        <v>270.15</v>
      </c>
      <c r="H497" s="17">
        <f>IFERROR(__xludf.DUMMYFUNCTION("INDEX(GOOGLEFINANCE(""NSE:""&amp;D497,""PRICE"",TODAY()-7),2,2)"),277.2)</f>
        <v>277.2</v>
      </c>
      <c r="I497" s="17">
        <f>IFERROR(__xludf.DUMMYFUNCTION("INDEX(GOOGLEFINANCE(""NSE:""&amp;D497,""PRICE"",TODAY()-14),2,2)"),262.95)</f>
        <v>262.95</v>
      </c>
      <c r="J497" s="17">
        <f>IFERROR(__xludf.DUMMYFUNCTION("INDEX(GOOGLEFINANCE(""NSE:""&amp;D497,""PRICE"",TODAY()-28),2,2)"),262.7)</f>
        <v>262.7</v>
      </c>
      <c r="K497" s="17">
        <f>IFERROR(__xludf.DUMMYFUNCTION("INDEX(GOOGLEFINANCE(""NSE:""&amp;D497,""PRICE"",TODAY()-84),2,2)"),297.5)</f>
        <v>297.5</v>
      </c>
      <c r="L497" s="16">
        <f t="shared" si="1"/>
        <v>-0.004256894318</v>
      </c>
      <c r="M497" s="16">
        <f t="shared" si="2"/>
        <v>-0.02958152958</v>
      </c>
      <c r="N497" s="16">
        <f t="shared" si="3"/>
        <v>0.02300817646</v>
      </c>
      <c r="O497" s="16">
        <f t="shared" si="4"/>
        <v>0.02398172821</v>
      </c>
      <c r="P497" s="16">
        <f t="shared" si="5"/>
        <v>-0.09579831933</v>
      </c>
      <c r="Q497" s="30">
        <f t="shared" si="6"/>
        <v>-0.04143998672</v>
      </c>
      <c r="R497" s="30">
        <f t="shared" si="7"/>
        <v>-0.0007761787203</v>
      </c>
      <c r="S497" s="30">
        <f t="shared" si="8"/>
        <v>-0.04739047542</v>
      </c>
      <c r="T497" s="30">
        <f t="shared" si="9"/>
        <v>-0.222591186</v>
      </c>
    </row>
    <row r="498">
      <c r="A498" s="1">
        <v>495.0</v>
      </c>
      <c r="B498" s="22" t="s">
        <v>1298</v>
      </c>
      <c r="C498" s="22" t="s">
        <v>528</v>
      </c>
      <c r="D498" s="22" t="s">
        <v>1299</v>
      </c>
      <c r="E498" s="23">
        <f>IFERROR(__xludf.DUMMYFUNCTION("GOOGLEFINANCE(""NSE:""&amp;D498,""marketcap"")/10000000"),1857.2473682)</f>
        <v>1857.247368</v>
      </c>
      <c r="F498" s="17">
        <f>IFERROR(__xludf.DUMMYFUNCTION("GOOGLEFINANCE(""NSE:""&amp;D498)"),152.55)</f>
        <v>152.55</v>
      </c>
      <c r="G498" s="17">
        <f>IFERROR(__xludf.DUMMYFUNCTION("GOOGLEFINANCE(""NSE:""&amp;D498,""closeyest"")"),152.25)</f>
        <v>152.25</v>
      </c>
      <c r="H498" s="17">
        <f>IFERROR(__xludf.DUMMYFUNCTION("INDEX(GOOGLEFINANCE(""NSE:""&amp;D498,""PRICE"",TODAY()-7),2,2)"),155.5)</f>
        <v>155.5</v>
      </c>
      <c r="I498" s="17">
        <f>IFERROR(__xludf.DUMMYFUNCTION("INDEX(GOOGLEFINANCE(""NSE:""&amp;D498,""PRICE"",TODAY()-14),2,2)"),165.5)</f>
        <v>165.5</v>
      </c>
      <c r="J498" s="17">
        <f>IFERROR(__xludf.DUMMYFUNCTION("INDEX(GOOGLEFINANCE(""NSE:""&amp;D498,""PRICE"",TODAY()-28),2,2)"),157.0)</f>
        <v>157</v>
      </c>
      <c r="K498" s="17">
        <f>IFERROR(__xludf.DUMMYFUNCTION("INDEX(GOOGLEFINANCE(""NSE:""&amp;D498,""PRICE"",TODAY()-84),2,2)"),201.45)</f>
        <v>201.45</v>
      </c>
      <c r="L498" s="16">
        <f t="shared" si="1"/>
        <v>0.00197044335</v>
      </c>
      <c r="M498" s="16">
        <f t="shared" si="2"/>
        <v>-0.01897106109</v>
      </c>
      <c r="N498" s="16">
        <f t="shared" si="3"/>
        <v>-0.07824773414</v>
      </c>
      <c r="O498" s="16">
        <f t="shared" si="4"/>
        <v>-0.02834394904</v>
      </c>
      <c r="P498" s="16">
        <f t="shared" si="5"/>
        <v>-0.242740134</v>
      </c>
      <c r="Q498" s="30">
        <f t="shared" si="6"/>
        <v>-0.03082951823</v>
      </c>
      <c r="R498" s="30">
        <f t="shared" si="7"/>
        <v>-0.1020320893</v>
      </c>
      <c r="S498" s="30">
        <f t="shared" si="8"/>
        <v>-0.09971615267</v>
      </c>
      <c r="T498" s="30">
        <f t="shared" si="9"/>
        <v>-0.3695330007</v>
      </c>
    </row>
    <row r="499">
      <c r="A499" s="1">
        <v>496.0</v>
      </c>
      <c r="B499" s="22" t="s">
        <v>1300</v>
      </c>
      <c r="C499" s="22" t="s">
        <v>545</v>
      </c>
      <c r="D499" s="22" t="s">
        <v>1301</v>
      </c>
      <c r="E499" s="23">
        <f>IFERROR(__xludf.DUMMYFUNCTION("GOOGLEFINANCE(""NSE:""&amp;D499,""marketcap"")/10000000"),1559.1089937)</f>
        <v>1559.108994</v>
      </c>
      <c r="F499" s="17">
        <f>IFERROR(__xludf.DUMMYFUNCTION("GOOGLEFINANCE(""NSE:""&amp;D499)"),165.1)</f>
        <v>165.1</v>
      </c>
      <c r="G499" s="17">
        <f>IFERROR(__xludf.DUMMYFUNCTION("GOOGLEFINANCE(""NSE:""&amp;D499,""closeyest"")"),153.3)</f>
        <v>153.3</v>
      </c>
      <c r="H499" s="17">
        <f>IFERROR(__xludf.DUMMYFUNCTION("INDEX(GOOGLEFINANCE(""NSE:""&amp;D499,""PRICE"",TODAY()-7),2,2)"),146.55)</f>
        <v>146.55</v>
      </c>
      <c r="I499" s="17">
        <f>IFERROR(__xludf.DUMMYFUNCTION("INDEX(GOOGLEFINANCE(""NSE:""&amp;D499,""PRICE"",TODAY()-14),2,2)"),140.95)</f>
        <v>140.95</v>
      </c>
      <c r="J499" s="17">
        <f>IFERROR(__xludf.DUMMYFUNCTION("INDEX(GOOGLEFINANCE(""NSE:""&amp;D499,""PRICE"",TODAY()-28),2,2)"),136.6)</f>
        <v>136.6</v>
      </c>
      <c r="K499" s="17">
        <f>IFERROR(__xludf.DUMMYFUNCTION("INDEX(GOOGLEFINANCE(""NSE:""&amp;D499,""PRICE"",TODAY()-84),2,2)"),156.0)</f>
        <v>156</v>
      </c>
      <c r="L499" s="16">
        <f t="shared" si="1"/>
        <v>0.07697325506</v>
      </c>
      <c r="M499" s="16">
        <f t="shared" si="2"/>
        <v>0.1265779597</v>
      </c>
      <c r="N499" s="16">
        <f t="shared" si="3"/>
        <v>0.1713373537</v>
      </c>
      <c r="O499" s="16">
        <f t="shared" si="4"/>
        <v>0.2086383602</v>
      </c>
      <c r="P499" s="16">
        <f t="shared" si="5"/>
        <v>0.05833333333</v>
      </c>
      <c r="Q499" s="30">
        <f t="shared" si="6"/>
        <v>0.1147195026</v>
      </c>
      <c r="R499" s="30">
        <f t="shared" si="7"/>
        <v>0.1475529985</v>
      </c>
      <c r="S499" s="30">
        <f t="shared" si="8"/>
        <v>0.1372661565</v>
      </c>
      <c r="T499" s="30">
        <f t="shared" si="9"/>
        <v>-0.06845953336</v>
      </c>
    </row>
    <row r="500">
      <c r="A500" s="1">
        <v>497.0</v>
      </c>
      <c r="B500" s="22" t="s">
        <v>582</v>
      </c>
      <c r="C500" s="22" t="s">
        <v>545</v>
      </c>
      <c r="D500" s="22" t="s">
        <v>110</v>
      </c>
      <c r="E500" s="23">
        <f>IFERROR(__xludf.DUMMYFUNCTION("GOOGLEFINANCE(""NSE:""&amp;D500,""marketcap"")/10000000"),1559.8243894)</f>
        <v>1559.824389</v>
      </c>
      <c r="F500" s="17">
        <f>IFERROR(__xludf.DUMMYFUNCTION("GOOGLEFINANCE(""NSE:""&amp;D500)"),321.0)</f>
        <v>321</v>
      </c>
      <c r="G500" s="17">
        <f>IFERROR(__xludf.DUMMYFUNCTION("GOOGLEFINANCE(""NSE:""&amp;D500,""closeyest"")"),310.1)</f>
        <v>310.1</v>
      </c>
      <c r="H500" s="17">
        <f>IFERROR(__xludf.DUMMYFUNCTION("INDEX(GOOGLEFINANCE(""NSE:""&amp;D500,""PRICE"",TODAY()-7),2,2)"),308.6)</f>
        <v>308.6</v>
      </c>
      <c r="I500" s="17">
        <f>IFERROR(__xludf.DUMMYFUNCTION("INDEX(GOOGLEFINANCE(""NSE:""&amp;D500,""PRICE"",TODAY()-14),2,2)"),301.2)</f>
        <v>301.2</v>
      </c>
      <c r="J500" s="17">
        <f>IFERROR(__xludf.DUMMYFUNCTION("INDEX(GOOGLEFINANCE(""NSE:""&amp;D500,""PRICE"",TODAY()-28),2,2)"),285.75)</f>
        <v>285.75</v>
      </c>
      <c r="K500" s="17">
        <f>IFERROR(__xludf.DUMMYFUNCTION("INDEX(GOOGLEFINANCE(""NSE:""&amp;D500,""PRICE"",TODAY()-84),2,2)"),344.9)</f>
        <v>344.9</v>
      </c>
      <c r="L500" s="16">
        <f t="shared" si="1"/>
        <v>0.03514995163</v>
      </c>
      <c r="M500" s="16">
        <f t="shared" si="2"/>
        <v>0.04018146468</v>
      </c>
      <c r="N500" s="16">
        <f t="shared" si="3"/>
        <v>0.06573705179</v>
      </c>
      <c r="O500" s="16">
        <f t="shared" si="4"/>
        <v>0.1233595801</v>
      </c>
      <c r="P500" s="16">
        <f t="shared" si="5"/>
        <v>-0.06929544796</v>
      </c>
      <c r="Q500" s="30">
        <f t="shared" si="6"/>
        <v>0.02832300754</v>
      </c>
      <c r="R500" s="30">
        <f t="shared" si="7"/>
        <v>0.04195269661</v>
      </c>
      <c r="S500" s="30">
        <f t="shared" si="8"/>
        <v>0.05198737642</v>
      </c>
      <c r="T500" s="30">
        <f t="shared" si="9"/>
        <v>-0.1960883147</v>
      </c>
    </row>
    <row r="501">
      <c r="A501" s="1">
        <v>498.0</v>
      </c>
      <c r="B501" s="22" t="s">
        <v>628</v>
      </c>
      <c r="C501" s="22" t="s">
        <v>552</v>
      </c>
      <c r="D501" s="22" t="s">
        <v>102</v>
      </c>
      <c r="E501" s="23">
        <f>IFERROR(__xludf.DUMMYFUNCTION("GOOGLEFINANCE(""NSE:""&amp;D501,""marketcap"")/10000000"),1515.8035889)</f>
        <v>1515.803589</v>
      </c>
      <c r="F501" s="17">
        <f>IFERROR(__xludf.DUMMYFUNCTION("GOOGLEFINANCE(""NSE:""&amp;D501)"),299.0)</f>
        <v>299</v>
      </c>
      <c r="G501" s="17">
        <f>IFERROR(__xludf.DUMMYFUNCTION("GOOGLEFINANCE(""NSE:""&amp;D501,""closeyest"")"),294.9)</f>
        <v>294.9</v>
      </c>
      <c r="H501" s="17">
        <f>IFERROR(__xludf.DUMMYFUNCTION("INDEX(GOOGLEFINANCE(""NSE:""&amp;D501,""PRICE"",TODAY()-7),2,2)"),302.0)</f>
        <v>302</v>
      </c>
      <c r="I501" s="17">
        <f>IFERROR(__xludf.DUMMYFUNCTION("INDEX(GOOGLEFINANCE(""NSE:""&amp;D501,""PRICE"",TODAY()-14),2,2)"),308.55)</f>
        <v>308.55</v>
      </c>
      <c r="J501" s="17">
        <f>IFERROR(__xludf.DUMMYFUNCTION("INDEX(GOOGLEFINANCE(""NSE:""&amp;D501,""PRICE"",TODAY()-28),2,2)"),292.6)</f>
        <v>292.6</v>
      </c>
      <c r="K501" s="17">
        <f>IFERROR(__xludf.DUMMYFUNCTION("INDEX(GOOGLEFINANCE(""NSE:""&amp;D501,""PRICE"",TODAY()-84),2,2)"),262.05)</f>
        <v>262.05</v>
      </c>
      <c r="L501" s="16">
        <f t="shared" si="1"/>
        <v>0.01390301797</v>
      </c>
      <c r="M501" s="16">
        <f t="shared" si="2"/>
        <v>-0.009933774834</v>
      </c>
      <c r="N501" s="16">
        <f t="shared" si="3"/>
        <v>-0.03095122346</v>
      </c>
      <c r="O501" s="16">
        <f t="shared" si="4"/>
        <v>0.02187286398</v>
      </c>
      <c r="P501" s="16">
        <f t="shared" si="5"/>
        <v>0.1410036253</v>
      </c>
      <c r="Q501" s="30">
        <f t="shared" si="6"/>
        <v>-0.02179223197</v>
      </c>
      <c r="R501" s="30">
        <f t="shared" si="7"/>
        <v>-0.05473557864</v>
      </c>
      <c r="S501" s="30">
        <f t="shared" si="8"/>
        <v>-0.04949933965</v>
      </c>
      <c r="T501" s="30">
        <f t="shared" si="9"/>
        <v>0.01421075857</v>
      </c>
    </row>
    <row r="502">
      <c r="A502" s="1">
        <v>499.0</v>
      </c>
      <c r="B502" s="22" t="s">
        <v>1302</v>
      </c>
      <c r="C502" s="22" t="s">
        <v>590</v>
      </c>
      <c r="D502" s="22" t="s">
        <v>1303</v>
      </c>
      <c r="E502" s="23">
        <f>IFERROR(__xludf.DUMMYFUNCTION("GOOGLEFINANCE(""NSE:""&amp;D502,""marketcap"")/10000000"),1440.7458577)</f>
        <v>1440.745858</v>
      </c>
      <c r="F502" s="17">
        <f>IFERROR(__xludf.DUMMYFUNCTION("GOOGLEFINANCE(""NSE:""&amp;D502)"),7.3)</f>
        <v>7.3</v>
      </c>
      <c r="G502" s="17">
        <f>IFERROR(__xludf.DUMMYFUNCTION("GOOGLEFINANCE(""NSE:""&amp;D502,""closeyest"")"),7.35)</f>
        <v>7.35</v>
      </c>
      <c r="H502" s="17">
        <f>IFERROR(__xludf.DUMMYFUNCTION("INDEX(GOOGLEFINANCE(""NSE:""&amp;D502,""PRICE"",TODAY()-7),2,2)"),7.55)</f>
        <v>7.55</v>
      </c>
      <c r="I502" s="17">
        <f>IFERROR(__xludf.DUMMYFUNCTION("INDEX(GOOGLEFINANCE(""NSE:""&amp;D502,""PRICE"",TODAY()-14),2,2)"),7.5)</f>
        <v>7.5</v>
      </c>
      <c r="J502" s="17">
        <f>IFERROR(__xludf.DUMMYFUNCTION("INDEX(GOOGLEFINANCE(""NSE:""&amp;D502,""PRICE"",TODAY()-28),2,2)"),6.7)</f>
        <v>6.7</v>
      </c>
      <c r="K502" s="17">
        <f>IFERROR(__xludf.DUMMYFUNCTION("INDEX(GOOGLEFINANCE(""NSE:""&amp;D502,""PRICE"",TODAY()-84),2,2)"),9.8)</f>
        <v>9.8</v>
      </c>
      <c r="L502" s="16">
        <f t="shared" si="1"/>
        <v>-0.006802721088</v>
      </c>
      <c r="M502" s="16">
        <f t="shared" si="2"/>
        <v>-0.03311258278</v>
      </c>
      <c r="N502" s="16">
        <f t="shared" si="3"/>
        <v>-0.02666666667</v>
      </c>
      <c r="O502" s="16">
        <f t="shared" si="4"/>
        <v>0.08955223881</v>
      </c>
      <c r="P502" s="16">
        <f t="shared" si="5"/>
        <v>-0.2551020408</v>
      </c>
      <c r="Q502" s="30">
        <f t="shared" si="6"/>
        <v>-0.04497103992</v>
      </c>
      <c r="R502" s="30">
        <f t="shared" si="7"/>
        <v>-0.05045102185</v>
      </c>
      <c r="S502" s="30">
        <f t="shared" si="8"/>
        <v>0.01818003518</v>
      </c>
      <c r="T502" s="30">
        <f t="shared" si="9"/>
        <v>-0.3818949075</v>
      </c>
    </row>
    <row r="503">
      <c r="A503" s="1">
        <v>500.0</v>
      </c>
      <c r="B503" s="22" t="s">
        <v>1304</v>
      </c>
      <c r="C503" s="22" t="s">
        <v>549</v>
      </c>
      <c r="D503" s="22" t="s">
        <v>1305</v>
      </c>
      <c r="E503" s="23">
        <f>IFERROR(__xludf.DUMMYFUNCTION("GOOGLEFINANCE(""NSE:""&amp;D503,""marketcap"")/10000000"),1157.22992)</f>
        <v>1157.22992</v>
      </c>
      <c r="F503" s="17">
        <f>IFERROR(__xludf.DUMMYFUNCTION("GOOGLEFINANCE(""NSE:""&amp;D503)"),111.9)</f>
        <v>111.9</v>
      </c>
      <c r="G503" s="17">
        <f>IFERROR(__xludf.DUMMYFUNCTION("GOOGLEFINANCE(""NSE:""&amp;D503,""closeyest"")"),111.8)</f>
        <v>111.8</v>
      </c>
      <c r="H503" s="17">
        <f>IFERROR(__xludf.DUMMYFUNCTION("INDEX(GOOGLEFINANCE(""NSE:""&amp;D503,""PRICE"",TODAY()-7),2,2)"),113.05)</f>
        <v>113.05</v>
      </c>
      <c r="I503" s="17">
        <f>IFERROR(__xludf.DUMMYFUNCTION("INDEX(GOOGLEFINANCE(""NSE:""&amp;D503,""PRICE"",TODAY()-14),2,2)"),110.45)</f>
        <v>110.45</v>
      </c>
      <c r="J503" s="17">
        <f>IFERROR(__xludf.DUMMYFUNCTION("INDEX(GOOGLEFINANCE(""NSE:""&amp;D503,""PRICE"",TODAY()-28),2,2)"),103.85)</f>
        <v>103.85</v>
      </c>
      <c r="K503" s="17">
        <f>IFERROR(__xludf.DUMMYFUNCTION("INDEX(GOOGLEFINANCE(""NSE:""&amp;D503,""PRICE"",TODAY()-84),2,2)"),108.55)</f>
        <v>108.55</v>
      </c>
      <c r="L503" s="16">
        <f t="shared" si="1"/>
        <v>0.0008944543828</v>
      </c>
      <c r="M503" s="16">
        <f t="shared" si="2"/>
        <v>-0.01017249005</v>
      </c>
      <c r="N503" s="16">
        <f t="shared" si="3"/>
        <v>0.01312811227</v>
      </c>
      <c r="O503" s="16">
        <f t="shared" si="4"/>
        <v>0.07751564757</v>
      </c>
      <c r="P503" s="16">
        <f t="shared" si="5"/>
        <v>0.03086135421</v>
      </c>
      <c r="Q503" s="30">
        <f t="shared" si="6"/>
        <v>-0.02203094718</v>
      </c>
      <c r="R503" s="30">
        <f t="shared" si="7"/>
        <v>-0.01065624291</v>
      </c>
      <c r="S503" s="30">
        <f t="shared" si="8"/>
        <v>0.00614344394</v>
      </c>
      <c r="T503" s="30">
        <f t="shared" si="9"/>
        <v>-0.09593151248</v>
      </c>
    </row>
    <row r="504">
      <c r="A504" s="1">
        <v>501.0</v>
      </c>
      <c r="B504" s="22" t="s">
        <v>583</v>
      </c>
      <c r="C504" s="22" t="s">
        <v>549</v>
      </c>
      <c r="D504" s="22" t="s">
        <v>147</v>
      </c>
      <c r="E504" s="23">
        <f>IFERROR(__xludf.DUMMYFUNCTION("GOOGLEFINANCE(""NSE:""&amp;D504,""marketcap"")/10000000"),1080.6777882)</f>
        <v>1080.677788</v>
      </c>
      <c r="F504" s="17">
        <f>IFERROR(__xludf.DUMMYFUNCTION("GOOGLEFINANCE(""NSE:""&amp;D504)"),4799.95)</f>
        <v>4799.95</v>
      </c>
      <c r="G504" s="17">
        <f>IFERROR(__xludf.DUMMYFUNCTION("GOOGLEFINANCE(""NSE:""&amp;D504,""closeyest"")"),4846.35)</f>
        <v>4846.35</v>
      </c>
      <c r="H504" s="17" t="str">
        <f>IFERROR(__xludf.DUMMYFUNCTION("INDEX(GOOGLEFINANCE(""NSE:""&amp;D504,""PRICE"",TODAY()-7),2,2)"),"#N/A")</f>
        <v>#N/A</v>
      </c>
      <c r="I504" s="17">
        <f>IFERROR(__xludf.DUMMYFUNCTION("INDEX(GOOGLEFINANCE(""NSE:""&amp;D504,""PRICE"",TODAY()-14),2,2)"),4931.4)</f>
        <v>4931.4</v>
      </c>
      <c r="J504" s="17">
        <f>IFERROR(__xludf.DUMMYFUNCTION("INDEX(GOOGLEFINANCE(""NSE:""&amp;D504,""PRICE"",TODAY()-28),2,2)"),4600.55)</f>
        <v>4600.55</v>
      </c>
      <c r="K504" s="17">
        <f>IFERROR(__xludf.DUMMYFUNCTION("INDEX(GOOGLEFINANCE(""NSE:""&amp;D504,""PRICE"",TODAY()-84),2,2)"),5575.7)</f>
        <v>5575.7</v>
      </c>
      <c r="L504" s="16">
        <f t="shared" si="1"/>
        <v>-0.009574215647</v>
      </c>
      <c r="M504" s="16" t="str">
        <f t="shared" si="2"/>
        <v>#N/A</v>
      </c>
      <c r="N504" s="16">
        <f t="shared" si="3"/>
        <v>-0.02665571643</v>
      </c>
      <c r="O504" s="16">
        <f t="shared" si="4"/>
        <v>0.04334264381</v>
      </c>
      <c r="P504" s="16">
        <f t="shared" si="5"/>
        <v>-0.1391305128</v>
      </c>
      <c r="Q504" s="32" t="str">
        <f t="shared" si="6"/>
        <v>#N/A</v>
      </c>
      <c r="R504" s="30">
        <f t="shared" si="7"/>
        <v>-0.05044007161</v>
      </c>
      <c r="S504" s="30">
        <f t="shared" si="8"/>
        <v>-0.02802955981</v>
      </c>
      <c r="T504" s="30">
        <f t="shared" si="9"/>
        <v>-0.2659233795</v>
      </c>
    </row>
    <row r="505">
      <c r="L505" s="16"/>
    </row>
    <row r="506">
      <c r="L506" s="16"/>
    </row>
    <row r="507">
      <c r="L507" s="16"/>
    </row>
    <row r="508">
      <c r="L508" s="16"/>
    </row>
    <row r="509">
      <c r="L509" s="16"/>
    </row>
    <row r="510">
      <c r="L510" s="16"/>
    </row>
    <row r="511">
      <c r="L511" s="16"/>
    </row>
    <row r="512">
      <c r="L512" s="16"/>
    </row>
    <row r="513">
      <c r="L513" s="16"/>
    </row>
    <row r="514">
      <c r="L514" s="16"/>
    </row>
    <row r="515">
      <c r="L515" s="16"/>
    </row>
    <row r="516">
      <c r="L516" s="16"/>
    </row>
    <row r="517">
      <c r="L517" s="16"/>
    </row>
    <row r="518">
      <c r="L518" s="16"/>
    </row>
    <row r="519">
      <c r="L519" s="16"/>
    </row>
    <row r="520">
      <c r="L520" s="16"/>
    </row>
    <row r="521">
      <c r="L521" s="16"/>
    </row>
    <row r="522">
      <c r="L522" s="16"/>
    </row>
    <row r="523">
      <c r="L523" s="16"/>
    </row>
    <row r="524">
      <c r="L524" s="16"/>
    </row>
    <row r="525">
      <c r="L525" s="16"/>
    </row>
    <row r="526">
      <c r="L526" s="16"/>
    </row>
    <row r="527">
      <c r="L527" s="16"/>
    </row>
    <row r="528">
      <c r="L528" s="16"/>
    </row>
    <row r="529">
      <c r="L529" s="16"/>
    </row>
    <row r="530">
      <c r="L530" s="16"/>
    </row>
    <row r="531">
      <c r="L531" s="16"/>
    </row>
    <row r="532">
      <c r="L532" s="16"/>
    </row>
    <row r="533">
      <c r="L533" s="16"/>
    </row>
    <row r="534">
      <c r="L534" s="16"/>
    </row>
    <row r="535">
      <c r="L535" s="16"/>
    </row>
    <row r="536">
      <c r="L536" s="16"/>
    </row>
    <row r="537">
      <c r="L537" s="16"/>
    </row>
    <row r="538">
      <c r="L538" s="16"/>
    </row>
    <row r="539">
      <c r="L539" s="16"/>
    </row>
    <row r="540">
      <c r="L540" s="16"/>
    </row>
    <row r="541">
      <c r="L541" s="16"/>
    </row>
    <row r="542">
      <c r="L542" s="16"/>
    </row>
    <row r="543">
      <c r="L543" s="16"/>
    </row>
    <row r="544">
      <c r="L544" s="16"/>
    </row>
    <row r="545">
      <c r="L545" s="16"/>
    </row>
    <row r="546">
      <c r="L546" s="16"/>
    </row>
    <row r="547">
      <c r="L547" s="16"/>
    </row>
    <row r="548">
      <c r="L548" s="16"/>
    </row>
    <row r="549">
      <c r="L549" s="16"/>
    </row>
    <row r="550">
      <c r="L550" s="16"/>
    </row>
    <row r="551">
      <c r="L551" s="16"/>
    </row>
    <row r="552">
      <c r="L552" s="16"/>
    </row>
    <row r="553">
      <c r="L553" s="16"/>
    </row>
    <row r="554">
      <c r="L554" s="16"/>
    </row>
    <row r="555">
      <c r="L555" s="16"/>
    </row>
    <row r="556">
      <c r="L556" s="16"/>
    </row>
    <row r="557">
      <c r="L557" s="16"/>
    </row>
    <row r="558">
      <c r="L558" s="16"/>
    </row>
    <row r="559">
      <c r="L559" s="16"/>
    </row>
    <row r="560">
      <c r="L560" s="16"/>
    </row>
    <row r="561">
      <c r="L561" s="16"/>
    </row>
    <row r="562">
      <c r="L562" s="16"/>
    </row>
    <row r="563">
      <c r="L563" s="16"/>
    </row>
    <row r="564">
      <c r="L564" s="16"/>
    </row>
    <row r="565">
      <c r="L565" s="16"/>
    </row>
    <row r="566">
      <c r="L566" s="16"/>
    </row>
    <row r="567">
      <c r="L567" s="16"/>
    </row>
    <row r="568">
      <c r="L568" s="16"/>
    </row>
    <row r="569">
      <c r="L569" s="16"/>
    </row>
    <row r="570">
      <c r="L570" s="16"/>
    </row>
    <row r="571">
      <c r="L571" s="16"/>
    </row>
    <row r="572">
      <c r="L572" s="16"/>
    </row>
    <row r="573">
      <c r="L573" s="16"/>
    </row>
    <row r="574">
      <c r="L574" s="16"/>
    </row>
    <row r="575">
      <c r="L575" s="16"/>
    </row>
    <row r="576">
      <c r="L576" s="16"/>
    </row>
    <row r="577">
      <c r="L577" s="16"/>
    </row>
    <row r="578">
      <c r="L578" s="16"/>
    </row>
    <row r="579">
      <c r="L579" s="16"/>
    </row>
    <row r="580">
      <c r="L580" s="16"/>
    </row>
    <row r="581">
      <c r="L581" s="16"/>
    </row>
    <row r="582">
      <c r="L582" s="16"/>
    </row>
    <row r="583">
      <c r="L583" s="16"/>
    </row>
    <row r="584">
      <c r="L584" s="16"/>
    </row>
    <row r="585">
      <c r="L585" s="16"/>
    </row>
    <row r="586">
      <c r="L586" s="16"/>
    </row>
    <row r="587">
      <c r="L587" s="16"/>
    </row>
    <row r="588">
      <c r="L588" s="16"/>
    </row>
    <row r="589">
      <c r="L589" s="16"/>
    </row>
    <row r="590">
      <c r="L590" s="16"/>
    </row>
    <row r="591">
      <c r="L591" s="16"/>
    </row>
    <row r="592">
      <c r="L592" s="16"/>
    </row>
    <row r="593">
      <c r="L593" s="16"/>
    </row>
    <row r="594">
      <c r="L594" s="16"/>
    </row>
    <row r="595">
      <c r="L595" s="16"/>
    </row>
    <row r="596">
      <c r="L596" s="16"/>
    </row>
    <row r="597">
      <c r="L597" s="16"/>
    </row>
    <row r="598">
      <c r="L598" s="16"/>
    </row>
    <row r="599">
      <c r="L599" s="16"/>
    </row>
    <row r="600">
      <c r="L600" s="16"/>
    </row>
    <row r="601">
      <c r="L601" s="16"/>
    </row>
    <row r="602">
      <c r="L602" s="16"/>
    </row>
    <row r="603">
      <c r="L603" s="16"/>
    </row>
    <row r="604">
      <c r="L604" s="16"/>
    </row>
    <row r="605">
      <c r="L605" s="16"/>
    </row>
    <row r="606">
      <c r="L606" s="16"/>
    </row>
    <row r="607">
      <c r="L607" s="16"/>
    </row>
    <row r="608">
      <c r="L608" s="16"/>
    </row>
    <row r="609">
      <c r="L609" s="16"/>
    </row>
    <row r="610">
      <c r="L610" s="16"/>
    </row>
    <row r="611">
      <c r="L611" s="16"/>
    </row>
    <row r="612">
      <c r="L612" s="16"/>
    </row>
    <row r="613">
      <c r="L613" s="16"/>
    </row>
    <row r="614">
      <c r="L614" s="16"/>
    </row>
    <row r="615">
      <c r="L615" s="16"/>
    </row>
    <row r="616">
      <c r="L616" s="16"/>
    </row>
    <row r="617">
      <c r="L617" s="16"/>
    </row>
    <row r="618">
      <c r="L618" s="16"/>
    </row>
    <row r="619">
      <c r="L619" s="16"/>
    </row>
    <row r="620">
      <c r="L620" s="16"/>
    </row>
    <row r="621">
      <c r="L621" s="16"/>
    </row>
    <row r="622">
      <c r="L622" s="16"/>
    </row>
    <row r="623">
      <c r="L623" s="16"/>
    </row>
    <row r="624">
      <c r="L624" s="16"/>
    </row>
    <row r="625">
      <c r="L625" s="16"/>
    </row>
    <row r="626">
      <c r="L626" s="16"/>
    </row>
    <row r="627">
      <c r="L627" s="16"/>
    </row>
    <row r="628">
      <c r="L628" s="16"/>
    </row>
    <row r="629">
      <c r="L629" s="16"/>
    </row>
    <row r="630">
      <c r="L630" s="16"/>
    </row>
    <row r="631">
      <c r="L631" s="16"/>
    </row>
    <row r="632">
      <c r="L632" s="16"/>
    </row>
    <row r="633">
      <c r="L633" s="16"/>
    </row>
    <row r="634">
      <c r="L634" s="16"/>
    </row>
    <row r="635">
      <c r="L635" s="16"/>
    </row>
    <row r="636">
      <c r="L636" s="16"/>
    </row>
    <row r="637">
      <c r="L637" s="16"/>
    </row>
    <row r="638">
      <c r="L638" s="16"/>
    </row>
    <row r="639">
      <c r="L639" s="16"/>
    </row>
    <row r="640">
      <c r="L640" s="16"/>
    </row>
    <row r="641">
      <c r="L641" s="16"/>
    </row>
    <row r="642">
      <c r="L642" s="16"/>
    </row>
    <row r="643">
      <c r="L643" s="16"/>
    </row>
    <row r="644">
      <c r="L644" s="16"/>
    </row>
    <row r="645">
      <c r="L645" s="16"/>
    </row>
    <row r="646">
      <c r="L646" s="16"/>
    </row>
    <row r="647">
      <c r="L647" s="16"/>
    </row>
    <row r="648">
      <c r="L648" s="16"/>
    </row>
    <row r="649">
      <c r="L649" s="16"/>
    </row>
    <row r="650">
      <c r="L650" s="16"/>
    </row>
    <row r="651">
      <c r="L651" s="16"/>
    </row>
    <row r="652">
      <c r="L652" s="16"/>
    </row>
    <row r="653">
      <c r="L653" s="16"/>
    </row>
    <row r="654">
      <c r="L654" s="16"/>
    </row>
    <row r="655">
      <c r="L655" s="16"/>
    </row>
    <row r="656">
      <c r="L656" s="16"/>
    </row>
    <row r="657">
      <c r="L657" s="16"/>
    </row>
    <row r="658">
      <c r="L658" s="16"/>
    </row>
    <row r="659">
      <c r="L659" s="16"/>
    </row>
    <row r="660">
      <c r="L660" s="16"/>
    </row>
    <row r="661">
      <c r="L661" s="16"/>
    </row>
    <row r="662">
      <c r="L662" s="16"/>
    </row>
    <row r="663">
      <c r="L663" s="16"/>
    </row>
    <row r="664">
      <c r="L664" s="16"/>
    </row>
    <row r="665">
      <c r="L665" s="16"/>
    </row>
    <row r="666">
      <c r="L666" s="16"/>
    </row>
    <row r="667">
      <c r="L667" s="16"/>
    </row>
    <row r="668">
      <c r="L668" s="16"/>
    </row>
    <row r="669">
      <c r="L669" s="16"/>
    </row>
    <row r="670">
      <c r="L670" s="16"/>
    </row>
    <row r="671">
      <c r="L671" s="16"/>
    </row>
    <row r="672">
      <c r="L672" s="16"/>
    </row>
    <row r="673">
      <c r="L673" s="16"/>
    </row>
    <row r="674">
      <c r="L674" s="16"/>
    </row>
    <row r="675">
      <c r="L675" s="16"/>
    </row>
    <row r="676">
      <c r="L676" s="16"/>
    </row>
    <row r="677">
      <c r="L677" s="16"/>
    </row>
    <row r="678">
      <c r="L678" s="16"/>
    </row>
    <row r="679">
      <c r="L679" s="16"/>
    </row>
    <row r="680">
      <c r="L680" s="16"/>
    </row>
    <row r="681">
      <c r="L681" s="16"/>
    </row>
    <row r="682">
      <c r="L682" s="16"/>
    </row>
    <row r="683">
      <c r="L683" s="16"/>
    </row>
    <row r="684">
      <c r="L684" s="16"/>
    </row>
    <row r="685">
      <c r="L685" s="16"/>
    </row>
    <row r="686">
      <c r="L686" s="16"/>
    </row>
    <row r="687">
      <c r="L687" s="16"/>
    </row>
    <row r="688">
      <c r="L688" s="16"/>
    </row>
    <row r="689">
      <c r="L689" s="16"/>
    </row>
    <row r="690">
      <c r="L690" s="16"/>
    </row>
    <row r="691">
      <c r="L691" s="16"/>
    </row>
    <row r="692">
      <c r="L692" s="16"/>
    </row>
    <row r="693">
      <c r="L693" s="16"/>
    </row>
    <row r="694">
      <c r="L694" s="16"/>
    </row>
    <row r="695">
      <c r="L695" s="16"/>
    </row>
    <row r="696">
      <c r="L696" s="16"/>
    </row>
    <row r="697">
      <c r="L697" s="16"/>
    </row>
    <row r="698">
      <c r="L698" s="16"/>
    </row>
    <row r="699">
      <c r="L699" s="16"/>
    </row>
    <row r="700">
      <c r="L700" s="16"/>
    </row>
    <row r="701">
      <c r="L701" s="16"/>
    </row>
    <row r="702">
      <c r="L702" s="16"/>
    </row>
    <row r="703">
      <c r="L703" s="16"/>
    </row>
    <row r="704">
      <c r="L704" s="16"/>
    </row>
    <row r="705">
      <c r="L705" s="16"/>
    </row>
    <row r="706">
      <c r="L706" s="16"/>
    </row>
    <row r="707">
      <c r="L707" s="16"/>
    </row>
    <row r="708">
      <c r="L708" s="16"/>
    </row>
    <row r="709">
      <c r="L709" s="16"/>
    </row>
    <row r="710">
      <c r="L710" s="16"/>
    </row>
    <row r="711">
      <c r="L711" s="16"/>
    </row>
    <row r="712">
      <c r="L712" s="16"/>
    </row>
    <row r="713">
      <c r="L713" s="16"/>
    </row>
    <row r="714">
      <c r="L714" s="16"/>
    </row>
    <row r="715">
      <c r="L715" s="16"/>
    </row>
    <row r="716">
      <c r="L716" s="16"/>
    </row>
    <row r="717">
      <c r="L717" s="16"/>
    </row>
    <row r="718">
      <c r="L718" s="16"/>
    </row>
    <row r="719">
      <c r="L719" s="16"/>
    </row>
    <row r="720">
      <c r="L720" s="16"/>
    </row>
    <row r="721">
      <c r="L721" s="16"/>
    </row>
    <row r="722">
      <c r="L722" s="16"/>
    </row>
    <row r="723">
      <c r="L723" s="16"/>
    </row>
    <row r="724">
      <c r="L724" s="16"/>
    </row>
    <row r="725">
      <c r="L725" s="16"/>
    </row>
    <row r="726">
      <c r="L726" s="16"/>
    </row>
    <row r="727">
      <c r="L727" s="16"/>
    </row>
    <row r="728">
      <c r="L728" s="16"/>
    </row>
    <row r="729">
      <c r="L729" s="16"/>
    </row>
    <row r="730">
      <c r="L730" s="16"/>
    </row>
    <row r="731">
      <c r="L731" s="16"/>
    </row>
    <row r="732">
      <c r="L732" s="16"/>
    </row>
    <row r="733">
      <c r="L733" s="16"/>
    </row>
    <row r="734">
      <c r="L734" s="16"/>
    </row>
    <row r="735">
      <c r="L735" s="16"/>
    </row>
    <row r="736">
      <c r="L736" s="16"/>
    </row>
    <row r="737">
      <c r="L737" s="16"/>
    </row>
    <row r="738">
      <c r="L738" s="16"/>
    </row>
    <row r="739">
      <c r="L739" s="16"/>
    </row>
    <row r="740">
      <c r="L740" s="16"/>
    </row>
    <row r="741">
      <c r="L741" s="16"/>
    </row>
    <row r="742">
      <c r="L742" s="16"/>
    </row>
    <row r="743">
      <c r="L743" s="16"/>
    </row>
    <row r="744">
      <c r="L744" s="16"/>
    </row>
    <row r="745">
      <c r="L745" s="16"/>
    </row>
    <row r="746">
      <c r="L746" s="16"/>
    </row>
    <row r="747">
      <c r="L747" s="16"/>
    </row>
    <row r="748">
      <c r="L748" s="16"/>
    </row>
    <row r="749">
      <c r="L749" s="16"/>
    </row>
    <row r="750">
      <c r="L750" s="16"/>
    </row>
    <row r="751">
      <c r="L751" s="16"/>
    </row>
    <row r="752">
      <c r="L752" s="16"/>
    </row>
    <row r="753">
      <c r="L753" s="16"/>
    </row>
    <row r="754">
      <c r="L754" s="16"/>
    </row>
    <row r="755">
      <c r="L755" s="16"/>
    </row>
    <row r="756">
      <c r="L756" s="16"/>
    </row>
    <row r="757">
      <c r="L757" s="16"/>
    </row>
    <row r="758">
      <c r="L758" s="16"/>
    </row>
    <row r="759">
      <c r="L759" s="16"/>
    </row>
    <row r="760">
      <c r="L760" s="16"/>
    </row>
    <row r="761">
      <c r="L761" s="16"/>
    </row>
    <row r="762">
      <c r="L762" s="16"/>
    </row>
    <row r="763">
      <c r="L763" s="16"/>
    </row>
    <row r="764">
      <c r="L764" s="16"/>
    </row>
    <row r="765">
      <c r="L765" s="16"/>
    </row>
    <row r="766">
      <c r="L766" s="16"/>
    </row>
    <row r="767">
      <c r="L767" s="16"/>
    </row>
    <row r="768">
      <c r="L768" s="16"/>
    </row>
    <row r="769">
      <c r="L769" s="16"/>
    </row>
    <row r="770">
      <c r="L770" s="16"/>
    </row>
    <row r="771">
      <c r="L771" s="16"/>
    </row>
    <row r="772">
      <c r="L772" s="16"/>
    </row>
    <row r="773">
      <c r="L773" s="16"/>
    </row>
    <row r="774">
      <c r="L774" s="16"/>
    </row>
    <row r="775">
      <c r="L775" s="16"/>
    </row>
    <row r="776">
      <c r="L776" s="16"/>
    </row>
    <row r="777">
      <c r="L777" s="16"/>
    </row>
    <row r="778">
      <c r="L778" s="16"/>
    </row>
    <row r="779">
      <c r="L779" s="16"/>
    </row>
    <row r="780">
      <c r="L780" s="16"/>
    </row>
    <row r="781">
      <c r="L781" s="16"/>
    </row>
    <row r="782">
      <c r="L782" s="16"/>
    </row>
    <row r="783">
      <c r="L783" s="16"/>
    </row>
    <row r="784">
      <c r="L784" s="16"/>
    </row>
    <row r="785">
      <c r="L785" s="16"/>
    </row>
    <row r="786">
      <c r="L786" s="16"/>
    </row>
    <row r="787">
      <c r="L787" s="16"/>
    </row>
    <row r="788">
      <c r="L788" s="16"/>
    </row>
    <row r="789">
      <c r="L789" s="16"/>
    </row>
    <row r="790">
      <c r="L790" s="16"/>
    </row>
    <row r="791">
      <c r="L791" s="16"/>
    </row>
    <row r="792">
      <c r="L792" s="16"/>
    </row>
    <row r="793">
      <c r="L793" s="16"/>
    </row>
    <row r="794">
      <c r="L794" s="16"/>
    </row>
    <row r="795">
      <c r="L795" s="16"/>
    </row>
    <row r="796">
      <c r="L796" s="16"/>
    </row>
    <row r="797">
      <c r="L797" s="16"/>
    </row>
    <row r="798">
      <c r="L798" s="16"/>
    </row>
    <row r="799">
      <c r="L799" s="16"/>
    </row>
    <row r="800">
      <c r="L800" s="16"/>
    </row>
    <row r="801">
      <c r="L801" s="16"/>
    </row>
    <row r="802">
      <c r="L802" s="16"/>
    </row>
    <row r="803">
      <c r="L803" s="16"/>
    </row>
    <row r="804">
      <c r="L804" s="16"/>
    </row>
    <row r="805">
      <c r="L805" s="16"/>
    </row>
    <row r="806">
      <c r="L806" s="16"/>
    </row>
    <row r="807">
      <c r="L807" s="16"/>
    </row>
    <row r="808">
      <c r="L808" s="16"/>
    </row>
    <row r="809">
      <c r="L809" s="16"/>
    </row>
    <row r="810">
      <c r="L810" s="16"/>
    </row>
    <row r="811">
      <c r="L811" s="16"/>
    </row>
    <row r="812">
      <c r="L812" s="16"/>
    </row>
    <row r="813">
      <c r="L813" s="16"/>
    </row>
    <row r="814">
      <c r="L814" s="16"/>
    </row>
    <row r="815">
      <c r="L815" s="16"/>
    </row>
    <row r="816">
      <c r="L816" s="16"/>
    </row>
    <row r="817">
      <c r="L817" s="16"/>
    </row>
    <row r="818">
      <c r="L818" s="16"/>
    </row>
    <row r="819">
      <c r="L819" s="16"/>
    </row>
    <row r="820">
      <c r="L820" s="16"/>
    </row>
    <row r="821">
      <c r="L821" s="16"/>
    </row>
    <row r="822">
      <c r="L822" s="16"/>
    </row>
    <row r="823">
      <c r="L823" s="16"/>
    </row>
    <row r="824">
      <c r="L824" s="16"/>
    </row>
    <row r="825">
      <c r="L825" s="16"/>
    </row>
    <row r="826">
      <c r="L826" s="16"/>
    </row>
    <row r="827">
      <c r="L827" s="16"/>
    </row>
    <row r="828">
      <c r="L828" s="16"/>
    </row>
    <row r="829">
      <c r="L829" s="16"/>
    </row>
    <row r="830">
      <c r="L830" s="16"/>
    </row>
    <row r="831">
      <c r="L831" s="16"/>
    </row>
    <row r="832">
      <c r="L832" s="16"/>
    </row>
    <row r="833">
      <c r="L833" s="16"/>
    </row>
    <row r="834">
      <c r="L834" s="16"/>
    </row>
    <row r="835">
      <c r="L835" s="16"/>
    </row>
    <row r="836">
      <c r="L836" s="16"/>
    </row>
    <row r="837">
      <c r="L837" s="16"/>
    </row>
    <row r="838">
      <c r="L838" s="16"/>
    </row>
    <row r="839">
      <c r="L839" s="16"/>
    </row>
    <row r="840">
      <c r="L840" s="16"/>
    </row>
    <row r="841">
      <c r="L841" s="16"/>
    </row>
    <row r="842">
      <c r="L842" s="16"/>
    </row>
    <row r="843">
      <c r="L843" s="16"/>
    </row>
    <row r="844">
      <c r="L844" s="16"/>
    </row>
    <row r="845">
      <c r="L845" s="16"/>
    </row>
    <row r="846">
      <c r="L846" s="16"/>
    </row>
    <row r="847">
      <c r="L847" s="16"/>
    </row>
    <row r="848">
      <c r="L848" s="16"/>
    </row>
    <row r="849">
      <c r="L849" s="16"/>
    </row>
    <row r="850">
      <c r="L850" s="16"/>
    </row>
    <row r="851">
      <c r="L851" s="16"/>
    </row>
    <row r="852">
      <c r="L852" s="16"/>
    </row>
    <row r="853">
      <c r="L853" s="16"/>
    </row>
    <row r="854">
      <c r="L854" s="16"/>
    </row>
    <row r="855">
      <c r="L855" s="16"/>
    </row>
    <row r="856">
      <c r="L856" s="16"/>
    </row>
    <row r="857">
      <c r="L857" s="16"/>
    </row>
    <row r="858">
      <c r="L858" s="16"/>
    </row>
    <row r="859">
      <c r="L859" s="16"/>
    </row>
    <row r="860">
      <c r="L860" s="16"/>
    </row>
    <row r="861">
      <c r="L861" s="16"/>
    </row>
    <row r="862">
      <c r="L862" s="16"/>
    </row>
    <row r="863">
      <c r="L863" s="16"/>
    </row>
    <row r="864">
      <c r="L864" s="16"/>
    </row>
    <row r="865">
      <c r="L865" s="16"/>
    </row>
    <row r="866">
      <c r="L866" s="16"/>
    </row>
    <row r="867">
      <c r="L867" s="16"/>
    </row>
    <row r="868">
      <c r="L868" s="16"/>
    </row>
    <row r="869">
      <c r="L869" s="16"/>
    </row>
    <row r="870">
      <c r="L870" s="16"/>
    </row>
    <row r="871">
      <c r="L871" s="16"/>
    </row>
    <row r="872">
      <c r="L872" s="16"/>
    </row>
    <row r="873">
      <c r="L873" s="16"/>
    </row>
    <row r="874">
      <c r="L874" s="16"/>
    </row>
    <row r="875">
      <c r="L875" s="16"/>
    </row>
    <row r="876">
      <c r="L876" s="16"/>
    </row>
    <row r="877">
      <c r="L877" s="16"/>
    </row>
    <row r="878">
      <c r="L878" s="16"/>
    </row>
    <row r="879">
      <c r="L879" s="16"/>
    </row>
    <row r="880">
      <c r="L880" s="16"/>
    </row>
    <row r="881">
      <c r="L881" s="16"/>
    </row>
    <row r="882">
      <c r="L882" s="16"/>
    </row>
    <row r="883">
      <c r="L883" s="16"/>
    </row>
    <row r="884">
      <c r="L884" s="16"/>
    </row>
    <row r="885">
      <c r="L885" s="16"/>
    </row>
    <row r="886">
      <c r="L886" s="16"/>
    </row>
    <row r="887">
      <c r="L887" s="16"/>
    </row>
    <row r="888">
      <c r="L888" s="16"/>
    </row>
    <row r="889">
      <c r="L889" s="16"/>
    </row>
    <row r="890">
      <c r="L890" s="16"/>
    </row>
    <row r="891">
      <c r="L891" s="16"/>
    </row>
    <row r="892">
      <c r="L892" s="16"/>
    </row>
    <row r="893">
      <c r="L893" s="16"/>
    </row>
    <row r="894">
      <c r="L894" s="16"/>
    </row>
    <row r="895">
      <c r="L895" s="16"/>
    </row>
    <row r="896">
      <c r="L896" s="16"/>
    </row>
    <row r="897">
      <c r="L897" s="16"/>
    </row>
    <row r="898">
      <c r="L898" s="16"/>
    </row>
    <row r="899">
      <c r="L899" s="16"/>
    </row>
    <row r="900">
      <c r="L900" s="16"/>
    </row>
    <row r="901">
      <c r="L901" s="16"/>
    </row>
    <row r="902">
      <c r="L902" s="16"/>
    </row>
    <row r="903">
      <c r="L903" s="16"/>
    </row>
    <row r="904">
      <c r="L904" s="16"/>
    </row>
    <row r="905">
      <c r="L905" s="16"/>
    </row>
    <row r="906">
      <c r="L906" s="16"/>
    </row>
    <row r="907">
      <c r="L907" s="16"/>
    </row>
    <row r="908">
      <c r="L908" s="16"/>
    </row>
    <row r="909">
      <c r="L909" s="16"/>
    </row>
    <row r="910">
      <c r="L910" s="16"/>
    </row>
    <row r="911">
      <c r="L911" s="16"/>
    </row>
    <row r="912">
      <c r="L912" s="16"/>
    </row>
    <row r="913">
      <c r="L913" s="16"/>
    </row>
    <row r="914">
      <c r="L914" s="16"/>
    </row>
    <row r="915">
      <c r="L915" s="16"/>
    </row>
    <row r="916">
      <c r="L916" s="16"/>
    </row>
    <row r="917">
      <c r="L917" s="16"/>
    </row>
    <row r="918">
      <c r="L918" s="16"/>
    </row>
    <row r="919">
      <c r="L919" s="16"/>
    </row>
    <row r="920">
      <c r="L920" s="16"/>
    </row>
    <row r="921">
      <c r="L921" s="16"/>
    </row>
    <row r="922">
      <c r="L922" s="16"/>
    </row>
    <row r="923">
      <c r="L923" s="16"/>
    </row>
    <row r="924">
      <c r="L924" s="16"/>
    </row>
    <row r="925">
      <c r="L925" s="16"/>
    </row>
    <row r="926">
      <c r="L926" s="16"/>
    </row>
    <row r="927">
      <c r="L927" s="16"/>
    </row>
    <row r="928">
      <c r="L928" s="16"/>
    </row>
    <row r="929">
      <c r="L929" s="16"/>
    </row>
    <row r="930">
      <c r="L930" s="16"/>
    </row>
    <row r="931">
      <c r="L931" s="16"/>
    </row>
    <row r="932">
      <c r="L932" s="16"/>
    </row>
    <row r="933">
      <c r="L933" s="16"/>
    </row>
    <row r="934">
      <c r="L934" s="16"/>
    </row>
    <row r="935">
      <c r="L935" s="16"/>
    </row>
    <row r="936">
      <c r="L936" s="16"/>
    </row>
    <row r="937">
      <c r="L937" s="16"/>
    </row>
    <row r="938">
      <c r="L938" s="16"/>
    </row>
    <row r="939">
      <c r="L939" s="16"/>
    </row>
    <row r="940">
      <c r="L940" s="16"/>
    </row>
    <row r="941">
      <c r="L941" s="16"/>
    </row>
    <row r="942">
      <c r="L942" s="16"/>
    </row>
    <row r="943">
      <c r="L943" s="16"/>
    </row>
    <row r="944">
      <c r="L944" s="16"/>
    </row>
    <row r="945">
      <c r="L945" s="16"/>
    </row>
    <row r="946">
      <c r="L946" s="16"/>
    </row>
    <row r="947">
      <c r="L947" s="16"/>
    </row>
    <row r="948">
      <c r="L948" s="16"/>
    </row>
    <row r="949">
      <c r="L949" s="16"/>
    </row>
    <row r="950">
      <c r="L950" s="16"/>
    </row>
    <row r="951">
      <c r="L951" s="16"/>
    </row>
    <row r="952">
      <c r="L952" s="16"/>
    </row>
    <row r="953">
      <c r="L953" s="16"/>
    </row>
    <row r="954">
      <c r="L954" s="16"/>
    </row>
    <row r="955">
      <c r="L955" s="16"/>
    </row>
    <row r="956">
      <c r="L956" s="16"/>
    </row>
    <row r="957">
      <c r="L957" s="16"/>
    </row>
    <row r="958">
      <c r="L958" s="16"/>
    </row>
    <row r="959">
      <c r="L959" s="16"/>
    </row>
    <row r="960">
      <c r="L960" s="16"/>
    </row>
    <row r="961">
      <c r="L961" s="16"/>
    </row>
    <row r="962">
      <c r="L962" s="16"/>
    </row>
    <row r="963">
      <c r="L963" s="16"/>
    </row>
    <row r="964">
      <c r="L964" s="16"/>
    </row>
    <row r="965">
      <c r="L965" s="16"/>
    </row>
    <row r="966">
      <c r="L966" s="16"/>
    </row>
    <row r="967">
      <c r="L967" s="16"/>
    </row>
    <row r="968">
      <c r="L968" s="16"/>
    </row>
    <row r="969">
      <c r="L969" s="16"/>
    </row>
    <row r="970">
      <c r="L970" s="16"/>
    </row>
    <row r="971">
      <c r="L971" s="16"/>
    </row>
    <row r="972">
      <c r="L972" s="16"/>
    </row>
    <row r="973">
      <c r="L973" s="16"/>
    </row>
    <row r="974">
      <c r="L974" s="16"/>
    </row>
    <row r="975">
      <c r="L975" s="16"/>
    </row>
    <row r="976">
      <c r="L976" s="16"/>
    </row>
    <row r="977">
      <c r="L977" s="16"/>
    </row>
    <row r="978">
      <c r="L978" s="16"/>
    </row>
    <row r="979">
      <c r="L979" s="16"/>
    </row>
    <row r="980">
      <c r="L980" s="16"/>
    </row>
    <row r="981">
      <c r="L981" s="16"/>
    </row>
    <row r="982">
      <c r="L982" s="16"/>
    </row>
    <row r="983">
      <c r="L983" s="16"/>
    </row>
    <row r="984">
      <c r="L984" s="16"/>
    </row>
    <row r="985">
      <c r="L985" s="16"/>
    </row>
    <row r="986">
      <c r="L986" s="16"/>
    </row>
    <row r="987">
      <c r="L987" s="16"/>
    </row>
    <row r="988">
      <c r="L988" s="16"/>
    </row>
    <row r="989">
      <c r="L989" s="16"/>
    </row>
    <row r="990">
      <c r="L990" s="16"/>
    </row>
    <row r="991">
      <c r="L991" s="16"/>
    </row>
    <row r="992">
      <c r="L992" s="16"/>
    </row>
    <row r="993">
      <c r="L993" s="16"/>
    </row>
    <row r="994">
      <c r="L994" s="16"/>
    </row>
    <row r="995">
      <c r="L995" s="16"/>
    </row>
    <row r="996">
      <c r="L996" s="16"/>
    </row>
    <row r="997">
      <c r="L997" s="16"/>
    </row>
    <row r="998">
      <c r="L998" s="16"/>
    </row>
    <row r="999">
      <c r="L999" s="16"/>
    </row>
    <row r="1000">
      <c r="L1000" s="16"/>
    </row>
    <row r="1001">
      <c r="L1001" s="16"/>
    </row>
    <row r="1002">
      <c r="L1002" s="16"/>
    </row>
    <row r="1003">
      <c r="L1003" s="16"/>
    </row>
    <row r="1004">
      <c r="L1004" s="16"/>
    </row>
    <row r="1005">
      <c r="L1005" s="16"/>
    </row>
    <row r="1006">
      <c r="L1006" s="16"/>
    </row>
    <row r="1007">
      <c r="L1007" s="16"/>
    </row>
    <row r="1008">
      <c r="L1008" s="16"/>
    </row>
    <row r="1009">
      <c r="L1009" s="16"/>
    </row>
    <row r="1010">
      <c r="L1010" s="16"/>
    </row>
    <row r="1011">
      <c r="L1011" s="16"/>
    </row>
    <row r="1012">
      <c r="L1012" s="16"/>
    </row>
    <row r="1013">
      <c r="L1013" s="16"/>
    </row>
    <row r="1014">
      <c r="L1014" s="16"/>
    </row>
    <row r="1015">
      <c r="L1015" s="16"/>
    </row>
    <row r="1016">
      <c r="L1016" s="16"/>
    </row>
    <row r="1017">
      <c r="L1017" s="16"/>
    </row>
    <row r="1018">
      <c r="L1018" s="16"/>
    </row>
    <row r="1019">
      <c r="L1019" s="16"/>
    </row>
    <row r="1020">
      <c r="L1020" s="16"/>
    </row>
    <row r="1021">
      <c r="L1021" s="16"/>
    </row>
    <row r="1022">
      <c r="L1022" s="16"/>
    </row>
    <row r="1023">
      <c r="L1023" s="16"/>
    </row>
    <row r="1024">
      <c r="L1024" s="16"/>
    </row>
    <row r="1025">
      <c r="L1025" s="16"/>
    </row>
    <row r="1026">
      <c r="L1026" s="16"/>
    </row>
    <row r="1027">
      <c r="L1027" s="16"/>
    </row>
    <row r="1028">
      <c r="L1028" s="16"/>
    </row>
    <row r="1029">
      <c r="L1029" s="16"/>
    </row>
    <row r="1030">
      <c r="L1030" s="16"/>
    </row>
    <row r="1031">
      <c r="L1031" s="16"/>
    </row>
    <row r="1032">
      <c r="L1032" s="16"/>
    </row>
    <row r="1033">
      <c r="L1033" s="16"/>
    </row>
    <row r="1034">
      <c r="L1034" s="16"/>
    </row>
    <row r="1035">
      <c r="L1035" s="16"/>
    </row>
    <row r="1036">
      <c r="L1036" s="16"/>
    </row>
    <row r="1037">
      <c r="L1037" s="16"/>
    </row>
    <row r="1038">
      <c r="L1038" s="16"/>
    </row>
    <row r="1039">
      <c r="L1039" s="16"/>
    </row>
    <row r="1040">
      <c r="L1040" s="16"/>
    </row>
    <row r="1041">
      <c r="L1041" s="16"/>
    </row>
    <row r="1042">
      <c r="L1042" s="16"/>
    </row>
    <row r="1043">
      <c r="L1043" s="16"/>
    </row>
    <row r="1044">
      <c r="L1044" s="16"/>
    </row>
    <row r="1045">
      <c r="L1045" s="16"/>
    </row>
    <row r="1046">
      <c r="L1046" s="16"/>
    </row>
    <row r="1047">
      <c r="L1047" s="16"/>
    </row>
    <row r="1048">
      <c r="L1048" s="16"/>
    </row>
    <row r="1049">
      <c r="L1049" s="16"/>
    </row>
    <row r="1050">
      <c r="L1050" s="16"/>
    </row>
    <row r="1051">
      <c r="L1051" s="16"/>
    </row>
    <row r="1052">
      <c r="L1052" s="16"/>
    </row>
    <row r="1053">
      <c r="L1053" s="16"/>
    </row>
    <row r="1054">
      <c r="L1054" s="16"/>
    </row>
    <row r="1055">
      <c r="L1055" s="16"/>
    </row>
    <row r="1056">
      <c r="L1056" s="16"/>
    </row>
    <row r="1057">
      <c r="L1057" s="16"/>
    </row>
    <row r="1058">
      <c r="L1058" s="16"/>
    </row>
    <row r="1059">
      <c r="L1059" s="16"/>
    </row>
    <row r="1060">
      <c r="L1060" s="16"/>
    </row>
    <row r="1061">
      <c r="L1061" s="16"/>
    </row>
    <row r="1062">
      <c r="L1062" s="16"/>
    </row>
    <row r="1063">
      <c r="L1063" s="16"/>
    </row>
    <row r="1064">
      <c r="L1064" s="16"/>
    </row>
    <row r="1065">
      <c r="L1065" s="16"/>
    </row>
    <row r="1066">
      <c r="L1066" s="16"/>
    </row>
    <row r="1067">
      <c r="L1067" s="16"/>
    </row>
    <row r="1068">
      <c r="L1068" s="16"/>
    </row>
    <row r="1069">
      <c r="L1069" s="16"/>
    </row>
    <row r="1070">
      <c r="L1070" s="16"/>
    </row>
    <row r="1071">
      <c r="L1071" s="16"/>
    </row>
    <row r="1072">
      <c r="L1072" s="16"/>
    </row>
    <row r="1073">
      <c r="L1073" s="16"/>
    </row>
    <row r="1074">
      <c r="L1074" s="16"/>
    </row>
    <row r="1075">
      <c r="L1075" s="16"/>
    </row>
    <row r="1076">
      <c r="L1076" s="16"/>
    </row>
    <row r="1077">
      <c r="L1077" s="16"/>
    </row>
    <row r="1078">
      <c r="L1078" s="16"/>
    </row>
    <row r="1079">
      <c r="L1079" s="16"/>
    </row>
    <row r="1080">
      <c r="L1080" s="16"/>
    </row>
    <row r="1081">
      <c r="L1081" s="16"/>
    </row>
    <row r="1082">
      <c r="L1082" s="16"/>
    </row>
    <row r="1083">
      <c r="L1083" s="16"/>
    </row>
    <row r="1084">
      <c r="L1084" s="16"/>
    </row>
    <row r="1085">
      <c r="L1085" s="16"/>
    </row>
    <row r="1086">
      <c r="L1086" s="16"/>
    </row>
    <row r="1087">
      <c r="L1087" s="16"/>
    </row>
    <row r="1088">
      <c r="L1088" s="16"/>
    </row>
    <row r="1089">
      <c r="L1089" s="16"/>
    </row>
    <row r="1090">
      <c r="L1090" s="16"/>
    </row>
    <row r="1091">
      <c r="L1091" s="16"/>
    </row>
    <row r="1092">
      <c r="L1092" s="16"/>
    </row>
    <row r="1093">
      <c r="L1093" s="16"/>
    </row>
    <row r="1094">
      <c r="L1094" s="16"/>
    </row>
    <row r="1095">
      <c r="L1095" s="16"/>
    </row>
    <row r="1096">
      <c r="L1096" s="16"/>
    </row>
    <row r="1097">
      <c r="L1097" s="16"/>
    </row>
    <row r="1098">
      <c r="L1098" s="16"/>
    </row>
    <row r="1099">
      <c r="L1099" s="16"/>
    </row>
    <row r="1100">
      <c r="L1100" s="16"/>
    </row>
    <row r="1101">
      <c r="L1101" s="16"/>
    </row>
    <row r="1102">
      <c r="L1102" s="16"/>
    </row>
    <row r="1103">
      <c r="L1103" s="16"/>
    </row>
    <row r="1104">
      <c r="L1104" s="16"/>
    </row>
    <row r="1105">
      <c r="L1105" s="16"/>
    </row>
    <row r="1106">
      <c r="L1106" s="16"/>
    </row>
    <row r="1107">
      <c r="L1107" s="16"/>
    </row>
    <row r="1108">
      <c r="L1108" s="16"/>
    </row>
    <row r="1109">
      <c r="L1109" s="16"/>
    </row>
    <row r="1110">
      <c r="L1110" s="16"/>
    </row>
    <row r="1111">
      <c r="L1111" s="16"/>
    </row>
    <row r="1112">
      <c r="L1112" s="16"/>
    </row>
    <row r="1113">
      <c r="L1113" s="16"/>
    </row>
    <row r="1114">
      <c r="L1114" s="16"/>
    </row>
    <row r="1115">
      <c r="L1115" s="16"/>
    </row>
    <row r="1116">
      <c r="L1116" s="16"/>
    </row>
    <row r="1117">
      <c r="L1117" s="16"/>
    </row>
    <row r="1118">
      <c r="L1118" s="16"/>
    </row>
    <row r="1119">
      <c r="L1119" s="16"/>
    </row>
    <row r="1120">
      <c r="L1120" s="16"/>
    </row>
    <row r="1121">
      <c r="L1121" s="16"/>
    </row>
    <row r="1122">
      <c r="L1122" s="16"/>
    </row>
    <row r="1123">
      <c r="L1123" s="16"/>
    </row>
    <row r="1124">
      <c r="L1124" s="16"/>
    </row>
    <row r="1125">
      <c r="L1125" s="16"/>
    </row>
    <row r="1126">
      <c r="L1126" s="16"/>
    </row>
    <row r="1127">
      <c r="L1127" s="16"/>
    </row>
    <row r="1128">
      <c r="L1128" s="16"/>
    </row>
    <row r="1129">
      <c r="L1129" s="16"/>
    </row>
    <row r="1130">
      <c r="L1130" s="16"/>
    </row>
    <row r="1131">
      <c r="L1131" s="16"/>
    </row>
    <row r="1132">
      <c r="L1132" s="16"/>
    </row>
    <row r="1133">
      <c r="L1133" s="16"/>
    </row>
    <row r="1134">
      <c r="L1134" s="16"/>
    </row>
    <row r="1135">
      <c r="L1135" s="16"/>
    </row>
    <row r="1136">
      <c r="L1136" s="16"/>
    </row>
    <row r="1137">
      <c r="L1137" s="16"/>
    </row>
    <row r="1138">
      <c r="L1138" s="16"/>
    </row>
    <row r="1139">
      <c r="L1139" s="16"/>
    </row>
    <row r="1140">
      <c r="L1140" s="16"/>
    </row>
    <row r="1141">
      <c r="L1141" s="16"/>
    </row>
    <row r="1142">
      <c r="L1142" s="16"/>
    </row>
    <row r="1143">
      <c r="L1143" s="16"/>
    </row>
    <row r="1144">
      <c r="L1144" s="16"/>
    </row>
    <row r="1145">
      <c r="L1145" s="16"/>
    </row>
    <row r="1146">
      <c r="L1146" s="16"/>
    </row>
    <row r="1147">
      <c r="L1147" s="16"/>
    </row>
    <row r="1148">
      <c r="L1148" s="16"/>
    </row>
    <row r="1149">
      <c r="L1149" s="16"/>
    </row>
    <row r="1150">
      <c r="L1150" s="16"/>
    </row>
    <row r="1151">
      <c r="L1151" s="16"/>
    </row>
    <row r="1152">
      <c r="L1152" s="16"/>
    </row>
    <row r="1153">
      <c r="L1153" s="16"/>
    </row>
    <row r="1154">
      <c r="L1154" s="16"/>
    </row>
    <row r="1155">
      <c r="L1155" s="16"/>
    </row>
    <row r="1156">
      <c r="L1156" s="16"/>
    </row>
    <row r="1157">
      <c r="L1157" s="16"/>
    </row>
    <row r="1158">
      <c r="L1158" s="16"/>
    </row>
    <row r="1159">
      <c r="L1159" s="16"/>
    </row>
    <row r="1160">
      <c r="L1160" s="16"/>
    </row>
    <row r="1161">
      <c r="L1161" s="16"/>
    </row>
    <row r="1162">
      <c r="L1162" s="16"/>
    </row>
    <row r="1163">
      <c r="L1163" s="16"/>
    </row>
    <row r="1164">
      <c r="L1164" s="16"/>
    </row>
    <row r="1165">
      <c r="L1165" s="16"/>
    </row>
    <row r="1166">
      <c r="L1166" s="16"/>
    </row>
    <row r="1167">
      <c r="L1167" s="16"/>
    </row>
    <row r="1168">
      <c r="L1168" s="16"/>
    </row>
    <row r="1169">
      <c r="L1169" s="16"/>
    </row>
    <row r="1170">
      <c r="L1170" s="16"/>
    </row>
    <row r="1171">
      <c r="L1171" s="16"/>
    </row>
    <row r="1172">
      <c r="L1172" s="16"/>
    </row>
    <row r="1173">
      <c r="L1173" s="16"/>
    </row>
    <row r="1174">
      <c r="L1174" s="16"/>
    </row>
    <row r="1175">
      <c r="L1175" s="16"/>
    </row>
    <row r="1176">
      <c r="L1176" s="16"/>
    </row>
    <row r="1177">
      <c r="L1177" s="16"/>
    </row>
    <row r="1178">
      <c r="L1178" s="16"/>
    </row>
    <row r="1179">
      <c r="L1179" s="16"/>
    </row>
    <row r="1180">
      <c r="L1180" s="16"/>
    </row>
    <row r="1181">
      <c r="L1181" s="16"/>
    </row>
    <row r="1182">
      <c r="L1182" s="16"/>
    </row>
    <row r="1183">
      <c r="L1183" s="16"/>
    </row>
    <row r="1184">
      <c r="L1184" s="16"/>
    </row>
    <row r="1185">
      <c r="L1185" s="16"/>
    </row>
    <row r="1186">
      <c r="L1186" s="16"/>
    </row>
    <row r="1187">
      <c r="L1187" s="16"/>
    </row>
    <row r="1188">
      <c r="L1188" s="16"/>
    </row>
    <row r="1189">
      <c r="L1189" s="16"/>
    </row>
    <row r="1190">
      <c r="L1190" s="16"/>
    </row>
    <row r="1191">
      <c r="L1191" s="16"/>
    </row>
    <row r="1192">
      <c r="L1192" s="16"/>
    </row>
    <row r="1193">
      <c r="L1193" s="16"/>
    </row>
    <row r="1194">
      <c r="L1194" s="16"/>
    </row>
    <row r="1195">
      <c r="L1195" s="16"/>
    </row>
    <row r="1196">
      <c r="L1196" s="16"/>
    </row>
    <row r="1197">
      <c r="L1197" s="16"/>
    </row>
    <row r="1198">
      <c r="L1198" s="16"/>
    </row>
    <row r="1199">
      <c r="L1199" s="16"/>
    </row>
    <row r="1200">
      <c r="L1200" s="16"/>
    </row>
    <row r="1201">
      <c r="L1201" s="16"/>
    </row>
    <row r="1202">
      <c r="L1202" s="16"/>
    </row>
  </sheetData>
  <autoFilter ref="$A$3:$Z$504">
    <sortState ref="A3:Z504">
      <sortCondition ref="A3:A504"/>
      <sortCondition descending="1" ref="L3:L504"/>
      <sortCondition descending="1" ref="T3:T504"/>
      <sortCondition descending="1" ref="S3:S504"/>
      <sortCondition descending="1" ref="R3:R504"/>
      <sortCondition descending="1" ref="E3:E504"/>
    </sortState>
  </autoFilter>
  <conditionalFormatting sqref="L4:L53 L204:L504">
    <cfRule type="cellIs" dxfId="0" priority="1" operator="greaterThanOrEqual">
      <formula>"0%"</formula>
    </cfRule>
  </conditionalFormatting>
  <conditionalFormatting sqref="Q1:T1 Q4:T504">
    <cfRule type="cellIs" dxfId="0" priority="2" operator="greaterThan">
      <formula>0</formula>
    </cfRule>
  </conditionalFormatting>
  <hyperlinks>
    <hyperlink r:id="rId1" ref="A3"/>
    <hyperlink r:id="rId2" ref="B3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0"/>
    <col customWidth="1" min="14" max="16" width="12.0"/>
    <col customWidth="1" min="17" max="17" width="15.86"/>
  </cols>
  <sheetData>
    <row r="1">
      <c r="A1" s="3" t="s">
        <v>3</v>
      </c>
      <c r="B1" s="3" t="s">
        <v>4</v>
      </c>
      <c r="C1" s="43" t="s">
        <v>1306</v>
      </c>
      <c r="D1" s="5" t="s">
        <v>5</v>
      </c>
      <c r="E1" s="12" t="s">
        <v>1307</v>
      </c>
      <c r="F1" s="12" t="s">
        <v>1308</v>
      </c>
      <c r="G1" s="12" t="s">
        <v>13</v>
      </c>
      <c r="H1" s="12" t="s">
        <v>14</v>
      </c>
      <c r="I1" s="12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" t="s">
        <v>1309</v>
      </c>
    </row>
    <row r="2">
      <c r="A2" s="7">
        <v>1.0</v>
      </c>
      <c r="B2" s="44" t="s">
        <v>1310</v>
      </c>
      <c r="C2" s="31" t="s">
        <v>221</v>
      </c>
      <c r="D2" s="9">
        <f>IFERROR(__xludf.DUMMYFUNCTION("GOOGLEFINANCE(""NSE:""&amp;C2)"),3708.0)</f>
        <v>3708</v>
      </c>
      <c r="E2" s="10" t="str">
        <f>IFERROR(__xludf.DUMMYFUNCTION("INDEX(GOOGLEFINANCE(""NSE:""&amp;C2,dates!$I$1,dates!$C$3),2,2)"),"#N/A")</f>
        <v>#N/A</v>
      </c>
      <c r="F2" s="10" t="str">
        <f>IFERROR(__xludf.DUMMYFUNCTION("INDEX(GOOGLEFINANCE(""NSE:""&amp;C2,dates!$I$1,dates!$C$2),2,2)"),"#N/A")</f>
        <v>#N/A</v>
      </c>
      <c r="G2" s="10">
        <f>IFERROR(__xludf.DUMMYFUNCTION("INDEX(GOOGLEFINANCE(""NSE:""&amp;C2,dates!$I$1,dates!$C$4),2,2)"),3863.4)</f>
        <v>3863.4</v>
      </c>
      <c r="H2" s="10">
        <f>IFERROR(__xludf.DUMMYFUNCTION("INDEX(GOOGLEFINANCE(""NSE:""&amp;C2,dates!$I$1,dates!$C$5),2,2)"),3435.75)</f>
        <v>3435.75</v>
      </c>
      <c r="I2" s="10">
        <f>IFERROR(__xludf.DUMMYFUNCTION("INDEX(GOOGLEFINANCE(""NSE:""&amp;C2,dates!$I$1,dates!$C$6),2,2)"),2648.7)</f>
        <v>2648.7</v>
      </c>
      <c r="J2" s="16" t="str">
        <f t="shared" ref="J2:J242" si="1">(F2-G2)/G2</f>
        <v>#N/A</v>
      </c>
      <c r="K2" s="16" t="str">
        <f t="shared" ref="K2:K242" si="2">(F2-H2)/H2</f>
        <v>#N/A</v>
      </c>
      <c r="L2" s="16" t="str">
        <f t="shared" ref="L2:L242" si="3">(F2-I2)/I2</f>
        <v>#N/A</v>
      </c>
      <c r="M2" s="16" t="str">
        <f t="shared" ref="M2:M242" si="4">J2-K2</f>
        <v>#N/A</v>
      </c>
      <c r="N2" s="17" t="str">
        <f t="shared" ref="N2:N242" si="5">RANK(J2,$J$2:$J$242)</f>
        <v>#N/A</v>
      </c>
      <c r="O2" s="17" t="str">
        <f t="shared" ref="O2:O242" si="6">RANK(K2,$K$2:$K$242)</f>
        <v>#N/A</v>
      </c>
      <c r="P2" s="17" t="str">
        <f t="shared" ref="P2:P242" si="7">RANK(L2,$L$2:$L$242)</f>
        <v>#N/A</v>
      </c>
      <c r="Q2" s="17" t="str">
        <f t="shared" ref="Q2:Q242" si="8">RANK(M2,$M$2:$M$242)</f>
        <v>#N/A</v>
      </c>
      <c r="R2" s="32" t="str">
        <f t="shared" ref="R2:R242" si="9">AVERAGE(N2:Q2)</f>
        <v>#N/A</v>
      </c>
    </row>
    <row r="3">
      <c r="A3" s="7">
        <v>2.0</v>
      </c>
      <c r="B3" s="44" t="s">
        <v>1311</v>
      </c>
      <c r="C3" s="31" t="s">
        <v>175</v>
      </c>
      <c r="D3" s="9">
        <f>IFERROR(__xludf.DUMMYFUNCTION("GOOGLEFINANCE(""NSE:""&amp;C3)"),4570.0)</f>
        <v>4570</v>
      </c>
      <c r="E3" s="10" t="str">
        <f>IFERROR(__xludf.DUMMYFUNCTION("INDEX(GOOGLEFINANCE(""NSE:""&amp;C3,dates!$I$1,dates!$C$3),2,2)"),"#N/A")</f>
        <v>#N/A</v>
      </c>
      <c r="F3" s="10" t="str">
        <f>IFERROR(__xludf.DUMMYFUNCTION("INDEX(GOOGLEFINANCE(""NSE:""&amp;C3,dates!$I$1,dates!$C$2),2,2)"),"#N/A")</f>
        <v>#N/A</v>
      </c>
      <c r="G3" s="10">
        <f>IFERROR(__xludf.DUMMYFUNCTION("INDEX(GOOGLEFINANCE(""NSE:""&amp;C3,dates!$I$1,dates!$C$4),2,2)"),4184.2)</f>
        <v>4184.2</v>
      </c>
      <c r="H3" s="10">
        <f>IFERROR(__xludf.DUMMYFUNCTION("INDEX(GOOGLEFINANCE(""NSE:""&amp;C3,dates!$I$1,dates!$C$5),2,2)"),3935.05)</f>
        <v>3935.05</v>
      </c>
      <c r="I3" s="10">
        <f>IFERROR(__xludf.DUMMYFUNCTION("INDEX(GOOGLEFINANCE(""NSE:""&amp;C3,dates!$I$1,dates!$C$6),2,2)"),3643.05)</f>
        <v>3643.05</v>
      </c>
      <c r="J3" s="16" t="str">
        <f t="shared" si="1"/>
        <v>#N/A</v>
      </c>
      <c r="K3" s="16" t="str">
        <f t="shared" si="2"/>
        <v>#N/A</v>
      </c>
      <c r="L3" s="16" t="str">
        <f t="shared" si="3"/>
        <v>#N/A</v>
      </c>
      <c r="M3" s="16" t="str">
        <f t="shared" si="4"/>
        <v>#N/A</v>
      </c>
      <c r="N3" s="17" t="str">
        <f t="shared" si="5"/>
        <v>#N/A</v>
      </c>
      <c r="O3" s="17" t="str">
        <f t="shared" si="6"/>
        <v>#N/A</v>
      </c>
      <c r="P3" s="17" t="str">
        <f t="shared" si="7"/>
        <v>#N/A</v>
      </c>
      <c r="Q3" s="17" t="str">
        <f t="shared" si="8"/>
        <v>#N/A</v>
      </c>
      <c r="R3" s="32" t="str">
        <f t="shared" si="9"/>
        <v>#N/A</v>
      </c>
    </row>
    <row r="4">
      <c r="A4" s="7">
        <v>4.0</v>
      </c>
      <c r="B4" s="44" t="s">
        <v>1312</v>
      </c>
      <c r="C4" s="31" t="s">
        <v>185</v>
      </c>
      <c r="D4" s="9">
        <f>IFERROR(__xludf.DUMMYFUNCTION("GOOGLEFINANCE(""NSE:""&amp;C4)"),3350.0)</f>
        <v>3350</v>
      </c>
      <c r="E4" s="10" t="str">
        <f>IFERROR(__xludf.DUMMYFUNCTION("INDEX(GOOGLEFINANCE(""NSE:""&amp;C4,dates!$I$1,dates!$C$3),2,2)"),"#N/A")</f>
        <v>#N/A</v>
      </c>
      <c r="F4" s="10" t="str">
        <f>IFERROR(__xludf.DUMMYFUNCTION("INDEX(GOOGLEFINANCE(""NSE:""&amp;C4,dates!$I$1,dates!$C$2),2,2)"),"#N/A")</f>
        <v>#N/A</v>
      </c>
      <c r="G4" s="10">
        <f>IFERROR(__xludf.DUMMYFUNCTION("INDEX(GOOGLEFINANCE(""NSE:""&amp;C4,dates!$I$1,dates!$C$4),2,2)"),3194.1)</f>
        <v>3194.1</v>
      </c>
      <c r="H4" s="10" t="str">
        <f>IFERROR(__xludf.DUMMYFUNCTION("INDEX(GOOGLEFINANCE(""NSE:""&amp;C4,dates!$I$1,dates!$C$5),2,2)"),"#N/A")</f>
        <v>#N/A</v>
      </c>
      <c r="I4" s="10">
        <f>IFERROR(__xludf.DUMMYFUNCTION("INDEX(GOOGLEFINANCE(""NSE:""&amp;C4,dates!$I$1,dates!$C$6),2,2)"),2894.8)</f>
        <v>2894.8</v>
      </c>
      <c r="J4" s="16" t="str">
        <f t="shared" si="1"/>
        <v>#N/A</v>
      </c>
      <c r="K4" s="16" t="str">
        <f t="shared" si="2"/>
        <v>#N/A</v>
      </c>
      <c r="L4" s="16" t="str">
        <f t="shared" si="3"/>
        <v>#N/A</v>
      </c>
      <c r="M4" s="16" t="str">
        <f t="shared" si="4"/>
        <v>#N/A</v>
      </c>
      <c r="N4" s="17" t="str">
        <f t="shared" si="5"/>
        <v>#N/A</v>
      </c>
      <c r="O4" s="17" t="str">
        <f t="shared" si="6"/>
        <v>#N/A</v>
      </c>
      <c r="P4" s="17" t="str">
        <f t="shared" si="7"/>
        <v>#N/A</v>
      </c>
      <c r="Q4" s="17" t="str">
        <f t="shared" si="8"/>
        <v>#N/A</v>
      </c>
      <c r="R4" s="32" t="str">
        <f t="shared" si="9"/>
        <v>#N/A</v>
      </c>
    </row>
    <row r="5">
      <c r="A5" s="7">
        <v>5.0</v>
      </c>
      <c r="B5" s="44" t="s">
        <v>1313</v>
      </c>
      <c r="C5" s="31" t="s">
        <v>479</v>
      </c>
      <c r="D5" s="9">
        <f>IFERROR(__xludf.DUMMYFUNCTION("GOOGLEFINANCE(""NSE:""&amp;C5)"),90.9)</f>
        <v>90.9</v>
      </c>
      <c r="E5" s="10" t="str">
        <f>IFERROR(__xludf.DUMMYFUNCTION("INDEX(GOOGLEFINANCE(""NSE:""&amp;C5,dates!$I$1,dates!$C$3),2,2)"),"#N/A")</f>
        <v>#N/A</v>
      </c>
      <c r="F5" s="10" t="str">
        <f>IFERROR(__xludf.DUMMYFUNCTION("INDEX(GOOGLEFINANCE(""NSE:""&amp;C5,dates!$I$1,dates!$C$2),2,2)"),"#N/A")</f>
        <v>#N/A</v>
      </c>
      <c r="G5" s="10">
        <f>IFERROR(__xludf.DUMMYFUNCTION("INDEX(GOOGLEFINANCE(""NSE:""&amp;C5,dates!$I$1,dates!$C$4),2,2)"),94.15)</f>
        <v>94.15</v>
      </c>
      <c r="H5" s="10">
        <f>IFERROR(__xludf.DUMMYFUNCTION("INDEX(GOOGLEFINANCE(""NSE:""&amp;C5,dates!$I$1,dates!$C$5),2,2)"),100.75)</f>
        <v>100.75</v>
      </c>
      <c r="I5" s="10">
        <f>IFERROR(__xludf.DUMMYFUNCTION("INDEX(GOOGLEFINANCE(""NSE:""&amp;C5,dates!$I$1,dates!$C$6),2,2)"),85.0)</f>
        <v>85</v>
      </c>
      <c r="J5" s="16" t="str">
        <f t="shared" si="1"/>
        <v>#N/A</v>
      </c>
      <c r="K5" s="16" t="str">
        <f t="shared" si="2"/>
        <v>#N/A</v>
      </c>
      <c r="L5" s="16" t="str">
        <f t="shared" si="3"/>
        <v>#N/A</v>
      </c>
      <c r="M5" s="16" t="str">
        <f t="shared" si="4"/>
        <v>#N/A</v>
      </c>
      <c r="N5" s="17" t="str">
        <f t="shared" si="5"/>
        <v>#N/A</v>
      </c>
      <c r="O5" s="17" t="str">
        <f t="shared" si="6"/>
        <v>#N/A</v>
      </c>
      <c r="P5" s="17" t="str">
        <f t="shared" si="7"/>
        <v>#N/A</v>
      </c>
      <c r="Q5" s="17" t="str">
        <f t="shared" si="8"/>
        <v>#N/A</v>
      </c>
      <c r="R5" s="32" t="str">
        <f t="shared" si="9"/>
        <v>#N/A</v>
      </c>
    </row>
    <row r="6">
      <c r="A6" s="7">
        <v>6.0</v>
      </c>
      <c r="B6" s="44" t="s">
        <v>1314</v>
      </c>
      <c r="C6" s="31" t="s">
        <v>50</v>
      </c>
      <c r="D6" s="9">
        <f>IFERROR(__xludf.DUMMYFUNCTION("GOOGLEFINANCE(""NSE:""&amp;C6)"),18430.0)</f>
        <v>18430</v>
      </c>
      <c r="E6" s="10" t="str">
        <f>IFERROR(__xludf.DUMMYFUNCTION("INDEX(GOOGLEFINANCE(""NSE:""&amp;C6,dates!$I$1,dates!$C$3),2,2)"),"#N/A")</f>
        <v>#N/A</v>
      </c>
      <c r="F6" s="10" t="str">
        <f>IFERROR(__xludf.DUMMYFUNCTION("INDEX(GOOGLEFINANCE(""NSE:""&amp;C6,dates!$I$1,dates!$C$2),2,2)"),"#N/A")</f>
        <v>#N/A</v>
      </c>
      <c r="G6" s="10">
        <f>IFERROR(__xludf.DUMMYFUNCTION("INDEX(GOOGLEFINANCE(""NSE:""&amp;C6,dates!$I$1,dates!$C$4),2,2)"),16840.2)</f>
        <v>16840.2</v>
      </c>
      <c r="H6" s="10">
        <f>IFERROR(__xludf.DUMMYFUNCTION("INDEX(GOOGLEFINANCE(""NSE:""&amp;C6,dates!$I$1,dates!$C$5),2,2)"),16938.2)</f>
        <v>16938.2</v>
      </c>
      <c r="I6" s="10">
        <f>IFERROR(__xludf.DUMMYFUNCTION("INDEX(GOOGLEFINANCE(""NSE:""&amp;C6,dates!$I$1,dates!$C$6),2,2)"),16195.6)</f>
        <v>16195.6</v>
      </c>
      <c r="J6" s="16" t="str">
        <f t="shared" si="1"/>
        <v>#N/A</v>
      </c>
      <c r="K6" s="16" t="str">
        <f t="shared" si="2"/>
        <v>#N/A</v>
      </c>
      <c r="L6" s="16" t="str">
        <f t="shared" si="3"/>
        <v>#N/A</v>
      </c>
      <c r="M6" s="16" t="str">
        <f t="shared" si="4"/>
        <v>#N/A</v>
      </c>
      <c r="N6" s="17" t="str">
        <f t="shared" si="5"/>
        <v>#N/A</v>
      </c>
      <c r="O6" s="17" t="str">
        <f t="shared" si="6"/>
        <v>#N/A</v>
      </c>
      <c r="P6" s="17" t="str">
        <f t="shared" si="7"/>
        <v>#N/A</v>
      </c>
      <c r="Q6" s="17" t="str">
        <f t="shared" si="8"/>
        <v>#N/A</v>
      </c>
      <c r="R6" s="32" t="str">
        <f t="shared" si="9"/>
        <v>#N/A</v>
      </c>
    </row>
    <row r="7">
      <c r="A7" s="7">
        <v>7.0</v>
      </c>
      <c r="B7" s="44" t="s">
        <v>1315</v>
      </c>
      <c r="C7" s="31" t="s">
        <v>178</v>
      </c>
      <c r="D7" s="9">
        <f>IFERROR(__xludf.DUMMYFUNCTION("GOOGLEFINANCE(""NSE:""&amp;C7)"),11004.0)</f>
        <v>11004</v>
      </c>
      <c r="E7" s="10" t="str">
        <f>IFERROR(__xludf.DUMMYFUNCTION("INDEX(GOOGLEFINANCE(""NSE:""&amp;C7,dates!$I$1,dates!$C$3),2,2)"),"#N/A")</f>
        <v>#N/A</v>
      </c>
      <c r="F7" s="10" t="str">
        <f>IFERROR(__xludf.DUMMYFUNCTION("INDEX(GOOGLEFINANCE(""NSE:""&amp;C7,dates!$I$1,dates!$C$2),2,2)"),"#N/A")</f>
        <v>#N/A</v>
      </c>
      <c r="G7" s="10">
        <f>IFERROR(__xludf.DUMMYFUNCTION("INDEX(GOOGLEFINANCE(""NSE:""&amp;C7,dates!$I$1,dates!$C$4),2,2)"),11099.05)</f>
        <v>11099.05</v>
      </c>
      <c r="H7" s="10">
        <f>IFERROR(__xludf.DUMMYFUNCTION("INDEX(GOOGLEFINANCE(""NSE:""&amp;C7,dates!$I$1,dates!$C$5),2,2)"),10685.5)</f>
        <v>10685.5</v>
      </c>
      <c r="I7" s="10">
        <f>IFERROR(__xludf.DUMMYFUNCTION("INDEX(GOOGLEFINANCE(""NSE:""&amp;C7,dates!$I$1,dates!$C$6),2,2)"),9423.55)</f>
        <v>9423.55</v>
      </c>
      <c r="J7" s="16" t="str">
        <f t="shared" si="1"/>
        <v>#N/A</v>
      </c>
      <c r="K7" s="16" t="str">
        <f t="shared" si="2"/>
        <v>#N/A</v>
      </c>
      <c r="L7" s="16" t="str">
        <f t="shared" si="3"/>
        <v>#N/A</v>
      </c>
      <c r="M7" s="16" t="str">
        <f t="shared" si="4"/>
        <v>#N/A</v>
      </c>
      <c r="N7" s="17" t="str">
        <f t="shared" si="5"/>
        <v>#N/A</v>
      </c>
      <c r="O7" s="17" t="str">
        <f t="shared" si="6"/>
        <v>#N/A</v>
      </c>
      <c r="P7" s="17" t="str">
        <f t="shared" si="7"/>
        <v>#N/A</v>
      </c>
      <c r="Q7" s="17" t="str">
        <f t="shared" si="8"/>
        <v>#N/A</v>
      </c>
      <c r="R7" s="32" t="str">
        <f t="shared" si="9"/>
        <v>#N/A</v>
      </c>
    </row>
    <row r="8">
      <c r="A8" s="7">
        <v>8.0</v>
      </c>
      <c r="B8" s="44" t="s">
        <v>1316</v>
      </c>
      <c r="C8" s="31" t="s">
        <v>796</v>
      </c>
      <c r="D8" s="9">
        <f>IFERROR(__xludf.DUMMYFUNCTION("GOOGLEFINANCE(""NSE:""&amp;C8)"),601.6)</f>
        <v>601.6</v>
      </c>
      <c r="E8" s="10" t="str">
        <f>IFERROR(__xludf.DUMMYFUNCTION("INDEX(GOOGLEFINANCE(""NSE:""&amp;C8,dates!$I$1,dates!$C$3),2,2)"),"#N/A")</f>
        <v>#N/A</v>
      </c>
      <c r="F8" s="10" t="str">
        <f>IFERROR(__xludf.DUMMYFUNCTION("INDEX(GOOGLEFINANCE(""NSE:""&amp;C8,dates!$I$1,dates!$C$2),2,2)"),"#N/A")</f>
        <v>#N/A</v>
      </c>
      <c r="G8" s="10">
        <f>IFERROR(__xludf.DUMMYFUNCTION("INDEX(GOOGLEFINANCE(""NSE:""&amp;C8,dates!$I$1,dates!$C$4),2,2)"),598.75)</f>
        <v>598.75</v>
      </c>
      <c r="H8" s="10">
        <f>IFERROR(__xludf.DUMMYFUNCTION("INDEX(GOOGLEFINANCE(""NSE:""&amp;C8,dates!$I$1,dates!$C$5),2,2)"),592.75)</f>
        <v>592.75</v>
      </c>
      <c r="I8" s="10">
        <f>IFERROR(__xludf.DUMMYFUNCTION("INDEX(GOOGLEFINANCE(""NSE:""&amp;C8,dates!$I$1,dates!$C$6),2,2)"),433.85)</f>
        <v>433.85</v>
      </c>
      <c r="J8" s="16" t="str">
        <f t="shared" si="1"/>
        <v>#N/A</v>
      </c>
      <c r="K8" s="16" t="str">
        <f t="shared" si="2"/>
        <v>#N/A</v>
      </c>
      <c r="L8" s="16" t="str">
        <f t="shared" si="3"/>
        <v>#N/A</v>
      </c>
      <c r="M8" s="16" t="str">
        <f t="shared" si="4"/>
        <v>#N/A</v>
      </c>
      <c r="N8" s="17" t="str">
        <f t="shared" si="5"/>
        <v>#N/A</v>
      </c>
      <c r="O8" s="17" t="str">
        <f t="shared" si="6"/>
        <v>#N/A</v>
      </c>
      <c r="P8" s="17" t="str">
        <f t="shared" si="7"/>
        <v>#N/A</v>
      </c>
      <c r="Q8" s="17" t="str">
        <f t="shared" si="8"/>
        <v>#N/A</v>
      </c>
      <c r="R8" s="32" t="str">
        <f t="shared" si="9"/>
        <v>#N/A</v>
      </c>
    </row>
    <row r="9">
      <c r="A9" s="7">
        <v>9.0</v>
      </c>
      <c r="B9" s="44" t="s">
        <v>1317</v>
      </c>
      <c r="C9" s="31" t="s">
        <v>239</v>
      </c>
      <c r="D9" s="9">
        <f>IFERROR(__xludf.DUMMYFUNCTION("GOOGLEFINANCE(""NSE:""&amp;C9)"),4780.05)</f>
        <v>4780.05</v>
      </c>
      <c r="E9" s="10" t="str">
        <f>IFERROR(__xludf.DUMMYFUNCTION("INDEX(GOOGLEFINANCE(""NSE:""&amp;C9,dates!$I$1,dates!$C$3),2,2)"),"#N/A")</f>
        <v>#N/A</v>
      </c>
      <c r="F9" s="10" t="str">
        <f>IFERROR(__xludf.DUMMYFUNCTION("INDEX(GOOGLEFINANCE(""NSE:""&amp;C9,dates!$I$1,dates!$C$2),2,2)"),"#N/A")</f>
        <v>#N/A</v>
      </c>
      <c r="G9" s="10">
        <f>IFERROR(__xludf.DUMMYFUNCTION("INDEX(GOOGLEFINANCE(""NSE:""&amp;C9,dates!$I$1,dates!$C$4),2,2)"),4558.7)</f>
        <v>4558.7</v>
      </c>
      <c r="H9" s="10">
        <f>IFERROR(__xludf.DUMMYFUNCTION("INDEX(GOOGLEFINANCE(""NSE:""&amp;C9,dates!$I$1,dates!$C$5),2,2)"),4373.25)</f>
        <v>4373.25</v>
      </c>
      <c r="I9" s="10">
        <f>IFERROR(__xludf.DUMMYFUNCTION("INDEX(GOOGLEFINANCE(""NSE:""&amp;C9,dates!$I$1,dates!$C$6),2,2)"),3974.2)</f>
        <v>3974.2</v>
      </c>
      <c r="J9" s="16" t="str">
        <f t="shared" si="1"/>
        <v>#N/A</v>
      </c>
      <c r="K9" s="16" t="str">
        <f t="shared" si="2"/>
        <v>#N/A</v>
      </c>
      <c r="L9" s="16" t="str">
        <f t="shared" si="3"/>
        <v>#N/A</v>
      </c>
      <c r="M9" s="16" t="str">
        <f t="shared" si="4"/>
        <v>#N/A</v>
      </c>
      <c r="N9" s="17" t="str">
        <f t="shared" si="5"/>
        <v>#N/A</v>
      </c>
      <c r="O9" s="17" t="str">
        <f t="shared" si="6"/>
        <v>#N/A</v>
      </c>
      <c r="P9" s="17" t="str">
        <f t="shared" si="7"/>
        <v>#N/A</v>
      </c>
      <c r="Q9" s="17" t="str">
        <f t="shared" si="8"/>
        <v>#N/A</v>
      </c>
      <c r="R9" s="32" t="str">
        <f t="shared" si="9"/>
        <v>#N/A</v>
      </c>
    </row>
    <row r="10">
      <c r="A10" s="7">
        <v>10.0</v>
      </c>
      <c r="B10" s="44" t="s">
        <v>1318</v>
      </c>
      <c r="C10" s="31" t="s">
        <v>315</v>
      </c>
      <c r="D10" s="9">
        <f>IFERROR(__xludf.DUMMYFUNCTION("GOOGLEFINANCE(""NSE:""&amp;C10)"),2425.2)</f>
        <v>2425.2</v>
      </c>
      <c r="E10" s="10" t="str">
        <f>IFERROR(__xludf.DUMMYFUNCTION("INDEX(GOOGLEFINANCE(""NSE:""&amp;C10,dates!$I$1,dates!$C$3),2,2)"),"#N/A")</f>
        <v>#N/A</v>
      </c>
      <c r="F10" s="10" t="str">
        <f>IFERROR(__xludf.DUMMYFUNCTION("INDEX(GOOGLEFINANCE(""NSE:""&amp;C10,dates!$I$1,dates!$C$2),2,2)"),"#N/A")</f>
        <v>#N/A</v>
      </c>
      <c r="G10" s="10">
        <f>IFERROR(__xludf.DUMMYFUNCTION("INDEX(GOOGLEFINANCE(""NSE:""&amp;C10,dates!$I$1,dates!$C$4),2,2)"),2505.75)</f>
        <v>2505.75</v>
      </c>
      <c r="H10" s="10">
        <f>IFERROR(__xludf.DUMMYFUNCTION("INDEX(GOOGLEFINANCE(""NSE:""&amp;C10,dates!$I$1,dates!$C$5),2,2)"),2442.35)</f>
        <v>2442.35</v>
      </c>
      <c r="I10" s="10">
        <f>IFERROR(__xludf.DUMMYFUNCTION("INDEX(GOOGLEFINANCE(""NSE:""&amp;C10,dates!$I$1,dates!$C$6),2,2)"),1894.55)</f>
        <v>1894.55</v>
      </c>
      <c r="J10" s="16" t="str">
        <f t="shared" si="1"/>
        <v>#N/A</v>
      </c>
      <c r="K10" s="16" t="str">
        <f t="shared" si="2"/>
        <v>#N/A</v>
      </c>
      <c r="L10" s="16" t="str">
        <f t="shared" si="3"/>
        <v>#N/A</v>
      </c>
      <c r="M10" s="16" t="str">
        <f t="shared" si="4"/>
        <v>#N/A</v>
      </c>
      <c r="N10" s="17" t="str">
        <f t="shared" si="5"/>
        <v>#N/A</v>
      </c>
      <c r="O10" s="17" t="str">
        <f t="shared" si="6"/>
        <v>#N/A</v>
      </c>
      <c r="P10" s="17" t="str">
        <f t="shared" si="7"/>
        <v>#N/A</v>
      </c>
      <c r="Q10" s="17" t="str">
        <f t="shared" si="8"/>
        <v>#N/A</v>
      </c>
      <c r="R10" s="32" t="str">
        <f t="shared" si="9"/>
        <v>#N/A</v>
      </c>
    </row>
    <row r="11">
      <c r="A11" s="7">
        <v>11.0</v>
      </c>
      <c r="B11" s="44" t="s">
        <v>1319</v>
      </c>
      <c r="C11" s="31" t="s">
        <v>36</v>
      </c>
      <c r="D11" s="9">
        <f>IFERROR(__xludf.DUMMYFUNCTION("GOOGLEFINANCE(""NSE:""&amp;C11)"),7890.05)</f>
        <v>7890.05</v>
      </c>
      <c r="E11" s="10" t="str">
        <f>IFERROR(__xludf.DUMMYFUNCTION("INDEX(GOOGLEFINANCE(""NSE:""&amp;C11,dates!$I$1,dates!$C$3),2,2)"),"#N/A")</f>
        <v>#N/A</v>
      </c>
      <c r="F11" s="10" t="str">
        <f>IFERROR(__xludf.DUMMYFUNCTION("INDEX(GOOGLEFINANCE(""NSE:""&amp;C11,dates!$I$1,dates!$C$2),2,2)"),"#N/A")</f>
        <v>#N/A</v>
      </c>
      <c r="G11" s="10">
        <f>IFERROR(__xludf.DUMMYFUNCTION("INDEX(GOOGLEFINANCE(""NSE:""&amp;C11,dates!$I$1,dates!$C$4),2,2)"),7428.8)</f>
        <v>7428.8</v>
      </c>
      <c r="H11" s="10">
        <f>IFERROR(__xludf.DUMMYFUNCTION("INDEX(GOOGLEFINANCE(""NSE:""&amp;C11,dates!$I$1,dates!$C$5),2,2)"),7445.55)</f>
        <v>7445.55</v>
      </c>
      <c r="I11" s="10">
        <f>IFERROR(__xludf.DUMMYFUNCTION("INDEX(GOOGLEFINANCE(""NSE:""&amp;C11,dates!$I$1,dates!$C$6),2,2)"),6966.6)</f>
        <v>6966.6</v>
      </c>
      <c r="J11" s="16" t="str">
        <f t="shared" si="1"/>
        <v>#N/A</v>
      </c>
      <c r="K11" s="16" t="str">
        <f t="shared" si="2"/>
        <v>#N/A</v>
      </c>
      <c r="L11" s="16" t="str">
        <f t="shared" si="3"/>
        <v>#N/A</v>
      </c>
      <c r="M11" s="16" t="str">
        <f t="shared" si="4"/>
        <v>#N/A</v>
      </c>
      <c r="N11" s="17" t="str">
        <f t="shared" si="5"/>
        <v>#N/A</v>
      </c>
      <c r="O11" s="17" t="str">
        <f t="shared" si="6"/>
        <v>#N/A</v>
      </c>
      <c r="P11" s="17" t="str">
        <f t="shared" si="7"/>
        <v>#N/A</v>
      </c>
      <c r="Q11" s="17" t="str">
        <f t="shared" si="8"/>
        <v>#N/A</v>
      </c>
      <c r="R11" s="32" t="str">
        <f t="shared" si="9"/>
        <v>#N/A</v>
      </c>
    </row>
    <row r="12">
      <c r="A12" s="7">
        <v>12.0</v>
      </c>
      <c r="B12" s="44" t="s">
        <v>1320</v>
      </c>
      <c r="C12" s="31" t="s">
        <v>100</v>
      </c>
      <c r="D12" s="9">
        <f>IFERROR(__xludf.DUMMYFUNCTION("GOOGLEFINANCE(""NSE:""&amp;C12)"),1058.0)</f>
        <v>1058</v>
      </c>
      <c r="E12" s="10" t="str">
        <f>IFERROR(__xludf.DUMMYFUNCTION("INDEX(GOOGLEFINANCE(""NSE:""&amp;C12,dates!$I$1,dates!$C$3),2,2)"),"#N/A")</f>
        <v>#N/A</v>
      </c>
      <c r="F12" s="10" t="str">
        <f>IFERROR(__xludf.DUMMYFUNCTION("INDEX(GOOGLEFINANCE(""NSE:""&amp;C12,dates!$I$1,dates!$C$2),2,2)"),"#N/A")</f>
        <v>#N/A</v>
      </c>
      <c r="G12" s="10">
        <f>IFERROR(__xludf.DUMMYFUNCTION("INDEX(GOOGLEFINANCE(""NSE:""&amp;C12,dates!$I$1,dates!$C$4),2,2)"),1090.6)</f>
        <v>1090.6</v>
      </c>
      <c r="H12" s="10">
        <f>IFERROR(__xludf.DUMMYFUNCTION("INDEX(GOOGLEFINANCE(""NSE:""&amp;C12,dates!$I$1,dates!$C$5),2,2)"),1121.25)</f>
        <v>1121.25</v>
      </c>
      <c r="I12" s="10">
        <f>IFERROR(__xludf.DUMMYFUNCTION("INDEX(GOOGLEFINANCE(""NSE:""&amp;C12,dates!$I$1,dates!$C$6),2,2)"),1054.05)</f>
        <v>1054.05</v>
      </c>
      <c r="J12" s="16" t="str">
        <f t="shared" si="1"/>
        <v>#N/A</v>
      </c>
      <c r="K12" s="16" t="str">
        <f t="shared" si="2"/>
        <v>#N/A</v>
      </c>
      <c r="L12" s="16" t="str">
        <f t="shared" si="3"/>
        <v>#N/A</v>
      </c>
      <c r="M12" s="16" t="str">
        <f t="shared" si="4"/>
        <v>#N/A</v>
      </c>
      <c r="N12" s="17" t="str">
        <f t="shared" si="5"/>
        <v>#N/A</v>
      </c>
      <c r="O12" s="17" t="str">
        <f t="shared" si="6"/>
        <v>#N/A</v>
      </c>
      <c r="P12" s="17" t="str">
        <f t="shared" si="7"/>
        <v>#N/A</v>
      </c>
      <c r="Q12" s="17" t="str">
        <f t="shared" si="8"/>
        <v>#N/A</v>
      </c>
      <c r="R12" s="32" t="str">
        <f t="shared" si="9"/>
        <v>#N/A</v>
      </c>
    </row>
    <row r="13">
      <c r="A13" s="7">
        <v>13.0</v>
      </c>
      <c r="B13" s="44" t="s">
        <v>1321</v>
      </c>
      <c r="C13" s="31" t="s">
        <v>171</v>
      </c>
      <c r="D13" s="9">
        <f>IFERROR(__xludf.DUMMYFUNCTION("GOOGLEFINANCE(""NSE:""&amp;C13)"),2781.0)</f>
        <v>2781</v>
      </c>
      <c r="E13" s="10" t="str">
        <f>IFERROR(__xludf.DUMMYFUNCTION("INDEX(GOOGLEFINANCE(""NSE:""&amp;C13,dates!$I$1,dates!$C$3),2,2)"),"#N/A")</f>
        <v>#N/A</v>
      </c>
      <c r="F13" s="10" t="str">
        <f>IFERROR(__xludf.DUMMYFUNCTION("INDEX(GOOGLEFINANCE(""NSE:""&amp;C13,dates!$I$1,dates!$C$2),2,2)"),"#N/A")</f>
        <v>#N/A</v>
      </c>
      <c r="G13" s="10">
        <f>IFERROR(__xludf.DUMMYFUNCTION("INDEX(GOOGLEFINANCE(""NSE:""&amp;C13,dates!$I$1,dates!$C$4),2,2)"),2634.7)</f>
        <v>2634.7</v>
      </c>
      <c r="H13" s="10">
        <f>IFERROR(__xludf.DUMMYFUNCTION("INDEX(GOOGLEFINANCE(""NSE:""&amp;C13,dates!$I$1,dates!$C$5),2,2)"),2570.6)</f>
        <v>2570.6</v>
      </c>
      <c r="I13" s="10">
        <f>IFERROR(__xludf.DUMMYFUNCTION("INDEX(GOOGLEFINANCE(""NSE:""&amp;C13,dates!$I$1,dates!$C$6),2,2)"),2571.1)</f>
        <v>2571.1</v>
      </c>
      <c r="J13" s="16" t="str">
        <f t="shared" si="1"/>
        <v>#N/A</v>
      </c>
      <c r="K13" s="16" t="str">
        <f t="shared" si="2"/>
        <v>#N/A</v>
      </c>
      <c r="L13" s="16" t="str">
        <f t="shared" si="3"/>
        <v>#N/A</v>
      </c>
      <c r="M13" s="16" t="str">
        <f t="shared" si="4"/>
        <v>#N/A</v>
      </c>
      <c r="N13" s="17" t="str">
        <f t="shared" si="5"/>
        <v>#N/A</v>
      </c>
      <c r="O13" s="17" t="str">
        <f t="shared" si="6"/>
        <v>#N/A</v>
      </c>
      <c r="P13" s="17" t="str">
        <f t="shared" si="7"/>
        <v>#N/A</v>
      </c>
      <c r="Q13" s="17" t="str">
        <f t="shared" si="8"/>
        <v>#N/A</v>
      </c>
      <c r="R13" s="32" t="str">
        <f t="shared" si="9"/>
        <v>#N/A</v>
      </c>
    </row>
    <row r="14">
      <c r="A14" s="7">
        <v>14.0</v>
      </c>
      <c r="B14" s="44" t="s">
        <v>1322</v>
      </c>
      <c r="C14" s="31" t="s">
        <v>67</v>
      </c>
      <c r="D14" s="9">
        <f>IFERROR(__xludf.DUMMYFUNCTION("GOOGLEFINANCE(""NSE:""&amp;C14)"),1315.5)</f>
        <v>1315.5</v>
      </c>
      <c r="E14" s="10" t="str">
        <f>IFERROR(__xludf.DUMMYFUNCTION("INDEX(GOOGLEFINANCE(""NSE:""&amp;C14,dates!$I$1,dates!$C$3),2,2)"),"#N/A")</f>
        <v>#N/A</v>
      </c>
      <c r="F14" s="10" t="str">
        <f>IFERROR(__xludf.DUMMYFUNCTION("INDEX(GOOGLEFINANCE(""NSE:""&amp;C14,dates!$I$1,dates!$C$2),2,2)"),"#N/A")</f>
        <v>#N/A</v>
      </c>
      <c r="G14" s="10">
        <f>IFERROR(__xludf.DUMMYFUNCTION("INDEX(GOOGLEFINANCE(""NSE:""&amp;C14,dates!$I$1,dates!$C$4),2,2)"),1385.9)</f>
        <v>1385.9</v>
      </c>
      <c r="H14" s="10">
        <f>IFERROR(__xludf.DUMMYFUNCTION("INDEX(GOOGLEFINANCE(""NSE:""&amp;C14,dates!$I$1,dates!$C$5),2,2)"),1463.45)</f>
        <v>1463.45</v>
      </c>
      <c r="I14" s="10">
        <f>IFERROR(__xludf.DUMMYFUNCTION("INDEX(GOOGLEFINANCE(""NSE:""&amp;C14,dates!$I$1,dates!$C$6),2,2)"),1384.15)</f>
        <v>1384.15</v>
      </c>
      <c r="J14" s="16" t="str">
        <f t="shared" si="1"/>
        <v>#N/A</v>
      </c>
      <c r="K14" s="16" t="str">
        <f t="shared" si="2"/>
        <v>#N/A</v>
      </c>
      <c r="L14" s="16" t="str">
        <f t="shared" si="3"/>
        <v>#N/A</v>
      </c>
      <c r="M14" s="16" t="str">
        <f t="shared" si="4"/>
        <v>#N/A</v>
      </c>
      <c r="N14" s="17" t="str">
        <f t="shared" si="5"/>
        <v>#N/A</v>
      </c>
      <c r="O14" s="17" t="str">
        <f t="shared" si="6"/>
        <v>#N/A</v>
      </c>
      <c r="P14" s="17" t="str">
        <f t="shared" si="7"/>
        <v>#N/A</v>
      </c>
      <c r="Q14" s="17" t="str">
        <f t="shared" si="8"/>
        <v>#N/A</v>
      </c>
      <c r="R14" s="32" t="str">
        <f t="shared" si="9"/>
        <v>#N/A</v>
      </c>
    </row>
    <row r="15">
      <c r="A15" s="7">
        <v>15.0</v>
      </c>
      <c r="B15" s="44" t="s">
        <v>1323</v>
      </c>
      <c r="C15" s="31" t="s">
        <v>214</v>
      </c>
      <c r="D15" s="9">
        <f>IFERROR(__xludf.DUMMYFUNCTION("GOOGLEFINANCE(""NSE:""&amp;C15)"),207.4)</f>
        <v>207.4</v>
      </c>
      <c r="E15" s="10" t="str">
        <f>IFERROR(__xludf.DUMMYFUNCTION("INDEX(GOOGLEFINANCE(""NSE:""&amp;C15,dates!$I$1,dates!$C$3),2,2)"),"#N/A")</f>
        <v>#N/A</v>
      </c>
      <c r="F15" s="10" t="str">
        <f>IFERROR(__xludf.DUMMYFUNCTION("INDEX(GOOGLEFINANCE(""NSE:""&amp;C15,dates!$I$1,dates!$C$2),2,2)"),"#N/A")</f>
        <v>#N/A</v>
      </c>
      <c r="G15" s="10">
        <f>IFERROR(__xludf.DUMMYFUNCTION("INDEX(GOOGLEFINANCE(""NSE:""&amp;C15,dates!$I$1,dates!$C$4),2,2)"),205.3)</f>
        <v>205.3</v>
      </c>
      <c r="H15" s="10">
        <f>IFERROR(__xludf.DUMMYFUNCTION("INDEX(GOOGLEFINANCE(""NSE:""&amp;C15,dates!$I$1,dates!$C$5),2,2)"),196.5)</f>
        <v>196.5</v>
      </c>
      <c r="I15" s="10">
        <f>IFERROR(__xludf.DUMMYFUNCTION("INDEX(GOOGLEFINANCE(""NSE:""&amp;C15,dates!$I$1,dates!$C$6),2,2)"),185.3)</f>
        <v>185.3</v>
      </c>
      <c r="J15" s="16" t="str">
        <f t="shared" si="1"/>
        <v>#N/A</v>
      </c>
      <c r="K15" s="16" t="str">
        <f t="shared" si="2"/>
        <v>#N/A</v>
      </c>
      <c r="L15" s="16" t="str">
        <f t="shared" si="3"/>
        <v>#N/A</v>
      </c>
      <c r="M15" s="16" t="str">
        <f t="shared" si="4"/>
        <v>#N/A</v>
      </c>
      <c r="N15" s="17" t="str">
        <f t="shared" si="5"/>
        <v>#N/A</v>
      </c>
      <c r="O15" s="17" t="str">
        <f t="shared" si="6"/>
        <v>#N/A</v>
      </c>
      <c r="P15" s="17" t="str">
        <f t="shared" si="7"/>
        <v>#N/A</v>
      </c>
      <c r="Q15" s="17" t="str">
        <f t="shared" si="8"/>
        <v>#N/A</v>
      </c>
      <c r="R15" s="32" t="str">
        <f t="shared" si="9"/>
        <v>#N/A</v>
      </c>
    </row>
    <row r="16">
      <c r="A16" s="7">
        <v>16.0</v>
      </c>
      <c r="B16" s="44" t="s">
        <v>1324</v>
      </c>
      <c r="C16" s="31" t="s">
        <v>87</v>
      </c>
      <c r="D16" s="9">
        <f>IFERROR(__xludf.DUMMYFUNCTION("GOOGLEFINANCE(""NSE:""&amp;C16)"),1523.0)</f>
        <v>1523</v>
      </c>
      <c r="E16" s="10" t="str">
        <f>IFERROR(__xludf.DUMMYFUNCTION("INDEX(GOOGLEFINANCE(""NSE:""&amp;C16,dates!$I$1,dates!$C$3),2,2)"),"#N/A")</f>
        <v>#N/A</v>
      </c>
      <c r="F16" s="10" t="str">
        <f>IFERROR(__xludf.DUMMYFUNCTION("INDEX(GOOGLEFINANCE(""NSE:""&amp;C16,dates!$I$1,dates!$C$2),2,2)"),"#N/A")</f>
        <v>#N/A</v>
      </c>
      <c r="G16" s="10">
        <f>IFERROR(__xludf.DUMMYFUNCTION("INDEX(GOOGLEFINANCE(""NSE:""&amp;C16,dates!$I$1,dates!$C$4),2,2)"),1451.55)</f>
        <v>1451.55</v>
      </c>
      <c r="H16" s="10">
        <f>IFERROR(__xludf.DUMMYFUNCTION("INDEX(GOOGLEFINANCE(""NSE:""&amp;C16,dates!$I$1,dates!$C$5),2,2)"),1429.5)</f>
        <v>1429.5</v>
      </c>
      <c r="I16" s="10">
        <f>IFERROR(__xludf.DUMMYFUNCTION("INDEX(GOOGLEFINANCE(""NSE:""&amp;C16,dates!$I$1,dates!$C$6),2,2)"),1445.4)</f>
        <v>1445.4</v>
      </c>
      <c r="J16" s="16" t="str">
        <f t="shared" si="1"/>
        <v>#N/A</v>
      </c>
      <c r="K16" s="16" t="str">
        <f t="shared" si="2"/>
        <v>#N/A</v>
      </c>
      <c r="L16" s="16" t="str">
        <f t="shared" si="3"/>
        <v>#N/A</v>
      </c>
      <c r="M16" s="16" t="str">
        <f t="shared" si="4"/>
        <v>#N/A</v>
      </c>
      <c r="N16" s="17" t="str">
        <f t="shared" si="5"/>
        <v>#N/A</v>
      </c>
      <c r="O16" s="17" t="str">
        <f t="shared" si="6"/>
        <v>#N/A</v>
      </c>
      <c r="P16" s="17" t="str">
        <f t="shared" si="7"/>
        <v>#N/A</v>
      </c>
      <c r="Q16" s="17" t="str">
        <f t="shared" si="8"/>
        <v>#N/A</v>
      </c>
      <c r="R16" s="32" t="str">
        <f t="shared" si="9"/>
        <v>#N/A</v>
      </c>
    </row>
    <row r="17">
      <c r="A17" s="7">
        <v>17.0</v>
      </c>
      <c r="B17" s="44" t="s">
        <v>1325</v>
      </c>
      <c r="C17" s="31" t="s">
        <v>134</v>
      </c>
      <c r="D17" s="9">
        <f>IFERROR(__xludf.DUMMYFUNCTION("GOOGLEFINANCE(""NSE:""&amp;C17)"),418.55)</f>
        <v>418.55</v>
      </c>
      <c r="E17" s="10" t="str">
        <f>IFERROR(__xludf.DUMMYFUNCTION("INDEX(GOOGLEFINANCE(""NSE:""&amp;C17,dates!$I$1,dates!$C$3),2,2)"),"#N/A")</f>
        <v>#N/A</v>
      </c>
      <c r="F17" s="10" t="str">
        <f>IFERROR(__xludf.DUMMYFUNCTION("INDEX(GOOGLEFINANCE(""NSE:""&amp;C17,dates!$I$1,dates!$C$2),2,2)"),"#N/A")</f>
        <v>#N/A</v>
      </c>
      <c r="G17" s="10">
        <f>IFERROR(__xludf.DUMMYFUNCTION("INDEX(GOOGLEFINANCE(""NSE:""&amp;C17,dates!$I$1,dates!$C$4),2,2)"),419.8)</f>
        <v>419.8</v>
      </c>
      <c r="H17" s="10">
        <f>IFERROR(__xludf.DUMMYFUNCTION("INDEX(GOOGLEFINANCE(""NSE:""&amp;C17,dates!$I$1,dates!$C$5),2,2)"),436.25)</f>
        <v>436.25</v>
      </c>
      <c r="I17" s="10">
        <f>IFERROR(__xludf.DUMMYFUNCTION("INDEX(GOOGLEFINANCE(""NSE:""&amp;C17,dates!$I$1,dates!$C$6),2,2)"),410.05)</f>
        <v>410.05</v>
      </c>
      <c r="J17" s="16" t="str">
        <f t="shared" si="1"/>
        <v>#N/A</v>
      </c>
      <c r="K17" s="16" t="str">
        <f t="shared" si="2"/>
        <v>#N/A</v>
      </c>
      <c r="L17" s="16" t="str">
        <f t="shared" si="3"/>
        <v>#N/A</v>
      </c>
      <c r="M17" s="16" t="str">
        <f t="shared" si="4"/>
        <v>#N/A</v>
      </c>
      <c r="N17" s="17" t="str">
        <f t="shared" si="5"/>
        <v>#N/A</v>
      </c>
      <c r="O17" s="17" t="str">
        <f t="shared" si="6"/>
        <v>#N/A</v>
      </c>
      <c r="P17" s="17" t="str">
        <f t="shared" si="7"/>
        <v>#N/A</v>
      </c>
      <c r="Q17" s="17" t="str">
        <f t="shared" si="8"/>
        <v>#N/A</v>
      </c>
      <c r="R17" s="32" t="str">
        <f t="shared" si="9"/>
        <v>#N/A</v>
      </c>
    </row>
    <row r="18">
      <c r="A18" s="7">
        <v>18.0</v>
      </c>
      <c r="B18" s="44" t="s">
        <v>1326</v>
      </c>
      <c r="C18" s="31" t="s">
        <v>161</v>
      </c>
      <c r="D18" s="9">
        <f>IFERROR(__xludf.DUMMYFUNCTION("GOOGLEFINANCE(""NSE:""&amp;C18)"),5129.0)</f>
        <v>5129</v>
      </c>
      <c r="E18" s="10" t="str">
        <f>IFERROR(__xludf.DUMMYFUNCTION("INDEX(GOOGLEFINANCE(""NSE:""&amp;C18,dates!$I$1,dates!$C$3),2,2)"),"#N/A")</f>
        <v>#N/A</v>
      </c>
      <c r="F18" s="10" t="str">
        <f>IFERROR(__xludf.DUMMYFUNCTION("INDEX(GOOGLEFINANCE(""NSE:""&amp;C18,dates!$I$1,dates!$C$2),2,2)"),"#N/A")</f>
        <v>#N/A</v>
      </c>
      <c r="G18" s="10">
        <f>IFERROR(__xludf.DUMMYFUNCTION("INDEX(GOOGLEFINANCE(""NSE:""&amp;C18,dates!$I$1,dates!$C$4),2,2)"),4908.25)</f>
        <v>4908.25</v>
      </c>
      <c r="H18" s="10">
        <f>IFERROR(__xludf.DUMMYFUNCTION("INDEX(GOOGLEFINANCE(""NSE:""&amp;C18,dates!$I$1,dates!$C$5),2,2)"),4745.85)</f>
        <v>4745.85</v>
      </c>
      <c r="I18" s="10">
        <f>IFERROR(__xludf.DUMMYFUNCTION("INDEX(GOOGLEFINANCE(""NSE:""&amp;C18,dates!$I$1,dates!$C$6),2,2)"),4765.1)</f>
        <v>4765.1</v>
      </c>
      <c r="J18" s="16" t="str">
        <f t="shared" si="1"/>
        <v>#N/A</v>
      </c>
      <c r="K18" s="16" t="str">
        <f t="shared" si="2"/>
        <v>#N/A</v>
      </c>
      <c r="L18" s="16" t="str">
        <f t="shared" si="3"/>
        <v>#N/A</v>
      </c>
      <c r="M18" s="16" t="str">
        <f t="shared" si="4"/>
        <v>#N/A</v>
      </c>
      <c r="N18" s="17" t="str">
        <f t="shared" si="5"/>
        <v>#N/A</v>
      </c>
      <c r="O18" s="17" t="str">
        <f t="shared" si="6"/>
        <v>#N/A</v>
      </c>
      <c r="P18" s="17" t="str">
        <f t="shared" si="7"/>
        <v>#N/A</v>
      </c>
      <c r="Q18" s="17" t="str">
        <f t="shared" si="8"/>
        <v>#N/A</v>
      </c>
      <c r="R18" s="32" t="str">
        <f t="shared" si="9"/>
        <v>#N/A</v>
      </c>
    </row>
    <row r="19">
      <c r="A19" s="7">
        <v>19.0</v>
      </c>
      <c r="B19" s="44" t="s">
        <v>1327</v>
      </c>
      <c r="C19" s="31" t="s">
        <v>251</v>
      </c>
      <c r="D19" s="9">
        <f>IFERROR(__xludf.DUMMYFUNCTION("GOOGLEFINANCE(""NSE:""&amp;C19)"),4709.95)</f>
        <v>4709.95</v>
      </c>
      <c r="E19" s="10" t="str">
        <f>IFERROR(__xludf.DUMMYFUNCTION("INDEX(GOOGLEFINANCE(""NSE:""&amp;C19,dates!$I$1,dates!$C$3),2,2)"),"#N/A")</f>
        <v>#N/A</v>
      </c>
      <c r="F19" s="10" t="str">
        <f>IFERROR(__xludf.DUMMYFUNCTION("INDEX(GOOGLEFINANCE(""NSE:""&amp;C19,dates!$I$1,dates!$C$2),2,2)"),"#N/A")</f>
        <v>#N/A</v>
      </c>
      <c r="G19" s="10">
        <f>IFERROR(__xludf.DUMMYFUNCTION("INDEX(GOOGLEFINANCE(""NSE:""&amp;C19,dates!$I$1,dates!$C$4),2,2)"),4790.8)</f>
        <v>4790.8</v>
      </c>
      <c r="H19" s="10">
        <f>IFERROR(__xludf.DUMMYFUNCTION("INDEX(GOOGLEFINANCE(""NSE:""&amp;C19,dates!$I$1,dates!$C$5),2,2)"),4856.05)</f>
        <v>4856.05</v>
      </c>
      <c r="I19" s="10">
        <f>IFERROR(__xludf.DUMMYFUNCTION("INDEX(GOOGLEFINANCE(""NSE:""&amp;C19,dates!$I$1,dates!$C$6),2,2)"),4763.55)</f>
        <v>4763.55</v>
      </c>
      <c r="J19" s="16" t="str">
        <f t="shared" si="1"/>
        <v>#N/A</v>
      </c>
      <c r="K19" s="16" t="str">
        <f t="shared" si="2"/>
        <v>#N/A</v>
      </c>
      <c r="L19" s="16" t="str">
        <f t="shared" si="3"/>
        <v>#N/A</v>
      </c>
      <c r="M19" s="16" t="str">
        <f t="shared" si="4"/>
        <v>#N/A</v>
      </c>
      <c r="N19" s="17" t="str">
        <f t="shared" si="5"/>
        <v>#N/A</v>
      </c>
      <c r="O19" s="17" t="str">
        <f t="shared" si="6"/>
        <v>#N/A</v>
      </c>
      <c r="P19" s="17" t="str">
        <f t="shared" si="7"/>
        <v>#N/A</v>
      </c>
      <c r="Q19" s="17" t="str">
        <f t="shared" si="8"/>
        <v>#N/A</v>
      </c>
      <c r="R19" s="32" t="str">
        <f t="shared" si="9"/>
        <v>#N/A</v>
      </c>
    </row>
    <row r="20">
      <c r="A20" s="7">
        <v>20.0</v>
      </c>
      <c r="B20" s="44" t="s">
        <v>1328</v>
      </c>
      <c r="C20" s="31" t="s">
        <v>313</v>
      </c>
      <c r="D20" s="9">
        <f>IFERROR(__xludf.DUMMYFUNCTION("GOOGLEFINANCE(""NSE:""&amp;C20)"),2470.6)</f>
        <v>2470.6</v>
      </c>
      <c r="E20" s="10" t="str">
        <f>IFERROR(__xludf.DUMMYFUNCTION("INDEX(GOOGLEFINANCE(""NSE:""&amp;C20,dates!$I$1,dates!$C$3),2,2)"),"#N/A")</f>
        <v>#N/A</v>
      </c>
      <c r="F20" s="10" t="str">
        <f>IFERROR(__xludf.DUMMYFUNCTION("INDEX(GOOGLEFINANCE(""NSE:""&amp;C20,dates!$I$1,dates!$C$2),2,2)"),"#N/A")</f>
        <v>#N/A</v>
      </c>
      <c r="G20" s="10">
        <f>IFERROR(__xludf.DUMMYFUNCTION("INDEX(GOOGLEFINANCE(""NSE:""&amp;C20,dates!$I$1,dates!$C$4),2,2)"),2416.25)</f>
        <v>2416.25</v>
      </c>
      <c r="H20" s="10">
        <f>IFERROR(__xludf.DUMMYFUNCTION("INDEX(GOOGLEFINANCE(""NSE:""&amp;C20,dates!$I$1,dates!$C$5),2,2)"),2427.6)</f>
        <v>2427.6</v>
      </c>
      <c r="I20" s="10">
        <f>IFERROR(__xludf.DUMMYFUNCTION("INDEX(GOOGLEFINANCE(""NSE:""&amp;C20,dates!$I$1,dates!$C$6),2,2)"),2130.95)</f>
        <v>2130.95</v>
      </c>
      <c r="J20" s="16" t="str">
        <f t="shared" si="1"/>
        <v>#N/A</v>
      </c>
      <c r="K20" s="16" t="str">
        <f t="shared" si="2"/>
        <v>#N/A</v>
      </c>
      <c r="L20" s="16" t="str">
        <f t="shared" si="3"/>
        <v>#N/A</v>
      </c>
      <c r="M20" s="16" t="str">
        <f t="shared" si="4"/>
        <v>#N/A</v>
      </c>
      <c r="N20" s="17" t="str">
        <f t="shared" si="5"/>
        <v>#N/A</v>
      </c>
      <c r="O20" s="17" t="str">
        <f t="shared" si="6"/>
        <v>#N/A</v>
      </c>
      <c r="P20" s="17" t="str">
        <f t="shared" si="7"/>
        <v>#N/A</v>
      </c>
      <c r="Q20" s="17" t="str">
        <f t="shared" si="8"/>
        <v>#N/A</v>
      </c>
      <c r="R20" s="32" t="str">
        <f t="shared" si="9"/>
        <v>#N/A</v>
      </c>
    </row>
    <row r="21">
      <c r="A21" s="7">
        <v>21.0</v>
      </c>
      <c r="B21" s="44" t="s">
        <v>1329</v>
      </c>
      <c r="C21" s="31" t="s">
        <v>140</v>
      </c>
      <c r="D21" s="9">
        <f>IFERROR(__xludf.DUMMYFUNCTION("GOOGLEFINANCE(""NSE:""&amp;C21)"),1435.65)</f>
        <v>1435.65</v>
      </c>
      <c r="E21" s="10" t="str">
        <f>IFERROR(__xludf.DUMMYFUNCTION("INDEX(GOOGLEFINANCE(""NSE:""&amp;C21,dates!$I$1,dates!$C$3),2,2)"),"#N/A")</f>
        <v>#N/A</v>
      </c>
      <c r="F21" s="10" t="str">
        <f>IFERROR(__xludf.DUMMYFUNCTION("INDEX(GOOGLEFINANCE(""NSE:""&amp;C21,dates!$I$1,dates!$C$2),2,2)"),"#N/A")</f>
        <v>#N/A</v>
      </c>
      <c r="G21" s="10">
        <f>IFERROR(__xludf.DUMMYFUNCTION("INDEX(GOOGLEFINANCE(""NSE:""&amp;C21,dates!$I$1,dates!$C$4),2,2)"),1471.9)</f>
        <v>1471.9</v>
      </c>
      <c r="H21" s="10">
        <f>IFERROR(__xludf.DUMMYFUNCTION("INDEX(GOOGLEFINANCE(""NSE:""&amp;C21,dates!$I$1,dates!$C$5),2,2)"),1450.1)</f>
        <v>1450.1</v>
      </c>
      <c r="I21" s="10">
        <f>IFERROR(__xludf.DUMMYFUNCTION("INDEX(GOOGLEFINANCE(""NSE:""&amp;C21,dates!$I$1,dates!$C$6),2,2)"),1235.0)</f>
        <v>1235</v>
      </c>
      <c r="J21" s="16" t="str">
        <f t="shared" si="1"/>
        <v>#N/A</v>
      </c>
      <c r="K21" s="16" t="str">
        <f t="shared" si="2"/>
        <v>#N/A</v>
      </c>
      <c r="L21" s="16" t="str">
        <f t="shared" si="3"/>
        <v>#N/A</v>
      </c>
      <c r="M21" s="16" t="str">
        <f t="shared" si="4"/>
        <v>#N/A</v>
      </c>
      <c r="N21" s="17" t="str">
        <f t="shared" si="5"/>
        <v>#N/A</v>
      </c>
      <c r="O21" s="17" t="str">
        <f t="shared" si="6"/>
        <v>#N/A</v>
      </c>
      <c r="P21" s="17" t="str">
        <f t="shared" si="7"/>
        <v>#N/A</v>
      </c>
      <c r="Q21" s="17" t="str">
        <f t="shared" si="8"/>
        <v>#N/A</v>
      </c>
      <c r="R21" s="32" t="str">
        <f t="shared" si="9"/>
        <v>#N/A</v>
      </c>
    </row>
    <row r="22">
      <c r="A22" s="7">
        <v>22.0</v>
      </c>
      <c r="B22" s="44" t="s">
        <v>1330</v>
      </c>
      <c r="C22" s="31" t="s">
        <v>217</v>
      </c>
      <c r="D22" s="9">
        <f>IFERROR(__xludf.DUMMYFUNCTION("GOOGLEFINANCE(""NSE:""&amp;C22)"),2645.95)</f>
        <v>2645.95</v>
      </c>
      <c r="E22" s="10" t="str">
        <f>IFERROR(__xludf.DUMMYFUNCTION("INDEX(GOOGLEFINANCE(""NSE:""&amp;C22,dates!$I$1,dates!$C$3),2,2)"),"#N/A")</f>
        <v>#N/A</v>
      </c>
      <c r="F22" s="10" t="str">
        <f>IFERROR(__xludf.DUMMYFUNCTION("INDEX(GOOGLEFINANCE(""NSE:""&amp;C22,dates!$I$1,dates!$C$2),2,2)"),"#N/A")</f>
        <v>#N/A</v>
      </c>
      <c r="G22" s="10">
        <f>IFERROR(__xludf.DUMMYFUNCTION("INDEX(GOOGLEFINANCE(""NSE:""&amp;C22,dates!$I$1,dates!$C$4),2,2)"),2490.1)</f>
        <v>2490.1</v>
      </c>
      <c r="H22" s="10">
        <f>IFERROR(__xludf.DUMMYFUNCTION("INDEX(GOOGLEFINANCE(""NSE:""&amp;C22,dates!$I$1,dates!$C$5),2,2)"),2448.6)</f>
        <v>2448.6</v>
      </c>
      <c r="I22" s="10">
        <f>IFERROR(__xludf.DUMMYFUNCTION("INDEX(GOOGLEFINANCE(""NSE:""&amp;C22,dates!$I$1,dates!$C$6),2,2)"),2290.85)</f>
        <v>2290.85</v>
      </c>
      <c r="J22" s="16" t="str">
        <f t="shared" si="1"/>
        <v>#N/A</v>
      </c>
      <c r="K22" s="16" t="str">
        <f t="shared" si="2"/>
        <v>#N/A</v>
      </c>
      <c r="L22" s="16" t="str">
        <f t="shared" si="3"/>
        <v>#N/A</v>
      </c>
      <c r="M22" s="16" t="str">
        <f t="shared" si="4"/>
        <v>#N/A</v>
      </c>
      <c r="N22" s="17" t="str">
        <f t="shared" si="5"/>
        <v>#N/A</v>
      </c>
      <c r="O22" s="17" t="str">
        <f t="shared" si="6"/>
        <v>#N/A</v>
      </c>
      <c r="P22" s="17" t="str">
        <f t="shared" si="7"/>
        <v>#N/A</v>
      </c>
      <c r="Q22" s="17" t="str">
        <f t="shared" si="8"/>
        <v>#N/A</v>
      </c>
      <c r="R22" s="32" t="str">
        <f t="shared" si="9"/>
        <v>#N/A</v>
      </c>
    </row>
    <row r="23">
      <c r="A23" s="7">
        <v>23.0</v>
      </c>
      <c r="B23" s="44" t="s">
        <v>1331</v>
      </c>
      <c r="C23" s="31" t="s">
        <v>473</v>
      </c>
      <c r="D23" s="9">
        <f>IFERROR(__xludf.DUMMYFUNCTION("GOOGLEFINANCE(""NSE:""&amp;C23)"),185.0)</f>
        <v>185</v>
      </c>
      <c r="E23" s="10" t="str">
        <f>IFERROR(__xludf.DUMMYFUNCTION("INDEX(GOOGLEFINANCE(""NSE:""&amp;C23,dates!$I$1,dates!$C$3),2,2)"),"#N/A")</f>
        <v>#N/A</v>
      </c>
      <c r="F23" s="10" t="str">
        <f>IFERROR(__xludf.DUMMYFUNCTION("INDEX(GOOGLEFINANCE(""NSE:""&amp;C23,dates!$I$1,dates!$C$2),2,2)"),"#N/A")</f>
        <v>#N/A</v>
      </c>
      <c r="G23" s="10">
        <f>IFERROR(__xludf.DUMMYFUNCTION("INDEX(GOOGLEFINANCE(""NSE:""&amp;C23,dates!$I$1,dates!$C$4),2,2)"),149.05)</f>
        <v>149.05</v>
      </c>
      <c r="H23" s="10">
        <f>IFERROR(__xludf.DUMMYFUNCTION("INDEX(GOOGLEFINANCE(""NSE:""&amp;C23,dates!$I$1,dates!$C$5),2,2)"),154.1)</f>
        <v>154.1</v>
      </c>
      <c r="I23" s="10">
        <f>IFERROR(__xludf.DUMMYFUNCTION("INDEX(GOOGLEFINANCE(""NSE:""&amp;C23,dates!$I$1,dates!$C$6),2,2)"),140.15)</f>
        <v>140.15</v>
      </c>
      <c r="J23" s="16" t="str">
        <f t="shared" si="1"/>
        <v>#N/A</v>
      </c>
      <c r="K23" s="16" t="str">
        <f t="shared" si="2"/>
        <v>#N/A</v>
      </c>
      <c r="L23" s="16" t="str">
        <f t="shared" si="3"/>
        <v>#N/A</v>
      </c>
      <c r="M23" s="16" t="str">
        <f t="shared" si="4"/>
        <v>#N/A</v>
      </c>
      <c r="N23" s="17" t="str">
        <f t="shared" si="5"/>
        <v>#N/A</v>
      </c>
      <c r="O23" s="17" t="str">
        <f t="shared" si="6"/>
        <v>#N/A</v>
      </c>
      <c r="P23" s="17" t="str">
        <f t="shared" si="7"/>
        <v>#N/A</v>
      </c>
      <c r="Q23" s="17" t="str">
        <f t="shared" si="8"/>
        <v>#N/A</v>
      </c>
      <c r="R23" s="32" t="str">
        <f t="shared" si="9"/>
        <v>#N/A</v>
      </c>
    </row>
    <row r="24">
      <c r="A24" s="7">
        <v>24.0</v>
      </c>
      <c r="B24" s="44" t="s">
        <v>1332</v>
      </c>
      <c r="C24" s="31" t="s">
        <v>191</v>
      </c>
      <c r="D24" s="9">
        <f>IFERROR(__xludf.DUMMYFUNCTION("GOOGLEFINANCE(""NSE:""&amp;C24)"),828.0)</f>
        <v>828</v>
      </c>
      <c r="E24" s="10" t="str">
        <f>IFERROR(__xludf.DUMMYFUNCTION("INDEX(GOOGLEFINANCE(""NSE:""&amp;C24,dates!$I$1,dates!$C$3),2,2)"),"#N/A")</f>
        <v>#N/A</v>
      </c>
      <c r="F24" s="10" t="str">
        <f>IFERROR(__xludf.DUMMYFUNCTION("INDEX(GOOGLEFINANCE(""NSE:""&amp;C24,dates!$I$1,dates!$C$2),2,2)"),"#N/A")</f>
        <v>#N/A</v>
      </c>
      <c r="G24" s="10">
        <f>IFERROR(__xludf.DUMMYFUNCTION("INDEX(GOOGLEFINANCE(""NSE:""&amp;C24,dates!$I$1,dates!$C$4),2,2)"),741.75)</f>
        <v>741.75</v>
      </c>
      <c r="H24" s="10">
        <f>IFERROR(__xludf.DUMMYFUNCTION("INDEX(GOOGLEFINANCE(""NSE:""&amp;C24,dates!$I$1,dates!$C$5),2,2)"),754.6)</f>
        <v>754.6</v>
      </c>
      <c r="I24" s="10">
        <f>IFERROR(__xludf.DUMMYFUNCTION("INDEX(GOOGLEFINANCE(""NSE:""&amp;C24,dates!$I$1,dates!$C$6),2,2)"),700.45)</f>
        <v>700.45</v>
      </c>
      <c r="J24" s="16" t="str">
        <f t="shared" si="1"/>
        <v>#N/A</v>
      </c>
      <c r="K24" s="16" t="str">
        <f t="shared" si="2"/>
        <v>#N/A</v>
      </c>
      <c r="L24" s="16" t="str">
        <f t="shared" si="3"/>
        <v>#N/A</v>
      </c>
      <c r="M24" s="16" t="str">
        <f t="shared" si="4"/>
        <v>#N/A</v>
      </c>
      <c r="N24" s="17" t="str">
        <f t="shared" si="5"/>
        <v>#N/A</v>
      </c>
      <c r="O24" s="17" t="str">
        <f t="shared" si="6"/>
        <v>#N/A</v>
      </c>
      <c r="P24" s="17" t="str">
        <f t="shared" si="7"/>
        <v>#N/A</v>
      </c>
      <c r="Q24" s="17" t="str">
        <f t="shared" si="8"/>
        <v>#N/A</v>
      </c>
      <c r="R24" s="32" t="str">
        <f t="shared" si="9"/>
        <v>#N/A</v>
      </c>
    </row>
    <row r="25">
      <c r="A25" s="7">
        <v>25.0</v>
      </c>
      <c r="B25" s="44" t="s">
        <v>1333</v>
      </c>
      <c r="C25" s="31" t="s">
        <v>189</v>
      </c>
      <c r="D25" s="9">
        <f>IFERROR(__xludf.DUMMYFUNCTION("GOOGLEFINANCE(""NSE:""&amp;C25)"),4170.1)</f>
        <v>4170.1</v>
      </c>
      <c r="E25" s="10" t="str">
        <f>IFERROR(__xludf.DUMMYFUNCTION("INDEX(GOOGLEFINANCE(""NSE:""&amp;C25,dates!$I$1,dates!$C$3),2,2)"),"#N/A")</f>
        <v>#N/A</v>
      </c>
      <c r="F25" s="10" t="str">
        <f>IFERROR(__xludf.DUMMYFUNCTION("INDEX(GOOGLEFINANCE(""NSE:""&amp;C25,dates!$I$1,dates!$C$2),2,2)"),"#N/A")</f>
        <v>#N/A</v>
      </c>
      <c r="G25" s="10">
        <f>IFERROR(__xludf.DUMMYFUNCTION("INDEX(GOOGLEFINANCE(""NSE:""&amp;C25,dates!$I$1,dates!$C$4),2,2)"),4102.8)</f>
        <v>4102.8</v>
      </c>
      <c r="H25" s="10">
        <f>IFERROR(__xludf.DUMMYFUNCTION("INDEX(GOOGLEFINANCE(""NSE:""&amp;C25,dates!$I$1,dates!$C$5),2,2)"),4135.2)</f>
        <v>4135.2</v>
      </c>
      <c r="I25" s="10">
        <f>IFERROR(__xludf.DUMMYFUNCTION("INDEX(GOOGLEFINANCE(""NSE:""&amp;C25,dates!$I$1,dates!$C$6),2,2)"),3812.35)</f>
        <v>3812.35</v>
      </c>
      <c r="J25" s="16" t="str">
        <f t="shared" si="1"/>
        <v>#N/A</v>
      </c>
      <c r="K25" s="16" t="str">
        <f t="shared" si="2"/>
        <v>#N/A</v>
      </c>
      <c r="L25" s="16" t="str">
        <f t="shared" si="3"/>
        <v>#N/A</v>
      </c>
      <c r="M25" s="16" t="str">
        <f t="shared" si="4"/>
        <v>#N/A</v>
      </c>
      <c r="N25" s="17" t="str">
        <f t="shared" si="5"/>
        <v>#N/A</v>
      </c>
      <c r="O25" s="17" t="str">
        <f t="shared" si="6"/>
        <v>#N/A</v>
      </c>
      <c r="P25" s="17" t="str">
        <f t="shared" si="7"/>
        <v>#N/A</v>
      </c>
      <c r="Q25" s="17" t="str">
        <f t="shared" si="8"/>
        <v>#N/A</v>
      </c>
      <c r="R25" s="32" t="str">
        <f t="shared" si="9"/>
        <v>#N/A</v>
      </c>
    </row>
    <row r="26">
      <c r="A26" s="7">
        <v>26.0</v>
      </c>
      <c r="B26" s="44" t="s">
        <v>1334</v>
      </c>
      <c r="C26" s="31" t="s">
        <v>201</v>
      </c>
      <c r="D26" s="9">
        <f>IFERROR(__xludf.DUMMYFUNCTION("GOOGLEFINANCE(""NSE:""&amp;C26)"),1360.0)</f>
        <v>1360</v>
      </c>
      <c r="E26" s="10" t="str">
        <f>IFERROR(__xludf.DUMMYFUNCTION("INDEX(GOOGLEFINANCE(""NSE:""&amp;C26,dates!$I$1,dates!$C$3),2,2)"),"#N/A")</f>
        <v>#N/A</v>
      </c>
      <c r="F26" s="10" t="str">
        <f>IFERROR(__xludf.DUMMYFUNCTION("INDEX(GOOGLEFINANCE(""NSE:""&amp;C26,dates!$I$1,dates!$C$2),2,2)"),"#N/A")</f>
        <v>#N/A</v>
      </c>
      <c r="G26" s="10">
        <f>IFERROR(__xludf.DUMMYFUNCTION("INDEX(GOOGLEFINANCE(""NSE:""&amp;C26,dates!$I$1,dates!$C$4),2,2)"),1430.6)</f>
        <v>1430.6</v>
      </c>
      <c r="H26" s="10">
        <f>IFERROR(__xludf.DUMMYFUNCTION("INDEX(GOOGLEFINANCE(""NSE:""&amp;C26,dates!$I$1,dates!$C$5),2,2)"),1405.25)</f>
        <v>1405.25</v>
      </c>
      <c r="I26" s="10">
        <f>IFERROR(__xludf.DUMMYFUNCTION("INDEX(GOOGLEFINANCE(""NSE:""&amp;C26,dates!$I$1,dates!$C$6),2,2)"),1381.4)</f>
        <v>1381.4</v>
      </c>
      <c r="J26" s="16" t="str">
        <f t="shared" si="1"/>
        <v>#N/A</v>
      </c>
      <c r="K26" s="16" t="str">
        <f t="shared" si="2"/>
        <v>#N/A</v>
      </c>
      <c r="L26" s="16" t="str">
        <f t="shared" si="3"/>
        <v>#N/A</v>
      </c>
      <c r="M26" s="16" t="str">
        <f t="shared" si="4"/>
        <v>#N/A</v>
      </c>
      <c r="N26" s="17" t="str">
        <f t="shared" si="5"/>
        <v>#N/A</v>
      </c>
      <c r="O26" s="17" t="str">
        <f t="shared" si="6"/>
        <v>#N/A</v>
      </c>
      <c r="P26" s="17" t="str">
        <f t="shared" si="7"/>
        <v>#N/A</v>
      </c>
      <c r="Q26" s="17" t="str">
        <f t="shared" si="8"/>
        <v>#N/A</v>
      </c>
      <c r="R26" s="32" t="str">
        <f t="shared" si="9"/>
        <v>#N/A</v>
      </c>
    </row>
    <row r="27">
      <c r="A27" s="7">
        <v>27.0</v>
      </c>
      <c r="B27" s="44" t="s">
        <v>1335</v>
      </c>
      <c r="C27" s="31" t="s">
        <v>303</v>
      </c>
      <c r="D27" s="9">
        <f>IFERROR(__xludf.DUMMYFUNCTION("GOOGLEFINANCE(""NSE:""&amp;C27)"),4036.15)</f>
        <v>4036.15</v>
      </c>
      <c r="E27" s="10" t="str">
        <f>IFERROR(__xludf.DUMMYFUNCTION("INDEX(GOOGLEFINANCE(""NSE:""&amp;C27,dates!$I$1,dates!$C$3),2,2)"),"#N/A")</f>
        <v>#N/A</v>
      </c>
      <c r="F27" s="10" t="str">
        <f>IFERROR(__xludf.DUMMYFUNCTION("INDEX(GOOGLEFINANCE(""NSE:""&amp;C27,dates!$I$1,dates!$C$2),2,2)"),"#N/A")</f>
        <v>#N/A</v>
      </c>
      <c r="G27" s="10">
        <f>IFERROR(__xludf.DUMMYFUNCTION("INDEX(GOOGLEFINANCE(""NSE:""&amp;C27,dates!$I$1,dates!$C$4),2,2)"),3981.15)</f>
        <v>3981.15</v>
      </c>
      <c r="H27" s="10">
        <f>IFERROR(__xludf.DUMMYFUNCTION("INDEX(GOOGLEFINANCE(""NSE:""&amp;C27,dates!$I$1,dates!$C$5),2,2)"),4170.45)</f>
        <v>4170.45</v>
      </c>
      <c r="I27" s="10">
        <f>IFERROR(__xludf.DUMMYFUNCTION("INDEX(GOOGLEFINANCE(""NSE:""&amp;C27,dates!$I$1,dates!$C$6),2,2)"),3825.2)</f>
        <v>3825.2</v>
      </c>
      <c r="J27" s="16" t="str">
        <f t="shared" si="1"/>
        <v>#N/A</v>
      </c>
      <c r="K27" s="16" t="str">
        <f t="shared" si="2"/>
        <v>#N/A</v>
      </c>
      <c r="L27" s="16" t="str">
        <f t="shared" si="3"/>
        <v>#N/A</v>
      </c>
      <c r="M27" s="16" t="str">
        <f t="shared" si="4"/>
        <v>#N/A</v>
      </c>
      <c r="N27" s="17" t="str">
        <f t="shared" si="5"/>
        <v>#N/A</v>
      </c>
      <c r="O27" s="17" t="str">
        <f t="shared" si="6"/>
        <v>#N/A</v>
      </c>
      <c r="P27" s="17" t="str">
        <f t="shared" si="7"/>
        <v>#N/A</v>
      </c>
      <c r="Q27" s="17" t="str">
        <f t="shared" si="8"/>
        <v>#N/A</v>
      </c>
      <c r="R27" s="32" t="str">
        <f t="shared" si="9"/>
        <v>#N/A</v>
      </c>
    </row>
    <row r="28">
      <c r="A28" s="7">
        <v>28.0</v>
      </c>
      <c r="B28" s="44" t="s">
        <v>1336</v>
      </c>
      <c r="C28" s="31" t="s">
        <v>263</v>
      </c>
      <c r="D28" s="9">
        <f>IFERROR(__xludf.DUMMYFUNCTION("GOOGLEFINANCE(""NSE:""&amp;C28)"),1654.4)</f>
        <v>1654.4</v>
      </c>
      <c r="E28" s="10" t="str">
        <f>IFERROR(__xludf.DUMMYFUNCTION("INDEX(GOOGLEFINANCE(""NSE:""&amp;C28,dates!$I$1,dates!$C$3),2,2)"),"#N/A")</f>
        <v>#N/A</v>
      </c>
      <c r="F28" s="10" t="str">
        <f>IFERROR(__xludf.DUMMYFUNCTION("INDEX(GOOGLEFINANCE(""NSE:""&amp;C28,dates!$I$1,dates!$C$2),2,2)"),"#N/A")</f>
        <v>#N/A</v>
      </c>
      <c r="G28" s="10">
        <f>IFERROR(__xludf.DUMMYFUNCTION("INDEX(GOOGLEFINANCE(""NSE:""&amp;C28,dates!$I$1,dates!$C$4),2,2)"),1594.65)</f>
        <v>1594.65</v>
      </c>
      <c r="H28" s="10">
        <f>IFERROR(__xludf.DUMMYFUNCTION("INDEX(GOOGLEFINANCE(""NSE:""&amp;C28,dates!$I$1,dates!$C$5),2,2)"),1599.1)</f>
        <v>1599.1</v>
      </c>
      <c r="I28" s="10">
        <f>IFERROR(__xludf.DUMMYFUNCTION("INDEX(GOOGLEFINANCE(""NSE:""&amp;C28,dates!$I$1,dates!$C$6),2,2)"),1448.6)</f>
        <v>1448.6</v>
      </c>
      <c r="J28" s="16" t="str">
        <f t="shared" si="1"/>
        <v>#N/A</v>
      </c>
      <c r="K28" s="16" t="str">
        <f t="shared" si="2"/>
        <v>#N/A</v>
      </c>
      <c r="L28" s="16" t="str">
        <f t="shared" si="3"/>
        <v>#N/A</v>
      </c>
      <c r="M28" s="16" t="str">
        <f t="shared" si="4"/>
        <v>#N/A</v>
      </c>
      <c r="N28" s="17" t="str">
        <f t="shared" si="5"/>
        <v>#N/A</v>
      </c>
      <c r="O28" s="17" t="str">
        <f t="shared" si="6"/>
        <v>#N/A</v>
      </c>
      <c r="P28" s="17" t="str">
        <f t="shared" si="7"/>
        <v>#N/A</v>
      </c>
      <c r="Q28" s="17" t="str">
        <f t="shared" si="8"/>
        <v>#N/A</v>
      </c>
      <c r="R28" s="32" t="str">
        <f t="shared" si="9"/>
        <v>#N/A</v>
      </c>
    </row>
    <row r="29">
      <c r="A29" s="7">
        <v>29.0</v>
      </c>
      <c r="B29" s="44" t="s">
        <v>1337</v>
      </c>
      <c r="C29" s="31" t="s">
        <v>163</v>
      </c>
      <c r="D29" s="9">
        <f>IFERROR(__xludf.DUMMYFUNCTION("GOOGLEFINANCE(""NSE:""&amp;C29)"),568.75)</f>
        <v>568.75</v>
      </c>
      <c r="E29" s="10" t="str">
        <f>IFERROR(__xludf.DUMMYFUNCTION("INDEX(GOOGLEFINANCE(""NSE:""&amp;C29,dates!$I$1,dates!$C$3),2,2)"),"#N/A")</f>
        <v>#N/A</v>
      </c>
      <c r="F29" s="10" t="str">
        <f>IFERROR(__xludf.DUMMYFUNCTION("INDEX(GOOGLEFINANCE(""NSE:""&amp;C29,dates!$I$1,dates!$C$2),2,2)"),"#N/A")</f>
        <v>#N/A</v>
      </c>
      <c r="G29" s="10">
        <f>IFERROR(__xludf.DUMMYFUNCTION("INDEX(GOOGLEFINANCE(""NSE:""&amp;C29,dates!$I$1,dates!$C$4),2,2)"),560.1)</f>
        <v>560.1</v>
      </c>
      <c r="H29" s="10">
        <f>IFERROR(__xludf.DUMMYFUNCTION("INDEX(GOOGLEFINANCE(""NSE:""&amp;C29,dates!$I$1,dates!$C$5),2,2)"),575.6)</f>
        <v>575.6</v>
      </c>
      <c r="I29" s="10">
        <f>IFERROR(__xludf.DUMMYFUNCTION("INDEX(GOOGLEFINANCE(""NSE:""&amp;C29,dates!$I$1,dates!$C$6),2,2)"),524.95)</f>
        <v>524.95</v>
      </c>
      <c r="J29" s="16" t="str">
        <f t="shared" si="1"/>
        <v>#N/A</v>
      </c>
      <c r="K29" s="16" t="str">
        <f t="shared" si="2"/>
        <v>#N/A</v>
      </c>
      <c r="L29" s="16" t="str">
        <f t="shared" si="3"/>
        <v>#N/A</v>
      </c>
      <c r="M29" s="16" t="str">
        <f t="shared" si="4"/>
        <v>#N/A</v>
      </c>
      <c r="N29" s="17" t="str">
        <f t="shared" si="5"/>
        <v>#N/A</v>
      </c>
      <c r="O29" s="17" t="str">
        <f t="shared" si="6"/>
        <v>#N/A</v>
      </c>
      <c r="P29" s="17" t="str">
        <f t="shared" si="7"/>
        <v>#N/A</v>
      </c>
      <c r="Q29" s="17" t="str">
        <f t="shared" si="8"/>
        <v>#N/A</v>
      </c>
      <c r="R29" s="32" t="str">
        <f t="shared" si="9"/>
        <v>#N/A</v>
      </c>
    </row>
    <row r="30">
      <c r="A30" s="7">
        <v>30.0</v>
      </c>
      <c r="B30" s="44" t="s">
        <v>1338</v>
      </c>
      <c r="C30" s="31" t="s">
        <v>130</v>
      </c>
      <c r="D30" s="9">
        <f>IFERROR(__xludf.DUMMYFUNCTION("GOOGLEFINANCE(""NSE:""&amp;C30)"),6090.0)</f>
        <v>6090</v>
      </c>
      <c r="E30" s="10" t="str">
        <f>IFERROR(__xludf.DUMMYFUNCTION("INDEX(GOOGLEFINANCE(""NSE:""&amp;C30,dates!$I$1,dates!$C$3),2,2)"),"#N/A")</f>
        <v>#N/A</v>
      </c>
      <c r="F30" s="10" t="str">
        <f>IFERROR(__xludf.DUMMYFUNCTION("INDEX(GOOGLEFINANCE(""NSE:""&amp;C30,dates!$I$1,dates!$C$2),2,2)"),"#N/A")</f>
        <v>#N/A</v>
      </c>
      <c r="G30" s="10">
        <f>IFERROR(__xludf.DUMMYFUNCTION("INDEX(GOOGLEFINANCE(""NSE:""&amp;C30,dates!$I$1,dates!$C$4),2,2)"),5715.25)</f>
        <v>5715.25</v>
      </c>
      <c r="H30" s="10">
        <f>IFERROR(__xludf.DUMMYFUNCTION("INDEX(GOOGLEFINANCE(""NSE:""&amp;C30,dates!$I$1,dates!$C$5),2,2)"),5488.95)</f>
        <v>5488.95</v>
      </c>
      <c r="I30" s="10">
        <f>IFERROR(__xludf.DUMMYFUNCTION("INDEX(GOOGLEFINANCE(""NSE:""&amp;C30,dates!$I$1,dates!$C$6),2,2)"),5233.6)</f>
        <v>5233.6</v>
      </c>
      <c r="J30" s="16" t="str">
        <f t="shared" si="1"/>
        <v>#N/A</v>
      </c>
      <c r="K30" s="16" t="str">
        <f t="shared" si="2"/>
        <v>#N/A</v>
      </c>
      <c r="L30" s="16" t="str">
        <f t="shared" si="3"/>
        <v>#N/A</v>
      </c>
      <c r="M30" s="16" t="str">
        <f t="shared" si="4"/>
        <v>#N/A</v>
      </c>
      <c r="N30" s="17" t="str">
        <f t="shared" si="5"/>
        <v>#N/A</v>
      </c>
      <c r="O30" s="17" t="str">
        <f t="shared" si="6"/>
        <v>#N/A</v>
      </c>
      <c r="P30" s="17" t="str">
        <f t="shared" si="7"/>
        <v>#N/A</v>
      </c>
      <c r="Q30" s="17" t="str">
        <f t="shared" si="8"/>
        <v>#N/A</v>
      </c>
      <c r="R30" s="32" t="str">
        <f t="shared" si="9"/>
        <v>#N/A</v>
      </c>
    </row>
    <row r="31">
      <c r="A31" s="7">
        <v>31.0</v>
      </c>
      <c r="B31" s="44" t="s">
        <v>1339</v>
      </c>
      <c r="C31" s="31" t="s">
        <v>40</v>
      </c>
      <c r="D31" s="9">
        <f>IFERROR(__xludf.DUMMYFUNCTION("GOOGLEFINANCE(""NSE:""&amp;C31)"),674.0)</f>
        <v>674</v>
      </c>
      <c r="E31" s="10" t="str">
        <f>IFERROR(__xludf.DUMMYFUNCTION("INDEX(GOOGLEFINANCE(""NSE:""&amp;C31,dates!$I$1,dates!$C$3),2,2)"),"#N/A")</f>
        <v>#N/A</v>
      </c>
      <c r="F31" s="10" t="str">
        <f>IFERROR(__xludf.DUMMYFUNCTION("INDEX(GOOGLEFINANCE(""NSE:""&amp;C31,dates!$I$1,dates!$C$2),2,2)"),"#N/A")</f>
        <v>#N/A</v>
      </c>
      <c r="G31" s="10">
        <f>IFERROR(__xludf.DUMMYFUNCTION("INDEX(GOOGLEFINANCE(""NSE:""&amp;C31,dates!$I$1,dates!$C$4),2,2)"),665.25)</f>
        <v>665.25</v>
      </c>
      <c r="H31" s="10">
        <f>IFERROR(__xludf.DUMMYFUNCTION("INDEX(GOOGLEFINANCE(""NSE:""&amp;C31,dates!$I$1,dates!$C$5),2,2)"),670.75)</f>
        <v>670.75</v>
      </c>
      <c r="I31" s="10">
        <f>IFERROR(__xludf.DUMMYFUNCTION("INDEX(GOOGLEFINANCE(""NSE:""&amp;C31,dates!$I$1,dates!$C$6),2,2)"),634.95)</f>
        <v>634.95</v>
      </c>
      <c r="J31" s="16" t="str">
        <f t="shared" si="1"/>
        <v>#N/A</v>
      </c>
      <c r="K31" s="16" t="str">
        <f t="shared" si="2"/>
        <v>#N/A</v>
      </c>
      <c r="L31" s="16" t="str">
        <f t="shared" si="3"/>
        <v>#N/A</v>
      </c>
      <c r="M31" s="16" t="str">
        <f t="shared" si="4"/>
        <v>#N/A</v>
      </c>
      <c r="N31" s="17" t="str">
        <f t="shared" si="5"/>
        <v>#N/A</v>
      </c>
      <c r="O31" s="17" t="str">
        <f t="shared" si="6"/>
        <v>#N/A</v>
      </c>
      <c r="P31" s="17" t="str">
        <f t="shared" si="7"/>
        <v>#N/A</v>
      </c>
      <c r="Q31" s="17" t="str">
        <f t="shared" si="8"/>
        <v>#N/A</v>
      </c>
      <c r="R31" s="32" t="str">
        <f t="shared" si="9"/>
        <v>#N/A</v>
      </c>
    </row>
    <row r="32">
      <c r="A32" s="7">
        <v>32.0</v>
      </c>
      <c r="B32" s="44" t="s">
        <v>1340</v>
      </c>
      <c r="C32" s="31" t="s">
        <v>71</v>
      </c>
      <c r="D32" s="9">
        <f>IFERROR(__xludf.DUMMYFUNCTION("GOOGLEFINANCE(""NSE:""&amp;C32)"),2106.0)</f>
        <v>2106</v>
      </c>
      <c r="E32" s="10" t="str">
        <f>IFERROR(__xludf.DUMMYFUNCTION("INDEX(GOOGLEFINANCE(""NSE:""&amp;C32,dates!$I$1,dates!$C$3),2,2)"),"#N/A")</f>
        <v>#N/A</v>
      </c>
      <c r="F32" s="10" t="str">
        <f>IFERROR(__xludf.DUMMYFUNCTION("INDEX(GOOGLEFINANCE(""NSE:""&amp;C32,dates!$I$1,dates!$C$2),2,2)"),"#N/A")</f>
        <v>#N/A</v>
      </c>
      <c r="G32" s="10">
        <f>IFERROR(__xludf.DUMMYFUNCTION("INDEX(GOOGLEFINANCE(""NSE:""&amp;C32,dates!$I$1,dates!$C$4),2,2)"),2095.6)</f>
        <v>2095.6</v>
      </c>
      <c r="H32" s="10">
        <f>IFERROR(__xludf.DUMMYFUNCTION("INDEX(GOOGLEFINANCE(""NSE:""&amp;C32,dates!$I$1,dates!$C$5),2,2)"),2030.65)</f>
        <v>2030.65</v>
      </c>
      <c r="I32" s="10">
        <f>IFERROR(__xludf.DUMMYFUNCTION("INDEX(GOOGLEFINANCE(""NSE:""&amp;C32,dates!$I$1,dates!$C$6),2,2)"),1822.55)</f>
        <v>1822.55</v>
      </c>
      <c r="J32" s="16" t="str">
        <f t="shared" si="1"/>
        <v>#N/A</v>
      </c>
      <c r="K32" s="16" t="str">
        <f t="shared" si="2"/>
        <v>#N/A</v>
      </c>
      <c r="L32" s="16" t="str">
        <f t="shared" si="3"/>
        <v>#N/A</v>
      </c>
      <c r="M32" s="16" t="str">
        <f t="shared" si="4"/>
        <v>#N/A</v>
      </c>
      <c r="N32" s="17" t="str">
        <f t="shared" si="5"/>
        <v>#N/A</v>
      </c>
      <c r="O32" s="17" t="str">
        <f t="shared" si="6"/>
        <v>#N/A</v>
      </c>
      <c r="P32" s="17" t="str">
        <f t="shared" si="7"/>
        <v>#N/A</v>
      </c>
      <c r="Q32" s="17" t="str">
        <f t="shared" si="8"/>
        <v>#N/A</v>
      </c>
      <c r="R32" s="32" t="str">
        <f t="shared" si="9"/>
        <v>#N/A</v>
      </c>
    </row>
    <row r="33">
      <c r="A33" s="7">
        <v>33.0</v>
      </c>
      <c r="B33" s="44" t="s">
        <v>1341</v>
      </c>
      <c r="C33" s="31" t="s">
        <v>237</v>
      </c>
      <c r="D33" s="9">
        <f>IFERROR(__xludf.DUMMYFUNCTION("GOOGLEFINANCE(""NSE:""&amp;C33)"),144.05)</f>
        <v>144.05</v>
      </c>
      <c r="E33" s="10" t="str">
        <f>IFERROR(__xludf.DUMMYFUNCTION("INDEX(GOOGLEFINANCE(""NSE:""&amp;C33,dates!$I$1,dates!$C$3),2,2)"),"#N/A")</f>
        <v>#N/A</v>
      </c>
      <c r="F33" s="10" t="str">
        <f>IFERROR(__xludf.DUMMYFUNCTION("INDEX(GOOGLEFINANCE(""NSE:""&amp;C33,dates!$I$1,dates!$C$2),2,2)"),"#N/A")</f>
        <v>#N/A</v>
      </c>
      <c r="G33" s="10">
        <f>IFERROR(__xludf.DUMMYFUNCTION("INDEX(GOOGLEFINANCE(""NSE:""&amp;C33,dates!$I$1,dates!$C$4),2,2)"),137.9)</f>
        <v>137.9</v>
      </c>
      <c r="H33" s="10">
        <f>IFERROR(__xludf.DUMMYFUNCTION("INDEX(GOOGLEFINANCE(""NSE:""&amp;C33,dates!$I$1,dates!$C$5),2,2)"),131.05)</f>
        <v>131.05</v>
      </c>
      <c r="I33" s="10">
        <f>IFERROR(__xludf.DUMMYFUNCTION("INDEX(GOOGLEFINANCE(""NSE:""&amp;C33,dates!$I$1,dates!$C$6),2,2)"),127.25)</f>
        <v>127.25</v>
      </c>
      <c r="J33" s="16" t="str">
        <f t="shared" si="1"/>
        <v>#N/A</v>
      </c>
      <c r="K33" s="16" t="str">
        <f t="shared" si="2"/>
        <v>#N/A</v>
      </c>
      <c r="L33" s="16" t="str">
        <f t="shared" si="3"/>
        <v>#N/A</v>
      </c>
      <c r="M33" s="16" t="str">
        <f t="shared" si="4"/>
        <v>#N/A</v>
      </c>
      <c r="N33" s="17" t="str">
        <f t="shared" si="5"/>
        <v>#N/A</v>
      </c>
      <c r="O33" s="17" t="str">
        <f t="shared" si="6"/>
        <v>#N/A</v>
      </c>
      <c r="P33" s="17" t="str">
        <f t="shared" si="7"/>
        <v>#N/A</v>
      </c>
      <c r="Q33" s="17" t="str">
        <f t="shared" si="8"/>
        <v>#N/A</v>
      </c>
      <c r="R33" s="32" t="str">
        <f t="shared" si="9"/>
        <v>#N/A</v>
      </c>
    </row>
    <row r="34">
      <c r="A34" s="7">
        <v>34.0</v>
      </c>
      <c r="B34" s="44" t="s">
        <v>1342</v>
      </c>
      <c r="C34" s="31" t="s">
        <v>141</v>
      </c>
      <c r="D34" s="9">
        <f>IFERROR(__xludf.DUMMYFUNCTION("GOOGLEFINANCE(""NSE:""&amp;C34)"),402.9)</f>
        <v>402.9</v>
      </c>
      <c r="E34" s="10" t="str">
        <f>IFERROR(__xludf.DUMMYFUNCTION("INDEX(GOOGLEFINANCE(""NSE:""&amp;C34,dates!$I$1,dates!$C$3),2,2)"),"#N/A")</f>
        <v>#N/A</v>
      </c>
      <c r="F34" s="10" t="str">
        <f>IFERROR(__xludf.DUMMYFUNCTION("INDEX(GOOGLEFINANCE(""NSE:""&amp;C34,dates!$I$1,dates!$C$2),2,2)"),"#N/A")</f>
        <v>#N/A</v>
      </c>
      <c r="G34" s="10">
        <f>IFERROR(__xludf.DUMMYFUNCTION("INDEX(GOOGLEFINANCE(""NSE:""&amp;C34,dates!$I$1,dates!$C$4),2,2)"),334.75)</f>
        <v>334.75</v>
      </c>
      <c r="H34" s="10">
        <f>IFERROR(__xludf.DUMMYFUNCTION("INDEX(GOOGLEFINANCE(""NSE:""&amp;C34,dates!$I$1,dates!$C$5),2,2)"),339.65)</f>
        <v>339.65</v>
      </c>
      <c r="I34" s="10">
        <f>IFERROR(__xludf.DUMMYFUNCTION("INDEX(GOOGLEFINANCE(""NSE:""&amp;C34,dates!$I$1,dates!$C$6),2,2)"),311.8)</f>
        <v>311.8</v>
      </c>
      <c r="J34" s="16" t="str">
        <f t="shared" si="1"/>
        <v>#N/A</v>
      </c>
      <c r="K34" s="16" t="str">
        <f t="shared" si="2"/>
        <v>#N/A</v>
      </c>
      <c r="L34" s="16" t="str">
        <f t="shared" si="3"/>
        <v>#N/A</v>
      </c>
      <c r="M34" s="16" t="str">
        <f t="shared" si="4"/>
        <v>#N/A</v>
      </c>
      <c r="N34" s="17" t="str">
        <f t="shared" si="5"/>
        <v>#N/A</v>
      </c>
      <c r="O34" s="17" t="str">
        <f t="shared" si="6"/>
        <v>#N/A</v>
      </c>
      <c r="P34" s="17" t="str">
        <f t="shared" si="7"/>
        <v>#N/A</v>
      </c>
      <c r="Q34" s="17" t="str">
        <f t="shared" si="8"/>
        <v>#N/A</v>
      </c>
      <c r="R34" s="32" t="str">
        <f t="shared" si="9"/>
        <v>#N/A</v>
      </c>
    </row>
    <row r="35">
      <c r="A35" s="7">
        <v>35.0</v>
      </c>
      <c r="B35" s="44" t="s">
        <v>1343</v>
      </c>
      <c r="C35" s="31" t="s">
        <v>145</v>
      </c>
      <c r="D35" s="9">
        <f>IFERROR(__xludf.DUMMYFUNCTION("GOOGLEFINANCE(""NSE:""&amp;C35)"),6826.0)</f>
        <v>6826</v>
      </c>
      <c r="E35" s="10" t="str">
        <f>IFERROR(__xludf.DUMMYFUNCTION("INDEX(GOOGLEFINANCE(""NSE:""&amp;C35,dates!$I$1,dates!$C$3),2,2)"),"#N/A")</f>
        <v>#N/A</v>
      </c>
      <c r="F35" s="10" t="str">
        <f>IFERROR(__xludf.DUMMYFUNCTION("INDEX(GOOGLEFINANCE(""NSE:""&amp;C35,dates!$I$1,dates!$C$2),2,2)"),"#N/A")</f>
        <v>#N/A</v>
      </c>
      <c r="G35" s="10">
        <f>IFERROR(__xludf.DUMMYFUNCTION("INDEX(GOOGLEFINANCE(""NSE:""&amp;C35,dates!$I$1,dates!$C$4),2,2)"),6614.7)</f>
        <v>6614.7</v>
      </c>
      <c r="H35" s="10">
        <f>IFERROR(__xludf.DUMMYFUNCTION("INDEX(GOOGLEFINANCE(""NSE:""&amp;C35,dates!$I$1,dates!$C$5),2,2)"),6604.35)</f>
        <v>6604.35</v>
      </c>
      <c r="I35" s="10">
        <f>IFERROR(__xludf.DUMMYFUNCTION("INDEX(GOOGLEFINANCE(""NSE:""&amp;C35,dates!$I$1,dates!$C$6),2,2)"),5895.65)</f>
        <v>5895.65</v>
      </c>
      <c r="J35" s="16" t="str">
        <f t="shared" si="1"/>
        <v>#N/A</v>
      </c>
      <c r="K35" s="16" t="str">
        <f t="shared" si="2"/>
        <v>#N/A</v>
      </c>
      <c r="L35" s="16" t="str">
        <f t="shared" si="3"/>
        <v>#N/A</v>
      </c>
      <c r="M35" s="16" t="str">
        <f t="shared" si="4"/>
        <v>#N/A</v>
      </c>
      <c r="N35" s="17" t="str">
        <f t="shared" si="5"/>
        <v>#N/A</v>
      </c>
      <c r="O35" s="17" t="str">
        <f t="shared" si="6"/>
        <v>#N/A</v>
      </c>
      <c r="P35" s="17" t="str">
        <f t="shared" si="7"/>
        <v>#N/A</v>
      </c>
      <c r="Q35" s="17" t="str">
        <f t="shared" si="8"/>
        <v>#N/A</v>
      </c>
      <c r="R35" s="32" t="str">
        <f t="shared" si="9"/>
        <v>#N/A</v>
      </c>
    </row>
    <row r="36">
      <c r="A36" s="7">
        <v>36.0</v>
      </c>
      <c r="B36" s="44" t="s">
        <v>1344</v>
      </c>
      <c r="C36" s="31" t="s">
        <v>203</v>
      </c>
      <c r="D36" s="9">
        <f>IFERROR(__xludf.DUMMYFUNCTION("GOOGLEFINANCE(""NSE:""&amp;C36)"),3957.0)</f>
        <v>3957</v>
      </c>
      <c r="E36" s="10" t="str">
        <f>IFERROR(__xludf.DUMMYFUNCTION("INDEX(GOOGLEFINANCE(""NSE:""&amp;C36,dates!$I$1,dates!$C$3),2,2)"),"#N/A")</f>
        <v>#N/A</v>
      </c>
      <c r="F36" s="10" t="str">
        <f>IFERROR(__xludf.DUMMYFUNCTION("INDEX(GOOGLEFINANCE(""NSE:""&amp;C36,dates!$I$1,dates!$C$2),2,2)"),"#N/A")</f>
        <v>#N/A</v>
      </c>
      <c r="G36" s="10">
        <f>IFERROR(__xludf.DUMMYFUNCTION("INDEX(GOOGLEFINANCE(""NSE:""&amp;C36,dates!$I$1,dates!$C$4),2,2)"),3824.95)</f>
        <v>3824.95</v>
      </c>
      <c r="H36" s="10">
        <f>IFERROR(__xludf.DUMMYFUNCTION("INDEX(GOOGLEFINANCE(""NSE:""&amp;C36,dates!$I$1,dates!$C$5),2,2)"),3823.85)</f>
        <v>3823.85</v>
      </c>
      <c r="I36" s="10">
        <f>IFERROR(__xludf.DUMMYFUNCTION("INDEX(GOOGLEFINANCE(""NSE:""&amp;C36,dates!$I$1,dates!$C$6),2,2)"),3887.65)</f>
        <v>3887.65</v>
      </c>
      <c r="J36" s="16" t="str">
        <f t="shared" si="1"/>
        <v>#N/A</v>
      </c>
      <c r="K36" s="16" t="str">
        <f t="shared" si="2"/>
        <v>#N/A</v>
      </c>
      <c r="L36" s="16" t="str">
        <f t="shared" si="3"/>
        <v>#N/A</v>
      </c>
      <c r="M36" s="16" t="str">
        <f t="shared" si="4"/>
        <v>#N/A</v>
      </c>
      <c r="N36" s="17" t="str">
        <f t="shared" si="5"/>
        <v>#N/A</v>
      </c>
      <c r="O36" s="17" t="str">
        <f t="shared" si="6"/>
        <v>#N/A</v>
      </c>
      <c r="P36" s="17" t="str">
        <f t="shared" si="7"/>
        <v>#N/A</v>
      </c>
      <c r="Q36" s="17" t="str">
        <f t="shared" si="8"/>
        <v>#N/A</v>
      </c>
      <c r="R36" s="32" t="str">
        <f t="shared" si="9"/>
        <v>#N/A</v>
      </c>
    </row>
    <row r="37">
      <c r="A37" s="7">
        <v>37.0</v>
      </c>
      <c r="B37" s="44" t="s">
        <v>1345</v>
      </c>
      <c r="C37" s="31" t="s">
        <v>128</v>
      </c>
      <c r="D37" s="9">
        <f>IFERROR(__xludf.DUMMYFUNCTION("GOOGLEFINANCE(""NSE:""&amp;C37)"),684.7)</f>
        <v>684.7</v>
      </c>
      <c r="E37" s="10" t="str">
        <f>IFERROR(__xludf.DUMMYFUNCTION("INDEX(GOOGLEFINANCE(""NSE:""&amp;C37,dates!$I$1,dates!$C$3),2,2)"),"#N/A")</f>
        <v>#N/A</v>
      </c>
      <c r="F37" s="10" t="str">
        <f>IFERROR(__xludf.DUMMYFUNCTION("INDEX(GOOGLEFINANCE(""NSE:""&amp;C37,dates!$I$1,dates!$C$2),2,2)"),"#N/A")</f>
        <v>#N/A</v>
      </c>
      <c r="G37" s="10">
        <f>IFERROR(__xludf.DUMMYFUNCTION("INDEX(GOOGLEFINANCE(""NSE:""&amp;C37,dates!$I$1,dates!$C$4),2,2)"),703.55)</f>
        <v>703.55</v>
      </c>
      <c r="H37" s="10">
        <f>IFERROR(__xludf.DUMMYFUNCTION("INDEX(GOOGLEFINANCE(""NSE:""&amp;C37,dates!$I$1,dates!$C$5),2,2)"),693.4)</f>
        <v>693.4</v>
      </c>
      <c r="I37" s="10">
        <f>IFERROR(__xludf.DUMMYFUNCTION("INDEX(GOOGLEFINANCE(""NSE:""&amp;C37,dates!$I$1,dates!$C$6),2,2)"),656.15)</f>
        <v>656.15</v>
      </c>
      <c r="J37" s="16" t="str">
        <f t="shared" si="1"/>
        <v>#N/A</v>
      </c>
      <c r="K37" s="16" t="str">
        <f t="shared" si="2"/>
        <v>#N/A</v>
      </c>
      <c r="L37" s="16" t="str">
        <f t="shared" si="3"/>
        <v>#N/A</v>
      </c>
      <c r="M37" s="16" t="str">
        <f t="shared" si="4"/>
        <v>#N/A</v>
      </c>
      <c r="N37" s="17" t="str">
        <f t="shared" si="5"/>
        <v>#N/A</v>
      </c>
      <c r="O37" s="17" t="str">
        <f t="shared" si="6"/>
        <v>#N/A</v>
      </c>
      <c r="P37" s="17" t="str">
        <f t="shared" si="7"/>
        <v>#N/A</v>
      </c>
      <c r="Q37" s="17" t="str">
        <f t="shared" si="8"/>
        <v>#N/A</v>
      </c>
      <c r="R37" s="32" t="str">
        <f t="shared" si="9"/>
        <v>#N/A</v>
      </c>
    </row>
    <row r="38">
      <c r="A38" s="7">
        <v>38.0</v>
      </c>
      <c r="B38" s="44" t="s">
        <v>1346</v>
      </c>
      <c r="C38" s="31" t="s">
        <v>215</v>
      </c>
      <c r="D38" s="9">
        <f>IFERROR(__xludf.DUMMYFUNCTION("GOOGLEFINANCE(""NSE:""&amp;C38)"),2351.0)</f>
        <v>2351</v>
      </c>
      <c r="E38" s="10" t="str">
        <f>IFERROR(__xludf.DUMMYFUNCTION("INDEX(GOOGLEFINANCE(""NSE:""&amp;C38,dates!$I$1,dates!$C$3),2,2)"),"#N/A")</f>
        <v>#N/A</v>
      </c>
      <c r="F38" s="10" t="str">
        <f>IFERROR(__xludf.DUMMYFUNCTION("INDEX(GOOGLEFINANCE(""NSE:""&amp;C38,dates!$I$1,dates!$C$2),2,2)"),"#N/A")</f>
        <v>#N/A</v>
      </c>
      <c r="G38" s="10">
        <f>IFERROR(__xludf.DUMMYFUNCTION("INDEX(GOOGLEFINANCE(""NSE:""&amp;C38,dates!$I$1,dates!$C$4),2,2)"),2394.85)</f>
        <v>2394.85</v>
      </c>
      <c r="H38" s="10">
        <f>IFERROR(__xludf.DUMMYFUNCTION("INDEX(GOOGLEFINANCE(""NSE:""&amp;C38,dates!$I$1,dates!$C$5),2,2)"),2471.4)</f>
        <v>2471.4</v>
      </c>
      <c r="I38" s="10">
        <f>IFERROR(__xludf.DUMMYFUNCTION("INDEX(GOOGLEFINANCE(""NSE:""&amp;C38,dates!$I$1,dates!$C$6),2,2)"),2348.1)</f>
        <v>2348.1</v>
      </c>
      <c r="J38" s="16" t="str">
        <f t="shared" si="1"/>
        <v>#N/A</v>
      </c>
      <c r="K38" s="16" t="str">
        <f t="shared" si="2"/>
        <v>#N/A</v>
      </c>
      <c r="L38" s="16" t="str">
        <f t="shared" si="3"/>
        <v>#N/A</v>
      </c>
      <c r="M38" s="16" t="str">
        <f t="shared" si="4"/>
        <v>#N/A</v>
      </c>
      <c r="N38" s="17" t="str">
        <f t="shared" si="5"/>
        <v>#N/A</v>
      </c>
      <c r="O38" s="17" t="str">
        <f t="shared" si="6"/>
        <v>#N/A</v>
      </c>
      <c r="P38" s="17" t="str">
        <f t="shared" si="7"/>
        <v>#N/A</v>
      </c>
      <c r="Q38" s="17" t="str">
        <f t="shared" si="8"/>
        <v>#N/A</v>
      </c>
      <c r="R38" s="32" t="str">
        <f t="shared" si="9"/>
        <v>#N/A</v>
      </c>
    </row>
    <row r="39">
      <c r="A39" s="7">
        <v>39.0</v>
      </c>
      <c r="B39" s="44" t="s">
        <v>1347</v>
      </c>
      <c r="C39" s="31" t="s">
        <v>235</v>
      </c>
      <c r="D39" s="9">
        <f>IFERROR(__xludf.DUMMYFUNCTION("GOOGLEFINANCE(""NSE:""&amp;C39)"),711.9)</f>
        <v>711.9</v>
      </c>
      <c r="E39" s="10" t="str">
        <f>IFERROR(__xludf.DUMMYFUNCTION("INDEX(GOOGLEFINANCE(""NSE:""&amp;C39,dates!$I$1,dates!$C$3),2,2)"),"#N/A")</f>
        <v>#N/A</v>
      </c>
      <c r="F39" s="10" t="str">
        <f>IFERROR(__xludf.DUMMYFUNCTION("INDEX(GOOGLEFINANCE(""NSE:""&amp;C39,dates!$I$1,dates!$C$2),2,2)"),"#N/A")</f>
        <v>#N/A</v>
      </c>
      <c r="G39" s="10">
        <f>IFERROR(__xludf.DUMMYFUNCTION("INDEX(GOOGLEFINANCE(""NSE:""&amp;C39,dates!$I$1,dates!$C$4),2,2)"),723.65)</f>
        <v>723.65</v>
      </c>
      <c r="H39" s="10">
        <f>IFERROR(__xludf.DUMMYFUNCTION("INDEX(GOOGLEFINANCE(""NSE:""&amp;C39,dates!$I$1,dates!$C$5),2,2)"),740.55)</f>
        <v>740.55</v>
      </c>
      <c r="I39" s="10">
        <f>IFERROR(__xludf.DUMMYFUNCTION("INDEX(GOOGLEFINANCE(""NSE:""&amp;C39,dates!$I$1,dates!$C$6),2,2)"),653.35)</f>
        <v>653.35</v>
      </c>
      <c r="J39" s="16" t="str">
        <f t="shared" si="1"/>
        <v>#N/A</v>
      </c>
      <c r="K39" s="16" t="str">
        <f t="shared" si="2"/>
        <v>#N/A</v>
      </c>
      <c r="L39" s="16" t="str">
        <f t="shared" si="3"/>
        <v>#N/A</v>
      </c>
      <c r="M39" s="16" t="str">
        <f t="shared" si="4"/>
        <v>#N/A</v>
      </c>
      <c r="N39" s="17" t="str">
        <f t="shared" si="5"/>
        <v>#N/A</v>
      </c>
      <c r="O39" s="17" t="str">
        <f t="shared" si="6"/>
        <v>#N/A</v>
      </c>
      <c r="P39" s="17" t="str">
        <f t="shared" si="7"/>
        <v>#N/A</v>
      </c>
      <c r="Q39" s="17" t="str">
        <f t="shared" si="8"/>
        <v>#N/A</v>
      </c>
      <c r="R39" s="32" t="str">
        <f t="shared" si="9"/>
        <v>#N/A</v>
      </c>
    </row>
    <row r="40">
      <c r="A40" s="7">
        <v>40.0</v>
      </c>
      <c r="B40" s="44" t="s">
        <v>1348</v>
      </c>
      <c r="C40" s="31" t="s">
        <v>193</v>
      </c>
      <c r="D40" s="9">
        <f>IFERROR(__xludf.DUMMYFUNCTION("GOOGLEFINANCE(""NSE:""&amp;C40)"),3269.0)</f>
        <v>3269</v>
      </c>
      <c r="E40" s="10" t="str">
        <f>IFERROR(__xludf.DUMMYFUNCTION("INDEX(GOOGLEFINANCE(""NSE:""&amp;C40,dates!$I$1,dates!$C$3),2,2)"),"#N/A")</f>
        <v>#N/A</v>
      </c>
      <c r="F40" s="10" t="str">
        <f>IFERROR(__xludf.DUMMYFUNCTION("INDEX(GOOGLEFINANCE(""NSE:""&amp;C40,dates!$I$1,dates!$C$2),2,2)"),"#N/A")</f>
        <v>#N/A</v>
      </c>
      <c r="G40" s="10">
        <f>IFERROR(__xludf.DUMMYFUNCTION("INDEX(GOOGLEFINANCE(""NSE:""&amp;C40,dates!$I$1,dates!$C$4),2,2)"),3464.25)</f>
        <v>3464.25</v>
      </c>
      <c r="H40" s="10">
        <f>IFERROR(__xludf.DUMMYFUNCTION("INDEX(GOOGLEFINANCE(""NSE:""&amp;C40,dates!$I$1,dates!$C$5),2,2)"),3447.75)</f>
        <v>3447.75</v>
      </c>
      <c r="I40" s="10">
        <f>IFERROR(__xludf.DUMMYFUNCTION("INDEX(GOOGLEFINANCE(""NSE:""&amp;C40,dates!$I$1,dates!$C$6),2,2)"),3193.3)</f>
        <v>3193.3</v>
      </c>
      <c r="J40" s="16" t="str">
        <f t="shared" si="1"/>
        <v>#N/A</v>
      </c>
      <c r="K40" s="16" t="str">
        <f t="shared" si="2"/>
        <v>#N/A</v>
      </c>
      <c r="L40" s="16" t="str">
        <f t="shared" si="3"/>
        <v>#N/A</v>
      </c>
      <c r="M40" s="16" t="str">
        <f t="shared" si="4"/>
        <v>#N/A</v>
      </c>
      <c r="N40" s="17" t="str">
        <f t="shared" si="5"/>
        <v>#N/A</v>
      </c>
      <c r="O40" s="17" t="str">
        <f t="shared" si="6"/>
        <v>#N/A</v>
      </c>
      <c r="P40" s="17" t="str">
        <f t="shared" si="7"/>
        <v>#N/A</v>
      </c>
      <c r="Q40" s="17" t="str">
        <f t="shared" si="8"/>
        <v>#N/A</v>
      </c>
      <c r="R40" s="32" t="str">
        <f t="shared" si="9"/>
        <v>#N/A</v>
      </c>
    </row>
    <row r="41">
      <c r="A41" s="7">
        <v>41.0</v>
      </c>
      <c r="B41" s="44" t="s">
        <v>1349</v>
      </c>
      <c r="C41" s="31" t="s">
        <v>355</v>
      </c>
      <c r="D41" s="9">
        <f>IFERROR(__xludf.DUMMYFUNCTION("GOOGLEFINANCE(""NSE:""&amp;C41)"),442.7)</f>
        <v>442.7</v>
      </c>
      <c r="E41" s="10" t="str">
        <f>IFERROR(__xludf.DUMMYFUNCTION("INDEX(GOOGLEFINANCE(""NSE:""&amp;C41,dates!$I$1,dates!$C$3),2,2)"),"#N/A")</f>
        <v>#N/A</v>
      </c>
      <c r="F41" s="10" t="str">
        <f>IFERROR(__xludf.DUMMYFUNCTION("INDEX(GOOGLEFINANCE(""NSE:""&amp;C41,dates!$I$1,dates!$C$2),2,2)"),"#N/A")</f>
        <v>#N/A</v>
      </c>
      <c r="G41" s="10">
        <f>IFERROR(__xludf.DUMMYFUNCTION("INDEX(GOOGLEFINANCE(""NSE:""&amp;C41,dates!$I$1,dates!$C$4),2,2)"),439.6)</f>
        <v>439.6</v>
      </c>
      <c r="H41" s="10">
        <f>IFERROR(__xludf.DUMMYFUNCTION("INDEX(GOOGLEFINANCE(""NSE:""&amp;C41,dates!$I$1,dates!$C$5),2,2)"),436.8)</f>
        <v>436.8</v>
      </c>
      <c r="I41" s="10">
        <f>IFERROR(__xludf.DUMMYFUNCTION("INDEX(GOOGLEFINANCE(""NSE:""&amp;C41,dates!$I$1,dates!$C$6),2,2)"),410.1)</f>
        <v>410.1</v>
      </c>
      <c r="J41" s="16" t="str">
        <f t="shared" si="1"/>
        <v>#N/A</v>
      </c>
      <c r="K41" s="16" t="str">
        <f t="shared" si="2"/>
        <v>#N/A</v>
      </c>
      <c r="L41" s="16" t="str">
        <f t="shared" si="3"/>
        <v>#N/A</v>
      </c>
      <c r="M41" s="16" t="str">
        <f t="shared" si="4"/>
        <v>#N/A</v>
      </c>
      <c r="N41" s="17" t="str">
        <f t="shared" si="5"/>
        <v>#N/A</v>
      </c>
      <c r="O41" s="17" t="str">
        <f t="shared" si="6"/>
        <v>#N/A</v>
      </c>
      <c r="P41" s="17" t="str">
        <f t="shared" si="7"/>
        <v>#N/A</v>
      </c>
      <c r="Q41" s="17" t="str">
        <f t="shared" si="8"/>
        <v>#N/A</v>
      </c>
      <c r="R41" s="32" t="str">
        <f t="shared" si="9"/>
        <v>#N/A</v>
      </c>
    </row>
    <row r="42">
      <c r="A42" s="7">
        <v>42.0</v>
      </c>
      <c r="B42" s="44" t="s">
        <v>1350</v>
      </c>
      <c r="C42" s="31" t="s">
        <v>91</v>
      </c>
      <c r="D42" s="9">
        <f>IFERROR(__xludf.DUMMYFUNCTION("GOOGLEFINANCE(""NSE:""&amp;C42)"),5219.5)</f>
        <v>5219.5</v>
      </c>
      <c r="E42" s="10" t="str">
        <f>IFERROR(__xludf.DUMMYFUNCTION("INDEX(GOOGLEFINANCE(""NSE:""&amp;C42,dates!$I$1,dates!$C$3),2,2)"),"#N/A")</f>
        <v>#N/A</v>
      </c>
      <c r="F42" s="10" t="str">
        <f>IFERROR(__xludf.DUMMYFUNCTION("INDEX(GOOGLEFINANCE(""NSE:""&amp;C42,dates!$I$1,dates!$C$2),2,2)"),"#N/A")</f>
        <v>#N/A</v>
      </c>
      <c r="G42" s="10">
        <f>IFERROR(__xludf.DUMMYFUNCTION("INDEX(GOOGLEFINANCE(""NSE:""&amp;C42,dates!$I$1,dates!$C$4),2,2)"),5122.8)</f>
        <v>5122.8</v>
      </c>
      <c r="H42" s="10">
        <f>IFERROR(__xludf.DUMMYFUNCTION("INDEX(GOOGLEFINANCE(""NSE:""&amp;C42,dates!$I$1,dates!$C$5),2,2)"),5085.2)</f>
        <v>5085.2</v>
      </c>
      <c r="I42" s="10">
        <f>IFERROR(__xludf.DUMMYFUNCTION("INDEX(GOOGLEFINANCE(""NSE:""&amp;C42,dates!$I$1,dates!$C$6),2,2)"),4910.7)</f>
        <v>4910.7</v>
      </c>
      <c r="J42" s="16" t="str">
        <f t="shared" si="1"/>
        <v>#N/A</v>
      </c>
      <c r="K42" s="16" t="str">
        <f t="shared" si="2"/>
        <v>#N/A</v>
      </c>
      <c r="L42" s="16" t="str">
        <f t="shared" si="3"/>
        <v>#N/A</v>
      </c>
      <c r="M42" s="16" t="str">
        <f t="shared" si="4"/>
        <v>#N/A</v>
      </c>
      <c r="N42" s="17" t="str">
        <f t="shared" si="5"/>
        <v>#N/A</v>
      </c>
      <c r="O42" s="17" t="str">
        <f t="shared" si="6"/>
        <v>#N/A</v>
      </c>
      <c r="P42" s="17" t="str">
        <f t="shared" si="7"/>
        <v>#N/A</v>
      </c>
      <c r="Q42" s="17" t="str">
        <f t="shared" si="8"/>
        <v>#N/A</v>
      </c>
      <c r="R42" s="32" t="str">
        <f t="shared" si="9"/>
        <v>#N/A</v>
      </c>
    </row>
    <row r="43">
      <c r="A43" s="7">
        <v>43.0</v>
      </c>
      <c r="B43" s="44" t="s">
        <v>1351</v>
      </c>
      <c r="C43" s="31" t="s">
        <v>397</v>
      </c>
      <c r="D43" s="9">
        <f>IFERROR(__xludf.DUMMYFUNCTION("GOOGLEFINANCE(""NSE:""&amp;C43)"),1796.05)</f>
        <v>1796.05</v>
      </c>
      <c r="E43" s="10" t="str">
        <f>IFERROR(__xludf.DUMMYFUNCTION("INDEX(GOOGLEFINANCE(""NSE:""&amp;C43,dates!$I$1,dates!$C$3),2,2)"),"#N/A")</f>
        <v>#N/A</v>
      </c>
      <c r="F43" s="10" t="str">
        <f>IFERROR(__xludf.DUMMYFUNCTION("INDEX(GOOGLEFINANCE(""NSE:""&amp;C43,dates!$I$1,dates!$C$2),2,2)"),"#N/A")</f>
        <v>#N/A</v>
      </c>
      <c r="G43" s="10">
        <f>IFERROR(__xludf.DUMMYFUNCTION("INDEX(GOOGLEFINANCE(""NSE:""&amp;C43,dates!$I$1,dates!$C$4),2,2)"),1784.55)</f>
        <v>1784.55</v>
      </c>
      <c r="H43" s="10">
        <f>IFERROR(__xludf.DUMMYFUNCTION("INDEX(GOOGLEFINANCE(""NSE:""&amp;C43,dates!$I$1,dates!$C$5),2,2)"),1768.9)</f>
        <v>1768.9</v>
      </c>
      <c r="I43" s="10">
        <f>IFERROR(__xludf.DUMMYFUNCTION("INDEX(GOOGLEFINANCE(""NSE:""&amp;C43,dates!$I$1,dates!$C$6),2,2)"),1722.95)</f>
        <v>1722.95</v>
      </c>
      <c r="J43" s="16" t="str">
        <f t="shared" si="1"/>
        <v>#N/A</v>
      </c>
      <c r="K43" s="16" t="str">
        <f t="shared" si="2"/>
        <v>#N/A</v>
      </c>
      <c r="L43" s="16" t="str">
        <f t="shared" si="3"/>
        <v>#N/A</v>
      </c>
      <c r="M43" s="16" t="str">
        <f t="shared" si="4"/>
        <v>#N/A</v>
      </c>
      <c r="N43" s="17" t="str">
        <f t="shared" si="5"/>
        <v>#N/A</v>
      </c>
      <c r="O43" s="17" t="str">
        <f t="shared" si="6"/>
        <v>#N/A</v>
      </c>
      <c r="P43" s="17" t="str">
        <f t="shared" si="7"/>
        <v>#N/A</v>
      </c>
      <c r="Q43" s="17" t="str">
        <f t="shared" si="8"/>
        <v>#N/A</v>
      </c>
      <c r="R43" s="32" t="str">
        <f t="shared" si="9"/>
        <v>#N/A</v>
      </c>
    </row>
    <row r="44">
      <c r="A44" s="7">
        <v>44.0</v>
      </c>
      <c r="B44" s="44" t="s">
        <v>1352</v>
      </c>
      <c r="C44" s="31" t="s">
        <v>73</v>
      </c>
      <c r="D44" s="9">
        <f>IFERROR(__xludf.DUMMYFUNCTION("GOOGLEFINANCE(""NSE:""&amp;C44)"),1475.6)</f>
        <v>1475.6</v>
      </c>
      <c r="E44" s="10" t="str">
        <f>IFERROR(__xludf.DUMMYFUNCTION("INDEX(GOOGLEFINANCE(""NSE:""&amp;C44,dates!$I$1,dates!$C$3),2,2)"),"#N/A")</f>
        <v>#N/A</v>
      </c>
      <c r="F44" s="10" t="str">
        <f>IFERROR(__xludf.DUMMYFUNCTION("INDEX(GOOGLEFINANCE(""NSE:""&amp;C44,dates!$I$1,dates!$C$2),2,2)"),"#N/A")</f>
        <v>#N/A</v>
      </c>
      <c r="G44" s="10">
        <f>IFERROR(__xludf.DUMMYFUNCTION("INDEX(GOOGLEFINANCE(""NSE:""&amp;C44,dates!$I$1,dates!$C$4),2,2)"),1480.25)</f>
        <v>1480.25</v>
      </c>
      <c r="H44" s="10">
        <f>IFERROR(__xludf.DUMMYFUNCTION("INDEX(GOOGLEFINANCE(""NSE:""&amp;C44,dates!$I$1,dates!$C$5),2,2)"),1532.45)</f>
        <v>1532.45</v>
      </c>
      <c r="I44" s="10">
        <f>IFERROR(__xludf.DUMMYFUNCTION("INDEX(GOOGLEFINANCE(""NSE:""&amp;C44,dates!$I$1,dates!$C$6),2,2)"),1506.05)</f>
        <v>1506.05</v>
      </c>
      <c r="J44" s="16" t="str">
        <f t="shared" si="1"/>
        <v>#N/A</v>
      </c>
      <c r="K44" s="16" t="str">
        <f t="shared" si="2"/>
        <v>#N/A</v>
      </c>
      <c r="L44" s="16" t="str">
        <f t="shared" si="3"/>
        <v>#N/A</v>
      </c>
      <c r="M44" s="16" t="str">
        <f t="shared" si="4"/>
        <v>#N/A</v>
      </c>
      <c r="N44" s="17" t="str">
        <f t="shared" si="5"/>
        <v>#N/A</v>
      </c>
      <c r="O44" s="17" t="str">
        <f t="shared" si="6"/>
        <v>#N/A</v>
      </c>
      <c r="P44" s="17" t="str">
        <f t="shared" si="7"/>
        <v>#N/A</v>
      </c>
      <c r="Q44" s="17" t="str">
        <f t="shared" si="8"/>
        <v>#N/A</v>
      </c>
      <c r="R44" s="32" t="str">
        <f t="shared" si="9"/>
        <v>#N/A</v>
      </c>
    </row>
    <row r="45">
      <c r="A45" s="7">
        <v>45.0</v>
      </c>
      <c r="B45" s="44" t="s">
        <v>1353</v>
      </c>
      <c r="C45" s="31" t="s">
        <v>48</v>
      </c>
      <c r="D45" s="9">
        <f>IFERROR(__xludf.DUMMYFUNCTION("GOOGLEFINANCE(""NSE:""&amp;C45)"),3326.0)</f>
        <v>3326</v>
      </c>
      <c r="E45" s="10" t="str">
        <f>IFERROR(__xludf.DUMMYFUNCTION("INDEX(GOOGLEFINANCE(""NSE:""&amp;C45,dates!$I$1,dates!$C$3),2,2)"),"#N/A")</f>
        <v>#N/A</v>
      </c>
      <c r="F45" s="10" t="str">
        <f>IFERROR(__xludf.DUMMYFUNCTION("INDEX(GOOGLEFINANCE(""NSE:""&amp;C45,dates!$I$1,dates!$C$2),2,2)"),"#N/A")</f>
        <v>#N/A</v>
      </c>
      <c r="G45" s="10">
        <f>IFERROR(__xludf.DUMMYFUNCTION("INDEX(GOOGLEFINANCE(""NSE:""&amp;C45,dates!$I$1,dates!$C$4),2,2)"),3303.05)</f>
        <v>3303.05</v>
      </c>
      <c r="H45" s="10">
        <f>IFERROR(__xludf.DUMMYFUNCTION("INDEX(GOOGLEFINANCE(""NSE:""&amp;C45,dates!$I$1,dates!$C$5),2,2)"),3367.05)</f>
        <v>3367.05</v>
      </c>
      <c r="I45" s="10">
        <f>IFERROR(__xludf.DUMMYFUNCTION("INDEX(GOOGLEFINANCE(""NSE:""&amp;C45,dates!$I$1,dates!$C$6),2,2)"),3036.8)</f>
        <v>3036.8</v>
      </c>
      <c r="J45" s="16" t="str">
        <f t="shared" si="1"/>
        <v>#N/A</v>
      </c>
      <c r="K45" s="16" t="str">
        <f t="shared" si="2"/>
        <v>#N/A</v>
      </c>
      <c r="L45" s="16" t="str">
        <f t="shared" si="3"/>
        <v>#N/A</v>
      </c>
      <c r="M45" s="16" t="str">
        <f t="shared" si="4"/>
        <v>#N/A</v>
      </c>
      <c r="N45" s="17" t="str">
        <f t="shared" si="5"/>
        <v>#N/A</v>
      </c>
      <c r="O45" s="17" t="str">
        <f t="shared" si="6"/>
        <v>#N/A</v>
      </c>
      <c r="P45" s="17" t="str">
        <f t="shared" si="7"/>
        <v>#N/A</v>
      </c>
      <c r="Q45" s="17" t="str">
        <f t="shared" si="8"/>
        <v>#N/A</v>
      </c>
      <c r="R45" s="32" t="str">
        <f t="shared" si="9"/>
        <v>#N/A</v>
      </c>
    </row>
    <row r="46">
      <c r="A46" s="7">
        <v>46.0</v>
      </c>
      <c r="B46" s="44" t="s">
        <v>1354</v>
      </c>
      <c r="C46" s="31" t="s">
        <v>118</v>
      </c>
      <c r="D46" s="9">
        <f>IFERROR(__xludf.DUMMYFUNCTION("GOOGLEFINANCE(""NSE:""&amp;C46)"),483.8)</f>
        <v>483.8</v>
      </c>
      <c r="E46" s="10" t="str">
        <f>IFERROR(__xludf.DUMMYFUNCTION("INDEX(GOOGLEFINANCE(""NSE:""&amp;C46,dates!$I$1,dates!$C$3),2,2)"),"#N/A")</f>
        <v>#N/A</v>
      </c>
      <c r="F46" s="10" t="str">
        <f>IFERROR(__xludf.DUMMYFUNCTION("INDEX(GOOGLEFINANCE(""NSE:""&amp;C46,dates!$I$1,dates!$C$2),2,2)"),"#N/A")</f>
        <v>#N/A</v>
      </c>
      <c r="G46" s="10">
        <f>IFERROR(__xludf.DUMMYFUNCTION("INDEX(GOOGLEFINANCE(""NSE:""&amp;C46,dates!$I$1,dates!$C$4),2,2)"),473.05)</f>
        <v>473.05</v>
      </c>
      <c r="H46" s="10">
        <f>IFERROR(__xludf.DUMMYFUNCTION("INDEX(GOOGLEFINANCE(""NSE:""&amp;C46,dates!$I$1,dates!$C$5),2,2)"),478.35)</f>
        <v>478.35</v>
      </c>
      <c r="I46" s="10">
        <f>IFERROR(__xludf.DUMMYFUNCTION("INDEX(GOOGLEFINANCE(""NSE:""&amp;C46,dates!$I$1,dates!$C$6),2,2)"),437.9)</f>
        <v>437.9</v>
      </c>
      <c r="J46" s="16" t="str">
        <f t="shared" si="1"/>
        <v>#N/A</v>
      </c>
      <c r="K46" s="16" t="str">
        <f t="shared" si="2"/>
        <v>#N/A</v>
      </c>
      <c r="L46" s="16" t="str">
        <f t="shared" si="3"/>
        <v>#N/A</v>
      </c>
      <c r="M46" s="16" t="str">
        <f t="shared" si="4"/>
        <v>#N/A</v>
      </c>
      <c r="N46" s="17" t="str">
        <f t="shared" si="5"/>
        <v>#N/A</v>
      </c>
      <c r="O46" s="17" t="str">
        <f t="shared" si="6"/>
        <v>#N/A</v>
      </c>
      <c r="P46" s="17" t="str">
        <f t="shared" si="7"/>
        <v>#N/A</v>
      </c>
      <c r="Q46" s="17" t="str">
        <f t="shared" si="8"/>
        <v>#N/A</v>
      </c>
      <c r="R46" s="32" t="str">
        <f t="shared" si="9"/>
        <v>#N/A</v>
      </c>
    </row>
    <row r="47">
      <c r="A47" s="7">
        <v>47.0</v>
      </c>
      <c r="B47" s="44" t="s">
        <v>1355</v>
      </c>
      <c r="C47" s="31" t="s">
        <v>281</v>
      </c>
      <c r="D47" s="9">
        <f>IFERROR(__xludf.DUMMYFUNCTION("GOOGLEFINANCE(""NSE:""&amp;C47)"),765.0)</f>
        <v>765</v>
      </c>
      <c r="E47" s="10" t="str">
        <f>IFERROR(__xludf.DUMMYFUNCTION("INDEX(GOOGLEFINANCE(""NSE:""&amp;C47,dates!$I$1,dates!$C$3),2,2)"),"#N/A")</f>
        <v>#N/A</v>
      </c>
      <c r="F47" s="10" t="str">
        <f>IFERROR(__xludf.DUMMYFUNCTION("INDEX(GOOGLEFINANCE(""NSE:""&amp;C47,dates!$I$1,dates!$C$2),2,2)"),"#N/A")</f>
        <v>#N/A</v>
      </c>
      <c r="G47" s="10">
        <f>IFERROR(__xludf.DUMMYFUNCTION("INDEX(GOOGLEFINANCE(""NSE:""&amp;C47,dates!$I$1,dates!$C$4),2,2)"),761.55)</f>
        <v>761.55</v>
      </c>
      <c r="H47" s="10">
        <f>IFERROR(__xludf.DUMMYFUNCTION("INDEX(GOOGLEFINANCE(""NSE:""&amp;C47,dates!$I$1,dates!$C$5),2,2)"),774.5)</f>
        <v>774.5</v>
      </c>
      <c r="I47" s="10">
        <f>IFERROR(__xludf.DUMMYFUNCTION("INDEX(GOOGLEFINANCE(""NSE:""&amp;C47,dates!$I$1,dates!$C$6),2,2)"),729.45)</f>
        <v>729.45</v>
      </c>
      <c r="J47" s="16" t="str">
        <f t="shared" si="1"/>
        <v>#N/A</v>
      </c>
      <c r="K47" s="16" t="str">
        <f t="shared" si="2"/>
        <v>#N/A</v>
      </c>
      <c r="L47" s="16" t="str">
        <f t="shared" si="3"/>
        <v>#N/A</v>
      </c>
      <c r="M47" s="16" t="str">
        <f t="shared" si="4"/>
        <v>#N/A</v>
      </c>
      <c r="N47" s="17" t="str">
        <f t="shared" si="5"/>
        <v>#N/A</v>
      </c>
      <c r="O47" s="17" t="str">
        <f t="shared" si="6"/>
        <v>#N/A</v>
      </c>
      <c r="P47" s="17" t="str">
        <f t="shared" si="7"/>
        <v>#N/A</v>
      </c>
      <c r="Q47" s="17" t="str">
        <f t="shared" si="8"/>
        <v>#N/A</v>
      </c>
      <c r="R47" s="32" t="str">
        <f t="shared" si="9"/>
        <v>#N/A</v>
      </c>
    </row>
    <row r="48">
      <c r="A48" s="7">
        <v>48.0</v>
      </c>
      <c r="B48" s="44" t="s">
        <v>1356</v>
      </c>
      <c r="C48" s="31" t="s">
        <v>283</v>
      </c>
      <c r="D48" s="9">
        <f>IFERROR(__xludf.DUMMYFUNCTION("GOOGLEFINANCE(""NSE:""&amp;C48)"),1010.0)</f>
        <v>1010</v>
      </c>
      <c r="E48" s="10" t="str">
        <f>IFERROR(__xludf.DUMMYFUNCTION("INDEX(GOOGLEFINANCE(""NSE:""&amp;C48,dates!$I$1,dates!$C$3),2,2)"),"#N/A")</f>
        <v>#N/A</v>
      </c>
      <c r="F48" s="10" t="str">
        <f>IFERROR(__xludf.DUMMYFUNCTION("INDEX(GOOGLEFINANCE(""NSE:""&amp;C48,dates!$I$1,dates!$C$2),2,2)"),"#N/A")</f>
        <v>#N/A</v>
      </c>
      <c r="G48" s="10">
        <f>IFERROR(__xludf.DUMMYFUNCTION("INDEX(GOOGLEFINANCE(""NSE:""&amp;C48,dates!$I$1,dates!$C$4),2,2)"),982.45)</f>
        <v>982.45</v>
      </c>
      <c r="H48" s="10">
        <f>IFERROR(__xludf.DUMMYFUNCTION("INDEX(GOOGLEFINANCE(""NSE:""&amp;C48,dates!$I$1,dates!$C$5),2,2)"),1006.1)</f>
        <v>1006.1</v>
      </c>
      <c r="I48" s="10">
        <f>IFERROR(__xludf.DUMMYFUNCTION("INDEX(GOOGLEFINANCE(""NSE:""&amp;C48,dates!$I$1,dates!$C$6),2,2)"),948.5)</f>
        <v>948.5</v>
      </c>
      <c r="J48" s="16" t="str">
        <f t="shared" si="1"/>
        <v>#N/A</v>
      </c>
      <c r="K48" s="16" t="str">
        <f t="shared" si="2"/>
        <v>#N/A</v>
      </c>
      <c r="L48" s="16" t="str">
        <f t="shared" si="3"/>
        <v>#N/A</v>
      </c>
      <c r="M48" s="16" t="str">
        <f t="shared" si="4"/>
        <v>#N/A</v>
      </c>
      <c r="N48" s="17" t="str">
        <f t="shared" si="5"/>
        <v>#N/A</v>
      </c>
      <c r="O48" s="17" t="str">
        <f t="shared" si="6"/>
        <v>#N/A</v>
      </c>
      <c r="P48" s="17" t="str">
        <f t="shared" si="7"/>
        <v>#N/A</v>
      </c>
      <c r="Q48" s="17" t="str">
        <f t="shared" si="8"/>
        <v>#N/A</v>
      </c>
      <c r="R48" s="32" t="str">
        <f t="shared" si="9"/>
        <v>#N/A</v>
      </c>
    </row>
    <row r="49">
      <c r="A49" s="7">
        <v>49.0</v>
      </c>
      <c r="B49" s="44" t="s">
        <v>1357</v>
      </c>
      <c r="C49" s="31" t="s">
        <v>102</v>
      </c>
      <c r="D49" s="9">
        <f>IFERROR(__xludf.DUMMYFUNCTION("GOOGLEFINANCE(""NSE:""&amp;C49)"),299.0)</f>
        <v>299</v>
      </c>
      <c r="E49" s="10" t="str">
        <f>IFERROR(__xludf.DUMMYFUNCTION("INDEX(GOOGLEFINANCE(""NSE:""&amp;C49,dates!$I$1,dates!$C$3),2,2)"),"#N/A")</f>
        <v>#N/A</v>
      </c>
      <c r="F49" s="10" t="str">
        <f>IFERROR(__xludf.DUMMYFUNCTION("INDEX(GOOGLEFINANCE(""NSE:""&amp;C49,dates!$I$1,dates!$C$2),2,2)"),"#N/A")</f>
        <v>#N/A</v>
      </c>
      <c r="G49" s="10">
        <f>IFERROR(__xludf.DUMMYFUNCTION("INDEX(GOOGLEFINANCE(""NSE:""&amp;C49,dates!$I$1,dates!$C$4),2,2)"),302.0)</f>
        <v>302</v>
      </c>
      <c r="H49" s="10">
        <f>IFERROR(__xludf.DUMMYFUNCTION("INDEX(GOOGLEFINANCE(""NSE:""&amp;C49,dates!$I$1,dates!$C$5),2,2)"),308.55)</f>
        <v>308.55</v>
      </c>
      <c r="I49" s="10">
        <f>IFERROR(__xludf.DUMMYFUNCTION("INDEX(GOOGLEFINANCE(""NSE:""&amp;C49,dates!$I$1,dates!$C$6),2,2)"),292.6)</f>
        <v>292.6</v>
      </c>
      <c r="J49" s="16" t="str">
        <f t="shared" si="1"/>
        <v>#N/A</v>
      </c>
      <c r="K49" s="16" t="str">
        <f t="shared" si="2"/>
        <v>#N/A</v>
      </c>
      <c r="L49" s="16" t="str">
        <f t="shared" si="3"/>
        <v>#N/A</v>
      </c>
      <c r="M49" s="16" t="str">
        <f t="shared" si="4"/>
        <v>#N/A</v>
      </c>
      <c r="N49" s="17" t="str">
        <f t="shared" si="5"/>
        <v>#N/A</v>
      </c>
      <c r="O49" s="17" t="str">
        <f t="shared" si="6"/>
        <v>#N/A</v>
      </c>
      <c r="P49" s="17" t="str">
        <f t="shared" si="7"/>
        <v>#N/A</v>
      </c>
      <c r="Q49" s="17" t="str">
        <f t="shared" si="8"/>
        <v>#N/A</v>
      </c>
      <c r="R49" s="32" t="str">
        <f t="shared" si="9"/>
        <v>#N/A</v>
      </c>
    </row>
    <row r="50">
      <c r="A50" s="7">
        <v>50.0</v>
      </c>
      <c r="B50" s="44" t="s">
        <v>1358</v>
      </c>
      <c r="C50" s="31" t="s">
        <v>138</v>
      </c>
      <c r="D50" s="9">
        <f>IFERROR(__xludf.DUMMYFUNCTION("GOOGLEFINANCE(""NSE:""&amp;C50)"),850.0)</f>
        <v>850</v>
      </c>
      <c r="E50" s="10" t="str">
        <f>IFERROR(__xludf.DUMMYFUNCTION("INDEX(GOOGLEFINANCE(""NSE:""&amp;C50,dates!$I$1,dates!$C$3),2,2)"),"#N/A")</f>
        <v>#N/A</v>
      </c>
      <c r="F50" s="10" t="str">
        <f>IFERROR(__xludf.DUMMYFUNCTION("INDEX(GOOGLEFINANCE(""NSE:""&amp;C50,dates!$I$1,dates!$C$2),2,2)"),"#N/A")</f>
        <v>#N/A</v>
      </c>
      <c r="G50" s="10">
        <f>IFERROR(__xludf.DUMMYFUNCTION("INDEX(GOOGLEFINANCE(""NSE:""&amp;C50,dates!$I$1,dates!$C$4),2,2)"),874.15)</f>
        <v>874.15</v>
      </c>
      <c r="H50" s="10">
        <f>IFERROR(__xludf.DUMMYFUNCTION("INDEX(GOOGLEFINANCE(""NSE:""&amp;C50,dates!$I$1,dates!$C$5),2,2)"),882.1)</f>
        <v>882.1</v>
      </c>
      <c r="I50" s="10">
        <f>IFERROR(__xludf.DUMMYFUNCTION("INDEX(GOOGLEFINANCE(""NSE:""&amp;C50,dates!$I$1,dates!$C$6),2,2)"),847.95)</f>
        <v>847.95</v>
      </c>
      <c r="J50" s="16" t="str">
        <f t="shared" si="1"/>
        <v>#N/A</v>
      </c>
      <c r="K50" s="16" t="str">
        <f t="shared" si="2"/>
        <v>#N/A</v>
      </c>
      <c r="L50" s="16" t="str">
        <f t="shared" si="3"/>
        <v>#N/A</v>
      </c>
      <c r="M50" s="16" t="str">
        <f t="shared" si="4"/>
        <v>#N/A</v>
      </c>
      <c r="N50" s="17" t="str">
        <f t="shared" si="5"/>
        <v>#N/A</v>
      </c>
      <c r="O50" s="17" t="str">
        <f t="shared" si="6"/>
        <v>#N/A</v>
      </c>
      <c r="P50" s="17" t="str">
        <f t="shared" si="7"/>
        <v>#N/A</v>
      </c>
      <c r="Q50" s="17" t="str">
        <f t="shared" si="8"/>
        <v>#N/A</v>
      </c>
      <c r="R50" s="32" t="str">
        <f t="shared" si="9"/>
        <v>#N/A</v>
      </c>
    </row>
    <row r="51">
      <c r="A51" s="7">
        <v>51.0</v>
      </c>
      <c r="B51" s="44" t="s">
        <v>1359</v>
      </c>
      <c r="C51" s="31" t="s">
        <v>97</v>
      </c>
      <c r="D51" s="9">
        <f>IFERROR(__xludf.DUMMYFUNCTION("GOOGLEFINANCE(""NSE:""&amp;C51)"),2431.0)</f>
        <v>2431</v>
      </c>
      <c r="E51" s="10" t="str">
        <f>IFERROR(__xludf.DUMMYFUNCTION("INDEX(GOOGLEFINANCE(""NSE:""&amp;C51,dates!$I$1,dates!$C$3),2,2)"),"#N/A")</f>
        <v>#N/A</v>
      </c>
      <c r="F51" s="10" t="str">
        <f>IFERROR(__xludf.DUMMYFUNCTION("INDEX(GOOGLEFINANCE(""NSE:""&amp;C51,dates!$I$1,dates!$C$2),2,2)"),"#N/A")</f>
        <v>#N/A</v>
      </c>
      <c r="G51" s="10">
        <f>IFERROR(__xludf.DUMMYFUNCTION("INDEX(GOOGLEFINANCE(""NSE:""&amp;C51,dates!$I$1,dates!$C$4),2,2)"),2368.45)</f>
        <v>2368.45</v>
      </c>
      <c r="H51" s="10">
        <f>IFERROR(__xludf.DUMMYFUNCTION("INDEX(GOOGLEFINANCE(""NSE:""&amp;C51,dates!$I$1,dates!$C$5),2,2)"),2397.0)</f>
        <v>2397</v>
      </c>
      <c r="I51" s="10">
        <f>IFERROR(__xludf.DUMMYFUNCTION("INDEX(GOOGLEFINANCE(""NSE:""&amp;C51,dates!$I$1,dates!$C$6),2,2)"),2225.2)</f>
        <v>2225.2</v>
      </c>
      <c r="J51" s="16" t="str">
        <f t="shared" si="1"/>
        <v>#N/A</v>
      </c>
      <c r="K51" s="16" t="str">
        <f t="shared" si="2"/>
        <v>#N/A</v>
      </c>
      <c r="L51" s="16" t="str">
        <f t="shared" si="3"/>
        <v>#N/A</v>
      </c>
      <c r="M51" s="16" t="str">
        <f t="shared" si="4"/>
        <v>#N/A</v>
      </c>
      <c r="N51" s="17" t="str">
        <f t="shared" si="5"/>
        <v>#N/A</v>
      </c>
      <c r="O51" s="17" t="str">
        <f t="shared" si="6"/>
        <v>#N/A</v>
      </c>
      <c r="P51" s="17" t="str">
        <f t="shared" si="7"/>
        <v>#N/A</v>
      </c>
      <c r="Q51" s="17" t="str">
        <f t="shared" si="8"/>
        <v>#N/A</v>
      </c>
      <c r="R51" s="32" t="str">
        <f t="shared" si="9"/>
        <v>#N/A</v>
      </c>
    </row>
    <row r="52">
      <c r="A52" s="7">
        <v>52.0</v>
      </c>
      <c r="B52" s="44" t="s">
        <v>1360</v>
      </c>
      <c r="C52" s="31" t="s">
        <v>458</v>
      </c>
      <c r="D52" s="9">
        <f>IFERROR(__xludf.DUMMYFUNCTION("GOOGLEFINANCE(""NSE:""&amp;C52)"),36.0)</f>
        <v>36</v>
      </c>
      <c r="E52" s="10" t="str">
        <f>IFERROR(__xludf.DUMMYFUNCTION("INDEX(GOOGLEFINANCE(""NSE:""&amp;C52,dates!$I$1,dates!$C$3),2,2)"),"#N/A")</f>
        <v>#N/A</v>
      </c>
      <c r="F52" s="10" t="str">
        <f>IFERROR(__xludf.DUMMYFUNCTION("INDEX(GOOGLEFINANCE(""NSE:""&amp;C52,dates!$I$1,dates!$C$2),2,2)"),"#N/A")</f>
        <v>#N/A</v>
      </c>
      <c r="G52" s="10">
        <f>IFERROR(__xludf.DUMMYFUNCTION("INDEX(GOOGLEFINANCE(""NSE:""&amp;C52,dates!$I$1,dates!$C$4),2,2)"),31.55)</f>
        <v>31.55</v>
      </c>
      <c r="H52" s="10">
        <f>IFERROR(__xludf.DUMMYFUNCTION("INDEX(GOOGLEFINANCE(""NSE:""&amp;C52,dates!$I$1,dates!$C$5),2,2)"),30.0)</f>
        <v>30</v>
      </c>
      <c r="I52" s="10">
        <f>IFERROR(__xludf.DUMMYFUNCTION("INDEX(GOOGLEFINANCE(""NSE:""&amp;C52,dates!$I$1,dates!$C$6),2,2)"),29.15)</f>
        <v>29.15</v>
      </c>
      <c r="J52" s="16" t="str">
        <f t="shared" si="1"/>
        <v>#N/A</v>
      </c>
      <c r="K52" s="16" t="str">
        <f t="shared" si="2"/>
        <v>#N/A</v>
      </c>
      <c r="L52" s="16" t="str">
        <f t="shared" si="3"/>
        <v>#N/A</v>
      </c>
      <c r="M52" s="16" t="str">
        <f t="shared" si="4"/>
        <v>#N/A</v>
      </c>
      <c r="N52" s="17" t="str">
        <f t="shared" si="5"/>
        <v>#N/A</v>
      </c>
      <c r="O52" s="17" t="str">
        <f t="shared" si="6"/>
        <v>#N/A</v>
      </c>
      <c r="P52" s="17" t="str">
        <f t="shared" si="7"/>
        <v>#N/A</v>
      </c>
      <c r="Q52" s="17" t="str">
        <f t="shared" si="8"/>
        <v>#N/A</v>
      </c>
      <c r="R52" s="32" t="str">
        <f t="shared" si="9"/>
        <v>#N/A</v>
      </c>
    </row>
    <row r="53">
      <c r="A53" s="7">
        <v>53.0</v>
      </c>
      <c r="B53" s="44" t="s">
        <v>1361</v>
      </c>
      <c r="C53" s="31" t="s">
        <v>195</v>
      </c>
      <c r="D53" s="9">
        <f>IFERROR(__xludf.DUMMYFUNCTION("GOOGLEFINANCE(""NSE:""&amp;C53)"),110.2)</f>
        <v>110.2</v>
      </c>
      <c r="E53" s="10" t="str">
        <f>IFERROR(__xludf.DUMMYFUNCTION("INDEX(GOOGLEFINANCE(""NSE:""&amp;C53,dates!$I$1,dates!$C$3),2,2)"),"#N/A")</f>
        <v>#N/A</v>
      </c>
      <c r="F53" s="10" t="str">
        <f>IFERROR(__xludf.DUMMYFUNCTION("INDEX(GOOGLEFINANCE(""NSE:""&amp;C53,dates!$I$1,dates!$C$2),2,2)"),"#N/A")</f>
        <v>#N/A</v>
      </c>
      <c r="G53" s="10">
        <f>IFERROR(__xludf.DUMMYFUNCTION("INDEX(GOOGLEFINANCE(""NSE:""&amp;C53,dates!$I$1,dates!$C$4),2,2)"),115.15)</f>
        <v>115.15</v>
      </c>
      <c r="H53" s="10">
        <f>IFERROR(__xludf.DUMMYFUNCTION("INDEX(GOOGLEFINANCE(""NSE:""&amp;C53,dates!$I$1,dates!$C$5),2,2)"),120.25)</f>
        <v>120.25</v>
      </c>
      <c r="I53" s="10">
        <f>IFERROR(__xludf.DUMMYFUNCTION("INDEX(GOOGLEFINANCE(""NSE:""&amp;C53,dates!$I$1,dates!$C$6),2,2)"),118.25)</f>
        <v>118.25</v>
      </c>
      <c r="J53" s="16" t="str">
        <f t="shared" si="1"/>
        <v>#N/A</v>
      </c>
      <c r="K53" s="16" t="str">
        <f t="shared" si="2"/>
        <v>#N/A</v>
      </c>
      <c r="L53" s="16" t="str">
        <f t="shared" si="3"/>
        <v>#N/A</v>
      </c>
      <c r="M53" s="16" t="str">
        <f t="shared" si="4"/>
        <v>#N/A</v>
      </c>
      <c r="N53" s="17" t="str">
        <f t="shared" si="5"/>
        <v>#N/A</v>
      </c>
      <c r="O53" s="17" t="str">
        <f t="shared" si="6"/>
        <v>#N/A</v>
      </c>
      <c r="P53" s="17" t="str">
        <f t="shared" si="7"/>
        <v>#N/A</v>
      </c>
      <c r="Q53" s="17" t="str">
        <f t="shared" si="8"/>
        <v>#N/A</v>
      </c>
      <c r="R53" s="32" t="str">
        <f t="shared" si="9"/>
        <v>#N/A</v>
      </c>
    </row>
    <row r="54">
      <c r="A54" s="7">
        <v>54.0</v>
      </c>
      <c r="B54" s="44" t="s">
        <v>1362</v>
      </c>
      <c r="C54" s="31" t="s">
        <v>44</v>
      </c>
      <c r="D54" s="9">
        <f>IFERROR(__xludf.DUMMYFUNCTION("GOOGLEFINANCE(""NSE:""&amp;C54)"),726.95)</f>
        <v>726.95</v>
      </c>
      <c r="E54" s="10" t="str">
        <f>IFERROR(__xludf.DUMMYFUNCTION("INDEX(GOOGLEFINANCE(""NSE:""&amp;C54,dates!$I$1,dates!$C$3),2,2)"),"#N/A")</f>
        <v>#N/A</v>
      </c>
      <c r="F54" s="10" t="str">
        <f>IFERROR(__xludf.DUMMYFUNCTION("INDEX(GOOGLEFINANCE(""NSE:""&amp;C54,dates!$I$1,dates!$C$2),2,2)"),"#N/A")</f>
        <v>#N/A</v>
      </c>
      <c r="G54" s="10">
        <f>IFERROR(__xludf.DUMMYFUNCTION("INDEX(GOOGLEFINANCE(""NSE:""&amp;C54,dates!$I$1,dates!$C$4),2,2)"),728.15)</f>
        <v>728.15</v>
      </c>
      <c r="H54" s="10">
        <f>IFERROR(__xludf.DUMMYFUNCTION("INDEX(GOOGLEFINANCE(""NSE:""&amp;C54,dates!$I$1,dates!$C$5),2,2)"),693.3)</f>
        <v>693.3</v>
      </c>
      <c r="I54" s="10">
        <f>IFERROR(__xludf.DUMMYFUNCTION("INDEX(GOOGLEFINANCE(""NSE:""&amp;C54,dates!$I$1,dates!$C$6),2,2)"),595.15)</f>
        <v>595.15</v>
      </c>
      <c r="J54" s="16" t="str">
        <f t="shared" si="1"/>
        <v>#N/A</v>
      </c>
      <c r="K54" s="16" t="str">
        <f t="shared" si="2"/>
        <v>#N/A</v>
      </c>
      <c r="L54" s="16" t="str">
        <f t="shared" si="3"/>
        <v>#N/A</v>
      </c>
      <c r="M54" s="16" t="str">
        <f t="shared" si="4"/>
        <v>#N/A</v>
      </c>
      <c r="N54" s="17" t="str">
        <f t="shared" si="5"/>
        <v>#N/A</v>
      </c>
      <c r="O54" s="17" t="str">
        <f t="shared" si="6"/>
        <v>#N/A</v>
      </c>
      <c r="P54" s="17" t="str">
        <f t="shared" si="7"/>
        <v>#N/A</v>
      </c>
      <c r="Q54" s="17" t="str">
        <f t="shared" si="8"/>
        <v>#N/A</v>
      </c>
      <c r="R54" s="32" t="str">
        <f t="shared" si="9"/>
        <v>#N/A</v>
      </c>
    </row>
    <row r="55">
      <c r="A55" s="7">
        <v>55.0</v>
      </c>
      <c r="B55" s="44" t="s">
        <v>1363</v>
      </c>
      <c r="C55" s="31" t="s">
        <v>59</v>
      </c>
      <c r="D55" s="9">
        <f>IFERROR(__xludf.DUMMYFUNCTION("GOOGLEFINANCE(""NSE:""&amp;C55)"),7628.0)</f>
        <v>7628</v>
      </c>
      <c r="E55" s="10" t="str">
        <f>IFERROR(__xludf.DUMMYFUNCTION("INDEX(GOOGLEFINANCE(""NSE:""&amp;C55,dates!$I$1,dates!$C$3),2,2)"),"#N/A")</f>
        <v>#N/A</v>
      </c>
      <c r="F55" s="10" t="str">
        <f>IFERROR(__xludf.DUMMYFUNCTION("INDEX(GOOGLEFINANCE(""NSE:""&amp;C55,dates!$I$1,dates!$C$2),2,2)"),"#N/A")</f>
        <v>#N/A</v>
      </c>
      <c r="G55" s="10">
        <f>IFERROR(__xludf.DUMMYFUNCTION("INDEX(GOOGLEFINANCE(""NSE:""&amp;C55,dates!$I$1,dates!$C$4),2,2)"),7711.85)</f>
        <v>7711.85</v>
      </c>
      <c r="H55" s="10">
        <f>IFERROR(__xludf.DUMMYFUNCTION("INDEX(GOOGLEFINANCE(""NSE:""&amp;C55,dates!$I$1,dates!$C$5),2,2)"),7944.45)</f>
        <v>7944.45</v>
      </c>
      <c r="I55" s="10">
        <f>IFERROR(__xludf.DUMMYFUNCTION("INDEX(GOOGLEFINANCE(""NSE:""&amp;C55,dates!$I$1,dates!$C$6),2,2)"),7565.6)</f>
        <v>7565.6</v>
      </c>
      <c r="J55" s="16" t="str">
        <f t="shared" si="1"/>
        <v>#N/A</v>
      </c>
      <c r="K55" s="16" t="str">
        <f t="shared" si="2"/>
        <v>#N/A</v>
      </c>
      <c r="L55" s="16" t="str">
        <f t="shared" si="3"/>
        <v>#N/A</v>
      </c>
      <c r="M55" s="16" t="str">
        <f t="shared" si="4"/>
        <v>#N/A</v>
      </c>
      <c r="N55" s="17" t="str">
        <f t="shared" si="5"/>
        <v>#N/A</v>
      </c>
      <c r="O55" s="17" t="str">
        <f t="shared" si="6"/>
        <v>#N/A</v>
      </c>
      <c r="P55" s="17" t="str">
        <f t="shared" si="7"/>
        <v>#N/A</v>
      </c>
      <c r="Q55" s="17" t="str">
        <f t="shared" si="8"/>
        <v>#N/A</v>
      </c>
      <c r="R55" s="32" t="str">
        <f t="shared" si="9"/>
        <v>#N/A</v>
      </c>
    </row>
    <row r="56">
      <c r="A56" s="7">
        <v>56.0</v>
      </c>
      <c r="B56" s="44" t="s">
        <v>1364</v>
      </c>
      <c r="C56" s="31" t="s">
        <v>181</v>
      </c>
      <c r="D56" s="9">
        <f>IFERROR(__xludf.DUMMYFUNCTION("GOOGLEFINANCE(""NSE:""&amp;C56)"),727.1)</f>
        <v>727.1</v>
      </c>
      <c r="E56" s="10" t="str">
        <f>IFERROR(__xludf.DUMMYFUNCTION("INDEX(GOOGLEFINANCE(""NSE:""&amp;C56,dates!$I$1,dates!$C$3),2,2)"),"#N/A")</f>
        <v>#N/A</v>
      </c>
      <c r="F56" s="10" t="str">
        <f>IFERROR(__xludf.DUMMYFUNCTION("INDEX(GOOGLEFINANCE(""NSE:""&amp;C56,dates!$I$1,dates!$C$2),2,2)"),"#N/A")</f>
        <v>#N/A</v>
      </c>
      <c r="G56" s="10">
        <f>IFERROR(__xludf.DUMMYFUNCTION("INDEX(GOOGLEFINANCE(""NSE:""&amp;C56,dates!$I$1,dates!$C$4),2,2)"),742.35)</f>
        <v>742.35</v>
      </c>
      <c r="H56" s="10">
        <f>IFERROR(__xludf.DUMMYFUNCTION("INDEX(GOOGLEFINANCE(""NSE:""&amp;C56,dates!$I$1,dates!$C$5),2,2)"),756.0)</f>
        <v>756</v>
      </c>
      <c r="I56" s="10">
        <f>IFERROR(__xludf.DUMMYFUNCTION("INDEX(GOOGLEFINANCE(""NSE:""&amp;C56,dates!$I$1,dates!$C$6),2,2)"),729.25)</f>
        <v>729.25</v>
      </c>
      <c r="J56" s="16" t="str">
        <f t="shared" si="1"/>
        <v>#N/A</v>
      </c>
      <c r="K56" s="16" t="str">
        <f t="shared" si="2"/>
        <v>#N/A</v>
      </c>
      <c r="L56" s="16" t="str">
        <f t="shared" si="3"/>
        <v>#N/A</v>
      </c>
      <c r="M56" s="16" t="str">
        <f t="shared" si="4"/>
        <v>#N/A</v>
      </c>
      <c r="N56" s="17" t="str">
        <f t="shared" si="5"/>
        <v>#N/A</v>
      </c>
      <c r="O56" s="17" t="str">
        <f t="shared" si="6"/>
        <v>#N/A</v>
      </c>
      <c r="P56" s="17" t="str">
        <f t="shared" si="7"/>
        <v>#N/A</v>
      </c>
      <c r="Q56" s="17" t="str">
        <f t="shared" si="8"/>
        <v>#N/A</v>
      </c>
      <c r="R56" s="32" t="str">
        <f t="shared" si="9"/>
        <v>#N/A</v>
      </c>
    </row>
    <row r="57">
      <c r="A57" s="7">
        <v>57.0</v>
      </c>
      <c r="B57" s="44" t="s">
        <v>1365</v>
      </c>
      <c r="C57" s="31" t="s">
        <v>305</v>
      </c>
      <c r="D57" s="9">
        <f>IFERROR(__xludf.DUMMYFUNCTION("GOOGLEFINANCE(""NSE:""&amp;C57)"),1247.35)</f>
        <v>1247.35</v>
      </c>
      <c r="E57" s="10" t="str">
        <f>IFERROR(__xludf.DUMMYFUNCTION("INDEX(GOOGLEFINANCE(""NSE:""&amp;C57,dates!$I$1,dates!$C$3),2,2)"),"#N/A")</f>
        <v>#N/A</v>
      </c>
      <c r="F57" s="10" t="str">
        <f>IFERROR(__xludf.DUMMYFUNCTION("INDEX(GOOGLEFINANCE(""NSE:""&amp;C57,dates!$I$1,dates!$C$2),2,2)"),"#N/A")</f>
        <v>#N/A</v>
      </c>
      <c r="G57" s="10">
        <f>IFERROR(__xludf.DUMMYFUNCTION("INDEX(GOOGLEFINANCE(""NSE:""&amp;C57,dates!$I$1,dates!$C$4),2,2)"),1254.15)</f>
        <v>1254.15</v>
      </c>
      <c r="H57" s="10">
        <f>IFERROR(__xludf.DUMMYFUNCTION("INDEX(GOOGLEFINANCE(""NSE:""&amp;C57,dates!$I$1,dates!$C$5),2,2)"),1213.05)</f>
        <v>1213.05</v>
      </c>
      <c r="I57" s="10">
        <f>IFERROR(__xludf.DUMMYFUNCTION("INDEX(GOOGLEFINANCE(""NSE:""&amp;C57,dates!$I$1,dates!$C$6),2,2)"),985.35)</f>
        <v>985.35</v>
      </c>
      <c r="J57" s="16" t="str">
        <f t="shared" si="1"/>
        <v>#N/A</v>
      </c>
      <c r="K57" s="16" t="str">
        <f t="shared" si="2"/>
        <v>#N/A</v>
      </c>
      <c r="L57" s="16" t="str">
        <f t="shared" si="3"/>
        <v>#N/A</v>
      </c>
      <c r="M57" s="16" t="str">
        <f t="shared" si="4"/>
        <v>#N/A</v>
      </c>
      <c r="N57" s="17" t="str">
        <f t="shared" si="5"/>
        <v>#N/A</v>
      </c>
      <c r="O57" s="17" t="str">
        <f t="shared" si="6"/>
        <v>#N/A</v>
      </c>
      <c r="P57" s="17" t="str">
        <f t="shared" si="7"/>
        <v>#N/A</v>
      </c>
      <c r="Q57" s="17" t="str">
        <f t="shared" si="8"/>
        <v>#N/A</v>
      </c>
      <c r="R57" s="32" t="str">
        <f t="shared" si="9"/>
        <v>#N/A</v>
      </c>
    </row>
    <row r="58">
      <c r="A58" s="7">
        <v>58.0</v>
      </c>
      <c r="B58" s="44" t="s">
        <v>1366</v>
      </c>
      <c r="C58" s="31" t="s">
        <v>38</v>
      </c>
      <c r="D58" s="9">
        <f>IFERROR(__xludf.DUMMYFUNCTION("GOOGLEFINANCE(""NSE:""&amp;C58)"),450.0)</f>
        <v>450</v>
      </c>
      <c r="E58" s="10" t="str">
        <f>IFERROR(__xludf.DUMMYFUNCTION("INDEX(GOOGLEFINANCE(""NSE:""&amp;C58,dates!$I$1,dates!$C$3),2,2)"),"#N/A")</f>
        <v>#N/A</v>
      </c>
      <c r="F58" s="10" t="str">
        <f>IFERROR(__xludf.DUMMYFUNCTION("INDEX(GOOGLEFINANCE(""NSE:""&amp;C58,dates!$I$1,dates!$C$2),2,2)"),"#N/A")</f>
        <v>#N/A</v>
      </c>
      <c r="G58" s="10">
        <f>IFERROR(__xludf.DUMMYFUNCTION("INDEX(GOOGLEFINANCE(""NSE:""&amp;C58,dates!$I$1,dates!$C$4),2,2)"),454.1)</f>
        <v>454.1</v>
      </c>
      <c r="H58" s="10">
        <f>IFERROR(__xludf.DUMMYFUNCTION("INDEX(GOOGLEFINANCE(""NSE:""&amp;C58,dates!$I$1,dates!$C$5),2,2)"),432.85)</f>
        <v>432.85</v>
      </c>
      <c r="I58" s="10">
        <f>IFERROR(__xludf.DUMMYFUNCTION("INDEX(GOOGLEFINANCE(""NSE:""&amp;C58,dates!$I$1,dates!$C$6),2,2)"),412.45)</f>
        <v>412.45</v>
      </c>
      <c r="J58" s="16" t="str">
        <f t="shared" si="1"/>
        <v>#N/A</v>
      </c>
      <c r="K58" s="16" t="str">
        <f t="shared" si="2"/>
        <v>#N/A</v>
      </c>
      <c r="L58" s="16" t="str">
        <f t="shared" si="3"/>
        <v>#N/A</v>
      </c>
      <c r="M58" s="16" t="str">
        <f t="shared" si="4"/>
        <v>#N/A</v>
      </c>
      <c r="N58" s="17" t="str">
        <f t="shared" si="5"/>
        <v>#N/A</v>
      </c>
      <c r="O58" s="17" t="str">
        <f t="shared" si="6"/>
        <v>#N/A</v>
      </c>
      <c r="P58" s="17" t="str">
        <f t="shared" si="7"/>
        <v>#N/A</v>
      </c>
      <c r="Q58" s="17" t="str">
        <f t="shared" si="8"/>
        <v>#N/A</v>
      </c>
      <c r="R58" s="32" t="str">
        <f t="shared" si="9"/>
        <v>#N/A</v>
      </c>
    </row>
    <row r="59">
      <c r="A59" s="7">
        <v>59.0</v>
      </c>
      <c r="B59" s="44" t="s">
        <v>1367</v>
      </c>
      <c r="C59" s="31" t="s">
        <v>116</v>
      </c>
      <c r="D59" s="9">
        <f>IFERROR(__xludf.DUMMYFUNCTION("GOOGLEFINANCE(""NSE:""&amp;C59)"),117.85)</f>
        <v>117.85</v>
      </c>
      <c r="E59" s="10" t="str">
        <f>IFERROR(__xludf.DUMMYFUNCTION("INDEX(GOOGLEFINANCE(""NSE:""&amp;C59,dates!$I$1,dates!$C$3),2,2)"),"#N/A")</f>
        <v>#N/A</v>
      </c>
      <c r="F59" s="10" t="str">
        <f>IFERROR(__xludf.DUMMYFUNCTION("INDEX(GOOGLEFINANCE(""NSE:""&amp;C59,dates!$I$1,dates!$C$2),2,2)"),"#N/A")</f>
        <v>#N/A</v>
      </c>
      <c r="G59" s="10">
        <f>IFERROR(__xludf.DUMMYFUNCTION("INDEX(GOOGLEFINANCE(""NSE:""&amp;C59,dates!$I$1,dates!$C$4),2,2)"),118.25)</f>
        <v>118.25</v>
      </c>
      <c r="H59" s="10">
        <f>IFERROR(__xludf.DUMMYFUNCTION("INDEX(GOOGLEFINANCE(""NSE:""&amp;C59,dates!$I$1,dates!$C$5),2,2)"),114.0)</f>
        <v>114</v>
      </c>
      <c r="I59" s="10">
        <f>IFERROR(__xludf.DUMMYFUNCTION("INDEX(GOOGLEFINANCE(""NSE:""&amp;C59,dates!$I$1,dates!$C$6),2,2)"),105.95)</f>
        <v>105.95</v>
      </c>
      <c r="J59" s="16" t="str">
        <f t="shared" si="1"/>
        <v>#N/A</v>
      </c>
      <c r="K59" s="16" t="str">
        <f t="shared" si="2"/>
        <v>#N/A</v>
      </c>
      <c r="L59" s="16" t="str">
        <f t="shared" si="3"/>
        <v>#N/A</v>
      </c>
      <c r="M59" s="16" t="str">
        <f t="shared" si="4"/>
        <v>#N/A</v>
      </c>
      <c r="N59" s="17" t="str">
        <f t="shared" si="5"/>
        <v>#N/A</v>
      </c>
      <c r="O59" s="17" t="str">
        <f t="shared" si="6"/>
        <v>#N/A</v>
      </c>
      <c r="P59" s="17" t="str">
        <f t="shared" si="7"/>
        <v>#N/A</v>
      </c>
      <c r="Q59" s="17" t="str">
        <f t="shared" si="8"/>
        <v>#N/A</v>
      </c>
      <c r="R59" s="32" t="str">
        <f t="shared" si="9"/>
        <v>#N/A</v>
      </c>
    </row>
    <row r="60">
      <c r="A60" s="7">
        <v>60.0</v>
      </c>
      <c r="B60" s="44" t="s">
        <v>1368</v>
      </c>
      <c r="C60" s="31" t="s">
        <v>751</v>
      </c>
      <c r="D60" s="9">
        <f>IFERROR(__xludf.DUMMYFUNCTION("GOOGLEFINANCE(""NSE:""&amp;C60)"),229.3)</f>
        <v>229.3</v>
      </c>
      <c r="E60" s="10" t="str">
        <f>IFERROR(__xludf.DUMMYFUNCTION("INDEX(GOOGLEFINANCE(""NSE:""&amp;C60,dates!$I$1,dates!$C$3),2,2)"),"#N/A")</f>
        <v>#N/A</v>
      </c>
      <c r="F60" s="10" t="str">
        <f>IFERROR(__xludf.DUMMYFUNCTION("INDEX(GOOGLEFINANCE(""NSE:""&amp;C60,dates!$I$1,dates!$C$2),2,2)"),"#N/A")</f>
        <v>#N/A</v>
      </c>
      <c r="G60" s="10">
        <f>IFERROR(__xludf.DUMMYFUNCTION("INDEX(GOOGLEFINANCE(""NSE:""&amp;C60,dates!$I$1,dates!$C$4),2,2)"),228.75)</f>
        <v>228.75</v>
      </c>
      <c r="H60" s="10">
        <f>IFERROR(__xludf.DUMMYFUNCTION("INDEX(GOOGLEFINANCE(""NSE:""&amp;C60,dates!$I$1,dates!$C$5),2,2)"),228.95)</f>
        <v>228.95</v>
      </c>
      <c r="I60" s="10">
        <f>IFERROR(__xludf.DUMMYFUNCTION("INDEX(GOOGLEFINANCE(""NSE:""&amp;C60,dates!$I$1,dates!$C$6),2,2)"),220.0)</f>
        <v>220</v>
      </c>
      <c r="J60" s="16" t="str">
        <f t="shared" si="1"/>
        <v>#N/A</v>
      </c>
      <c r="K60" s="16" t="str">
        <f t="shared" si="2"/>
        <v>#N/A</v>
      </c>
      <c r="L60" s="16" t="str">
        <f t="shared" si="3"/>
        <v>#N/A</v>
      </c>
      <c r="M60" s="16" t="str">
        <f t="shared" si="4"/>
        <v>#N/A</v>
      </c>
      <c r="N60" s="17" t="str">
        <f t="shared" si="5"/>
        <v>#N/A</v>
      </c>
      <c r="O60" s="17" t="str">
        <f t="shared" si="6"/>
        <v>#N/A</v>
      </c>
      <c r="P60" s="17" t="str">
        <f t="shared" si="7"/>
        <v>#N/A</v>
      </c>
      <c r="Q60" s="17" t="str">
        <f t="shared" si="8"/>
        <v>#N/A</v>
      </c>
      <c r="R60" s="32" t="str">
        <f t="shared" si="9"/>
        <v>#N/A</v>
      </c>
    </row>
    <row r="61">
      <c r="A61" s="7">
        <v>61.0</v>
      </c>
      <c r="B61" s="44" t="s">
        <v>1369</v>
      </c>
      <c r="C61" s="31" t="s">
        <v>173</v>
      </c>
      <c r="D61" s="9">
        <f>IFERROR(__xludf.DUMMYFUNCTION("GOOGLEFINANCE(""NSE:""&amp;C61)"),1522.2)</f>
        <v>1522.2</v>
      </c>
      <c r="E61" s="10" t="str">
        <f>IFERROR(__xludf.DUMMYFUNCTION("INDEX(GOOGLEFINANCE(""NSE:""&amp;C61,dates!$I$1,dates!$C$3),2,2)"),"#N/A")</f>
        <v>#N/A</v>
      </c>
      <c r="F61" s="10" t="str">
        <f>IFERROR(__xludf.DUMMYFUNCTION("INDEX(GOOGLEFINANCE(""NSE:""&amp;C61,dates!$I$1,dates!$C$2),2,2)"),"#N/A")</f>
        <v>#N/A</v>
      </c>
      <c r="G61" s="10">
        <f>IFERROR(__xludf.DUMMYFUNCTION("INDEX(GOOGLEFINANCE(""NSE:""&amp;C61,dates!$I$1,dates!$C$4),2,2)"),1513.5)</f>
        <v>1513.5</v>
      </c>
      <c r="H61" s="10">
        <f>IFERROR(__xludf.DUMMYFUNCTION("INDEX(GOOGLEFINANCE(""NSE:""&amp;C61,dates!$I$1,dates!$C$5),2,2)"),1544.55)</f>
        <v>1544.55</v>
      </c>
      <c r="I61" s="10">
        <f>IFERROR(__xludf.DUMMYFUNCTION("INDEX(GOOGLEFINANCE(""NSE:""&amp;C61,dates!$I$1,dates!$C$6),2,2)"),1491.7)</f>
        <v>1491.7</v>
      </c>
      <c r="J61" s="16" t="str">
        <f t="shared" si="1"/>
        <v>#N/A</v>
      </c>
      <c r="K61" s="16" t="str">
        <f t="shared" si="2"/>
        <v>#N/A</v>
      </c>
      <c r="L61" s="16" t="str">
        <f t="shared" si="3"/>
        <v>#N/A</v>
      </c>
      <c r="M61" s="16" t="str">
        <f t="shared" si="4"/>
        <v>#N/A</v>
      </c>
      <c r="N61" s="17" t="str">
        <f t="shared" si="5"/>
        <v>#N/A</v>
      </c>
      <c r="O61" s="17" t="str">
        <f t="shared" si="6"/>
        <v>#N/A</v>
      </c>
      <c r="P61" s="17" t="str">
        <f t="shared" si="7"/>
        <v>#N/A</v>
      </c>
      <c r="Q61" s="17" t="str">
        <f t="shared" si="8"/>
        <v>#N/A</v>
      </c>
      <c r="R61" s="32" t="str">
        <f t="shared" si="9"/>
        <v>#N/A</v>
      </c>
    </row>
    <row r="62">
      <c r="A62" s="7">
        <v>62.0</v>
      </c>
      <c r="B62" s="44" t="s">
        <v>1370</v>
      </c>
      <c r="C62" s="31" t="s">
        <v>9</v>
      </c>
      <c r="D62" s="9">
        <f>IFERROR(__xludf.DUMMYFUNCTION("GOOGLEFINANCE(""NSE:""&amp;C62)"),2488.1)</f>
        <v>2488.1</v>
      </c>
      <c r="E62" s="10" t="str">
        <f>IFERROR(__xludf.DUMMYFUNCTION("INDEX(GOOGLEFINANCE(""NSE:""&amp;C62,dates!$I$1,dates!$C$3),2,2)"),"#N/A")</f>
        <v>#N/A</v>
      </c>
      <c r="F62" s="10" t="str">
        <f>IFERROR(__xludf.DUMMYFUNCTION("INDEX(GOOGLEFINANCE(""NSE:""&amp;C62,dates!$I$1,dates!$C$2),2,2)"),"#N/A")</f>
        <v>#N/A</v>
      </c>
      <c r="G62" s="10">
        <f>IFERROR(__xludf.DUMMYFUNCTION("INDEX(GOOGLEFINANCE(""NSE:""&amp;C62,dates!$I$1,dates!$C$4),2,2)"),2390.55)</f>
        <v>2390.55</v>
      </c>
      <c r="H62" s="10">
        <f>IFERROR(__xludf.DUMMYFUNCTION("INDEX(GOOGLEFINANCE(""NSE:""&amp;C62,dates!$I$1,dates!$C$5),2,2)"),2371.55)</f>
        <v>2371.55</v>
      </c>
      <c r="I62" s="10">
        <f>IFERROR(__xludf.DUMMYFUNCTION("INDEX(GOOGLEFINANCE(""NSE:""&amp;C62,dates!$I$1,dates!$C$6),2,2)"),2227.4)</f>
        <v>2227.4</v>
      </c>
      <c r="J62" s="16" t="str">
        <f t="shared" si="1"/>
        <v>#N/A</v>
      </c>
      <c r="K62" s="16" t="str">
        <f t="shared" si="2"/>
        <v>#N/A</v>
      </c>
      <c r="L62" s="16" t="str">
        <f t="shared" si="3"/>
        <v>#N/A</v>
      </c>
      <c r="M62" s="16" t="str">
        <f t="shared" si="4"/>
        <v>#N/A</v>
      </c>
      <c r="N62" s="17" t="str">
        <f t="shared" si="5"/>
        <v>#N/A</v>
      </c>
      <c r="O62" s="17" t="str">
        <f t="shared" si="6"/>
        <v>#N/A</v>
      </c>
      <c r="P62" s="17" t="str">
        <f t="shared" si="7"/>
        <v>#N/A</v>
      </c>
      <c r="Q62" s="17" t="str">
        <f t="shared" si="8"/>
        <v>#N/A</v>
      </c>
      <c r="R62" s="32" t="str">
        <f t="shared" si="9"/>
        <v>#N/A</v>
      </c>
    </row>
    <row r="63">
      <c r="A63" s="7">
        <v>63.0</v>
      </c>
      <c r="B63" s="44" t="s">
        <v>1371</v>
      </c>
      <c r="C63" s="31" t="s">
        <v>95</v>
      </c>
      <c r="D63" s="9">
        <f>IFERROR(__xludf.DUMMYFUNCTION("GOOGLEFINANCE(""NSE:""&amp;C63)"),1219.0)</f>
        <v>1219</v>
      </c>
      <c r="E63" s="10" t="str">
        <f>IFERROR(__xludf.DUMMYFUNCTION("INDEX(GOOGLEFINANCE(""NSE:""&amp;C63,dates!$I$1,dates!$C$3),2,2)"),"#N/A")</f>
        <v>#N/A</v>
      </c>
      <c r="F63" s="10" t="str">
        <f>IFERROR(__xludf.DUMMYFUNCTION("INDEX(GOOGLEFINANCE(""NSE:""&amp;C63,dates!$I$1,dates!$C$2),2,2)"),"#N/A")</f>
        <v>#N/A</v>
      </c>
      <c r="G63" s="10">
        <f>IFERROR(__xludf.DUMMYFUNCTION("INDEX(GOOGLEFINANCE(""NSE:""&amp;C63,dates!$I$1,dates!$C$4),2,2)"),1198.8)</f>
        <v>1198.8</v>
      </c>
      <c r="H63" s="10">
        <f>IFERROR(__xludf.DUMMYFUNCTION("INDEX(GOOGLEFINANCE(""NSE:""&amp;C63,dates!$I$1,dates!$C$5),2,2)"),1165.15)</f>
        <v>1165.15</v>
      </c>
      <c r="I63" s="10">
        <f>IFERROR(__xludf.DUMMYFUNCTION("INDEX(GOOGLEFINANCE(""NSE:""&amp;C63,dates!$I$1,dates!$C$6),2,2)"),1184.05)</f>
        <v>1184.05</v>
      </c>
      <c r="J63" s="16" t="str">
        <f t="shared" si="1"/>
        <v>#N/A</v>
      </c>
      <c r="K63" s="16" t="str">
        <f t="shared" si="2"/>
        <v>#N/A</v>
      </c>
      <c r="L63" s="16" t="str">
        <f t="shared" si="3"/>
        <v>#N/A</v>
      </c>
      <c r="M63" s="16" t="str">
        <f t="shared" si="4"/>
        <v>#N/A</v>
      </c>
      <c r="N63" s="17" t="str">
        <f t="shared" si="5"/>
        <v>#N/A</v>
      </c>
      <c r="O63" s="17" t="str">
        <f t="shared" si="6"/>
        <v>#N/A</v>
      </c>
      <c r="P63" s="17" t="str">
        <f t="shared" si="7"/>
        <v>#N/A</v>
      </c>
      <c r="Q63" s="17" t="str">
        <f t="shared" si="8"/>
        <v>#N/A</v>
      </c>
      <c r="R63" s="32" t="str">
        <f t="shared" si="9"/>
        <v>#N/A</v>
      </c>
    </row>
    <row r="64">
      <c r="A64" s="7">
        <v>64.0</v>
      </c>
      <c r="B64" s="44" t="s">
        <v>1372</v>
      </c>
      <c r="C64" s="31" t="s">
        <v>28</v>
      </c>
      <c r="D64" s="9">
        <f>IFERROR(__xludf.DUMMYFUNCTION("GOOGLEFINANCE(""NSE:""&amp;C64)"),1742.1)</f>
        <v>1742.1</v>
      </c>
      <c r="E64" s="10" t="str">
        <f>IFERROR(__xludf.DUMMYFUNCTION("INDEX(GOOGLEFINANCE(""NSE:""&amp;C64,dates!$I$1,dates!$C$3),2,2)"),"#N/A")</f>
        <v>#N/A</v>
      </c>
      <c r="F64" s="10" t="str">
        <f>IFERROR(__xludf.DUMMYFUNCTION("INDEX(GOOGLEFINANCE(""NSE:""&amp;C64,dates!$I$1,dates!$C$2),2,2)"),"#N/A")</f>
        <v>#N/A</v>
      </c>
      <c r="G64" s="10">
        <f>IFERROR(__xludf.DUMMYFUNCTION("INDEX(GOOGLEFINANCE(""NSE:""&amp;C64,dates!$I$1,dates!$C$4),2,2)"),1691.3)</f>
        <v>1691.3</v>
      </c>
      <c r="H64" s="10">
        <f>IFERROR(__xludf.DUMMYFUNCTION("INDEX(GOOGLEFINANCE(""NSE:""&amp;C64,dates!$I$1,dates!$C$5),2,2)"),1691.9)</f>
        <v>1691.9</v>
      </c>
      <c r="I64" s="10">
        <f>IFERROR(__xludf.DUMMYFUNCTION("INDEX(GOOGLEFINANCE(""NSE:""&amp;C64,dates!$I$1,dates!$C$6),2,2)"),1708.8)</f>
        <v>1708.8</v>
      </c>
      <c r="J64" s="16" t="str">
        <f t="shared" si="1"/>
        <v>#N/A</v>
      </c>
      <c r="K64" s="16" t="str">
        <f t="shared" si="2"/>
        <v>#N/A</v>
      </c>
      <c r="L64" s="16" t="str">
        <f t="shared" si="3"/>
        <v>#N/A</v>
      </c>
      <c r="M64" s="16" t="str">
        <f t="shared" si="4"/>
        <v>#N/A</v>
      </c>
      <c r="N64" s="17" t="str">
        <f t="shared" si="5"/>
        <v>#N/A</v>
      </c>
      <c r="O64" s="17" t="str">
        <f t="shared" si="6"/>
        <v>#N/A</v>
      </c>
      <c r="P64" s="17" t="str">
        <f t="shared" si="7"/>
        <v>#N/A</v>
      </c>
      <c r="Q64" s="17" t="str">
        <f t="shared" si="8"/>
        <v>#N/A</v>
      </c>
      <c r="R64" s="32" t="str">
        <f t="shared" si="9"/>
        <v>#N/A</v>
      </c>
    </row>
    <row r="65">
      <c r="A65" s="7">
        <v>65.0</v>
      </c>
      <c r="B65" s="44" t="s">
        <v>1373</v>
      </c>
      <c r="C65" s="31" t="s">
        <v>295</v>
      </c>
      <c r="D65" s="9">
        <f>IFERROR(__xludf.DUMMYFUNCTION("GOOGLEFINANCE(""NSE:""&amp;C65)"),138.2)</f>
        <v>138.2</v>
      </c>
      <c r="E65" s="10" t="str">
        <f>IFERROR(__xludf.DUMMYFUNCTION("INDEX(GOOGLEFINANCE(""NSE:""&amp;C65,dates!$I$1,dates!$C$3),2,2)"),"#N/A")</f>
        <v>#N/A</v>
      </c>
      <c r="F65" s="10" t="str">
        <f>IFERROR(__xludf.DUMMYFUNCTION("INDEX(GOOGLEFINANCE(""NSE:""&amp;C65,dates!$I$1,dates!$C$2),2,2)"),"#N/A")</f>
        <v>#N/A</v>
      </c>
      <c r="G65" s="10">
        <f>IFERROR(__xludf.DUMMYFUNCTION("INDEX(GOOGLEFINANCE(""NSE:""&amp;C65,dates!$I$1,dates!$C$4),2,2)"),138.3)</f>
        <v>138.3</v>
      </c>
      <c r="H65" s="10">
        <f>IFERROR(__xludf.DUMMYFUNCTION("INDEX(GOOGLEFINANCE(""NSE:""&amp;C65,dates!$I$1,dates!$C$5),2,2)"),138.7)</f>
        <v>138.7</v>
      </c>
      <c r="I65" s="10">
        <f>IFERROR(__xludf.DUMMYFUNCTION("INDEX(GOOGLEFINANCE(""NSE:""&amp;C65,dates!$I$1,dates!$C$6),2,2)"),126.3)</f>
        <v>126.3</v>
      </c>
      <c r="J65" s="16" t="str">
        <f t="shared" si="1"/>
        <v>#N/A</v>
      </c>
      <c r="K65" s="16" t="str">
        <f t="shared" si="2"/>
        <v>#N/A</v>
      </c>
      <c r="L65" s="16" t="str">
        <f t="shared" si="3"/>
        <v>#N/A</v>
      </c>
      <c r="M65" s="16" t="str">
        <f t="shared" si="4"/>
        <v>#N/A</v>
      </c>
      <c r="N65" s="17" t="str">
        <f t="shared" si="5"/>
        <v>#N/A</v>
      </c>
      <c r="O65" s="17" t="str">
        <f t="shared" si="6"/>
        <v>#N/A</v>
      </c>
      <c r="P65" s="17" t="str">
        <f t="shared" si="7"/>
        <v>#N/A</v>
      </c>
      <c r="Q65" s="17" t="str">
        <f t="shared" si="8"/>
        <v>#N/A</v>
      </c>
      <c r="R65" s="32" t="str">
        <f t="shared" si="9"/>
        <v>#N/A</v>
      </c>
    </row>
    <row r="66">
      <c r="A66" s="7">
        <v>66.0</v>
      </c>
      <c r="B66" s="44" t="s">
        <v>1374</v>
      </c>
      <c r="C66" s="31" t="s">
        <v>34</v>
      </c>
      <c r="D66" s="9">
        <f>IFERROR(__xludf.DUMMYFUNCTION("GOOGLEFINANCE(""NSE:""&amp;C66)"),717.0)</f>
        <v>717</v>
      </c>
      <c r="E66" s="10" t="str">
        <f>IFERROR(__xludf.DUMMYFUNCTION("INDEX(GOOGLEFINANCE(""NSE:""&amp;C66,dates!$I$1,dates!$C$3),2,2)"),"#N/A")</f>
        <v>#N/A</v>
      </c>
      <c r="F66" s="10" t="str">
        <f>IFERROR(__xludf.DUMMYFUNCTION("INDEX(GOOGLEFINANCE(""NSE:""&amp;C66,dates!$I$1,dates!$C$2),2,2)"),"#N/A")</f>
        <v>#N/A</v>
      </c>
      <c r="G66" s="10">
        <f>IFERROR(__xludf.DUMMYFUNCTION("INDEX(GOOGLEFINANCE(""NSE:""&amp;C66,dates!$I$1,dates!$C$4),2,2)"),720.15)</f>
        <v>720.15</v>
      </c>
      <c r="H66" s="10">
        <f>IFERROR(__xludf.DUMMYFUNCTION("INDEX(GOOGLEFINANCE(""NSE:""&amp;C66,dates!$I$1,dates!$C$5),2,2)"),707.4)</f>
        <v>707.4</v>
      </c>
      <c r="I66" s="10">
        <f>IFERROR(__xludf.DUMMYFUNCTION("INDEX(GOOGLEFINANCE(""NSE:""&amp;C66,dates!$I$1,dates!$C$6),2,2)"),699.75)</f>
        <v>699.75</v>
      </c>
      <c r="J66" s="16" t="str">
        <f t="shared" si="1"/>
        <v>#N/A</v>
      </c>
      <c r="K66" s="16" t="str">
        <f t="shared" si="2"/>
        <v>#N/A</v>
      </c>
      <c r="L66" s="16" t="str">
        <f t="shared" si="3"/>
        <v>#N/A</v>
      </c>
      <c r="M66" s="16" t="str">
        <f t="shared" si="4"/>
        <v>#N/A</v>
      </c>
      <c r="N66" s="17" t="str">
        <f t="shared" si="5"/>
        <v>#N/A</v>
      </c>
      <c r="O66" s="17" t="str">
        <f t="shared" si="6"/>
        <v>#N/A</v>
      </c>
      <c r="P66" s="17" t="str">
        <f t="shared" si="7"/>
        <v>#N/A</v>
      </c>
      <c r="Q66" s="17" t="str">
        <f t="shared" si="8"/>
        <v>#N/A</v>
      </c>
      <c r="R66" s="32" t="str">
        <f t="shared" si="9"/>
        <v>#N/A</v>
      </c>
    </row>
    <row r="67">
      <c r="A67" s="7">
        <v>67.0</v>
      </c>
      <c r="B67" s="44" t="s">
        <v>1375</v>
      </c>
      <c r="C67" s="31" t="s">
        <v>809</v>
      </c>
      <c r="D67" s="9">
        <f>IFERROR(__xludf.DUMMYFUNCTION("GOOGLEFINANCE(""NSE:""&amp;C67)"),3101.6)</f>
        <v>3101.6</v>
      </c>
      <c r="E67" s="10" t="str">
        <f>IFERROR(__xludf.DUMMYFUNCTION("INDEX(GOOGLEFINANCE(""NSE:""&amp;C67,dates!$I$1,dates!$C$3),2,2)"),"#N/A")</f>
        <v>#N/A</v>
      </c>
      <c r="F67" s="10" t="str">
        <f>IFERROR(__xludf.DUMMYFUNCTION("INDEX(GOOGLEFINANCE(""NSE:""&amp;C67,dates!$I$1,dates!$C$2),2,2)"),"#N/A")</f>
        <v>#N/A</v>
      </c>
      <c r="G67" s="10">
        <f>IFERROR(__xludf.DUMMYFUNCTION("INDEX(GOOGLEFINANCE(""NSE:""&amp;C67,dates!$I$1,dates!$C$4),2,2)"),3145.6)</f>
        <v>3145.6</v>
      </c>
      <c r="H67" s="10">
        <f>IFERROR(__xludf.DUMMYFUNCTION("INDEX(GOOGLEFINANCE(""NSE:""&amp;C67,dates!$I$1,dates!$C$5),2,2)"),3072.9)</f>
        <v>3072.9</v>
      </c>
      <c r="I67" s="10">
        <f>IFERROR(__xludf.DUMMYFUNCTION("INDEX(GOOGLEFINANCE(""NSE:""&amp;C67,dates!$I$1,dates!$C$6),2,2)"),2726.0)</f>
        <v>2726</v>
      </c>
      <c r="J67" s="16" t="str">
        <f t="shared" si="1"/>
        <v>#N/A</v>
      </c>
      <c r="K67" s="16" t="str">
        <f t="shared" si="2"/>
        <v>#N/A</v>
      </c>
      <c r="L67" s="16" t="str">
        <f t="shared" si="3"/>
        <v>#N/A</v>
      </c>
      <c r="M67" s="16" t="str">
        <f t="shared" si="4"/>
        <v>#N/A</v>
      </c>
      <c r="N67" s="17" t="str">
        <f t="shared" si="5"/>
        <v>#N/A</v>
      </c>
      <c r="O67" s="17" t="str">
        <f t="shared" si="6"/>
        <v>#N/A</v>
      </c>
      <c r="P67" s="17" t="str">
        <f t="shared" si="7"/>
        <v>#N/A</v>
      </c>
      <c r="Q67" s="17" t="str">
        <f t="shared" si="8"/>
        <v>#N/A</v>
      </c>
      <c r="R67" s="32" t="str">
        <f t="shared" si="9"/>
        <v>#N/A</v>
      </c>
    </row>
    <row r="68">
      <c r="A68" s="7">
        <v>68.0</v>
      </c>
      <c r="B68" s="44" t="s">
        <v>1376</v>
      </c>
      <c r="C68" s="31" t="s">
        <v>57</v>
      </c>
      <c r="D68" s="9">
        <f>IFERROR(__xludf.DUMMYFUNCTION("GOOGLEFINANCE(""NSE:""&amp;C68)"),1774.55)</f>
        <v>1774.55</v>
      </c>
      <c r="E68" s="10" t="str">
        <f>IFERROR(__xludf.DUMMYFUNCTION("INDEX(GOOGLEFINANCE(""NSE:""&amp;C68,dates!$I$1,dates!$C$3),2,2)"),"#N/A")</f>
        <v>#N/A</v>
      </c>
      <c r="F68" s="10" t="str">
        <f>IFERROR(__xludf.DUMMYFUNCTION("INDEX(GOOGLEFINANCE(""NSE:""&amp;C68,dates!$I$1,dates!$C$2),2,2)"),"#N/A")</f>
        <v>#N/A</v>
      </c>
      <c r="G68" s="10">
        <f>IFERROR(__xludf.DUMMYFUNCTION("INDEX(GOOGLEFINANCE(""NSE:""&amp;C68,dates!$I$1,dates!$C$4),2,2)"),1716.2)</f>
        <v>1716.2</v>
      </c>
      <c r="H68" s="10">
        <f>IFERROR(__xludf.DUMMYFUNCTION("INDEX(GOOGLEFINANCE(""NSE:""&amp;C68,dates!$I$1,dates!$C$5),2,2)"),1671.7)</f>
        <v>1671.7</v>
      </c>
      <c r="I68" s="10">
        <f>IFERROR(__xludf.DUMMYFUNCTION("INDEX(GOOGLEFINANCE(""NSE:""&amp;C68,dates!$I$1,dates!$C$6),2,2)"),1638.1)</f>
        <v>1638.1</v>
      </c>
      <c r="J68" s="16" t="str">
        <f t="shared" si="1"/>
        <v>#N/A</v>
      </c>
      <c r="K68" s="16" t="str">
        <f t="shared" si="2"/>
        <v>#N/A</v>
      </c>
      <c r="L68" s="16" t="str">
        <f t="shared" si="3"/>
        <v>#N/A</v>
      </c>
      <c r="M68" s="16" t="str">
        <f t="shared" si="4"/>
        <v>#N/A</v>
      </c>
      <c r="N68" s="17" t="str">
        <f t="shared" si="5"/>
        <v>#N/A</v>
      </c>
      <c r="O68" s="17" t="str">
        <f t="shared" si="6"/>
        <v>#N/A</v>
      </c>
      <c r="P68" s="17" t="str">
        <f t="shared" si="7"/>
        <v>#N/A</v>
      </c>
      <c r="Q68" s="17" t="str">
        <f t="shared" si="8"/>
        <v>#N/A</v>
      </c>
      <c r="R68" s="32" t="str">
        <f t="shared" si="9"/>
        <v>#N/A</v>
      </c>
    </row>
    <row r="69">
      <c r="A69" s="7">
        <v>69.0</v>
      </c>
      <c r="B69" s="44" t="s">
        <v>1377</v>
      </c>
      <c r="C69" s="31" t="s">
        <v>259</v>
      </c>
      <c r="D69" s="9">
        <f>IFERROR(__xludf.DUMMYFUNCTION("GOOGLEFINANCE(""NSE:""&amp;C69)"),79.6)</f>
        <v>79.6</v>
      </c>
      <c r="E69" s="10" t="str">
        <f>IFERROR(__xludf.DUMMYFUNCTION("INDEX(GOOGLEFINANCE(""NSE:""&amp;C69,dates!$I$1,dates!$C$3),2,2)"),"#N/A")</f>
        <v>#N/A</v>
      </c>
      <c r="F69" s="10" t="str">
        <f>IFERROR(__xludf.DUMMYFUNCTION("INDEX(GOOGLEFINANCE(""NSE:""&amp;C69,dates!$I$1,dates!$C$2),2,2)"),"#N/A")</f>
        <v>#N/A</v>
      </c>
      <c r="G69" s="10">
        <f>IFERROR(__xludf.DUMMYFUNCTION("INDEX(GOOGLEFINANCE(""NSE:""&amp;C69,dates!$I$1,dates!$C$4),2,2)"),82.3)</f>
        <v>82.3</v>
      </c>
      <c r="H69" s="10">
        <f>IFERROR(__xludf.DUMMYFUNCTION("INDEX(GOOGLEFINANCE(""NSE:""&amp;C69,dates!$I$1,dates!$C$5),2,2)"),78.25)</f>
        <v>78.25</v>
      </c>
      <c r="I69" s="10">
        <f>IFERROR(__xludf.DUMMYFUNCTION("INDEX(GOOGLEFINANCE(""NSE:""&amp;C69,dates!$I$1,dates!$C$6),2,2)"),74.55)</f>
        <v>74.55</v>
      </c>
      <c r="J69" s="16" t="str">
        <f t="shared" si="1"/>
        <v>#N/A</v>
      </c>
      <c r="K69" s="16" t="str">
        <f t="shared" si="2"/>
        <v>#N/A</v>
      </c>
      <c r="L69" s="16" t="str">
        <f t="shared" si="3"/>
        <v>#N/A</v>
      </c>
      <c r="M69" s="16" t="str">
        <f t="shared" si="4"/>
        <v>#N/A</v>
      </c>
      <c r="N69" s="17" t="str">
        <f t="shared" si="5"/>
        <v>#N/A</v>
      </c>
      <c r="O69" s="17" t="str">
        <f t="shared" si="6"/>
        <v>#N/A</v>
      </c>
      <c r="P69" s="17" t="str">
        <f t="shared" si="7"/>
        <v>#N/A</v>
      </c>
      <c r="Q69" s="17" t="str">
        <f t="shared" si="8"/>
        <v>#N/A</v>
      </c>
      <c r="R69" s="32" t="str">
        <f t="shared" si="9"/>
        <v>#N/A</v>
      </c>
    </row>
    <row r="70">
      <c r="A70" s="7">
        <v>70.0</v>
      </c>
      <c r="B70" s="44" t="s">
        <v>1378</v>
      </c>
      <c r="C70" s="31" t="s">
        <v>46</v>
      </c>
      <c r="D70" s="9">
        <f>IFERROR(__xludf.DUMMYFUNCTION("GOOGLEFINANCE(""NSE:""&amp;C70)"),1327.0)</f>
        <v>1327</v>
      </c>
      <c r="E70" s="10" t="str">
        <f>IFERROR(__xludf.DUMMYFUNCTION("INDEX(GOOGLEFINANCE(""NSE:""&amp;C70,dates!$I$1,dates!$C$3),2,2)"),"#N/A")</f>
        <v>#N/A</v>
      </c>
      <c r="F70" s="10" t="str">
        <f>IFERROR(__xludf.DUMMYFUNCTION("INDEX(GOOGLEFINANCE(""NSE:""&amp;C70,dates!$I$1,dates!$C$2),2,2)"),"#N/A")</f>
        <v>#N/A</v>
      </c>
      <c r="G70" s="10">
        <f>IFERROR(__xludf.DUMMYFUNCTION("INDEX(GOOGLEFINANCE(""NSE:""&amp;C70,dates!$I$1,dates!$C$4),2,2)"),1263.3)</f>
        <v>1263.3</v>
      </c>
      <c r="H70" s="10">
        <f>IFERROR(__xludf.DUMMYFUNCTION("INDEX(GOOGLEFINANCE(""NSE:""&amp;C70,dates!$I$1,dates!$C$5),2,2)"),1208.4)</f>
        <v>1208.4</v>
      </c>
      <c r="I70" s="10">
        <f>IFERROR(__xludf.DUMMYFUNCTION("INDEX(GOOGLEFINANCE(""NSE:""&amp;C70,dates!$I$1,dates!$C$6),2,2)"),1162.95)</f>
        <v>1162.95</v>
      </c>
      <c r="J70" s="16" t="str">
        <f t="shared" si="1"/>
        <v>#N/A</v>
      </c>
      <c r="K70" s="16" t="str">
        <f t="shared" si="2"/>
        <v>#N/A</v>
      </c>
      <c r="L70" s="16" t="str">
        <f t="shared" si="3"/>
        <v>#N/A</v>
      </c>
      <c r="M70" s="16" t="str">
        <f t="shared" si="4"/>
        <v>#N/A</v>
      </c>
      <c r="N70" s="17" t="str">
        <f t="shared" si="5"/>
        <v>#N/A</v>
      </c>
      <c r="O70" s="17" t="str">
        <f t="shared" si="6"/>
        <v>#N/A</v>
      </c>
      <c r="P70" s="17" t="str">
        <f t="shared" si="7"/>
        <v>#N/A</v>
      </c>
      <c r="Q70" s="17" t="str">
        <f t="shared" si="8"/>
        <v>#N/A</v>
      </c>
      <c r="R70" s="32" t="str">
        <f t="shared" si="9"/>
        <v>#N/A</v>
      </c>
    </row>
    <row r="71">
      <c r="A71" s="7">
        <v>71.0</v>
      </c>
      <c r="B71" s="44" t="s">
        <v>1379</v>
      </c>
      <c r="C71" s="31" t="s">
        <v>273</v>
      </c>
      <c r="D71" s="9">
        <f>IFERROR(__xludf.DUMMYFUNCTION("GOOGLEFINANCE(""NSE:""&amp;C71)"),1044.0)</f>
        <v>1044</v>
      </c>
      <c r="E71" s="10" t="str">
        <f>IFERROR(__xludf.DUMMYFUNCTION("INDEX(GOOGLEFINANCE(""NSE:""&amp;C71,dates!$I$1,dates!$C$3),2,2)"),"#N/A")</f>
        <v>#N/A</v>
      </c>
      <c r="F71" s="10" t="str">
        <f>IFERROR(__xludf.DUMMYFUNCTION("INDEX(GOOGLEFINANCE(""NSE:""&amp;C71,dates!$I$1,dates!$C$2),2,2)"),"#N/A")</f>
        <v>#N/A</v>
      </c>
      <c r="G71" s="10">
        <f>IFERROR(__xludf.DUMMYFUNCTION("INDEX(GOOGLEFINANCE(""NSE:""&amp;C71,dates!$I$1,dates!$C$4),2,2)"),1081.7)</f>
        <v>1081.7</v>
      </c>
      <c r="H71" s="10">
        <f>IFERROR(__xludf.DUMMYFUNCTION("INDEX(GOOGLEFINANCE(""NSE:""&amp;C71,dates!$I$1,dates!$C$5),2,2)"),1094.9)</f>
        <v>1094.9</v>
      </c>
      <c r="I71" s="10">
        <f>IFERROR(__xludf.DUMMYFUNCTION("INDEX(GOOGLEFINANCE(""NSE:""&amp;C71,dates!$I$1,dates!$C$6),2,2)"),1019.8)</f>
        <v>1019.8</v>
      </c>
      <c r="J71" s="16" t="str">
        <f t="shared" si="1"/>
        <v>#N/A</v>
      </c>
      <c r="K71" s="16" t="str">
        <f t="shared" si="2"/>
        <v>#N/A</v>
      </c>
      <c r="L71" s="16" t="str">
        <f t="shared" si="3"/>
        <v>#N/A</v>
      </c>
      <c r="M71" s="16" t="str">
        <f t="shared" si="4"/>
        <v>#N/A</v>
      </c>
      <c r="N71" s="17" t="str">
        <f t="shared" si="5"/>
        <v>#N/A</v>
      </c>
      <c r="O71" s="17" t="str">
        <f t="shared" si="6"/>
        <v>#N/A</v>
      </c>
      <c r="P71" s="17" t="str">
        <f t="shared" si="7"/>
        <v>#N/A</v>
      </c>
      <c r="Q71" s="17" t="str">
        <f t="shared" si="8"/>
        <v>#N/A</v>
      </c>
      <c r="R71" s="32" t="str">
        <f t="shared" si="9"/>
        <v>#N/A</v>
      </c>
    </row>
    <row r="72">
      <c r="A72" s="7">
        <v>72.0</v>
      </c>
      <c r="B72" s="44" t="s">
        <v>1380</v>
      </c>
      <c r="C72" s="31" t="s">
        <v>124</v>
      </c>
      <c r="D72" s="9">
        <f>IFERROR(__xludf.DUMMYFUNCTION("GOOGLEFINANCE(""NSE:""&amp;C72)"),1608.05)</f>
        <v>1608.05</v>
      </c>
      <c r="E72" s="10" t="str">
        <f>IFERROR(__xludf.DUMMYFUNCTION("INDEX(GOOGLEFINANCE(""NSE:""&amp;C72,dates!$I$1,dates!$C$3),2,2)"),"#N/A")</f>
        <v>#N/A</v>
      </c>
      <c r="F72" s="10" t="str">
        <f>IFERROR(__xludf.DUMMYFUNCTION("INDEX(GOOGLEFINANCE(""NSE:""&amp;C72,dates!$I$1,dates!$C$2),2,2)"),"#N/A")</f>
        <v>#N/A</v>
      </c>
      <c r="G72" s="10">
        <f>IFERROR(__xludf.DUMMYFUNCTION("INDEX(GOOGLEFINANCE(""NSE:""&amp;C72,dates!$I$1,dates!$C$4),2,2)"),1568.8)</f>
        <v>1568.8</v>
      </c>
      <c r="H72" s="10">
        <f>IFERROR(__xludf.DUMMYFUNCTION("INDEX(GOOGLEFINANCE(""NSE:""&amp;C72,dates!$I$1,dates!$C$5),2,2)"),1606.35)</f>
        <v>1606.35</v>
      </c>
      <c r="I72" s="10">
        <f>IFERROR(__xludf.DUMMYFUNCTION("INDEX(GOOGLEFINANCE(""NSE:""&amp;C72,dates!$I$1,dates!$C$6),2,2)"),1458.3)</f>
        <v>1458.3</v>
      </c>
      <c r="J72" s="16" t="str">
        <f t="shared" si="1"/>
        <v>#N/A</v>
      </c>
      <c r="K72" s="16" t="str">
        <f t="shared" si="2"/>
        <v>#N/A</v>
      </c>
      <c r="L72" s="16" t="str">
        <f t="shared" si="3"/>
        <v>#N/A</v>
      </c>
      <c r="M72" s="16" t="str">
        <f t="shared" si="4"/>
        <v>#N/A</v>
      </c>
      <c r="N72" s="17" t="str">
        <f t="shared" si="5"/>
        <v>#N/A</v>
      </c>
      <c r="O72" s="17" t="str">
        <f t="shared" si="6"/>
        <v>#N/A</v>
      </c>
      <c r="P72" s="17" t="str">
        <f t="shared" si="7"/>
        <v>#N/A</v>
      </c>
      <c r="Q72" s="17" t="str">
        <f t="shared" si="8"/>
        <v>#N/A</v>
      </c>
      <c r="R72" s="32" t="str">
        <f t="shared" si="9"/>
        <v>#N/A</v>
      </c>
    </row>
    <row r="73">
      <c r="A73" s="7">
        <v>73.0</v>
      </c>
      <c r="B73" s="44" t="s">
        <v>1381</v>
      </c>
      <c r="C73" s="31" t="s">
        <v>432</v>
      </c>
      <c r="D73" s="9">
        <f>IFERROR(__xludf.DUMMYFUNCTION("GOOGLEFINANCE(""NSE:""&amp;C73)"),3930.0)</f>
        <v>3930</v>
      </c>
      <c r="E73" s="10" t="str">
        <f>IFERROR(__xludf.DUMMYFUNCTION("INDEX(GOOGLEFINANCE(""NSE:""&amp;C73,dates!$I$1,dates!$C$3),2,2)"),"#N/A")</f>
        <v>#N/A</v>
      </c>
      <c r="F73" s="10" t="str">
        <f>IFERROR(__xludf.DUMMYFUNCTION("INDEX(GOOGLEFINANCE(""NSE:""&amp;C73,dates!$I$1,dates!$C$2),2,2)"),"#N/A")</f>
        <v>#N/A</v>
      </c>
      <c r="G73" s="10">
        <f>IFERROR(__xludf.DUMMYFUNCTION("INDEX(GOOGLEFINANCE(""NSE:""&amp;C73,dates!$I$1,dates!$C$4),2,2)"),3860.15)</f>
        <v>3860.15</v>
      </c>
      <c r="H73" s="10">
        <f>IFERROR(__xludf.DUMMYFUNCTION("INDEX(GOOGLEFINANCE(""NSE:""&amp;C73,dates!$I$1,dates!$C$5),2,2)"),4019.85)</f>
        <v>4019.85</v>
      </c>
      <c r="I73" s="10">
        <f>IFERROR(__xludf.DUMMYFUNCTION("INDEX(GOOGLEFINANCE(""NSE:""&amp;C73,dates!$I$1,dates!$C$6),2,2)"),3830.05)</f>
        <v>3830.05</v>
      </c>
      <c r="J73" s="16" t="str">
        <f t="shared" si="1"/>
        <v>#N/A</v>
      </c>
      <c r="K73" s="16" t="str">
        <f t="shared" si="2"/>
        <v>#N/A</v>
      </c>
      <c r="L73" s="16" t="str">
        <f t="shared" si="3"/>
        <v>#N/A</v>
      </c>
      <c r="M73" s="16" t="str">
        <f t="shared" si="4"/>
        <v>#N/A</v>
      </c>
      <c r="N73" s="17" t="str">
        <f t="shared" si="5"/>
        <v>#N/A</v>
      </c>
      <c r="O73" s="17" t="str">
        <f t="shared" si="6"/>
        <v>#N/A</v>
      </c>
      <c r="P73" s="17" t="str">
        <f t="shared" si="7"/>
        <v>#N/A</v>
      </c>
      <c r="Q73" s="17" t="str">
        <f t="shared" si="8"/>
        <v>#N/A</v>
      </c>
      <c r="R73" s="32" t="str">
        <f t="shared" si="9"/>
        <v>#N/A</v>
      </c>
    </row>
    <row r="74">
      <c r="A74" s="7">
        <v>74.0</v>
      </c>
      <c r="B74" s="44" t="s">
        <v>1382</v>
      </c>
      <c r="C74" s="31" t="s">
        <v>197</v>
      </c>
      <c r="D74" s="9">
        <f>IFERROR(__xludf.DUMMYFUNCTION("GOOGLEFINANCE(""NSE:""&amp;C74)"),627.55)</f>
        <v>627.55</v>
      </c>
      <c r="E74" s="10" t="str">
        <f>IFERROR(__xludf.DUMMYFUNCTION("INDEX(GOOGLEFINANCE(""NSE:""&amp;C74,dates!$I$1,dates!$C$3),2,2)"),"#N/A")</f>
        <v>#N/A</v>
      </c>
      <c r="F74" s="10" t="str">
        <f>IFERROR(__xludf.DUMMYFUNCTION("INDEX(GOOGLEFINANCE(""NSE:""&amp;C74,dates!$I$1,dates!$C$2),2,2)"),"#N/A")</f>
        <v>#N/A</v>
      </c>
      <c r="G74" s="10">
        <f>IFERROR(__xludf.DUMMYFUNCTION("INDEX(GOOGLEFINANCE(""NSE:""&amp;C74,dates!$I$1,dates!$C$4),2,2)"),663.25)</f>
        <v>663.25</v>
      </c>
      <c r="H74" s="10">
        <f>IFERROR(__xludf.DUMMYFUNCTION("INDEX(GOOGLEFINANCE(""NSE:""&amp;C74,dates!$I$1,dates!$C$5),2,2)"),676.15)</f>
        <v>676.15</v>
      </c>
      <c r="I74" s="10">
        <f>IFERROR(__xludf.DUMMYFUNCTION("INDEX(GOOGLEFINANCE(""NSE:""&amp;C74,dates!$I$1,dates!$C$6),2,2)"),710.8)</f>
        <v>710.8</v>
      </c>
      <c r="J74" s="16" t="str">
        <f t="shared" si="1"/>
        <v>#N/A</v>
      </c>
      <c r="K74" s="16" t="str">
        <f t="shared" si="2"/>
        <v>#N/A</v>
      </c>
      <c r="L74" s="16" t="str">
        <f t="shared" si="3"/>
        <v>#N/A</v>
      </c>
      <c r="M74" s="16" t="str">
        <f t="shared" si="4"/>
        <v>#N/A</v>
      </c>
      <c r="N74" s="17" t="str">
        <f t="shared" si="5"/>
        <v>#N/A</v>
      </c>
      <c r="O74" s="17" t="str">
        <f t="shared" si="6"/>
        <v>#N/A</v>
      </c>
      <c r="P74" s="17" t="str">
        <f t="shared" si="7"/>
        <v>#N/A</v>
      </c>
      <c r="Q74" s="17" t="str">
        <f t="shared" si="8"/>
        <v>#N/A</v>
      </c>
      <c r="R74" s="32" t="str">
        <f t="shared" si="9"/>
        <v>#N/A</v>
      </c>
    </row>
    <row r="75">
      <c r="A75" s="7">
        <v>75.0</v>
      </c>
      <c r="B75" s="44" t="s">
        <v>1383</v>
      </c>
      <c r="C75" s="31" t="s">
        <v>323</v>
      </c>
      <c r="D75" s="9">
        <f>IFERROR(__xludf.DUMMYFUNCTION("GOOGLEFINANCE(""NSE:""&amp;C75)"),155.5)</f>
        <v>155.5</v>
      </c>
      <c r="E75" s="10" t="str">
        <f>IFERROR(__xludf.DUMMYFUNCTION("INDEX(GOOGLEFINANCE(""NSE:""&amp;C75,dates!$I$1,dates!$C$3),2,2)"),"#N/A")</f>
        <v>#N/A</v>
      </c>
      <c r="F75" s="10" t="str">
        <f>IFERROR(__xludf.DUMMYFUNCTION("INDEX(GOOGLEFINANCE(""NSE:""&amp;C75,dates!$I$1,dates!$C$2),2,2)"),"#N/A")</f>
        <v>#N/A</v>
      </c>
      <c r="G75" s="10">
        <f>IFERROR(__xludf.DUMMYFUNCTION("INDEX(GOOGLEFINANCE(""NSE:""&amp;C75,dates!$I$1,dates!$C$4),2,2)"),157.05)</f>
        <v>157.05</v>
      </c>
      <c r="H75" s="10">
        <f>IFERROR(__xludf.DUMMYFUNCTION("INDEX(GOOGLEFINANCE(""NSE:""&amp;C75,dates!$I$1,dates!$C$5),2,2)"),158.05)</f>
        <v>158.05</v>
      </c>
      <c r="I75" s="10">
        <f>IFERROR(__xludf.DUMMYFUNCTION("INDEX(GOOGLEFINANCE(""NSE:""&amp;C75,dates!$I$1,dates!$C$6),2,2)"),146.3)</f>
        <v>146.3</v>
      </c>
      <c r="J75" s="16" t="str">
        <f t="shared" si="1"/>
        <v>#N/A</v>
      </c>
      <c r="K75" s="16" t="str">
        <f t="shared" si="2"/>
        <v>#N/A</v>
      </c>
      <c r="L75" s="16" t="str">
        <f t="shared" si="3"/>
        <v>#N/A</v>
      </c>
      <c r="M75" s="16" t="str">
        <f t="shared" si="4"/>
        <v>#N/A</v>
      </c>
      <c r="N75" s="17" t="str">
        <f t="shared" si="5"/>
        <v>#N/A</v>
      </c>
      <c r="O75" s="17" t="str">
        <f t="shared" si="6"/>
        <v>#N/A</v>
      </c>
      <c r="P75" s="17" t="str">
        <f t="shared" si="7"/>
        <v>#N/A</v>
      </c>
      <c r="Q75" s="17" t="str">
        <f t="shared" si="8"/>
        <v>#N/A</v>
      </c>
      <c r="R75" s="32" t="str">
        <f t="shared" si="9"/>
        <v>#N/A</v>
      </c>
    </row>
    <row r="76">
      <c r="A76" s="7">
        <v>76.0</v>
      </c>
      <c r="B76" s="44" t="s">
        <v>1384</v>
      </c>
      <c r="C76" s="31" t="s">
        <v>297</v>
      </c>
      <c r="D76" s="9">
        <f>IFERROR(__xludf.DUMMYFUNCTION("GOOGLEFINANCE(""NSE:""&amp;C76)"),918.85)</f>
        <v>918.85</v>
      </c>
      <c r="E76" s="10" t="str">
        <f>IFERROR(__xludf.DUMMYFUNCTION("INDEX(GOOGLEFINANCE(""NSE:""&amp;C76,dates!$I$1,dates!$C$3),2,2)"),"#N/A")</f>
        <v>#N/A</v>
      </c>
      <c r="F76" s="10" t="str">
        <f>IFERROR(__xludf.DUMMYFUNCTION("INDEX(GOOGLEFINANCE(""NSE:""&amp;C76,dates!$I$1,dates!$C$2),2,2)"),"#N/A")</f>
        <v>#N/A</v>
      </c>
      <c r="G76" s="10">
        <f>IFERROR(__xludf.DUMMYFUNCTION("INDEX(GOOGLEFINANCE(""NSE:""&amp;C76,dates!$I$1,dates!$C$4),2,2)"),926.05)</f>
        <v>926.05</v>
      </c>
      <c r="H76" s="10">
        <f>IFERROR(__xludf.DUMMYFUNCTION("INDEX(GOOGLEFINANCE(""NSE:""&amp;C76,dates!$I$1,dates!$C$5),2,2)"),928.95)</f>
        <v>928.95</v>
      </c>
      <c r="I76" s="10">
        <f>IFERROR(__xludf.DUMMYFUNCTION("INDEX(GOOGLEFINANCE(""NSE:""&amp;C76,dates!$I$1,dates!$C$6),2,2)"),926.5)</f>
        <v>926.5</v>
      </c>
      <c r="J76" s="16" t="str">
        <f t="shared" si="1"/>
        <v>#N/A</v>
      </c>
      <c r="K76" s="16" t="str">
        <f t="shared" si="2"/>
        <v>#N/A</v>
      </c>
      <c r="L76" s="16" t="str">
        <f t="shared" si="3"/>
        <v>#N/A</v>
      </c>
      <c r="M76" s="16" t="str">
        <f t="shared" si="4"/>
        <v>#N/A</v>
      </c>
      <c r="N76" s="17" t="str">
        <f t="shared" si="5"/>
        <v>#N/A</v>
      </c>
      <c r="O76" s="17" t="str">
        <f t="shared" si="6"/>
        <v>#N/A</v>
      </c>
      <c r="P76" s="17" t="str">
        <f t="shared" si="7"/>
        <v>#N/A</v>
      </c>
      <c r="Q76" s="17" t="str">
        <f t="shared" si="8"/>
        <v>#N/A</v>
      </c>
      <c r="R76" s="32" t="str">
        <f t="shared" si="9"/>
        <v>#N/A</v>
      </c>
    </row>
    <row r="77">
      <c r="A77" s="7">
        <v>77.0</v>
      </c>
      <c r="B77" s="44" t="s">
        <v>1385</v>
      </c>
      <c r="C77" s="31" t="s">
        <v>136</v>
      </c>
      <c r="D77" s="9">
        <f>IFERROR(__xludf.DUMMYFUNCTION("GOOGLEFINANCE(""NSE:""&amp;C77)"),2165.0)</f>
        <v>2165</v>
      </c>
      <c r="E77" s="10" t="str">
        <f>IFERROR(__xludf.DUMMYFUNCTION("INDEX(GOOGLEFINANCE(""NSE:""&amp;C77,dates!$I$1,dates!$C$3),2,2)"),"#N/A")</f>
        <v>#N/A</v>
      </c>
      <c r="F77" s="10" t="str">
        <f>IFERROR(__xludf.DUMMYFUNCTION("INDEX(GOOGLEFINANCE(""NSE:""&amp;C77,dates!$I$1,dates!$C$2),2,2)"),"#N/A")</f>
        <v>#N/A</v>
      </c>
      <c r="G77" s="10">
        <f>IFERROR(__xludf.DUMMYFUNCTION("INDEX(GOOGLEFINANCE(""NSE:""&amp;C77,dates!$I$1,dates!$C$4),2,2)"),2180.55)</f>
        <v>2180.55</v>
      </c>
      <c r="H77" s="10">
        <f>IFERROR(__xludf.DUMMYFUNCTION("INDEX(GOOGLEFINANCE(""NSE:""&amp;C77,dates!$I$1,dates!$C$5),2,2)"),2208.55)</f>
        <v>2208.55</v>
      </c>
      <c r="I77" s="10">
        <f>IFERROR(__xludf.DUMMYFUNCTION("INDEX(GOOGLEFINANCE(""NSE:""&amp;C77,dates!$I$1,dates!$C$6),2,2)"),2222.2)</f>
        <v>2222.2</v>
      </c>
      <c r="J77" s="16" t="str">
        <f t="shared" si="1"/>
        <v>#N/A</v>
      </c>
      <c r="K77" s="16" t="str">
        <f t="shared" si="2"/>
        <v>#N/A</v>
      </c>
      <c r="L77" s="16" t="str">
        <f t="shared" si="3"/>
        <v>#N/A</v>
      </c>
      <c r="M77" s="16" t="str">
        <f t="shared" si="4"/>
        <v>#N/A</v>
      </c>
      <c r="N77" s="17" t="str">
        <f t="shared" si="5"/>
        <v>#N/A</v>
      </c>
      <c r="O77" s="17" t="str">
        <f t="shared" si="6"/>
        <v>#N/A</v>
      </c>
      <c r="P77" s="17" t="str">
        <f t="shared" si="7"/>
        <v>#N/A</v>
      </c>
      <c r="Q77" s="17" t="str">
        <f t="shared" si="8"/>
        <v>#N/A</v>
      </c>
      <c r="R77" s="32" t="str">
        <f t="shared" si="9"/>
        <v>#N/A</v>
      </c>
    </row>
    <row r="78">
      <c r="A78" s="7">
        <v>78.0</v>
      </c>
      <c r="B78" s="44" t="s">
        <v>1386</v>
      </c>
      <c r="C78" s="31" t="s">
        <v>428</v>
      </c>
      <c r="D78" s="9">
        <f>IFERROR(__xludf.DUMMYFUNCTION("GOOGLEFINANCE(""NSE:""&amp;C78)"),219.1)</f>
        <v>219.1</v>
      </c>
      <c r="E78" s="10" t="str">
        <f>IFERROR(__xludf.DUMMYFUNCTION("INDEX(GOOGLEFINANCE(""NSE:""&amp;C78,dates!$I$1,dates!$C$3),2,2)"),"#N/A")</f>
        <v>#N/A</v>
      </c>
      <c r="F78" s="10" t="str">
        <f>IFERROR(__xludf.DUMMYFUNCTION("INDEX(GOOGLEFINANCE(""NSE:""&amp;C78,dates!$I$1,dates!$C$2),2,2)"),"#N/A")</f>
        <v>#N/A</v>
      </c>
      <c r="G78" s="10">
        <f>IFERROR(__xludf.DUMMYFUNCTION("INDEX(GOOGLEFINANCE(""NSE:""&amp;C78,dates!$I$1,dates!$C$4),2,2)"),212.1)</f>
        <v>212.1</v>
      </c>
      <c r="H78" s="10">
        <f>IFERROR(__xludf.DUMMYFUNCTION("INDEX(GOOGLEFINANCE(""NSE:""&amp;C78,dates!$I$1,dates!$C$5),2,2)"),215.9)</f>
        <v>215.9</v>
      </c>
      <c r="I78" s="10">
        <f>IFERROR(__xludf.DUMMYFUNCTION("INDEX(GOOGLEFINANCE(""NSE:""&amp;C78,dates!$I$1,dates!$C$6),2,2)"),202.35)</f>
        <v>202.35</v>
      </c>
      <c r="J78" s="16" t="str">
        <f t="shared" si="1"/>
        <v>#N/A</v>
      </c>
      <c r="K78" s="16" t="str">
        <f t="shared" si="2"/>
        <v>#N/A</v>
      </c>
      <c r="L78" s="16" t="str">
        <f t="shared" si="3"/>
        <v>#N/A</v>
      </c>
      <c r="M78" s="16" t="str">
        <f t="shared" si="4"/>
        <v>#N/A</v>
      </c>
      <c r="N78" s="17" t="str">
        <f t="shared" si="5"/>
        <v>#N/A</v>
      </c>
      <c r="O78" s="17" t="str">
        <f t="shared" si="6"/>
        <v>#N/A</v>
      </c>
      <c r="P78" s="17" t="str">
        <f t="shared" si="7"/>
        <v>#N/A</v>
      </c>
      <c r="Q78" s="17" t="str">
        <f t="shared" si="8"/>
        <v>#N/A</v>
      </c>
      <c r="R78" s="32" t="str">
        <f t="shared" si="9"/>
        <v>#N/A</v>
      </c>
    </row>
    <row r="79">
      <c r="A79" s="7">
        <v>79.0</v>
      </c>
      <c r="B79" s="44" t="s">
        <v>1387</v>
      </c>
      <c r="C79" s="31" t="s">
        <v>155</v>
      </c>
      <c r="D79" s="9">
        <f>IFERROR(__xludf.DUMMYFUNCTION("GOOGLEFINANCE(""NSE:""&amp;C79)"),2215.1)</f>
        <v>2215.1</v>
      </c>
      <c r="E79" s="10" t="str">
        <f>IFERROR(__xludf.DUMMYFUNCTION("INDEX(GOOGLEFINANCE(""NSE:""&amp;C79,dates!$I$1,dates!$C$3),2,2)"),"#N/A")</f>
        <v>#N/A</v>
      </c>
      <c r="F79" s="10" t="str">
        <f>IFERROR(__xludf.DUMMYFUNCTION("INDEX(GOOGLEFINANCE(""NSE:""&amp;C79,dates!$I$1,dates!$C$2),2,2)"),"#N/A")</f>
        <v>#N/A</v>
      </c>
      <c r="G79" s="10">
        <f>IFERROR(__xludf.DUMMYFUNCTION("INDEX(GOOGLEFINANCE(""NSE:""&amp;C79,dates!$I$1,dates!$C$4),2,2)"),2196.05)</f>
        <v>2196.05</v>
      </c>
      <c r="H79" s="10">
        <f>IFERROR(__xludf.DUMMYFUNCTION("INDEX(GOOGLEFINANCE(""NSE:""&amp;C79,dates!$I$1,dates!$C$5),2,2)"),1897.7)</f>
        <v>1897.7</v>
      </c>
      <c r="I79" s="10">
        <f>IFERROR(__xludf.DUMMYFUNCTION("INDEX(GOOGLEFINANCE(""NSE:""&amp;C79,dates!$I$1,dates!$C$6),2,2)"),1776.85)</f>
        <v>1776.85</v>
      </c>
      <c r="J79" s="16" t="str">
        <f t="shared" si="1"/>
        <v>#N/A</v>
      </c>
      <c r="K79" s="16" t="str">
        <f t="shared" si="2"/>
        <v>#N/A</v>
      </c>
      <c r="L79" s="16" t="str">
        <f t="shared" si="3"/>
        <v>#N/A</v>
      </c>
      <c r="M79" s="16" t="str">
        <f t="shared" si="4"/>
        <v>#N/A</v>
      </c>
      <c r="N79" s="17" t="str">
        <f t="shared" si="5"/>
        <v>#N/A</v>
      </c>
      <c r="O79" s="17" t="str">
        <f t="shared" si="6"/>
        <v>#N/A</v>
      </c>
      <c r="P79" s="17" t="str">
        <f t="shared" si="7"/>
        <v>#N/A</v>
      </c>
      <c r="Q79" s="17" t="str">
        <f t="shared" si="8"/>
        <v>#N/A</v>
      </c>
      <c r="R79" s="32" t="str">
        <f t="shared" si="9"/>
        <v>#N/A</v>
      </c>
    </row>
    <row r="80">
      <c r="A80" s="7">
        <v>80.0</v>
      </c>
      <c r="B80" s="44" t="s">
        <v>1388</v>
      </c>
      <c r="C80" s="31" t="s">
        <v>187</v>
      </c>
      <c r="D80" s="9">
        <f>IFERROR(__xludf.DUMMYFUNCTION("GOOGLEFINANCE(""NSE:""&amp;C80)"),3100.65)</f>
        <v>3100.65</v>
      </c>
      <c r="E80" s="10" t="str">
        <f>IFERROR(__xludf.DUMMYFUNCTION("INDEX(GOOGLEFINANCE(""NSE:""&amp;C80,dates!$I$1,dates!$C$3),2,2)"),"#N/A")</f>
        <v>#N/A</v>
      </c>
      <c r="F80" s="10" t="str">
        <f>IFERROR(__xludf.DUMMYFUNCTION("INDEX(GOOGLEFINANCE(""NSE:""&amp;C80,dates!$I$1,dates!$C$2),2,2)"),"#N/A")</f>
        <v>#N/A</v>
      </c>
      <c r="G80" s="10">
        <f>IFERROR(__xludf.DUMMYFUNCTION("INDEX(GOOGLEFINANCE(""NSE:""&amp;C80,dates!$I$1,dates!$C$4),2,2)"),3097.2)</f>
        <v>3097.2</v>
      </c>
      <c r="H80" s="10">
        <f>IFERROR(__xludf.DUMMYFUNCTION("INDEX(GOOGLEFINANCE(""NSE:""&amp;C80,dates!$I$1,dates!$C$5),2,2)"),3126.05)</f>
        <v>3126.05</v>
      </c>
      <c r="I80" s="10">
        <f>IFERROR(__xludf.DUMMYFUNCTION("INDEX(GOOGLEFINANCE(""NSE:""&amp;C80,dates!$I$1,dates!$C$6),2,2)"),3046.9)</f>
        <v>3046.9</v>
      </c>
      <c r="J80" s="16" t="str">
        <f t="shared" si="1"/>
        <v>#N/A</v>
      </c>
      <c r="K80" s="16" t="str">
        <f t="shared" si="2"/>
        <v>#N/A</v>
      </c>
      <c r="L80" s="16" t="str">
        <f t="shared" si="3"/>
        <v>#N/A</v>
      </c>
      <c r="M80" s="16" t="str">
        <f t="shared" si="4"/>
        <v>#N/A</v>
      </c>
      <c r="N80" s="17" t="str">
        <f t="shared" si="5"/>
        <v>#N/A</v>
      </c>
      <c r="O80" s="17" t="str">
        <f t="shared" si="6"/>
        <v>#N/A</v>
      </c>
      <c r="P80" s="17" t="str">
        <f t="shared" si="7"/>
        <v>#N/A</v>
      </c>
      <c r="Q80" s="17" t="str">
        <f t="shared" si="8"/>
        <v>#N/A</v>
      </c>
      <c r="R80" s="32" t="str">
        <f t="shared" si="9"/>
        <v>#N/A</v>
      </c>
    </row>
    <row r="81">
      <c r="A81" s="7">
        <v>81.0</v>
      </c>
      <c r="B81" s="44" t="s">
        <v>1389</v>
      </c>
      <c r="C81" s="31" t="s">
        <v>63</v>
      </c>
      <c r="D81" s="9">
        <f>IFERROR(__xludf.DUMMYFUNCTION("GOOGLEFINANCE(""NSE:""&amp;C81)"),19844.0)</f>
        <v>19844</v>
      </c>
      <c r="E81" s="10" t="str">
        <f>IFERROR(__xludf.DUMMYFUNCTION("INDEX(GOOGLEFINANCE(""NSE:""&amp;C81,dates!$I$1,dates!$C$3),2,2)"),"#N/A")</f>
        <v>#N/A</v>
      </c>
      <c r="F81" s="10" t="str">
        <f>IFERROR(__xludf.DUMMYFUNCTION("INDEX(GOOGLEFINANCE(""NSE:""&amp;C81,dates!$I$1,dates!$C$2),2,2)"),"#N/A")</f>
        <v>#N/A</v>
      </c>
      <c r="G81" s="10">
        <f>IFERROR(__xludf.DUMMYFUNCTION("INDEX(GOOGLEFINANCE(""NSE:""&amp;C81,dates!$I$1,dates!$C$4),2,2)"),20175.7)</f>
        <v>20175.7</v>
      </c>
      <c r="H81" s="10">
        <f>IFERROR(__xludf.DUMMYFUNCTION("INDEX(GOOGLEFINANCE(""NSE:""&amp;C81,dates!$I$1,dates!$C$5),2,2)"),20452.25)</f>
        <v>20452.25</v>
      </c>
      <c r="I81" s="10">
        <f>IFERROR(__xludf.DUMMYFUNCTION("INDEX(GOOGLEFINANCE(""NSE:""&amp;C81,dates!$I$1,dates!$C$6),2,2)"),19957.35)</f>
        <v>19957.35</v>
      </c>
      <c r="J81" s="16" t="str">
        <f t="shared" si="1"/>
        <v>#N/A</v>
      </c>
      <c r="K81" s="16" t="str">
        <f t="shared" si="2"/>
        <v>#N/A</v>
      </c>
      <c r="L81" s="16" t="str">
        <f t="shared" si="3"/>
        <v>#N/A</v>
      </c>
      <c r="M81" s="16" t="str">
        <f t="shared" si="4"/>
        <v>#N/A</v>
      </c>
      <c r="N81" s="17" t="str">
        <f t="shared" si="5"/>
        <v>#N/A</v>
      </c>
      <c r="O81" s="17" t="str">
        <f t="shared" si="6"/>
        <v>#N/A</v>
      </c>
      <c r="P81" s="17" t="str">
        <f t="shared" si="7"/>
        <v>#N/A</v>
      </c>
      <c r="Q81" s="17" t="str">
        <f t="shared" si="8"/>
        <v>#N/A</v>
      </c>
      <c r="R81" s="32" t="str">
        <f t="shared" si="9"/>
        <v>#N/A</v>
      </c>
    </row>
    <row r="82">
      <c r="A82" s="7">
        <v>82.0</v>
      </c>
      <c r="B82" s="44" t="s">
        <v>1390</v>
      </c>
      <c r="C82" s="31" t="s">
        <v>333</v>
      </c>
      <c r="D82" s="9">
        <f>IFERROR(__xludf.DUMMYFUNCTION("GOOGLEFINANCE(""NSE:""&amp;C82)"),1029.95)</f>
        <v>1029.95</v>
      </c>
      <c r="E82" s="10" t="str">
        <f>IFERROR(__xludf.DUMMYFUNCTION("INDEX(GOOGLEFINANCE(""NSE:""&amp;C82,dates!$I$1,dates!$C$3),2,2)"),"#N/A")</f>
        <v>#N/A</v>
      </c>
      <c r="F82" s="10" t="str">
        <f>IFERROR(__xludf.DUMMYFUNCTION("INDEX(GOOGLEFINANCE(""NSE:""&amp;C82,dates!$I$1,dates!$C$2),2,2)"),"#N/A")</f>
        <v>#N/A</v>
      </c>
      <c r="G82" s="10">
        <f>IFERROR(__xludf.DUMMYFUNCTION("INDEX(GOOGLEFINANCE(""NSE:""&amp;C82,dates!$I$1,dates!$C$4),2,2)"),1007.7)</f>
        <v>1007.7</v>
      </c>
      <c r="H82" s="10">
        <f>IFERROR(__xludf.DUMMYFUNCTION("INDEX(GOOGLEFINANCE(""NSE:""&amp;C82,dates!$I$1,dates!$C$5),2,2)"),1044.15)</f>
        <v>1044.15</v>
      </c>
      <c r="I82" s="10">
        <f>IFERROR(__xludf.DUMMYFUNCTION("INDEX(GOOGLEFINANCE(""NSE:""&amp;C82,dates!$I$1,dates!$C$6),2,2)"),980.0)</f>
        <v>980</v>
      </c>
      <c r="J82" s="16" t="str">
        <f t="shared" si="1"/>
        <v>#N/A</v>
      </c>
      <c r="K82" s="16" t="str">
        <f t="shared" si="2"/>
        <v>#N/A</v>
      </c>
      <c r="L82" s="16" t="str">
        <f t="shared" si="3"/>
        <v>#N/A</v>
      </c>
      <c r="M82" s="16" t="str">
        <f t="shared" si="4"/>
        <v>#N/A</v>
      </c>
      <c r="N82" s="17" t="str">
        <f t="shared" si="5"/>
        <v>#N/A</v>
      </c>
      <c r="O82" s="17" t="str">
        <f t="shared" si="6"/>
        <v>#N/A</v>
      </c>
      <c r="P82" s="17" t="str">
        <f t="shared" si="7"/>
        <v>#N/A</v>
      </c>
      <c r="Q82" s="17" t="str">
        <f t="shared" si="8"/>
        <v>#N/A</v>
      </c>
      <c r="R82" s="32" t="str">
        <f t="shared" si="9"/>
        <v>#N/A</v>
      </c>
    </row>
    <row r="83">
      <c r="A83" s="7">
        <v>83.0</v>
      </c>
      <c r="B83" s="44" t="s">
        <v>444</v>
      </c>
      <c r="C83" s="31" t="s">
        <v>444</v>
      </c>
      <c r="D83" s="9">
        <f>IFERROR(__xludf.DUMMYFUNCTION("GOOGLEFINANCE(""NSE:""&amp;C83)"),57.05)</f>
        <v>57.05</v>
      </c>
      <c r="E83" s="10" t="str">
        <f>IFERROR(__xludf.DUMMYFUNCTION("INDEX(GOOGLEFINANCE(""NSE:""&amp;C83,dates!$I$1,dates!$C$3),2,2)"),"#N/A")</f>
        <v>#N/A</v>
      </c>
      <c r="F83" s="10" t="str">
        <f>IFERROR(__xludf.DUMMYFUNCTION("INDEX(GOOGLEFINANCE(""NSE:""&amp;C83,dates!$I$1,dates!$C$2),2,2)"),"#N/A")</f>
        <v>#N/A</v>
      </c>
      <c r="G83" s="10">
        <f>IFERROR(__xludf.DUMMYFUNCTION("INDEX(GOOGLEFINANCE(""NSE:""&amp;C83,dates!$I$1,dates!$C$4),2,2)"),56.55)</f>
        <v>56.55</v>
      </c>
      <c r="H83" s="10">
        <f>IFERROR(__xludf.DUMMYFUNCTION("INDEX(GOOGLEFINANCE(""NSE:""&amp;C83,dates!$I$1,dates!$C$5),2,2)"),55.15)</f>
        <v>55.15</v>
      </c>
      <c r="I83" s="10">
        <f>IFERROR(__xludf.DUMMYFUNCTION("INDEX(GOOGLEFINANCE(""NSE:""&amp;C83,dates!$I$1,dates!$C$6),2,2)"),54.2)</f>
        <v>54.2</v>
      </c>
      <c r="J83" s="16" t="str">
        <f t="shared" si="1"/>
        <v>#N/A</v>
      </c>
      <c r="K83" s="16" t="str">
        <f t="shared" si="2"/>
        <v>#N/A</v>
      </c>
      <c r="L83" s="16" t="str">
        <f t="shared" si="3"/>
        <v>#N/A</v>
      </c>
      <c r="M83" s="16" t="str">
        <f t="shared" si="4"/>
        <v>#N/A</v>
      </c>
      <c r="N83" s="17" t="str">
        <f t="shared" si="5"/>
        <v>#N/A</v>
      </c>
      <c r="O83" s="17" t="str">
        <f t="shared" si="6"/>
        <v>#N/A</v>
      </c>
      <c r="P83" s="17" t="str">
        <f t="shared" si="7"/>
        <v>#N/A</v>
      </c>
      <c r="Q83" s="17" t="str">
        <f t="shared" si="8"/>
        <v>#N/A</v>
      </c>
      <c r="R83" s="32" t="str">
        <f t="shared" si="9"/>
        <v>#N/A</v>
      </c>
    </row>
    <row r="84">
      <c r="A84" s="7">
        <v>84.0</v>
      </c>
      <c r="B84" s="44" t="s">
        <v>1391</v>
      </c>
      <c r="C84" s="31" t="s">
        <v>24</v>
      </c>
      <c r="D84" s="9">
        <f>IFERROR(__xludf.DUMMYFUNCTION("GOOGLEFINANCE(""NSE:""&amp;C84)"),3872.0)</f>
        <v>3872</v>
      </c>
      <c r="E84" s="10" t="str">
        <f>IFERROR(__xludf.DUMMYFUNCTION("INDEX(GOOGLEFINANCE(""NSE:""&amp;C84,dates!$I$1,dates!$C$3),2,2)"),"#N/A")</f>
        <v>#N/A</v>
      </c>
      <c r="F84" s="10" t="str">
        <f>IFERROR(__xludf.DUMMYFUNCTION("INDEX(GOOGLEFINANCE(""NSE:""&amp;C84,dates!$I$1,dates!$C$2),2,2)"),"#N/A")</f>
        <v>#N/A</v>
      </c>
      <c r="G84" s="10">
        <f>IFERROR(__xludf.DUMMYFUNCTION("INDEX(GOOGLEFINANCE(""NSE:""&amp;C84,dates!$I$1,dates!$C$4),2,2)"),3827.85)</f>
        <v>3827.85</v>
      </c>
      <c r="H84" s="10">
        <f>IFERROR(__xludf.DUMMYFUNCTION("INDEX(GOOGLEFINANCE(""NSE:""&amp;C84,dates!$I$1,dates!$C$5),2,2)"),3845.35)</f>
        <v>3845.35</v>
      </c>
      <c r="I84" s="10">
        <f>IFERROR(__xludf.DUMMYFUNCTION("INDEX(GOOGLEFINANCE(""NSE:""&amp;C84,dates!$I$1,dates!$C$6),2,2)"),3720.15)</f>
        <v>3720.15</v>
      </c>
      <c r="J84" s="16" t="str">
        <f t="shared" si="1"/>
        <v>#N/A</v>
      </c>
      <c r="K84" s="16" t="str">
        <f t="shared" si="2"/>
        <v>#N/A</v>
      </c>
      <c r="L84" s="16" t="str">
        <f t="shared" si="3"/>
        <v>#N/A</v>
      </c>
      <c r="M84" s="16" t="str">
        <f t="shared" si="4"/>
        <v>#N/A</v>
      </c>
      <c r="N84" s="17" t="str">
        <f t="shared" si="5"/>
        <v>#N/A</v>
      </c>
      <c r="O84" s="17" t="str">
        <f t="shared" si="6"/>
        <v>#N/A</v>
      </c>
      <c r="P84" s="17" t="str">
        <f t="shared" si="7"/>
        <v>#N/A</v>
      </c>
      <c r="Q84" s="17" t="str">
        <f t="shared" si="8"/>
        <v>#N/A</v>
      </c>
      <c r="R84" s="32" t="str">
        <f t="shared" si="9"/>
        <v>#N/A</v>
      </c>
    </row>
    <row r="85">
      <c r="A85" s="7">
        <v>85.0</v>
      </c>
      <c r="B85" s="44" t="s">
        <v>1392</v>
      </c>
      <c r="C85" s="31" t="s">
        <v>30</v>
      </c>
      <c r="D85" s="9">
        <f>IFERROR(__xludf.DUMMYFUNCTION("GOOGLEFINANCE(""NSE:""&amp;C85)"),2782.0)</f>
        <v>2782</v>
      </c>
      <c r="E85" s="10" t="str">
        <f>IFERROR(__xludf.DUMMYFUNCTION("INDEX(GOOGLEFINANCE(""NSE:""&amp;C85,dates!$I$1,dates!$C$3),2,2)"),"#N/A")</f>
        <v>#N/A</v>
      </c>
      <c r="F85" s="10" t="str">
        <f>IFERROR(__xludf.DUMMYFUNCTION("INDEX(GOOGLEFINANCE(""NSE:""&amp;C85,dates!$I$1,dates!$C$2),2,2)"),"#N/A")</f>
        <v>#N/A</v>
      </c>
      <c r="G85" s="10">
        <f>IFERROR(__xludf.DUMMYFUNCTION("INDEX(GOOGLEFINANCE(""NSE:""&amp;C85,dates!$I$1,dates!$C$4),2,2)"),2722.25)</f>
        <v>2722.25</v>
      </c>
      <c r="H85" s="10">
        <f>IFERROR(__xludf.DUMMYFUNCTION("INDEX(GOOGLEFINANCE(""NSE:""&amp;C85,dates!$I$1,dates!$C$5),2,2)"),2786.35)</f>
        <v>2786.35</v>
      </c>
      <c r="I85" s="10">
        <f>IFERROR(__xludf.DUMMYFUNCTION("INDEX(GOOGLEFINANCE(""NSE:""&amp;C85,dates!$I$1,dates!$C$6),2,2)"),2677.95)</f>
        <v>2677.95</v>
      </c>
      <c r="J85" s="16" t="str">
        <f t="shared" si="1"/>
        <v>#N/A</v>
      </c>
      <c r="K85" s="16" t="str">
        <f t="shared" si="2"/>
        <v>#N/A</v>
      </c>
      <c r="L85" s="16" t="str">
        <f t="shared" si="3"/>
        <v>#N/A</v>
      </c>
      <c r="M85" s="16" t="str">
        <f t="shared" si="4"/>
        <v>#N/A</v>
      </c>
      <c r="N85" s="17" t="str">
        <f t="shared" si="5"/>
        <v>#N/A</v>
      </c>
      <c r="O85" s="17" t="str">
        <f t="shared" si="6"/>
        <v>#N/A</v>
      </c>
      <c r="P85" s="17" t="str">
        <f t="shared" si="7"/>
        <v>#N/A</v>
      </c>
      <c r="Q85" s="17" t="str">
        <f t="shared" si="8"/>
        <v>#N/A</v>
      </c>
      <c r="R85" s="32" t="str">
        <f t="shared" si="9"/>
        <v>#N/A</v>
      </c>
    </row>
    <row r="86">
      <c r="A86" s="7">
        <v>86.0</v>
      </c>
      <c r="B86" s="44" t="s">
        <v>1393</v>
      </c>
      <c r="C86" s="31" t="s">
        <v>65</v>
      </c>
      <c r="D86" s="9">
        <f>IFERROR(__xludf.DUMMYFUNCTION("GOOGLEFINANCE(""NSE:""&amp;C86)"),769.0)</f>
        <v>769</v>
      </c>
      <c r="E86" s="10" t="str">
        <f>IFERROR(__xludf.DUMMYFUNCTION("INDEX(GOOGLEFINANCE(""NSE:""&amp;C86,dates!$I$1,dates!$C$3),2,2)"),"#N/A")</f>
        <v>#N/A</v>
      </c>
      <c r="F86" s="10" t="str">
        <f>IFERROR(__xludf.DUMMYFUNCTION("INDEX(GOOGLEFINANCE(""NSE:""&amp;C86,dates!$I$1,dates!$C$2),2,2)"),"#N/A")</f>
        <v>#N/A</v>
      </c>
      <c r="G86" s="10">
        <f>IFERROR(__xludf.DUMMYFUNCTION("INDEX(GOOGLEFINANCE(""NSE:""&amp;C86,dates!$I$1,dates!$C$4),2,2)"),769.9)</f>
        <v>769.9</v>
      </c>
      <c r="H86" s="10">
        <f>IFERROR(__xludf.DUMMYFUNCTION("INDEX(GOOGLEFINANCE(""NSE:""&amp;C86,dates!$I$1,dates!$C$5),2,2)"),780.3)</f>
        <v>780.3</v>
      </c>
      <c r="I86" s="10">
        <f>IFERROR(__xludf.DUMMYFUNCTION("INDEX(GOOGLEFINANCE(""NSE:""&amp;C86,dates!$I$1,dates!$C$6),2,2)"),771.8)</f>
        <v>771.8</v>
      </c>
      <c r="J86" s="16" t="str">
        <f t="shared" si="1"/>
        <v>#N/A</v>
      </c>
      <c r="K86" s="16" t="str">
        <f t="shared" si="2"/>
        <v>#N/A</v>
      </c>
      <c r="L86" s="16" t="str">
        <f t="shared" si="3"/>
        <v>#N/A</v>
      </c>
      <c r="M86" s="16" t="str">
        <f t="shared" si="4"/>
        <v>#N/A</v>
      </c>
      <c r="N86" s="17" t="str">
        <f t="shared" si="5"/>
        <v>#N/A</v>
      </c>
      <c r="O86" s="17" t="str">
        <f t="shared" si="6"/>
        <v>#N/A</v>
      </c>
      <c r="P86" s="17" t="str">
        <f t="shared" si="7"/>
        <v>#N/A</v>
      </c>
      <c r="Q86" s="17" t="str">
        <f t="shared" si="8"/>
        <v>#N/A</v>
      </c>
      <c r="R86" s="32" t="str">
        <f t="shared" si="9"/>
        <v>#N/A</v>
      </c>
    </row>
    <row r="87">
      <c r="A87" s="7">
        <v>87.0</v>
      </c>
      <c r="B87" s="44" t="s">
        <v>1394</v>
      </c>
      <c r="C87" s="31" t="s">
        <v>157</v>
      </c>
      <c r="D87" s="9">
        <f>IFERROR(__xludf.DUMMYFUNCTION("GOOGLEFINANCE(""NSE:""&amp;C87)"),2858.7)</f>
        <v>2858.7</v>
      </c>
      <c r="E87" s="10" t="str">
        <f>IFERROR(__xludf.DUMMYFUNCTION("INDEX(GOOGLEFINANCE(""NSE:""&amp;C87,dates!$I$1,dates!$C$3),2,2)"),"#N/A")</f>
        <v>#N/A</v>
      </c>
      <c r="F87" s="10" t="str">
        <f>IFERROR(__xludf.DUMMYFUNCTION("INDEX(GOOGLEFINANCE(""NSE:""&amp;C87,dates!$I$1,dates!$C$2),2,2)"),"#N/A")</f>
        <v>#N/A</v>
      </c>
      <c r="G87" s="10">
        <f>IFERROR(__xludf.DUMMYFUNCTION("INDEX(GOOGLEFINANCE(""NSE:""&amp;C87,dates!$I$1,dates!$C$4),2,2)"),2898.55)</f>
        <v>2898.55</v>
      </c>
      <c r="H87" s="10">
        <f>IFERROR(__xludf.DUMMYFUNCTION("INDEX(GOOGLEFINANCE(""NSE:""&amp;C87,dates!$I$1,dates!$C$5),2,2)"),2805.0)</f>
        <v>2805</v>
      </c>
      <c r="I87" s="10">
        <f>IFERROR(__xludf.DUMMYFUNCTION("INDEX(GOOGLEFINANCE(""NSE:""&amp;C87,dates!$I$1,dates!$C$6),2,2)"),2576.1)</f>
        <v>2576.1</v>
      </c>
      <c r="J87" s="16" t="str">
        <f t="shared" si="1"/>
        <v>#N/A</v>
      </c>
      <c r="K87" s="16" t="str">
        <f t="shared" si="2"/>
        <v>#N/A</v>
      </c>
      <c r="L87" s="16" t="str">
        <f t="shared" si="3"/>
        <v>#N/A</v>
      </c>
      <c r="M87" s="16" t="str">
        <f t="shared" si="4"/>
        <v>#N/A</v>
      </c>
      <c r="N87" s="17" t="str">
        <f t="shared" si="5"/>
        <v>#N/A</v>
      </c>
      <c r="O87" s="17" t="str">
        <f t="shared" si="6"/>
        <v>#N/A</v>
      </c>
      <c r="P87" s="17" t="str">
        <f t="shared" si="7"/>
        <v>#N/A</v>
      </c>
      <c r="Q87" s="17" t="str">
        <f t="shared" si="8"/>
        <v>#N/A</v>
      </c>
      <c r="R87" s="32" t="str">
        <f t="shared" si="9"/>
        <v>#N/A</v>
      </c>
    </row>
    <row r="88">
      <c r="A88" s="7">
        <v>88.0</v>
      </c>
      <c r="B88" s="44" t="s">
        <v>1395</v>
      </c>
      <c r="C88" s="31" t="s">
        <v>452</v>
      </c>
      <c r="D88" s="9">
        <f>IFERROR(__xludf.DUMMYFUNCTION("GOOGLEFINANCE(""NSE:""&amp;C88)"),1507.0)</f>
        <v>1507</v>
      </c>
      <c r="E88" s="10" t="str">
        <f>IFERROR(__xludf.DUMMYFUNCTION("INDEX(GOOGLEFINANCE(""NSE:""&amp;C88,dates!$I$1,dates!$C$3),2,2)"),"#N/A")</f>
        <v>#N/A</v>
      </c>
      <c r="F88" s="10" t="str">
        <f>IFERROR(__xludf.DUMMYFUNCTION("INDEX(GOOGLEFINANCE(""NSE:""&amp;C88,dates!$I$1,dates!$C$2),2,2)"),"#N/A")</f>
        <v>#N/A</v>
      </c>
      <c r="G88" s="10">
        <f>IFERROR(__xludf.DUMMYFUNCTION("INDEX(GOOGLEFINANCE(""NSE:""&amp;C88,dates!$I$1,dates!$C$4),2,2)"),1452.55)</f>
        <v>1452.55</v>
      </c>
      <c r="H88" s="10">
        <f>IFERROR(__xludf.DUMMYFUNCTION("INDEX(GOOGLEFINANCE(""NSE:""&amp;C88,dates!$I$1,dates!$C$5),2,2)"),1378.85)</f>
        <v>1378.85</v>
      </c>
      <c r="I88" s="10">
        <f>IFERROR(__xludf.DUMMYFUNCTION("INDEX(GOOGLEFINANCE(""NSE:""&amp;C88,dates!$I$1,dates!$C$6),2,2)"),1347.5)</f>
        <v>1347.5</v>
      </c>
      <c r="J88" s="16" t="str">
        <f t="shared" si="1"/>
        <v>#N/A</v>
      </c>
      <c r="K88" s="16" t="str">
        <f t="shared" si="2"/>
        <v>#N/A</v>
      </c>
      <c r="L88" s="16" t="str">
        <f t="shared" si="3"/>
        <v>#N/A</v>
      </c>
      <c r="M88" s="16" t="str">
        <f t="shared" si="4"/>
        <v>#N/A</v>
      </c>
      <c r="N88" s="17" t="str">
        <f t="shared" si="5"/>
        <v>#N/A</v>
      </c>
      <c r="O88" s="17" t="str">
        <f t="shared" si="6"/>
        <v>#N/A</v>
      </c>
      <c r="P88" s="17" t="str">
        <f t="shared" si="7"/>
        <v>#N/A</v>
      </c>
      <c r="Q88" s="17" t="str">
        <f t="shared" si="8"/>
        <v>#N/A</v>
      </c>
      <c r="R88" s="32" t="str">
        <f t="shared" si="9"/>
        <v>#N/A</v>
      </c>
    </row>
    <row r="89">
      <c r="A89" s="7">
        <v>89.0</v>
      </c>
      <c r="B89" s="44" t="s">
        <v>1396</v>
      </c>
      <c r="C89" s="31" t="s">
        <v>389</v>
      </c>
      <c r="D89" s="9">
        <f>IFERROR(__xludf.DUMMYFUNCTION("GOOGLEFINANCE(""NSE:""&amp;C89)"),495.15)</f>
        <v>495.15</v>
      </c>
      <c r="E89" s="10" t="str">
        <f>IFERROR(__xludf.DUMMYFUNCTION("INDEX(GOOGLEFINANCE(""NSE:""&amp;C89,dates!$I$1,dates!$C$3),2,2)"),"#N/A")</f>
        <v>#N/A</v>
      </c>
      <c r="F89" s="10" t="str">
        <f>IFERROR(__xludf.DUMMYFUNCTION("INDEX(GOOGLEFINANCE(""NSE:""&amp;C89,dates!$I$1,dates!$C$2),2,2)"),"#N/A")</f>
        <v>#N/A</v>
      </c>
      <c r="G89" s="10">
        <f>IFERROR(__xludf.DUMMYFUNCTION("INDEX(GOOGLEFINANCE(""NSE:""&amp;C89,dates!$I$1,dates!$C$4),2,2)"),481.9)</f>
        <v>481.9</v>
      </c>
      <c r="H89" s="10">
        <f>IFERROR(__xludf.DUMMYFUNCTION("INDEX(GOOGLEFINANCE(""NSE:""&amp;C89,dates!$I$1,dates!$C$5),2,2)"),480.75)</f>
        <v>480.75</v>
      </c>
      <c r="I89" s="10">
        <f>IFERROR(__xludf.DUMMYFUNCTION("INDEX(GOOGLEFINANCE(""NSE:""&amp;C89,dates!$I$1,dates!$C$6),2,2)"),488.15)</f>
        <v>488.15</v>
      </c>
      <c r="J89" s="16" t="str">
        <f t="shared" si="1"/>
        <v>#N/A</v>
      </c>
      <c r="K89" s="16" t="str">
        <f t="shared" si="2"/>
        <v>#N/A</v>
      </c>
      <c r="L89" s="16" t="str">
        <f t="shared" si="3"/>
        <v>#N/A</v>
      </c>
      <c r="M89" s="16" t="str">
        <f t="shared" si="4"/>
        <v>#N/A</v>
      </c>
      <c r="N89" s="17" t="str">
        <f t="shared" si="5"/>
        <v>#N/A</v>
      </c>
      <c r="O89" s="17" t="str">
        <f t="shared" si="6"/>
        <v>#N/A</v>
      </c>
      <c r="P89" s="17" t="str">
        <f t="shared" si="7"/>
        <v>#N/A</v>
      </c>
      <c r="Q89" s="17" t="str">
        <f t="shared" si="8"/>
        <v>#N/A</v>
      </c>
      <c r="R89" s="32" t="str">
        <f t="shared" si="9"/>
        <v>#N/A</v>
      </c>
    </row>
    <row r="90">
      <c r="A90" s="7">
        <v>90.0</v>
      </c>
      <c r="B90" s="44" t="s">
        <v>1397</v>
      </c>
      <c r="C90" s="31" t="s">
        <v>255</v>
      </c>
      <c r="D90" s="9">
        <f>IFERROR(__xludf.DUMMYFUNCTION("GOOGLEFINANCE(""NSE:""&amp;C90)"),2109.0)</f>
        <v>2109</v>
      </c>
      <c r="E90" s="10" t="str">
        <f>IFERROR(__xludf.DUMMYFUNCTION("INDEX(GOOGLEFINANCE(""NSE:""&amp;C90,dates!$I$1,dates!$C$3),2,2)"),"#N/A")</f>
        <v>#N/A</v>
      </c>
      <c r="F90" s="10" t="str">
        <f>IFERROR(__xludf.DUMMYFUNCTION("INDEX(GOOGLEFINANCE(""NSE:""&amp;C90,dates!$I$1,dates!$C$2),2,2)"),"#N/A")</f>
        <v>#N/A</v>
      </c>
      <c r="G90" s="10">
        <f>IFERROR(__xludf.DUMMYFUNCTION("INDEX(GOOGLEFINANCE(""NSE:""&amp;C90,dates!$I$1,dates!$C$4),2,2)"),2120.75)</f>
        <v>2120.75</v>
      </c>
      <c r="H90" s="10">
        <f>IFERROR(__xludf.DUMMYFUNCTION("INDEX(GOOGLEFINANCE(""NSE:""&amp;C90,dates!$I$1,dates!$C$5),2,2)"),2135.6)</f>
        <v>2135.6</v>
      </c>
      <c r="I90" s="10">
        <f>IFERROR(__xludf.DUMMYFUNCTION("INDEX(GOOGLEFINANCE(""NSE:""&amp;C90,dates!$I$1,dates!$C$6),2,2)"),1982.05)</f>
        <v>1982.05</v>
      </c>
      <c r="J90" s="16" t="str">
        <f t="shared" si="1"/>
        <v>#N/A</v>
      </c>
      <c r="K90" s="16" t="str">
        <f t="shared" si="2"/>
        <v>#N/A</v>
      </c>
      <c r="L90" s="16" t="str">
        <f t="shared" si="3"/>
        <v>#N/A</v>
      </c>
      <c r="M90" s="16" t="str">
        <f t="shared" si="4"/>
        <v>#N/A</v>
      </c>
      <c r="N90" s="17" t="str">
        <f t="shared" si="5"/>
        <v>#N/A</v>
      </c>
      <c r="O90" s="17" t="str">
        <f t="shared" si="6"/>
        <v>#N/A</v>
      </c>
      <c r="P90" s="17" t="str">
        <f t="shared" si="7"/>
        <v>#N/A</v>
      </c>
      <c r="Q90" s="17" t="str">
        <f t="shared" si="8"/>
        <v>#N/A</v>
      </c>
      <c r="R90" s="32" t="str">
        <f t="shared" si="9"/>
        <v>#N/A</v>
      </c>
    </row>
    <row r="91">
      <c r="A91" s="7">
        <v>91.0</v>
      </c>
      <c r="B91" s="44" t="s">
        <v>1398</v>
      </c>
      <c r="C91" s="31" t="s">
        <v>331</v>
      </c>
      <c r="D91" s="9">
        <f>IFERROR(__xludf.DUMMYFUNCTION("GOOGLEFINANCE(""NSE:""&amp;C91)"),160.6)</f>
        <v>160.6</v>
      </c>
      <c r="E91" s="10" t="str">
        <f>IFERROR(__xludf.DUMMYFUNCTION("INDEX(GOOGLEFINANCE(""NSE:""&amp;C91,dates!$I$1,dates!$C$3),2,2)"),"#N/A")</f>
        <v>#N/A</v>
      </c>
      <c r="F91" s="10" t="str">
        <f>IFERROR(__xludf.DUMMYFUNCTION("INDEX(GOOGLEFINANCE(""NSE:""&amp;C91,dates!$I$1,dates!$C$2),2,2)"),"#N/A")</f>
        <v>#N/A</v>
      </c>
      <c r="G91" s="10">
        <f>IFERROR(__xludf.DUMMYFUNCTION("INDEX(GOOGLEFINANCE(""NSE:""&amp;C91,dates!$I$1,dates!$C$4),2,2)"),162.75)</f>
        <v>162.75</v>
      </c>
      <c r="H91" s="10">
        <f>IFERROR(__xludf.DUMMYFUNCTION("INDEX(GOOGLEFINANCE(""NSE:""&amp;C91,dates!$I$1,dates!$C$5),2,2)"),156.8)</f>
        <v>156.8</v>
      </c>
      <c r="I91" s="10">
        <f>IFERROR(__xludf.DUMMYFUNCTION("INDEX(GOOGLEFINANCE(""NSE:""&amp;C91,dates!$I$1,dates!$C$6),2,2)"),151.6)</f>
        <v>151.6</v>
      </c>
      <c r="J91" s="16" t="str">
        <f t="shared" si="1"/>
        <v>#N/A</v>
      </c>
      <c r="K91" s="16" t="str">
        <f t="shared" si="2"/>
        <v>#N/A</v>
      </c>
      <c r="L91" s="16" t="str">
        <f t="shared" si="3"/>
        <v>#N/A</v>
      </c>
      <c r="M91" s="16" t="str">
        <f t="shared" si="4"/>
        <v>#N/A</v>
      </c>
      <c r="N91" s="17" t="str">
        <f t="shared" si="5"/>
        <v>#N/A</v>
      </c>
      <c r="O91" s="17" t="str">
        <f t="shared" si="6"/>
        <v>#N/A</v>
      </c>
      <c r="P91" s="17" t="str">
        <f t="shared" si="7"/>
        <v>#N/A</v>
      </c>
      <c r="Q91" s="17" t="str">
        <f t="shared" si="8"/>
        <v>#N/A</v>
      </c>
      <c r="R91" s="32" t="str">
        <f t="shared" si="9"/>
        <v>#N/A</v>
      </c>
    </row>
    <row r="92">
      <c r="A92" s="7">
        <v>92.0</v>
      </c>
      <c r="B92" s="44" t="s">
        <v>1399</v>
      </c>
      <c r="C92" s="31" t="s">
        <v>931</v>
      </c>
      <c r="D92" s="9">
        <f>IFERROR(__xludf.DUMMYFUNCTION("GOOGLEFINANCE(""NSE:""&amp;C92)"),1566.0)</f>
        <v>1566</v>
      </c>
      <c r="E92" s="10" t="str">
        <f>IFERROR(__xludf.DUMMYFUNCTION("INDEX(GOOGLEFINANCE(""NSE:""&amp;C92,dates!$I$1,dates!$C$3),2,2)"),"#N/A")</f>
        <v>#N/A</v>
      </c>
      <c r="F92" s="10" t="str">
        <f>IFERROR(__xludf.DUMMYFUNCTION("INDEX(GOOGLEFINANCE(""NSE:""&amp;C92,dates!$I$1,dates!$C$2),2,2)"),"#N/A")</f>
        <v>#N/A</v>
      </c>
      <c r="G92" s="10">
        <f>IFERROR(__xludf.DUMMYFUNCTION("INDEX(GOOGLEFINANCE(""NSE:""&amp;C92,dates!$I$1,dates!$C$4),2,2)"),1392.0)</f>
        <v>1392</v>
      </c>
      <c r="H92" s="10">
        <f>IFERROR(__xludf.DUMMYFUNCTION("INDEX(GOOGLEFINANCE(""NSE:""&amp;C92,dates!$I$1,dates!$C$5),2,2)"),1394.25)</f>
        <v>1394.25</v>
      </c>
      <c r="I92" s="10">
        <f>IFERROR(__xludf.DUMMYFUNCTION("INDEX(GOOGLEFINANCE(""NSE:""&amp;C92,dates!$I$1,dates!$C$6),2,2)"),1324.35)</f>
        <v>1324.35</v>
      </c>
      <c r="J92" s="16" t="str">
        <f t="shared" si="1"/>
        <v>#N/A</v>
      </c>
      <c r="K92" s="16" t="str">
        <f t="shared" si="2"/>
        <v>#N/A</v>
      </c>
      <c r="L92" s="16" t="str">
        <f t="shared" si="3"/>
        <v>#N/A</v>
      </c>
      <c r="M92" s="16" t="str">
        <f t="shared" si="4"/>
        <v>#N/A</v>
      </c>
      <c r="N92" s="17" t="str">
        <f t="shared" si="5"/>
        <v>#N/A</v>
      </c>
      <c r="O92" s="17" t="str">
        <f t="shared" si="6"/>
        <v>#N/A</v>
      </c>
      <c r="P92" s="17" t="str">
        <f t="shared" si="7"/>
        <v>#N/A</v>
      </c>
      <c r="Q92" s="17" t="str">
        <f t="shared" si="8"/>
        <v>#N/A</v>
      </c>
      <c r="R92" s="32" t="str">
        <f t="shared" si="9"/>
        <v>#N/A</v>
      </c>
    </row>
    <row r="93">
      <c r="A93" s="7">
        <v>93.0</v>
      </c>
      <c r="B93" s="44" t="s">
        <v>1400</v>
      </c>
      <c r="C93" s="31" t="s">
        <v>231</v>
      </c>
      <c r="D93" s="9">
        <f>IFERROR(__xludf.DUMMYFUNCTION("GOOGLEFINANCE(""NSE:""&amp;C93)"),2182.05)</f>
        <v>2182.05</v>
      </c>
      <c r="E93" s="10" t="str">
        <f>IFERROR(__xludf.DUMMYFUNCTION("INDEX(GOOGLEFINANCE(""NSE:""&amp;C93,dates!$I$1,dates!$C$3),2,2)"),"#N/A")</f>
        <v>#N/A</v>
      </c>
      <c r="F93" s="10" t="str">
        <f>IFERROR(__xludf.DUMMYFUNCTION("INDEX(GOOGLEFINANCE(""NSE:""&amp;C93,dates!$I$1,dates!$C$2),2,2)"),"#N/A")</f>
        <v>#N/A</v>
      </c>
      <c r="G93" s="10">
        <f>IFERROR(__xludf.DUMMYFUNCTION("INDEX(GOOGLEFINANCE(""NSE:""&amp;C93,dates!$I$1,dates!$C$4),2,2)"),1629.55)</f>
        <v>1629.55</v>
      </c>
      <c r="H93" s="10">
        <f>IFERROR(__xludf.DUMMYFUNCTION("INDEX(GOOGLEFINANCE(""NSE:""&amp;C93,dates!$I$1,dates!$C$5),2,2)"),1605.9)</f>
        <v>1605.9</v>
      </c>
      <c r="I93" s="10">
        <f>IFERROR(__xludf.DUMMYFUNCTION("INDEX(GOOGLEFINANCE(""NSE:""&amp;C93,dates!$I$1,dates!$C$6),2,2)"),1473.7)</f>
        <v>1473.7</v>
      </c>
      <c r="J93" s="16" t="str">
        <f t="shared" si="1"/>
        <v>#N/A</v>
      </c>
      <c r="K93" s="16" t="str">
        <f t="shared" si="2"/>
        <v>#N/A</v>
      </c>
      <c r="L93" s="16" t="str">
        <f t="shared" si="3"/>
        <v>#N/A</v>
      </c>
      <c r="M93" s="16" t="str">
        <f t="shared" si="4"/>
        <v>#N/A</v>
      </c>
      <c r="N93" s="17" t="str">
        <f t="shared" si="5"/>
        <v>#N/A</v>
      </c>
      <c r="O93" s="17" t="str">
        <f t="shared" si="6"/>
        <v>#N/A</v>
      </c>
      <c r="P93" s="17" t="str">
        <f t="shared" si="7"/>
        <v>#N/A</v>
      </c>
      <c r="Q93" s="17" t="str">
        <f t="shared" si="8"/>
        <v>#N/A</v>
      </c>
      <c r="R93" s="32" t="str">
        <f t="shared" si="9"/>
        <v>#N/A</v>
      </c>
    </row>
    <row r="94">
      <c r="A94" s="7">
        <v>94.0</v>
      </c>
      <c r="B94" s="44" t="s">
        <v>1401</v>
      </c>
      <c r="C94" s="31" t="s">
        <v>307</v>
      </c>
      <c r="D94" s="9">
        <f>IFERROR(__xludf.DUMMYFUNCTION("GOOGLEFINANCE(""NSE:""&amp;C94)"),2476.15)</f>
        <v>2476.15</v>
      </c>
      <c r="E94" s="10" t="str">
        <f>IFERROR(__xludf.DUMMYFUNCTION("INDEX(GOOGLEFINANCE(""NSE:""&amp;C94,dates!$I$1,dates!$C$3),2,2)"),"#N/A")</f>
        <v>#N/A</v>
      </c>
      <c r="F94" s="10" t="str">
        <f>IFERROR(__xludf.DUMMYFUNCTION("INDEX(GOOGLEFINANCE(""NSE:""&amp;C94,dates!$I$1,dates!$C$2),2,2)"),"#N/A")</f>
        <v>#N/A</v>
      </c>
      <c r="G94" s="10">
        <f>IFERROR(__xludf.DUMMYFUNCTION("INDEX(GOOGLEFINANCE(""NSE:""&amp;C94,dates!$I$1,dates!$C$4),2,2)"),2493.4)</f>
        <v>2493.4</v>
      </c>
      <c r="H94" s="10">
        <f>IFERROR(__xludf.DUMMYFUNCTION("INDEX(GOOGLEFINANCE(""NSE:""&amp;C94,dates!$I$1,dates!$C$5),2,2)"),2596.15)</f>
        <v>2596.15</v>
      </c>
      <c r="I94" s="10">
        <f>IFERROR(__xludf.DUMMYFUNCTION("INDEX(GOOGLEFINANCE(""NSE:""&amp;C94,dates!$I$1,dates!$C$6),2,2)"),2459.9)</f>
        <v>2459.9</v>
      </c>
      <c r="J94" s="16" t="str">
        <f t="shared" si="1"/>
        <v>#N/A</v>
      </c>
      <c r="K94" s="16" t="str">
        <f t="shared" si="2"/>
        <v>#N/A</v>
      </c>
      <c r="L94" s="16" t="str">
        <f t="shared" si="3"/>
        <v>#N/A</v>
      </c>
      <c r="M94" s="16" t="str">
        <f t="shared" si="4"/>
        <v>#N/A</v>
      </c>
      <c r="N94" s="17" t="str">
        <f t="shared" si="5"/>
        <v>#N/A</v>
      </c>
      <c r="O94" s="17" t="str">
        <f t="shared" si="6"/>
        <v>#N/A</v>
      </c>
      <c r="P94" s="17" t="str">
        <f t="shared" si="7"/>
        <v>#N/A</v>
      </c>
      <c r="Q94" s="17" t="str">
        <f t="shared" si="8"/>
        <v>#N/A</v>
      </c>
      <c r="R94" s="32" t="str">
        <f t="shared" si="9"/>
        <v>#N/A</v>
      </c>
    </row>
    <row r="95">
      <c r="A95" s="7">
        <v>95.0</v>
      </c>
      <c r="B95" s="44" t="s">
        <v>1402</v>
      </c>
      <c r="C95" s="31" t="s">
        <v>81</v>
      </c>
      <c r="D95" s="9">
        <f>IFERROR(__xludf.DUMMYFUNCTION("GOOGLEFINANCE(""NSE:""&amp;C95)"),137.75)</f>
        <v>137.75</v>
      </c>
      <c r="E95" s="10" t="str">
        <f>IFERROR(__xludf.DUMMYFUNCTION("INDEX(GOOGLEFINANCE(""NSE:""&amp;C95,dates!$I$1,dates!$C$3),2,2)"),"#N/A")</f>
        <v>#N/A</v>
      </c>
      <c r="F95" s="10" t="str">
        <f>IFERROR(__xludf.DUMMYFUNCTION("INDEX(GOOGLEFINANCE(""NSE:""&amp;C95,dates!$I$1,dates!$C$2),2,2)"),"#N/A")</f>
        <v>#N/A</v>
      </c>
      <c r="G95" s="10">
        <f>IFERROR(__xludf.DUMMYFUNCTION("INDEX(GOOGLEFINANCE(""NSE:""&amp;C95,dates!$I$1,dates!$C$4),2,2)"),127.75)</f>
        <v>127.75</v>
      </c>
      <c r="H95" s="10">
        <f>IFERROR(__xludf.DUMMYFUNCTION("INDEX(GOOGLEFINANCE(""NSE:""&amp;C95,dates!$I$1,dates!$C$5),2,2)"),123.05)</f>
        <v>123.05</v>
      </c>
      <c r="I95" s="10">
        <f>IFERROR(__xludf.DUMMYFUNCTION("INDEX(GOOGLEFINANCE(""NSE:""&amp;C95,dates!$I$1,dates!$C$6),2,2)"),116.65)</f>
        <v>116.65</v>
      </c>
      <c r="J95" s="16" t="str">
        <f t="shared" si="1"/>
        <v>#N/A</v>
      </c>
      <c r="K95" s="16" t="str">
        <f t="shared" si="2"/>
        <v>#N/A</v>
      </c>
      <c r="L95" s="16" t="str">
        <f t="shared" si="3"/>
        <v>#N/A</v>
      </c>
      <c r="M95" s="16" t="str">
        <f t="shared" si="4"/>
        <v>#N/A</v>
      </c>
      <c r="N95" s="17" t="str">
        <f t="shared" si="5"/>
        <v>#N/A</v>
      </c>
      <c r="O95" s="17" t="str">
        <f t="shared" si="6"/>
        <v>#N/A</v>
      </c>
      <c r="P95" s="17" t="str">
        <f t="shared" si="7"/>
        <v>#N/A</v>
      </c>
      <c r="Q95" s="17" t="str">
        <f t="shared" si="8"/>
        <v>#N/A</v>
      </c>
      <c r="R95" s="32" t="str">
        <f t="shared" si="9"/>
        <v>#N/A</v>
      </c>
    </row>
    <row r="96">
      <c r="A96" s="7">
        <v>96.0</v>
      </c>
      <c r="B96" s="44" t="s">
        <v>1403</v>
      </c>
      <c r="C96" s="31" t="s">
        <v>951</v>
      </c>
      <c r="D96" s="9">
        <f>IFERROR(__xludf.DUMMYFUNCTION("GOOGLEFINANCE(""NSE:""&amp;C96)"),678.65)</f>
        <v>678.65</v>
      </c>
      <c r="E96" s="10" t="str">
        <f>IFERROR(__xludf.DUMMYFUNCTION("INDEX(GOOGLEFINANCE(""NSE:""&amp;C96,dates!$I$1,dates!$C$3),2,2)"),"#N/A")</f>
        <v>#N/A</v>
      </c>
      <c r="F96" s="10" t="str">
        <f>IFERROR(__xludf.DUMMYFUNCTION("INDEX(GOOGLEFINANCE(""NSE:""&amp;C96,dates!$I$1,dates!$C$2),2,2)"),"#N/A")</f>
        <v>#N/A</v>
      </c>
      <c r="G96" s="10">
        <f>IFERROR(__xludf.DUMMYFUNCTION("INDEX(GOOGLEFINANCE(""NSE:""&amp;C96,dates!$I$1,dates!$C$4),2,2)"),608.0)</f>
        <v>608</v>
      </c>
      <c r="H96" s="10">
        <f>IFERROR(__xludf.DUMMYFUNCTION("INDEX(GOOGLEFINANCE(""NSE:""&amp;C96,dates!$I$1,dates!$C$5),2,2)"),631.75)</f>
        <v>631.75</v>
      </c>
      <c r="I96" s="10">
        <f>IFERROR(__xludf.DUMMYFUNCTION("INDEX(GOOGLEFINANCE(""NSE:""&amp;C96,dates!$I$1,dates!$C$6),2,2)"),525.25)</f>
        <v>525.25</v>
      </c>
      <c r="J96" s="16" t="str">
        <f t="shared" si="1"/>
        <v>#N/A</v>
      </c>
      <c r="K96" s="16" t="str">
        <f t="shared" si="2"/>
        <v>#N/A</v>
      </c>
      <c r="L96" s="16" t="str">
        <f t="shared" si="3"/>
        <v>#N/A</v>
      </c>
      <c r="M96" s="16" t="str">
        <f t="shared" si="4"/>
        <v>#N/A</v>
      </c>
      <c r="N96" s="17" t="str">
        <f t="shared" si="5"/>
        <v>#N/A</v>
      </c>
      <c r="O96" s="17" t="str">
        <f t="shared" si="6"/>
        <v>#N/A</v>
      </c>
      <c r="P96" s="17" t="str">
        <f t="shared" si="7"/>
        <v>#N/A</v>
      </c>
      <c r="Q96" s="17" t="str">
        <f t="shared" si="8"/>
        <v>#N/A</v>
      </c>
      <c r="R96" s="32" t="str">
        <f t="shared" si="9"/>
        <v>#N/A</v>
      </c>
    </row>
    <row r="97">
      <c r="A97" s="7">
        <v>97.0</v>
      </c>
      <c r="B97" s="44" t="s">
        <v>1404</v>
      </c>
      <c r="C97" s="31" t="s">
        <v>143</v>
      </c>
      <c r="D97" s="9">
        <f>IFERROR(__xludf.DUMMYFUNCTION("GOOGLEFINANCE(""NSE:""&amp;C97)"),822.0)</f>
        <v>822</v>
      </c>
      <c r="E97" s="10" t="str">
        <f>IFERROR(__xludf.DUMMYFUNCTION("INDEX(GOOGLEFINANCE(""NSE:""&amp;C97,dates!$I$1,dates!$C$3),2,2)"),"#N/A")</f>
        <v>#N/A</v>
      </c>
      <c r="F97" s="10" t="str">
        <f>IFERROR(__xludf.DUMMYFUNCTION("INDEX(GOOGLEFINANCE(""NSE:""&amp;C97,dates!$I$1,dates!$C$2),2,2)"),"#N/A")</f>
        <v>#N/A</v>
      </c>
      <c r="G97" s="10">
        <f>IFERROR(__xludf.DUMMYFUNCTION("INDEX(GOOGLEFINANCE(""NSE:""&amp;C97,dates!$I$1,dates!$C$4),2,2)"),818.75)</f>
        <v>818.75</v>
      </c>
      <c r="H97" s="10">
        <f>IFERROR(__xludf.DUMMYFUNCTION("INDEX(GOOGLEFINANCE(""NSE:""&amp;C97,dates!$I$1,dates!$C$5),2,2)"),839.3)</f>
        <v>839.3</v>
      </c>
      <c r="I97" s="10">
        <f>IFERROR(__xludf.DUMMYFUNCTION("INDEX(GOOGLEFINANCE(""NSE:""&amp;C97,dates!$I$1,dates!$C$6),2,2)"),785.85)</f>
        <v>785.85</v>
      </c>
      <c r="J97" s="16" t="str">
        <f t="shared" si="1"/>
        <v>#N/A</v>
      </c>
      <c r="K97" s="16" t="str">
        <f t="shared" si="2"/>
        <v>#N/A</v>
      </c>
      <c r="L97" s="16" t="str">
        <f t="shared" si="3"/>
        <v>#N/A</v>
      </c>
      <c r="M97" s="16" t="str">
        <f t="shared" si="4"/>
        <v>#N/A</v>
      </c>
      <c r="N97" s="17" t="str">
        <f t="shared" si="5"/>
        <v>#N/A</v>
      </c>
      <c r="O97" s="17" t="str">
        <f t="shared" si="6"/>
        <v>#N/A</v>
      </c>
      <c r="P97" s="17" t="str">
        <f t="shared" si="7"/>
        <v>#N/A</v>
      </c>
      <c r="Q97" s="17" t="str">
        <f t="shared" si="8"/>
        <v>#N/A</v>
      </c>
      <c r="R97" s="32" t="str">
        <f t="shared" si="9"/>
        <v>#N/A</v>
      </c>
    </row>
    <row r="98">
      <c r="A98" s="7">
        <v>98.0</v>
      </c>
      <c r="B98" s="44" t="s">
        <v>1405</v>
      </c>
      <c r="C98" s="31" t="s">
        <v>353</v>
      </c>
      <c r="D98" s="9">
        <f>IFERROR(__xludf.DUMMYFUNCTION("GOOGLEFINANCE(""NSE:""&amp;C98)"),5825.0)</f>
        <v>5825</v>
      </c>
      <c r="E98" s="10" t="str">
        <f>IFERROR(__xludf.DUMMYFUNCTION("INDEX(GOOGLEFINANCE(""NSE:""&amp;C98,dates!$I$1,dates!$C$3),2,2)"),"#N/A")</f>
        <v>#N/A</v>
      </c>
      <c r="F98" s="10" t="str">
        <f>IFERROR(__xludf.DUMMYFUNCTION("INDEX(GOOGLEFINANCE(""NSE:""&amp;C98,dates!$I$1,dates!$C$2),2,2)"),"#N/A")</f>
        <v>#N/A</v>
      </c>
      <c r="G98" s="10">
        <f>IFERROR(__xludf.DUMMYFUNCTION("INDEX(GOOGLEFINANCE(""NSE:""&amp;C98,dates!$I$1,dates!$C$4),2,2)"),5872.25)</f>
        <v>5872.25</v>
      </c>
      <c r="H98" s="10">
        <f>IFERROR(__xludf.DUMMYFUNCTION("INDEX(GOOGLEFINANCE(""NSE:""&amp;C98,dates!$I$1,dates!$C$5),2,2)"),6091.6)</f>
        <v>6091.6</v>
      </c>
      <c r="I98" s="10">
        <f>IFERROR(__xludf.DUMMYFUNCTION("INDEX(GOOGLEFINANCE(""NSE:""&amp;C98,dates!$I$1,dates!$C$6),2,2)"),5692.65)</f>
        <v>5692.65</v>
      </c>
      <c r="J98" s="16" t="str">
        <f t="shared" si="1"/>
        <v>#N/A</v>
      </c>
      <c r="K98" s="16" t="str">
        <f t="shared" si="2"/>
        <v>#N/A</v>
      </c>
      <c r="L98" s="16" t="str">
        <f t="shared" si="3"/>
        <v>#N/A</v>
      </c>
      <c r="M98" s="16" t="str">
        <f t="shared" si="4"/>
        <v>#N/A</v>
      </c>
      <c r="N98" s="17" t="str">
        <f t="shared" si="5"/>
        <v>#N/A</v>
      </c>
      <c r="O98" s="17" t="str">
        <f t="shared" si="6"/>
        <v>#N/A</v>
      </c>
      <c r="P98" s="17" t="str">
        <f t="shared" si="7"/>
        <v>#N/A</v>
      </c>
      <c r="Q98" s="17" t="str">
        <f t="shared" si="8"/>
        <v>#N/A</v>
      </c>
      <c r="R98" s="32" t="str">
        <f t="shared" si="9"/>
        <v>#N/A</v>
      </c>
    </row>
    <row r="99">
      <c r="A99" s="7">
        <v>99.0</v>
      </c>
      <c r="B99" s="44" t="s">
        <v>1406</v>
      </c>
      <c r="C99" s="31" t="s">
        <v>149</v>
      </c>
      <c r="D99" s="9">
        <f>IFERROR(__xludf.DUMMYFUNCTION("GOOGLEFINANCE(""NSE:""&amp;C99)"),1172.0)</f>
        <v>1172</v>
      </c>
      <c r="E99" s="10" t="str">
        <f>IFERROR(__xludf.DUMMYFUNCTION("INDEX(GOOGLEFINANCE(""NSE:""&amp;C99,dates!$I$1,dates!$C$3),2,2)"),"#N/A")</f>
        <v>#N/A</v>
      </c>
      <c r="F99" s="10" t="str">
        <f>IFERROR(__xludf.DUMMYFUNCTION("INDEX(GOOGLEFINANCE(""NSE:""&amp;C99,dates!$I$1,dates!$C$2),2,2)"),"#N/A")</f>
        <v>#N/A</v>
      </c>
      <c r="G99" s="10">
        <f>IFERROR(__xludf.DUMMYFUNCTION("INDEX(GOOGLEFINANCE(""NSE:""&amp;C99,dates!$I$1,dates!$C$4),2,2)"),1130.0)</f>
        <v>1130</v>
      </c>
      <c r="H99" s="10">
        <f>IFERROR(__xludf.DUMMYFUNCTION("INDEX(GOOGLEFINANCE(""NSE:""&amp;C99,dates!$I$1,dates!$C$5),2,2)"),996.3)</f>
        <v>996.3</v>
      </c>
      <c r="I99" s="10">
        <f>IFERROR(__xludf.DUMMYFUNCTION("INDEX(GOOGLEFINANCE(""NSE:""&amp;C99,dates!$I$1,dates!$C$6),2,2)"),990.2)</f>
        <v>990.2</v>
      </c>
      <c r="J99" s="16" t="str">
        <f t="shared" si="1"/>
        <v>#N/A</v>
      </c>
      <c r="K99" s="16" t="str">
        <f t="shared" si="2"/>
        <v>#N/A</v>
      </c>
      <c r="L99" s="16" t="str">
        <f t="shared" si="3"/>
        <v>#N/A</v>
      </c>
      <c r="M99" s="16" t="str">
        <f t="shared" si="4"/>
        <v>#N/A</v>
      </c>
      <c r="N99" s="17" t="str">
        <f t="shared" si="5"/>
        <v>#N/A</v>
      </c>
      <c r="O99" s="17" t="str">
        <f t="shared" si="6"/>
        <v>#N/A</v>
      </c>
      <c r="P99" s="17" t="str">
        <f t="shared" si="7"/>
        <v>#N/A</v>
      </c>
      <c r="Q99" s="17" t="str">
        <f t="shared" si="8"/>
        <v>#N/A</v>
      </c>
      <c r="R99" s="32" t="str">
        <f t="shared" si="9"/>
        <v>#N/A</v>
      </c>
    </row>
    <row r="100">
      <c r="A100" s="7">
        <v>100.0</v>
      </c>
      <c r="B100" s="44" t="s">
        <v>1407</v>
      </c>
      <c r="C100" s="31" t="s">
        <v>55</v>
      </c>
      <c r="D100" s="9">
        <f>IFERROR(__xludf.DUMMYFUNCTION("GOOGLEFINANCE(""NSE:""&amp;C100)"),813.0)</f>
        <v>813</v>
      </c>
      <c r="E100" s="10" t="str">
        <f>IFERROR(__xludf.DUMMYFUNCTION("INDEX(GOOGLEFINANCE(""NSE:""&amp;C100,dates!$I$1,dates!$C$3),2,2)"),"#N/A")</f>
        <v>#N/A</v>
      </c>
      <c r="F100" s="10" t="str">
        <f>IFERROR(__xludf.DUMMYFUNCTION("INDEX(GOOGLEFINANCE(""NSE:""&amp;C100,dates!$I$1,dates!$C$2),2,2)"),"#N/A")</f>
        <v>#N/A</v>
      </c>
      <c r="G100" s="10">
        <f>IFERROR(__xludf.DUMMYFUNCTION("INDEX(GOOGLEFINANCE(""NSE:""&amp;C100,dates!$I$1,dates!$C$4),2,2)"),807.35)</f>
        <v>807.35</v>
      </c>
      <c r="H100" s="10">
        <f>IFERROR(__xludf.DUMMYFUNCTION("INDEX(GOOGLEFINANCE(""NSE:""&amp;C100,dates!$I$1,dates!$C$5),2,2)"),788.35)</f>
        <v>788.35</v>
      </c>
      <c r="I100" s="10">
        <f>IFERROR(__xludf.DUMMYFUNCTION("INDEX(GOOGLEFINANCE(""NSE:""&amp;C100,dates!$I$1,dates!$C$6),2,2)"),752.4)</f>
        <v>752.4</v>
      </c>
      <c r="J100" s="16" t="str">
        <f t="shared" si="1"/>
        <v>#N/A</v>
      </c>
      <c r="K100" s="16" t="str">
        <f t="shared" si="2"/>
        <v>#N/A</v>
      </c>
      <c r="L100" s="16" t="str">
        <f t="shared" si="3"/>
        <v>#N/A</v>
      </c>
      <c r="M100" s="16" t="str">
        <f t="shared" si="4"/>
        <v>#N/A</v>
      </c>
      <c r="N100" s="17" t="str">
        <f t="shared" si="5"/>
        <v>#N/A</v>
      </c>
      <c r="O100" s="17" t="str">
        <f t="shared" si="6"/>
        <v>#N/A</v>
      </c>
      <c r="P100" s="17" t="str">
        <f t="shared" si="7"/>
        <v>#N/A</v>
      </c>
      <c r="Q100" s="17" t="str">
        <f t="shared" si="8"/>
        <v>#N/A</v>
      </c>
      <c r="R100" s="32" t="str">
        <f t="shared" si="9"/>
        <v>#N/A</v>
      </c>
    </row>
    <row r="101">
      <c r="A101" s="7">
        <v>101.0</v>
      </c>
      <c r="B101" s="44" t="s">
        <v>1408</v>
      </c>
      <c r="C101" s="31" t="s">
        <v>132</v>
      </c>
      <c r="D101" s="9">
        <f>IFERROR(__xludf.DUMMYFUNCTION("GOOGLEFINANCE(""NSE:""&amp;C101)"),167.5)</f>
        <v>167.5</v>
      </c>
      <c r="E101" s="10" t="str">
        <f>IFERROR(__xludf.DUMMYFUNCTION("INDEX(GOOGLEFINANCE(""NSE:""&amp;C101,dates!$I$1,dates!$C$3),2,2)"),"#N/A")</f>
        <v>#N/A</v>
      </c>
      <c r="F101" s="10" t="str">
        <f>IFERROR(__xludf.DUMMYFUNCTION("INDEX(GOOGLEFINANCE(""NSE:""&amp;C101,dates!$I$1,dates!$C$2),2,2)"),"#N/A")</f>
        <v>#N/A</v>
      </c>
      <c r="G101" s="10">
        <f>IFERROR(__xludf.DUMMYFUNCTION("INDEX(GOOGLEFINANCE(""NSE:""&amp;C101,dates!$I$1,dates!$C$4),2,2)"),156.7)</f>
        <v>156.7</v>
      </c>
      <c r="H101" s="10">
        <f>IFERROR(__xludf.DUMMYFUNCTION("INDEX(GOOGLEFINANCE(""NSE:""&amp;C101,dates!$I$1,dates!$C$5),2,2)"),154.6)</f>
        <v>154.6</v>
      </c>
      <c r="I101" s="10">
        <f>IFERROR(__xludf.DUMMYFUNCTION("INDEX(GOOGLEFINANCE(""NSE:""&amp;C101,dates!$I$1,dates!$C$6),2,2)"),138.55)</f>
        <v>138.55</v>
      </c>
      <c r="J101" s="16" t="str">
        <f t="shared" si="1"/>
        <v>#N/A</v>
      </c>
      <c r="K101" s="16" t="str">
        <f t="shared" si="2"/>
        <v>#N/A</v>
      </c>
      <c r="L101" s="16" t="str">
        <f t="shared" si="3"/>
        <v>#N/A</v>
      </c>
      <c r="M101" s="16" t="str">
        <f t="shared" si="4"/>
        <v>#N/A</v>
      </c>
      <c r="N101" s="17" t="str">
        <f t="shared" si="5"/>
        <v>#N/A</v>
      </c>
      <c r="O101" s="17" t="str">
        <f t="shared" si="6"/>
        <v>#N/A</v>
      </c>
      <c r="P101" s="17" t="str">
        <f t="shared" si="7"/>
        <v>#N/A</v>
      </c>
      <c r="Q101" s="17" t="str">
        <f t="shared" si="8"/>
        <v>#N/A</v>
      </c>
      <c r="R101" s="32" t="str">
        <f t="shared" si="9"/>
        <v>#N/A</v>
      </c>
    </row>
    <row r="102">
      <c r="A102" s="7">
        <v>102.0</v>
      </c>
      <c r="B102" s="44" t="s">
        <v>1409</v>
      </c>
      <c r="C102" s="31" t="s">
        <v>153</v>
      </c>
      <c r="D102" s="9">
        <f>IFERROR(__xludf.DUMMYFUNCTION("GOOGLEFINANCE(""NSE:""&amp;C102)"),1571.0)</f>
        <v>1571</v>
      </c>
      <c r="E102" s="10" t="str">
        <f>IFERROR(__xludf.DUMMYFUNCTION("INDEX(GOOGLEFINANCE(""NSE:""&amp;C102,dates!$I$1,dates!$C$3),2,2)"),"#N/A")</f>
        <v>#N/A</v>
      </c>
      <c r="F102" s="10" t="str">
        <f>IFERROR(__xludf.DUMMYFUNCTION("INDEX(GOOGLEFINANCE(""NSE:""&amp;C102,dates!$I$1,dates!$C$2),2,2)"),"#N/A")</f>
        <v>#N/A</v>
      </c>
      <c r="G102" s="10">
        <f>IFERROR(__xludf.DUMMYFUNCTION("INDEX(GOOGLEFINANCE(""NSE:""&amp;C102,dates!$I$1,dates!$C$4),2,2)"),1603.95)</f>
        <v>1603.95</v>
      </c>
      <c r="H102" s="10">
        <f>IFERROR(__xludf.DUMMYFUNCTION("INDEX(GOOGLEFINANCE(""NSE:""&amp;C102,dates!$I$1,dates!$C$5),2,2)"),1636.85)</f>
        <v>1636.85</v>
      </c>
      <c r="I102" s="10">
        <f>IFERROR(__xludf.DUMMYFUNCTION("INDEX(GOOGLEFINANCE(""NSE:""&amp;C102,dates!$I$1,dates!$C$6),2,2)"),1557.7)</f>
        <v>1557.7</v>
      </c>
      <c r="J102" s="16" t="str">
        <f t="shared" si="1"/>
        <v>#N/A</v>
      </c>
      <c r="K102" s="16" t="str">
        <f t="shared" si="2"/>
        <v>#N/A</v>
      </c>
      <c r="L102" s="16" t="str">
        <f t="shared" si="3"/>
        <v>#N/A</v>
      </c>
      <c r="M102" s="16" t="str">
        <f t="shared" si="4"/>
        <v>#N/A</v>
      </c>
      <c r="N102" s="17" t="str">
        <f t="shared" si="5"/>
        <v>#N/A</v>
      </c>
      <c r="O102" s="17" t="str">
        <f t="shared" si="6"/>
        <v>#N/A</v>
      </c>
      <c r="P102" s="17" t="str">
        <f t="shared" si="7"/>
        <v>#N/A</v>
      </c>
      <c r="Q102" s="17" t="str">
        <f t="shared" si="8"/>
        <v>#N/A</v>
      </c>
      <c r="R102" s="32" t="str">
        <f t="shared" si="9"/>
        <v>#N/A</v>
      </c>
    </row>
    <row r="103">
      <c r="A103" s="7">
        <v>103.0</v>
      </c>
      <c r="B103" s="44" t="s">
        <v>1410</v>
      </c>
      <c r="C103" s="31" t="s">
        <v>114</v>
      </c>
      <c r="D103" s="9">
        <f>IFERROR(__xludf.DUMMYFUNCTION("GOOGLEFINANCE(""NSE:""&amp;C103)"),419.55)</f>
        <v>419.55</v>
      </c>
      <c r="E103" s="10" t="str">
        <f>IFERROR(__xludf.DUMMYFUNCTION("INDEX(GOOGLEFINANCE(""NSE:""&amp;C103,dates!$I$1,dates!$C$3),2,2)"),"#N/A")</f>
        <v>#N/A</v>
      </c>
      <c r="F103" s="10" t="str">
        <f>IFERROR(__xludf.DUMMYFUNCTION("INDEX(GOOGLEFINANCE(""NSE:""&amp;C103,dates!$I$1,dates!$C$2),2,2)"),"#N/A")</f>
        <v>#N/A</v>
      </c>
      <c r="G103" s="10">
        <f>IFERROR(__xludf.DUMMYFUNCTION("INDEX(GOOGLEFINANCE(""NSE:""&amp;C103,dates!$I$1,dates!$C$4),2,2)"),436.25)</f>
        <v>436.25</v>
      </c>
      <c r="H103" s="10">
        <f>IFERROR(__xludf.DUMMYFUNCTION("INDEX(GOOGLEFINANCE(""NSE:""&amp;C103,dates!$I$1,dates!$C$5),2,2)"),498.1)</f>
        <v>498.1</v>
      </c>
      <c r="I103" s="10">
        <f>IFERROR(__xludf.DUMMYFUNCTION("INDEX(GOOGLEFINANCE(""NSE:""&amp;C103,dates!$I$1,dates!$C$6),2,2)"),471.3)</f>
        <v>471.3</v>
      </c>
      <c r="J103" s="16" t="str">
        <f t="shared" si="1"/>
        <v>#N/A</v>
      </c>
      <c r="K103" s="16" t="str">
        <f t="shared" si="2"/>
        <v>#N/A</v>
      </c>
      <c r="L103" s="16" t="str">
        <f t="shared" si="3"/>
        <v>#N/A</v>
      </c>
      <c r="M103" s="16" t="str">
        <f t="shared" si="4"/>
        <v>#N/A</v>
      </c>
      <c r="N103" s="17" t="str">
        <f t="shared" si="5"/>
        <v>#N/A</v>
      </c>
      <c r="O103" s="17" t="str">
        <f t="shared" si="6"/>
        <v>#N/A</v>
      </c>
      <c r="P103" s="17" t="str">
        <f t="shared" si="7"/>
        <v>#N/A</v>
      </c>
      <c r="Q103" s="17" t="str">
        <f t="shared" si="8"/>
        <v>#N/A</v>
      </c>
      <c r="R103" s="32" t="str">
        <f t="shared" si="9"/>
        <v>#N/A</v>
      </c>
    </row>
    <row r="104">
      <c r="A104" s="7">
        <v>104.0</v>
      </c>
      <c r="B104" s="44" t="s">
        <v>1411</v>
      </c>
      <c r="C104" s="31" t="s">
        <v>269</v>
      </c>
      <c r="D104" s="9">
        <f>IFERROR(__xludf.DUMMYFUNCTION("GOOGLEFINANCE(""NSE:""&amp;C104)"),279.5)</f>
        <v>279.5</v>
      </c>
      <c r="E104" s="10" t="str">
        <f>IFERROR(__xludf.DUMMYFUNCTION("INDEX(GOOGLEFINANCE(""NSE:""&amp;C104,dates!$I$1,dates!$C$3),2,2)"),"#N/A")</f>
        <v>#N/A</v>
      </c>
      <c r="F104" s="10" t="str">
        <f>IFERROR(__xludf.DUMMYFUNCTION("INDEX(GOOGLEFINANCE(""NSE:""&amp;C104,dates!$I$1,dates!$C$2),2,2)"),"#N/A")</f>
        <v>#N/A</v>
      </c>
      <c r="G104" s="10">
        <f>IFERROR(__xludf.DUMMYFUNCTION("INDEX(GOOGLEFINANCE(""NSE:""&amp;C104,dates!$I$1,dates!$C$4),2,2)"),282.95)</f>
        <v>282.95</v>
      </c>
      <c r="H104" s="10">
        <f>IFERROR(__xludf.DUMMYFUNCTION("INDEX(GOOGLEFINANCE(""NSE:""&amp;C104,dates!$I$1,dates!$C$5),2,2)"),270.65)</f>
        <v>270.65</v>
      </c>
      <c r="I104" s="10">
        <f>IFERROR(__xludf.DUMMYFUNCTION("INDEX(GOOGLEFINANCE(""NSE:""&amp;C104,dates!$I$1,dates!$C$6),2,2)"),256.6)</f>
        <v>256.6</v>
      </c>
      <c r="J104" s="16" t="str">
        <f t="shared" si="1"/>
        <v>#N/A</v>
      </c>
      <c r="K104" s="16" t="str">
        <f t="shared" si="2"/>
        <v>#N/A</v>
      </c>
      <c r="L104" s="16" t="str">
        <f t="shared" si="3"/>
        <v>#N/A</v>
      </c>
      <c r="M104" s="16" t="str">
        <f t="shared" si="4"/>
        <v>#N/A</v>
      </c>
      <c r="N104" s="17" t="str">
        <f t="shared" si="5"/>
        <v>#N/A</v>
      </c>
      <c r="O104" s="17" t="str">
        <f t="shared" si="6"/>
        <v>#N/A</v>
      </c>
      <c r="P104" s="17" t="str">
        <f t="shared" si="7"/>
        <v>#N/A</v>
      </c>
      <c r="Q104" s="17" t="str">
        <f t="shared" si="8"/>
        <v>#N/A</v>
      </c>
      <c r="R104" s="32" t="str">
        <f t="shared" si="9"/>
        <v>#N/A</v>
      </c>
    </row>
    <row r="105">
      <c r="A105" s="7">
        <v>105.0</v>
      </c>
      <c r="B105" s="44" t="s">
        <v>1412</v>
      </c>
      <c r="C105" s="31" t="s">
        <v>165</v>
      </c>
      <c r="D105" s="9">
        <f>IFERROR(__xludf.DUMMYFUNCTION("GOOGLEFINANCE(""NSE:""&amp;C105)"),3228.0)</f>
        <v>3228</v>
      </c>
      <c r="E105" s="10" t="str">
        <f>IFERROR(__xludf.DUMMYFUNCTION("INDEX(GOOGLEFINANCE(""NSE:""&amp;C105,dates!$I$1,dates!$C$3),2,2)"),"#N/A")</f>
        <v>#N/A</v>
      </c>
      <c r="F105" s="10" t="str">
        <f>IFERROR(__xludf.DUMMYFUNCTION("INDEX(GOOGLEFINANCE(""NSE:""&amp;C105,dates!$I$1,dates!$C$2),2,2)"),"#N/A")</f>
        <v>#N/A</v>
      </c>
      <c r="G105" s="10">
        <f>IFERROR(__xludf.DUMMYFUNCTION("INDEX(GOOGLEFINANCE(""NSE:""&amp;C105,dates!$I$1,dates!$C$4),2,2)"),3268.8)</f>
        <v>3268.8</v>
      </c>
      <c r="H105" s="10">
        <f>IFERROR(__xludf.DUMMYFUNCTION("INDEX(GOOGLEFINANCE(""NSE:""&amp;C105,dates!$I$1,dates!$C$5),2,2)"),3302.05)</f>
        <v>3302.05</v>
      </c>
      <c r="I105" s="10">
        <f>IFERROR(__xludf.DUMMYFUNCTION("INDEX(GOOGLEFINANCE(""NSE:""&amp;C105,dates!$I$1,dates!$C$6),2,2)"),3030.3)</f>
        <v>3030.3</v>
      </c>
      <c r="J105" s="16" t="str">
        <f t="shared" si="1"/>
        <v>#N/A</v>
      </c>
      <c r="K105" s="16" t="str">
        <f t="shared" si="2"/>
        <v>#N/A</v>
      </c>
      <c r="L105" s="16" t="str">
        <f t="shared" si="3"/>
        <v>#N/A</v>
      </c>
      <c r="M105" s="16" t="str">
        <f t="shared" si="4"/>
        <v>#N/A</v>
      </c>
      <c r="N105" s="17" t="str">
        <f t="shared" si="5"/>
        <v>#N/A</v>
      </c>
      <c r="O105" s="17" t="str">
        <f t="shared" si="6"/>
        <v>#N/A</v>
      </c>
      <c r="P105" s="17" t="str">
        <f t="shared" si="7"/>
        <v>#N/A</v>
      </c>
      <c r="Q105" s="17" t="str">
        <f t="shared" si="8"/>
        <v>#N/A</v>
      </c>
      <c r="R105" s="32" t="str">
        <f t="shared" si="9"/>
        <v>#N/A</v>
      </c>
    </row>
    <row r="106">
      <c r="A106" s="7">
        <v>106.0</v>
      </c>
      <c r="B106" s="44" t="s">
        <v>1413</v>
      </c>
      <c r="C106" s="31" t="s">
        <v>205</v>
      </c>
      <c r="D106" s="9">
        <f>IFERROR(__xludf.DUMMYFUNCTION("GOOGLEFINANCE(""NSE:""&amp;C106)"),1703.4)</f>
        <v>1703.4</v>
      </c>
      <c r="E106" s="10" t="str">
        <f>IFERROR(__xludf.DUMMYFUNCTION("INDEX(GOOGLEFINANCE(""NSE:""&amp;C106,dates!$I$1,dates!$C$3),2,2)"),"#N/A")</f>
        <v>#N/A</v>
      </c>
      <c r="F106" s="10" t="str">
        <f>IFERROR(__xludf.DUMMYFUNCTION("INDEX(GOOGLEFINANCE(""NSE:""&amp;C106,dates!$I$1,dates!$C$2),2,2)"),"#N/A")</f>
        <v>#N/A</v>
      </c>
      <c r="G106" s="10">
        <f>IFERROR(__xludf.DUMMYFUNCTION("INDEX(GOOGLEFINANCE(""NSE:""&amp;C106,dates!$I$1,dates!$C$4),2,2)"),1732.55)</f>
        <v>1732.55</v>
      </c>
      <c r="H106" s="10">
        <f>IFERROR(__xludf.DUMMYFUNCTION("INDEX(GOOGLEFINANCE(""NSE:""&amp;C106,dates!$I$1,dates!$C$5),2,2)"),1723.3)</f>
        <v>1723.3</v>
      </c>
      <c r="I106" s="10">
        <f>IFERROR(__xludf.DUMMYFUNCTION("INDEX(GOOGLEFINANCE(""NSE:""&amp;C106,dates!$I$1,dates!$C$6),2,2)"),1655.6)</f>
        <v>1655.6</v>
      </c>
      <c r="J106" s="16" t="str">
        <f t="shared" si="1"/>
        <v>#N/A</v>
      </c>
      <c r="K106" s="16" t="str">
        <f t="shared" si="2"/>
        <v>#N/A</v>
      </c>
      <c r="L106" s="16" t="str">
        <f t="shared" si="3"/>
        <v>#N/A</v>
      </c>
      <c r="M106" s="16" t="str">
        <f t="shared" si="4"/>
        <v>#N/A</v>
      </c>
      <c r="N106" s="17" t="str">
        <f t="shared" si="5"/>
        <v>#N/A</v>
      </c>
      <c r="O106" s="17" t="str">
        <f t="shared" si="6"/>
        <v>#N/A</v>
      </c>
      <c r="P106" s="17" t="str">
        <f t="shared" si="7"/>
        <v>#N/A</v>
      </c>
      <c r="Q106" s="17" t="str">
        <f t="shared" si="8"/>
        <v>#N/A</v>
      </c>
      <c r="R106" s="32" t="str">
        <f t="shared" si="9"/>
        <v>#N/A</v>
      </c>
    </row>
    <row r="107">
      <c r="A107" s="7">
        <v>107.0</v>
      </c>
      <c r="B107" s="44" t="s">
        <v>1414</v>
      </c>
      <c r="C107" s="31" t="s">
        <v>467</v>
      </c>
      <c r="D107" s="9">
        <f>IFERROR(__xludf.DUMMYFUNCTION("GOOGLEFINANCE(""NSE:""&amp;C107)"),81.95)</f>
        <v>81.95</v>
      </c>
      <c r="E107" s="10" t="str">
        <f>IFERROR(__xludf.DUMMYFUNCTION("INDEX(GOOGLEFINANCE(""NSE:""&amp;C107,dates!$I$1,dates!$C$3),2,2)"),"#N/A")</f>
        <v>#N/A</v>
      </c>
      <c r="F107" s="10" t="str">
        <f>IFERROR(__xludf.DUMMYFUNCTION("INDEX(GOOGLEFINANCE(""NSE:""&amp;C107,dates!$I$1,dates!$C$2),2,2)"),"#N/A")</f>
        <v>#N/A</v>
      </c>
      <c r="G107" s="10">
        <f>IFERROR(__xludf.DUMMYFUNCTION("INDEX(GOOGLEFINANCE(""NSE:""&amp;C107,dates!$I$1,dates!$C$4),2,2)"),83.3)</f>
        <v>83.3</v>
      </c>
      <c r="H107" s="10">
        <f>IFERROR(__xludf.DUMMYFUNCTION("INDEX(GOOGLEFINANCE(""NSE:""&amp;C107,dates!$I$1,dates!$C$5),2,2)"),82.1)</f>
        <v>82.1</v>
      </c>
      <c r="I107" s="10">
        <f>IFERROR(__xludf.DUMMYFUNCTION("INDEX(GOOGLEFINANCE(""NSE:""&amp;C107,dates!$I$1,dates!$C$6),2,2)"),77.95)</f>
        <v>77.95</v>
      </c>
      <c r="J107" s="16" t="str">
        <f t="shared" si="1"/>
        <v>#N/A</v>
      </c>
      <c r="K107" s="16" t="str">
        <f t="shared" si="2"/>
        <v>#N/A</v>
      </c>
      <c r="L107" s="16" t="str">
        <f t="shared" si="3"/>
        <v>#N/A</v>
      </c>
      <c r="M107" s="16" t="str">
        <f t="shared" si="4"/>
        <v>#N/A</v>
      </c>
      <c r="N107" s="17" t="str">
        <f t="shared" si="5"/>
        <v>#N/A</v>
      </c>
      <c r="O107" s="17" t="str">
        <f t="shared" si="6"/>
        <v>#N/A</v>
      </c>
      <c r="P107" s="17" t="str">
        <f t="shared" si="7"/>
        <v>#N/A</v>
      </c>
      <c r="Q107" s="17" t="str">
        <f t="shared" si="8"/>
        <v>#N/A</v>
      </c>
      <c r="R107" s="32" t="str">
        <f t="shared" si="9"/>
        <v>#N/A</v>
      </c>
    </row>
    <row r="108">
      <c r="A108" s="7">
        <v>108.0</v>
      </c>
      <c r="B108" s="44" t="s">
        <v>1415</v>
      </c>
      <c r="C108" s="31" t="s">
        <v>405</v>
      </c>
      <c r="D108" s="9">
        <f>IFERROR(__xludf.DUMMYFUNCTION("GOOGLEFINANCE(""NSE:""&amp;C108)"),847.0)</f>
        <v>847</v>
      </c>
      <c r="E108" s="10" t="str">
        <f>IFERROR(__xludf.DUMMYFUNCTION("INDEX(GOOGLEFINANCE(""NSE:""&amp;C108,dates!$I$1,dates!$C$3),2,2)"),"#N/A")</f>
        <v>#N/A</v>
      </c>
      <c r="F108" s="10" t="str">
        <f>IFERROR(__xludf.DUMMYFUNCTION("INDEX(GOOGLEFINANCE(""NSE:""&amp;C108,dates!$I$1,dates!$C$2),2,2)"),"#N/A")</f>
        <v>#N/A</v>
      </c>
      <c r="G108" s="10">
        <f>IFERROR(__xludf.DUMMYFUNCTION("INDEX(GOOGLEFINANCE(""NSE:""&amp;C108,dates!$I$1,dates!$C$4),2,2)"),844.5)</f>
        <v>844.5</v>
      </c>
      <c r="H108" s="10">
        <f>IFERROR(__xludf.DUMMYFUNCTION("INDEX(GOOGLEFINANCE(""NSE:""&amp;C108,dates!$I$1,dates!$C$5),2,2)"),837.3)</f>
        <v>837.3</v>
      </c>
      <c r="I108" s="10">
        <f>IFERROR(__xludf.DUMMYFUNCTION("INDEX(GOOGLEFINANCE(""NSE:""&amp;C108,dates!$I$1,dates!$C$6),2,2)"),829.0)</f>
        <v>829</v>
      </c>
      <c r="J108" s="16" t="str">
        <f t="shared" si="1"/>
        <v>#N/A</v>
      </c>
      <c r="K108" s="16" t="str">
        <f t="shared" si="2"/>
        <v>#N/A</v>
      </c>
      <c r="L108" s="16" t="str">
        <f t="shared" si="3"/>
        <v>#N/A</v>
      </c>
      <c r="M108" s="16" t="str">
        <f t="shared" si="4"/>
        <v>#N/A</v>
      </c>
      <c r="N108" s="17" t="str">
        <f t="shared" si="5"/>
        <v>#N/A</v>
      </c>
      <c r="O108" s="17" t="str">
        <f t="shared" si="6"/>
        <v>#N/A</v>
      </c>
      <c r="P108" s="17" t="str">
        <f t="shared" si="7"/>
        <v>#N/A</v>
      </c>
      <c r="Q108" s="17" t="str">
        <f t="shared" si="8"/>
        <v>#N/A</v>
      </c>
      <c r="R108" s="32" t="str">
        <f t="shared" si="9"/>
        <v>#N/A</v>
      </c>
    </row>
    <row r="109">
      <c r="A109" s="7">
        <v>109.0</v>
      </c>
      <c r="B109" s="44" t="s">
        <v>1416</v>
      </c>
      <c r="C109" s="31" t="s">
        <v>104</v>
      </c>
      <c r="D109" s="9">
        <f>IFERROR(__xludf.DUMMYFUNCTION("GOOGLEFINANCE(""NSE:""&amp;C109)"),649.0)</f>
        <v>649</v>
      </c>
      <c r="E109" s="10" t="str">
        <f>IFERROR(__xludf.DUMMYFUNCTION("INDEX(GOOGLEFINANCE(""NSE:""&amp;C109,dates!$I$1,dates!$C$3),2,2)"),"#N/A")</f>
        <v>#N/A</v>
      </c>
      <c r="F109" s="10" t="str">
        <f>IFERROR(__xludf.DUMMYFUNCTION("INDEX(GOOGLEFINANCE(""NSE:""&amp;C109,dates!$I$1,dates!$C$2),2,2)"),"#N/A")</f>
        <v>#N/A</v>
      </c>
      <c r="G109" s="10">
        <f>IFERROR(__xludf.DUMMYFUNCTION("INDEX(GOOGLEFINANCE(""NSE:""&amp;C109,dates!$I$1,dates!$C$4),2,2)"),653.95)</f>
        <v>653.95</v>
      </c>
      <c r="H109" s="10">
        <f>IFERROR(__xludf.DUMMYFUNCTION("INDEX(GOOGLEFINANCE(""NSE:""&amp;C109,dates!$I$1,dates!$C$5),2,2)"),640.2)</f>
        <v>640.2</v>
      </c>
      <c r="I109" s="10">
        <f>IFERROR(__xludf.DUMMYFUNCTION("INDEX(GOOGLEFINANCE(""NSE:""&amp;C109,dates!$I$1,dates!$C$6),2,2)"),608.75)</f>
        <v>608.75</v>
      </c>
      <c r="J109" s="16" t="str">
        <f t="shared" si="1"/>
        <v>#N/A</v>
      </c>
      <c r="K109" s="16" t="str">
        <f t="shared" si="2"/>
        <v>#N/A</v>
      </c>
      <c r="L109" s="16" t="str">
        <f t="shared" si="3"/>
        <v>#N/A</v>
      </c>
      <c r="M109" s="16" t="str">
        <f t="shared" si="4"/>
        <v>#N/A</v>
      </c>
      <c r="N109" s="17" t="str">
        <f t="shared" si="5"/>
        <v>#N/A</v>
      </c>
      <c r="O109" s="17" t="str">
        <f t="shared" si="6"/>
        <v>#N/A</v>
      </c>
      <c r="P109" s="17" t="str">
        <f t="shared" si="7"/>
        <v>#N/A</v>
      </c>
      <c r="Q109" s="17" t="str">
        <f t="shared" si="8"/>
        <v>#N/A</v>
      </c>
      <c r="R109" s="32" t="str">
        <f t="shared" si="9"/>
        <v>#N/A</v>
      </c>
    </row>
    <row r="110">
      <c r="A110" s="7">
        <v>110.0</v>
      </c>
      <c r="B110" s="44" t="s">
        <v>1417</v>
      </c>
      <c r="C110" s="31" t="s">
        <v>971</v>
      </c>
      <c r="D110" s="9">
        <f>IFERROR(__xludf.DUMMYFUNCTION("GOOGLEFINANCE(""NSE:""&amp;C110)"),1628.9)</f>
        <v>1628.9</v>
      </c>
      <c r="E110" s="10" t="str">
        <f>IFERROR(__xludf.DUMMYFUNCTION("INDEX(GOOGLEFINANCE(""NSE:""&amp;C110,dates!$I$1,dates!$C$3),2,2)"),"#N/A")</f>
        <v>#N/A</v>
      </c>
      <c r="F110" s="10" t="str">
        <f>IFERROR(__xludf.DUMMYFUNCTION("INDEX(GOOGLEFINANCE(""NSE:""&amp;C110,dates!$I$1,dates!$C$2),2,2)"),"#N/A")</f>
        <v>#N/A</v>
      </c>
      <c r="G110" s="10">
        <f>IFERROR(__xludf.DUMMYFUNCTION("INDEX(GOOGLEFINANCE(""NSE:""&amp;C110,dates!$I$1,dates!$C$4),2,2)"),1596.15)</f>
        <v>1596.15</v>
      </c>
      <c r="H110" s="10">
        <f>IFERROR(__xludf.DUMMYFUNCTION("INDEX(GOOGLEFINANCE(""NSE:""&amp;C110,dates!$I$1,dates!$C$5),2,2)"),1629.3)</f>
        <v>1629.3</v>
      </c>
      <c r="I110" s="10">
        <f>IFERROR(__xludf.DUMMYFUNCTION("INDEX(GOOGLEFINANCE(""NSE:""&amp;C110,dates!$I$1,dates!$C$6),2,2)"),1491.25)</f>
        <v>1491.25</v>
      </c>
      <c r="J110" s="16" t="str">
        <f t="shared" si="1"/>
        <v>#N/A</v>
      </c>
      <c r="K110" s="16" t="str">
        <f t="shared" si="2"/>
        <v>#N/A</v>
      </c>
      <c r="L110" s="16" t="str">
        <f t="shared" si="3"/>
        <v>#N/A</v>
      </c>
      <c r="M110" s="16" t="str">
        <f t="shared" si="4"/>
        <v>#N/A</v>
      </c>
      <c r="N110" s="17" t="str">
        <f t="shared" si="5"/>
        <v>#N/A</v>
      </c>
      <c r="O110" s="17" t="str">
        <f t="shared" si="6"/>
        <v>#N/A</v>
      </c>
      <c r="P110" s="17" t="str">
        <f t="shared" si="7"/>
        <v>#N/A</v>
      </c>
      <c r="Q110" s="17" t="str">
        <f t="shared" si="8"/>
        <v>#N/A</v>
      </c>
      <c r="R110" s="32" t="str">
        <f t="shared" si="9"/>
        <v>#N/A</v>
      </c>
    </row>
    <row r="111">
      <c r="A111" s="7">
        <v>111.0</v>
      </c>
      <c r="B111" s="44" t="s">
        <v>1418</v>
      </c>
      <c r="C111" s="31" t="s">
        <v>32</v>
      </c>
      <c r="D111" s="9">
        <f>IFERROR(__xludf.DUMMYFUNCTION("GOOGLEFINANCE(""NSE:""&amp;C111)"),2825.15)</f>
        <v>2825.15</v>
      </c>
      <c r="E111" s="10" t="str">
        <f>IFERROR(__xludf.DUMMYFUNCTION("INDEX(GOOGLEFINANCE(""NSE:""&amp;C111,dates!$I$1,dates!$C$3),2,2)"),"#N/A")</f>
        <v>#N/A</v>
      </c>
      <c r="F111" s="10" t="str">
        <f>IFERROR(__xludf.DUMMYFUNCTION("INDEX(GOOGLEFINANCE(""NSE:""&amp;C111,dates!$I$1,dates!$C$2),2,2)"),"#N/A")</f>
        <v>#N/A</v>
      </c>
      <c r="G111" s="10">
        <f>IFERROR(__xludf.DUMMYFUNCTION("INDEX(GOOGLEFINANCE(""NSE:""&amp;C111,dates!$I$1,dates!$C$4),2,2)"),2825.65)</f>
        <v>2825.65</v>
      </c>
      <c r="H111" s="10">
        <f>IFERROR(__xludf.DUMMYFUNCTION("INDEX(GOOGLEFINANCE(""NSE:""&amp;C111,dates!$I$1,dates!$C$5),2,2)"),2849.8)</f>
        <v>2849.8</v>
      </c>
      <c r="I111" s="10">
        <f>IFERROR(__xludf.DUMMYFUNCTION("INDEX(GOOGLEFINANCE(""NSE:""&amp;C111,dates!$I$1,dates!$C$6),2,2)"),2718.2)</f>
        <v>2718.2</v>
      </c>
      <c r="J111" s="16" t="str">
        <f t="shared" si="1"/>
        <v>#N/A</v>
      </c>
      <c r="K111" s="16" t="str">
        <f t="shared" si="2"/>
        <v>#N/A</v>
      </c>
      <c r="L111" s="16" t="str">
        <f t="shared" si="3"/>
        <v>#N/A</v>
      </c>
      <c r="M111" s="16" t="str">
        <f t="shared" si="4"/>
        <v>#N/A</v>
      </c>
      <c r="N111" s="17" t="str">
        <f t="shared" si="5"/>
        <v>#N/A</v>
      </c>
      <c r="O111" s="17" t="str">
        <f t="shared" si="6"/>
        <v>#N/A</v>
      </c>
      <c r="P111" s="17" t="str">
        <f t="shared" si="7"/>
        <v>#N/A</v>
      </c>
      <c r="Q111" s="17" t="str">
        <f t="shared" si="8"/>
        <v>#N/A</v>
      </c>
      <c r="R111" s="32" t="str">
        <f t="shared" si="9"/>
        <v>#N/A</v>
      </c>
    </row>
    <row r="112">
      <c r="A112" s="7">
        <v>112.0</v>
      </c>
      <c r="B112" s="44" t="s">
        <v>1419</v>
      </c>
      <c r="C112" s="31" t="s">
        <v>279</v>
      </c>
      <c r="D112" s="9">
        <f>IFERROR(__xludf.DUMMYFUNCTION("GOOGLEFINANCE(""NSE:""&amp;C112)"),128.9)</f>
        <v>128.9</v>
      </c>
      <c r="E112" s="10" t="str">
        <f>IFERROR(__xludf.DUMMYFUNCTION("INDEX(GOOGLEFINANCE(""NSE:""&amp;C112,dates!$I$1,dates!$C$3),2,2)"),"#N/A")</f>
        <v>#N/A</v>
      </c>
      <c r="F112" s="10" t="str">
        <f>IFERROR(__xludf.DUMMYFUNCTION("INDEX(GOOGLEFINANCE(""NSE:""&amp;C112,dates!$I$1,dates!$C$2),2,2)"),"#N/A")</f>
        <v>#N/A</v>
      </c>
      <c r="G112" s="10">
        <f>IFERROR(__xludf.DUMMYFUNCTION("INDEX(GOOGLEFINANCE(""NSE:""&amp;C112,dates!$I$1,dates!$C$4),2,2)"),125.15)</f>
        <v>125.15</v>
      </c>
      <c r="H112" s="10">
        <f>IFERROR(__xludf.DUMMYFUNCTION("INDEX(GOOGLEFINANCE(""NSE:""&amp;C112,dates!$I$1,dates!$C$5),2,2)"),123.3)</f>
        <v>123.3</v>
      </c>
      <c r="I112" s="10">
        <f>IFERROR(__xludf.DUMMYFUNCTION("INDEX(GOOGLEFINANCE(""NSE:""&amp;C112,dates!$I$1,dates!$C$6),2,2)"),120.25)</f>
        <v>120.25</v>
      </c>
      <c r="J112" s="16" t="str">
        <f t="shared" si="1"/>
        <v>#N/A</v>
      </c>
      <c r="K112" s="16" t="str">
        <f t="shared" si="2"/>
        <v>#N/A</v>
      </c>
      <c r="L112" s="16" t="str">
        <f t="shared" si="3"/>
        <v>#N/A</v>
      </c>
      <c r="M112" s="16" t="str">
        <f t="shared" si="4"/>
        <v>#N/A</v>
      </c>
      <c r="N112" s="17" t="str">
        <f t="shared" si="5"/>
        <v>#N/A</v>
      </c>
      <c r="O112" s="17" t="str">
        <f t="shared" si="6"/>
        <v>#N/A</v>
      </c>
      <c r="P112" s="17" t="str">
        <f t="shared" si="7"/>
        <v>#N/A</v>
      </c>
      <c r="Q112" s="17" t="str">
        <f t="shared" si="8"/>
        <v>#N/A</v>
      </c>
      <c r="R112" s="32" t="str">
        <f t="shared" si="9"/>
        <v>#N/A</v>
      </c>
    </row>
    <row r="113">
      <c r="A113" s="7">
        <v>113.0</v>
      </c>
      <c r="B113" s="44" t="s">
        <v>1420</v>
      </c>
      <c r="C113" s="31" t="s">
        <v>730</v>
      </c>
      <c r="D113" s="9">
        <f>IFERROR(__xludf.DUMMYFUNCTION("GOOGLEFINANCE(""NSE:""&amp;C113)"),173.9)</f>
        <v>173.9</v>
      </c>
      <c r="E113" s="10" t="str">
        <f>IFERROR(__xludf.DUMMYFUNCTION("INDEX(GOOGLEFINANCE(""NSE:""&amp;C113,dates!$I$1,dates!$C$3),2,2)"),"#N/A")</f>
        <v>#N/A</v>
      </c>
      <c r="F113" s="10" t="str">
        <f>IFERROR(__xludf.DUMMYFUNCTION("INDEX(GOOGLEFINANCE(""NSE:""&amp;C113,dates!$I$1,dates!$C$2),2,2)"),"#N/A")</f>
        <v>#N/A</v>
      </c>
      <c r="G113" s="10">
        <f>IFERROR(__xludf.DUMMYFUNCTION("INDEX(GOOGLEFINANCE(""NSE:""&amp;C113,dates!$I$1,dates!$C$4),2,2)"),163.75)</f>
        <v>163.75</v>
      </c>
      <c r="H113" s="10">
        <f>IFERROR(__xludf.DUMMYFUNCTION("INDEX(GOOGLEFINANCE(""NSE:""&amp;C113,dates!$I$1,dates!$C$5),2,2)"),165.3)</f>
        <v>165.3</v>
      </c>
      <c r="I113" s="10">
        <f>IFERROR(__xludf.DUMMYFUNCTION("INDEX(GOOGLEFINANCE(""NSE:""&amp;C113,dates!$I$1,dates!$C$6),2,2)"),160.35)</f>
        <v>160.35</v>
      </c>
      <c r="J113" s="16" t="str">
        <f t="shared" si="1"/>
        <v>#N/A</v>
      </c>
      <c r="K113" s="16" t="str">
        <f t="shared" si="2"/>
        <v>#N/A</v>
      </c>
      <c r="L113" s="16" t="str">
        <f t="shared" si="3"/>
        <v>#N/A</v>
      </c>
      <c r="M113" s="16" t="str">
        <f t="shared" si="4"/>
        <v>#N/A</v>
      </c>
      <c r="N113" s="17" t="str">
        <f t="shared" si="5"/>
        <v>#N/A</v>
      </c>
      <c r="O113" s="17" t="str">
        <f t="shared" si="6"/>
        <v>#N/A</v>
      </c>
      <c r="P113" s="17" t="str">
        <f t="shared" si="7"/>
        <v>#N/A</v>
      </c>
      <c r="Q113" s="17" t="str">
        <f t="shared" si="8"/>
        <v>#N/A</v>
      </c>
      <c r="R113" s="32" t="str">
        <f t="shared" si="9"/>
        <v>#N/A</v>
      </c>
    </row>
    <row r="114">
      <c r="A114" s="7">
        <v>114.0</v>
      </c>
      <c r="B114" s="44" t="s">
        <v>1421</v>
      </c>
      <c r="C114" s="31" t="s">
        <v>167</v>
      </c>
      <c r="D114" s="9">
        <f>IFERROR(__xludf.DUMMYFUNCTION("GOOGLEFINANCE(""NSE:""&amp;C114)"),153.15)</f>
        <v>153.15</v>
      </c>
      <c r="E114" s="10" t="str">
        <f>IFERROR(__xludf.DUMMYFUNCTION("INDEX(GOOGLEFINANCE(""NSE:""&amp;C114,dates!$I$1,dates!$C$3),2,2)"),"#N/A")</f>
        <v>#N/A</v>
      </c>
      <c r="F114" s="10" t="str">
        <f>IFERROR(__xludf.DUMMYFUNCTION("INDEX(GOOGLEFINANCE(""NSE:""&amp;C114,dates!$I$1,dates!$C$2),2,2)"),"#N/A")</f>
        <v>#N/A</v>
      </c>
      <c r="G114" s="10">
        <f>IFERROR(__xludf.DUMMYFUNCTION("INDEX(GOOGLEFINANCE(""NSE:""&amp;C114,dates!$I$1,dates!$C$4),2,2)"),154.1)</f>
        <v>154.1</v>
      </c>
      <c r="H114" s="10">
        <f>IFERROR(__xludf.DUMMYFUNCTION("INDEX(GOOGLEFINANCE(""NSE:""&amp;C114,dates!$I$1,dates!$C$5),2,2)"),145.9)</f>
        <v>145.9</v>
      </c>
      <c r="I114" s="10">
        <f>IFERROR(__xludf.DUMMYFUNCTION("INDEX(GOOGLEFINANCE(""NSE:""&amp;C114,dates!$I$1,dates!$C$6),2,2)"),143.5)</f>
        <v>143.5</v>
      </c>
      <c r="J114" s="16" t="str">
        <f t="shared" si="1"/>
        <v>#N/A</v>
      </c>
      <c r="K114" s="16" t="str">
        <f t="shared" si="2"/>
        <v>#N/A</v>
      </c>
      <c r="L114" s="16" t="str">
        <f t="shared" si="3"/>
        <v>#N/A</v>
      </c>
      <c r="M114" s="16" t="str">
        <f t="shared" si="4"/>
        <v>#N/A</v>
      </c>
      <c r="N114" s="17" t="str">
        <f t="shared" si="5"/>
        <v>#N/A</v>
      </c>
      <c r="O114" s="17" t="str">
        <f t="shared" si="6"/>
        <v>#N/A</v>
      </c>
      <c r="P114" s="17" t="str">
        <f t="shared" si="7"/>
        <v>#N/A</v>
      </c>
      <c r="Q114" s="17" t="str">
        <f t="shared" si="8"/>
        <v>#N/A</v>
      </c>
      <c r="R114" s="32" t="str">
        <f t="shared" si="9"/>
        <v>#N/A</v>
      </c>
    </row>
    <row r="115">
      <c r="A115" s="7">
        <v>115.0</v>
      </c>
      <c r="B115" s="44" t="s">
        <v>1422</v>
      </c>
      <c r="C115" s="31" t="s">
        <v>98</v>
      </c>
      <c r="D115" s="9">
        <f>IFERROR(__xludf.DUMMYFUNCTION("GOOGLEFINANCE(""NSE:""&amp;C115)"),126.15)</f>
        <v>126.15</v>
      </c>
      <c r="E115" s="10" t="str">
        <f>IFERROR(__xludf.DUMMYFUNCTION("INDEX(GOOGLEFINANCE(""NSE:""&amp;C115,dates!$I$1,dates!$C$3),2,2)"),"#N/A")</f>
        <v>#N/A</v>
      </c>
      <c r="F115" s="10" t="str">
        <f>IFERROR(__xludf.DUMMYFUNCTION("INDEX(GOOGLEFINANCE(""NSE:""&amp;C115,dates!$I$1,dates!$C$2),2,2)"),"#N/A")</f>
        <v>#N/A</v>
      </c>
      <c r="G115" s="10">
        <f>IFERROR(__xludf.DUMMYFUNCTION("INDEX(GOOGLEFINANCE(""NSE:""&amp;C115,dates!$I$1,dates!$C$4),2,2)"),123.75)</f>
        <v>123.75</v>
      </c>
      <c r="H115" s="10">
        <f>IFERROR(__xludf.DUMMYFUNCTION("INDEX(GOOGLEFINANCE(""NSE:""&amp;C115,dates!$I$1,dates!$C$5),2,2)"),115.0)</f>
        <v>115</v>
      </c>
      <c r="I115" s="10">
        <f>IFERROR(__xludf.DUMMYFUNCTION("INDEX(GOOGLEFINANCE(""NSE:""&amp;C115,dates!$I$1,dates!$C$6),2,2)"),113.4)</f>
        <v>113.4</v>
      </c>
      <c r="J115" s="16" t="str">
        <f t="shared" si="1"/>
        <v>#N/A</v>
      </c>
      <c r="K115" s="16" t="str">
        <f t="shared" si="2"/>
        <v>#N/A</v>
      </c>
      <c r="L115" s="16" t="str">
        <f t="shared" si="3"/>
        <v>#N/A</v>
      </c>
      <c r="M115" s="16" t="str">
        <f t="shared" si="4"/>
        <v>#N/A</v>
      </c>
      <c r="N115" s="17" t="str">
        <f t="shared" si="5"/>
        <v>#N/A</v>
      </c>
      <c r="O115" s="17" t="str">
        <f t="shared" si="6"/>
        <v>#N/A</v>
      </c>
      <c r="P115" s="17" t="str">
        <f t="shared" si="7"/>
        <v>#N/A</v>
      </c>
      <c r="Q115" s="17" t="str">
        <f t="shared" si="8"/>
        <v>#N/A</v>
      </c>
      <c r="R115" s="32" t="str">
        <f t="shared" si="9"/>
        <v>#N/A</v>
      </c>
    </row>
    <row r="116">
      <c r="A116" s="7">
        <v>116.0</v>
      </c>
      <c r="B116" s="44" t="s">
        <v>1423</v>
      </c>
      <c r="C116" s="31" t="s">
        <v>126</v>
      </c>
      <c r="D116" s="9">
        <f>IFERROR(__xludf.DUMMYFUNCTION("GOOGLEFINANCE(""NSE:""&amp;C116)"),4048.95)</f>
        <v>4048.95</v>
      </c>
      <c r="E116" s="10" t="str">
        <f>IFERROR(__xludf.DUMMYFUNCTION("INDEX(GOOGLEFINANCE(""NSE:""&amp;C116,dates!$I$1,dates!$C$3),2,2)"),"#N/A")</f>
        <v>#N/A</v>
      </c>
      <c r="F116" s="10" t="str">
        <f>IFERROR(__xludf.DUMMYFUNCTION("INDEX(GOOGLEFINANCE(""NSE:""&amp;C116,dates!$I$1,dates!$C$2),2,2)"),"#N/A")</f>
        <v>#N/A</v>
      </c>
      <c r="G116" s="10">
        <f>IFERROR(__xludf.DUMMYFUNCTION("INDEX(GOOGLEFINANCE(""NSE:""&amp;C116,dates!$I$1,dates!$C$4),2,2)"),4051.85)</f>
        <v>4051.85</v>
      </c>
      <c r="H116" s="10">
        <f>IFERROR(__xludf.DUMMYFUNCTION("INDEX(GOOGLEFINANCE(""NSE:""&amp;C116,dates!$I$1,dates!$C$5),2,2)"),4093.85)</f>
        <v>4093.85</v>
      </c>
      <c r="I116" s="10">
        <f>IFERROR(__xludf.DUMMYFUNCTION("INDEX(GOOGLEFINANCE(""NSE:""&amp;C116,dates!$I$1,dates!$C$6),2,2)"),3941.55)</f>
        <v>3941.55</v>
      </c>
      <c r="J116" s="16" t="str">
        <f t="shared" si="1"/>
        <v>#N/A</v>
      </c>
      <c r="K116" s="16" t="str">
        <f t="shared" si="2"/>
        <v>#N/A</v>
      </c>
      <c r="L116" s="16" t="str">
        <f t="shared" si="3"/>
        <v>#N/A</v>
      </c>
      <c r="M116" s="16" t="str">
        <f t="shared" si="4"/>
        <v>#N/A</v>
      </c>
      <c r="N116" s="17" t="str">
        <f t="shared" si="5"/>
        <v>#N/A</v>
      </c>
      <c r="O116" s="17" t="str">
        <f t="shared" si="6"/>
        <v>#N/A</v>
      </c>
      <c r="P116" s="17" t="str">
        <f t="shared" si="7"/>
        <v>#N/A</v>
      </c>
      <c r="Q116" s="17" t="str">
        <f t="shared" si="8"/>
        <v>#N/A</v>
      </c>
      <c r="R116" s="32" t="str">
        <f t="shared" si="9"/>
        <v>#N/A</v>
      </c>
    </row>
    <row r="117">
      <c r="A117" s="7">
        <v>117.0</v>
      </c>
      <c r="B117" s="44" t="s">
        <v>1424</v>
      </c>
      <c r="C117" s="31" t="s">
        <v>395</v>
      </c>
      <c r="D117" s="9">
        <f>IFERROR(__xludf.DUMMYFUNCTION("GOOGLEFINANCE(""NSE:""&amp;C117)"),807.5)</f>
        <v>807.5</v>
      </c>
      <c r="E117" s="10" t="str">
        <f>IFERROR(__xludf.DUMMYFUNCTION("INDEX(GOOGLEFINANCE(""NSE:""&amp;C117,dates!$I$1,dates!$C$3),2,2)"),"#N/A")</f>
        <v>#N/A</v>
      </c>
      <c r="F117" s="10" t="str">
        <f>IFERROR(__xludf.DUMMYFUNCTION("INDEX(GOOGLEFINANCE(""NSE:""&amp;C117,dates!$I$1,dates!$C$2),2,2)"),"#N/A")</f>
        <v>#N/A</v>
      </c>
      <c r="G117" s="10">
        <f>IFERROR(__xludf.DUMMYFUNCTION("INDEX(GOOGLEFINANCE(""NSE:""&amp;C117,dates!$I$1,dates!$C$4),2,2)"),807.6)</f>
        <v>807.6</v>
      </c>
      <c r="H117" s="10">
        <f>IFERROR(__xludf.DUMMYFUNCTION("INDEX(GOOGLEFINANCE(""NSE:""&amp;C117,dates!$I$1,dates!$C$5),2,2)"),835.05)</f>
        <v>835.05</v>
      </c>
      <c r="I117" s="10">
        <f>IFERROR(__xludf.DUMMYFUNCTION("INDEX(GOOGLEFINANCE(""NSE:""&amp;C117,dates!$I$1,dates!$C$6),2,2)"),766.8)</f>
        <v>766.8</v>
      </c>
      <c r="J117" s="16" t="str">
        <f t="shared" si="1"/>
        <v>#N/A</v>
      </c>
      <c r="K117" s="16" t="str">
        <f t="shared" si="2"/>
        <v>#N/A</v>
      </c>
      <c r="L117" s="16" t="str">
        <f t="shared" si="3"/>
        <v>#N/A</v>
      </c>
      <c r="M117" s="16" t="str">
        <f t="shared" si="4"/>
        <v>#N/A</v>
      </c>
      <c r="N117" s="17" t="str">
        <f t="shared" si="5"/>
        <v>#N/A</v>
      </c>
      <c r="O117" s="17" t="str">
        <f t="shared" si="6"/>
        <v>#N/A</v>
      </c>
      <c r="P117" s="17" t="str">
        <f t="shared" si="7"/>
        <v>#N/A</v>
      </c>
      <c r="Q117" s="17" t="str">
        <f t="shared" si="8"/>
        <v>#N/A</v>
      </c>
      <c r="R117" s="32" t="str">
        <f t="shared" si="9"/>
        <v>#N/A</v>
      </c>
    </row>
    <row r="118">
      <c r="A118" s="7">
        <v>118.0</v>
      </c>
      <c r="B118" s="44" t="s">
        <v>1425</v>
      </c>
      <c r="C118" s="31" t="s">
        <v>379</v>
      </c>
      <c r="D118" s="9">
        <f>IFERROR(__xludf.DUMMYFUNCTION("GOOGLEFINANCE(""NSE:""&amp;C118)"),4390.0)</f>
        <v>4390</v>
      </c>
      <c r="E118" s="10" t="str">
        <f>IFERROR(__xludf.DUMMYFUNCTION("INDEX(GOOGLEFINANCE(""NSE:""&amp;C118,dates!$I$1,dates!$C$3),2,2)"),"#N/A")</f>
        <v>#N/A</v>
      </c>
      <c r="F118" s="10" t="str">
        <f>IFERROR(__xludf.DUMMYFUNCTION("INDEX(GOOGLEFINANCE(""NSE:""&amp;C118,dates!$I$1,dates!$C$2),2,2)"),"#N/A")</f>
        <v>#N/A</v>
      </c>
      <c r="G118" s="10">
        <f>IFERROR(__xludf.DUMMYFUNCTION("INDEX(GOOGLEFINANCE(""NSE:""&amp;C118,dates!$I$1,dates!$C$4),2,2)"),4245.1)</f>
        <v>4245.1</v>
      </c>
      <c r="H118" s="10">
        <f>IFERROR(__xludf.DUMMYFUNCTION("INDEX(GOOGLEFINANCE(""NSE:""&amp;C118,dates!$I$1,dates!$C$5),2,2)"),4306.75)</f>
        <v>4306.75</v>
      </c>
      <c r="I118" s="10">
        <f>IFERROR(__xludf.DUMMYFUNCTION("INDEX(GOOGLEFINANCE(""NSE:""&amp;C118,dates!$I$1,dates!$C$6),2,2)"),4046.25)</f>
        <v>4046.25</v>
      </c>
      <c r="J118" s="16" t="str">
        <f t="shared" si="1"/>
        <v>#N/A</v>
      </c>
      <c r="K118" s="16" t="str">
        <f t="shared" si="2"/>
        <v>#N/A</v>
      </c>
      <c r="L118" s="16" t="str">
        <f t="shared" si="3"/>
        <v>#N/A</v>
      </c>
      <c r="M118" s="16" t="str">
        <f t="shared" si="4"/>
        <v>#N/A</v>
      </c>
      <c r="N118" s="17" t="str">
        <f t="shared" si="5"/>
        <v>#N/A</v>
      </c>
      <c r="O118" s="17" t="str">
        <f t="shared" si="6"/>
        <v>#N/A</v>
      </c>
      <c r="P118" s="17" t="str">
        <f t="shared" si="7"/>
        <v>#N/A</v>
      </c>
      <c r="Q118" s="17" t="str">
        <f t="shared" si="8"/>
        <v>#N/A</v>
      </c>
      <c r="R118" s="32" t="str">
        <f t="shared" si="9"/>
        <v>#N/A</v>
      </c>
    </row>
    <row r="119">
      <c r="A119" s="7">
        <v>119.0</v>
      </c>
      <c r="B119" s="44" t="s">
        <v>1426</v>
      </c>
      <c r="C119" s="31" t="s">
        <v>26</v>
      </c>
      <c r="D119" s="9">
        <f>IFERROR(__xludf.DUMMYFUNCTION("GOOGLEFINANCE(""NSE:""&amp;C119)"),1571.6)</f>
        <v>1571.6</v>
      </c>
      <c r="E119" s="10" t="str">
        <f>IFERROR(__xludf.DUMMYFUNCTION("INDEX(GOOGLEFINANCE(""NSE:""&amp;C119,dates!$I$1,dates!$C$3),2,2)"),"#N/A")</f>
        <v>#N/A</v>
      </c>
      <c r="F119" s="10" t="str">
        <f>IFERROR(__xludf.DUMMYFUNCTION("INDEX(GOOGLEFINANCE(""NSE:""&amp;C119,dates!$I$1,dates!$C$2),2,2)"),"#N/A")</f>
        <v>#N/A</v>
      </c>
      <c r="G119" s="10">
        <f>IFERROR(__xludf.DUMMYFUNCTION("INDEX(GOOGLEFINANCE(""NSE:""&amp;C119,dates!$I$1,dates!$C$4),2,2)"),1582.15)</f>
        <v>1582.15</v>
      </c>
      <c r="H119" s="10">
        <f>IFERROR(__xludf.DUMMYFUNCTION("INDEX(GOOGLEFINANCE(""NSE:""&amp;C119,dates!$I$1,dates!$C$5),2,2)"),1555.55)</f>
        <v>1555.55</v>
      </c>
      <c r="I119" s="10">
        <f>IFERROR(__xludf.DUMMYFUNCTION("INDEX(GOOGLEFINANCE(""NSE:""&amp;C119,dates!$I$1,dates!$C$6),2,2)"),1548.45)</f>
        <v>1548.45</v>
      </c>
      <c r="J119" s="16" t="str">
        <f t="shared" si="1"/>
        <v>#N/A</v>
      </c>
      <c r="K119" s="16" t="str">
        <f t="shared" si="2"/>
        <v>#N/A</v>
      </c>
      <c r="L119" s="16" t="str">
        <f t="shared" si="3"/>
        <v>#N/A</v>
      </c>
      <c r="M119" s="16" t="str">
        <f t="shared" si="4"/>
        <v>#N/A</v>
      </c>
      <c r="N119" s="17" t="str">
        <f t="shared" si="5"/>
        <v>#N/A</v>
      </c>
      <c r="O119" s="17" t="str">
        <f t="shared" si="6"/>
        <v>#N/A</v>
      </c>
      <c r="P119" s="17" t="str">
        <f t="shared" si="7"/>
        <v>#N/A</v>
      </c>
      <c r="Q119" s="17" t="str">
        <f t="shared" si="8"/>
        <v>#N/A</v>
      </c>
      <c r="R119" s="32" t="str">
        <f t="shared" si="9"/>
        <v>#N/A</v>
      </c>
    </row>
    <row r="120">
      <c r="A120" s="7">
        <v>120.0</v>
      </c>
      <c r="B120" s="44" t="s">
        <v>1427</v>
      </c>
      <c r="C120" s="31" t="s">
        <v>267</v>
      </c>
      <c r="D120" s="9">
        <f>IFERROR(__xludf.DUMMYFUNCTION("GOOGLEFINANCE(""NSE:""&amp;C120)"),537.7)</f>
        <v>537.7</v>
      </c>
      <c r="E120" s="10" t="str">
        <f>IFERROR(__xludf.DUMMYFUNCTION("INDEX(GOOGLEFINANCE(""NSE:""&amp;C120,dates!$I$1,dates!$C$3),2,2)"),"#N/A")</f>
        <v>#N/A</v>
      </c>
      <c r="F120" s="10" t="str">
        <f>IFERROR(__xludf.DUMMYFUNCTION("INDEX(GOOGLEFINANCE(""NSE:""&amp;C120,dates!$I$1,dates!$C$2),2,2)"),"#N/A")</f>
        <v>#N/A</v>
      </c>
      <c r="G120" s="10">
        <f>IFERROR(__xludf.DUMMYFUNCTION("INDEX(GOOGLEFINANCE(""NSE:""&amp;C120,dates!$I$1,dates!$C$4),2,2)"),561.35)</f>
        <v>561.35</v>
      </c>
      <c r="H120" s="10">
        <f>IFERROR(__xludf.DUMMYFUNCTION("INDEX(GOOGLEFINANCE(""NSE:""&amp;C120,dates!$I$1,dates!$C$5),2,2)"),591.45)</f>
        <v>591.45</v>
      </c>
      <c r="I120" s="10">
        <f>IFERROR(__xludf.DUMMYFUNCTION("INDEX(GOOGLEFINANCE(""NSE:""&amp;C120,dates!$I$1,dates!$C$6),2,2)"),524.8)</f>
        <v>524.8</v>
      </c>
      <c r="J120" s="16" t="str">
        <f t="shared" si="1"/>
        <v>#N/A</v>
      </c>
      <c r="K120" s="16" t="str">
        <f t="shared" si="2"/>
        <v>#N/A</v>
      </c>
      <c r="L120" s="16" t="str">
        <f t="shared" si="3"/>
        <v>#N/A</v>
      </c>
      <c r="M120" s="16" t="str">
        <f t="shared" si="4"/>
        <v>#N/A</v>
      </c>
      <c r="N120" s="17" t="str">
        <f t="shared" si="5"/>
        <v>#N/A</v>
      </c>
      <c r="O120" s="17" t="str">
        <f t="shared" si="6"/>
        <v>#N/A</v>
      </c>
      <c r="P120" s="17" t="str">
        <f t="shared" si="7"/>
        <v>#N/A</v>
      </c>
      <c r="Q120" s="17" t="str">
        <f t="shared" si="8"/>
        <v>#N/A</v>
      </c>
      <c r="R120" s="32" t="str">
        <f t="shared" si="9"/>
        <v>#N/A</v>
      </c>
    </row>
    <row r="121">
      <c r="A121" s="7">
        <v>121.0</v>
      </c>
      <c r="B121" s="44" t="s">
        <v>1428</v>
      </c>
      <c r="C121" s="31" t="s">
        <v>253</v>
      </c>
      <c r="D121" s="9">
        <f>IFERROR(__xludf.DUMMYFUNCTION("GOOGLEFINANCE(""NSE:""&amp;C121)"),38.45)</f>
        <v>38.45</v>
      </c>
      <c r="E121" s="10" t="str">
        <f>IFERROR(__xludf.DUMMYFUNCTION("INDEX(GOOGLEFINANCE(""NSE:""&amp;C121,dates!$I$1,dates!$C$3),2,2)"),"#N/A")</f>
        <v>#N/A</v>
      </c>
      <c r="F121" s="10" t="str">
        <f>IFERROR(__xludf.DUMMYFUNCTION("INDEX(GOOGLEFINANCE(""NSE:""&amp;C121,dates!$I$1,dates!$C$2),2,2)"),"#N/A")</f>
        <v>#N/A</v>
      </c>
      <c r="G121" s="10">
        <f>IFERROR(__xludf.DUMMYFUNCTION("INDEX(GOOGLEFINANCE(""NSE:""&amp;C121,dates!$I$1,dates!$C$4),2,2)"),39.75)</f>
        <v>39.75</v>
      </c>
      <c r="H121" s="10">
        <f>IFERROR(__xludf.DUMMYFUNCTION("INDEX(GOOGLEFINANCE(""NSE:""&amp;C121,dates!$I$1,dates!$C$5),2,2)"),37.6)</f>
        <v>37.6</v>
      </c>
      <c r="I121" s="10">
        <f>IFERROR(__xludf.DUMMYFUNCTION("INDEX(GOOGLEFINANCE(""NSE:""&amp;C121,dates!$I$1,dates!$C$6),2,2)"),36.15)</f>
        <v>36.15</v>
      </c>
      <c r="J121" s="16" t="str">
        <f t="shared" si="1"/>
        <v>#N/A</v>
      </c>
      <c r="K121" s="16" t="str">
        <f t="shared" si="2"/>
        <v>#N/A</v>
      </c>
      <c r="L121" s="16" t="str">
        <f t="shared" si="3"/>
        <v>#N/A</v>
      </c>
      <c r="M121" s="16" t="str">
        <f t="shared" si="4"/>
        <v>#N/A</v>
      </c>
      <c r="N121" s="17" t="str">
        <f t="shared" si="5"/>
        <v>#N/A</v>
      </c>
      <c r="O121" s="17" t="str">
        <f t="shared" si="6"/>
        <v>#N/A</v>
      </c>
      <c r="P121" s="17" t="str">
        <f t="shared" si="7"/>
        <v>#N/A</v>
      </c>
      <c r="Q121" s="17" t="str">
        <f t="shared" si="8"/>
        <v>#N/A</v>
      </c>
      <c r="R121" s="32" t="str">
        <f t="shared" si="9"/>
        <v>#N/A</v>
      </c>
    </row>
    <row r="122">
      <c r="A122" s="7">
        <v>122.0</v>
      </c>
      <c r="B122" s="44" t="s">
        <v>1429</v>
      </c>
      <c r="C122" s="31" t="s">
        <v>393</v>
      </c>
      <c r="D122" s="9">
        <f>IFERROR(__xludf.DUMMYFUNCTION("GOOGLEFINANCE(""NSE:""&amp;C122)"),972.2)</f>
        <v>972.2</v>
      </c>
      <c r="E122" s="10" t="str">
        <f>IFERROR(__xludf.DUMMYFUNCTION("INDEX(GOOGLEFINANCE(""NSE:""&amp;C122,dates!$I$1,dates!$C$3),2,2)"),"#N/A")</f>
        <v>#N/A</v>
      </c>
      <c r="F122" s="10" t="str">
        <f>IFERROR(__xludf.DUMMYFUNCTION("INDEX(GOOGLEFINANCE(""NSE:""&amp;C122,dates!$I$1,dates!$C$2),2,2)"),"#N/A")</f>
        <v>#N/A</v>
      </c>
      <c r="G122" s="10">
        <f>IFERROR(__xludf.DUMMYFUNCTION("INDEX(GOOGLEFINANCE(""NSE:""&amp;C122,dates!$I$1,dates!$C$4),2,2)"),1011.5)</f>
        <v>1011.5</v>
      </c>
      <c r="H122" s="10">
        <f>IFERROR(__xludf.DUMMYFUNCTION("INDEX(GOOGLEFINANCE(""NSE:""&amp;C122,dates!$I$1,dates!$C$5),2,2)"),1056.1)</f>
        <v>1056.1</v>
      </c>
      <c r="I122" s="10">
        <f>IFERROR(__xludf.DUMMYFUNCTION("INDEX(GOOGLEFINANCE(""NSE:""&amp;C122,dates!$I$1,dates!$C$6),2,2)"),986.65)</f>
        <v>986.65</v>
      </c>
      <c r="J122" s="16" t="str">
        <f t="shared" si="1"/>
        <v>#N/A</v>
      </c>
      <c r="K122" s="16" t="str">
        <f t="shared" si="2"/>
        <v>#N/A</v>
      </c>
      <c r="L122" s="16" t="str">
        <f t="shared" si="3"/>
        <v>#N/A</v>
      </c>
      <c r="M122" s="16" t="str">
        <f t="shared" si="4"/>
        <v>#N/A</v>
      </c>
      <c r="N122" s="17" t="str">
        <f t="shared" si="5"/>
        <v>#N/A</v>
      </c>
      <c r="O122" s="17" t="str">
        <f t="shared" si="6"/>
        <v>#N/A</v>
      </c>
      <c r="P122" s="17" t="str">
        <f t="shared" si="7"/>
        <v>#N/A</v>
      </c>
      <c r="Q122" s="17" t="str">
        <f t="shared" si="8"/>
        <v>#N/A</v>
      </c>
      <c r="R122" s="32" t="str">
        <f t="shared" si="9"/>
        <v>#N/A</v>
      </c>
    </row>
    <row r="123">
      <c r="A123" s="7">
        <v>123.0</v>
      </c>
      <c r="B123" s="44" t="s">
        <v>1430</v>
      </c>
      <c r="C123" s="31" t="s">
        <v>285</v>
      </c>
      <c r="D123" s="9">
        <f>IFERROR(__xludf.DUMMYFUNCTION("GOOGLEFINANCE(""NSE:""&amp;C123)"),33118.65)</f>
        <v>33118.65</v>
      </c>
      <c r="E123" s="10" t="str">
        <f>IFERROR(__xludf.DUMMYFUNCTION("INDEX(GOOGLEFINANCE(""NSE:""&amp;C123,dates!$I$1,dates!$C$3),2,2)"),"#N/A")</f>
        <v>#N/A</v>
      </c>
      <c r="F123" s="10" t="str">
        <f>IFERROR(__xludf.DUMMYFUNCTION("INDEX(GOOGLEFINANCE(""NSE:""&amp;C123,dates!$I$1,dates!$C$2),2,2)"),"#N/A")</f>
        <v>#N/A</v>
      </c>
      <c r="G123" s="10">
        <f>IFERROR(__xludf.DUMMYFUNCTION("INDEX(GOOGLEFINANCE(""NSE:""&amp;C123,dates!$I$1,dates!$C$4),2,2)"),33121.25)</f>
        <v>33121.25</v>
      </c>
      <c r="H123" s="10">
        <f>IFERROR(__xludf.DUMMYFUNCTION("INDEX(GOOGLEFINANCE(""NSE:""&amp;C123,dates!$I$1,dates!$C$5),2,2)"),32077.75)</f>
        <v>32077.75</v>
      </c>
      <c r="I123" s="10">
        <f>IFERROR(__xludf.DUMMYFUNCTION("INDEX(GOOGLEFINANCE(""NSE:""&amp;C123,dates!$I$1,dates!$C$6),2,2)"),30859.05)</f>
        <v>30859.05</v>
      </c>
      <c r="J123" s="16" t="str">
        <f t="shared" si="1"/>
        <v>#N/A</v>
      </c>
      <c r="K123" s="16" t="str">
        <f t="shared" si="2"/>
        <v>#N/A</v>
      </c>
      <c r="L123" s="16" t="str">
        <f t="shared" si="3"/>
        <v>#N/A</v>
      </c>
      <c r="M123" s="16" t="str">
        <f t="shared" si="4"/>
        <v>#N/A</v>
      </c>
      <c r="N123" s="17" t="str">
        <f t="shared" si="5"/>
        <v>#N/A</v>
      </c>
      <c r="O123" s="17" t="str">
        <f t="shared" si="6"/>
        <v>#N/A</v>
      </c>
      <c r="P123" s="17" t="str">
        <f t="shared" si="7"/>
        <v>#N/A</v>
      </c>
      <c r="Q123" s="17" t="str">
        <f t="shared" si="8"/>
        <v>#N/A</v>
      </c>
      <c r="R123" s="32" t="str">
        <f t="shared" si="9"/>
        <v>#N/A</v>
      </c>
    </row>
    <row r="124">
      <c r="A124" s="7">
        <v>124.0</v>
      </c>
      <c r="B124" s="44" t="s">
        <v>1431</v>
      </c>
      <c r="C124" s="31" t="s">
        <v>208</v>
      </c>
      <c r="D124" s="9">
        <f>IFERROR(__xludf.DUMMYFUNCTION("GOOGLEFINANCE(""NSE:""&amp;C124)"),142.85)</f>
        <v>142.85</v>
      </c>
      <c r="E124" s="10" t="str">
        <f>IFERROR(__xludf.DUMMYFUNCTION("INDEX(GOOGLEFINANCE(""NSE:""&amp;C124,dates!$I$1,dates!$C$3),2,2)"),"#N/A")</f>
        <v>#N/A</v>
      </c>
      <c r="F124" s="10" t="str">
        <f>IFERROR(__xludf.DUMMYFUNCTION("INDEX(GOOGLEFINANCE(""NSE:""&amp;C124,dates!$I$1,dates!$C$2),2,2)"),"#N/A")</f>
        <v>#N/A</v>
      </c>
      <c r="G124" s="10">
        <f>IFERROR(__xludf.DUMMYFUNCTION("INDEX(GOOGLEFINANCE(""NSE:""&amp;C124,dates!$I$1,dates!$C$4),2,2)"),147.4)</f>
        <v>147.4</v>
      </c>
      <c r="H124" s="10">
        <f>IFERROR(__xludf.DUMMYFUNCTION("INDEX(GOOGLEFINANCE(""NSE:""&amp;C124,dates!$I$1,dates!$C$5),2,2)"),151.55)</f>
        <v>151.55</v>
      </c>
      <c r="I124" s="10">
        <f>IFERROR(__xludf.DUMMYFUNCTION("INDEX(GOOGLEFINANCE(""NSE:""&amp;C124,dates!$I$1,dates!$C$6),2,2)"),152.2)</f>
        <v>152.2</v>
      </c>
      <c r="J124" s="16" t="str">
        <f t="shared" si="1"/>
        <v>#N/A</v>
      </c>
      <c r="K124" s="16" t="str">
        <f t="shared" si="2"/>
        <v>#N/A</v>
      </c>
      <c r="L124" s="16" t="str">
        <f t="shared" si="3"/>
        <v>#N/A</v>
      </c>
      <c r="M124" s="16" t="str">
        <f t="shared" si="4"/>
        <v>#N/A</v>
      </c>
      <c r="N124" s="17" t="str">
        <f t="shared" si="5"/>
        <v>#N/A</v>
      </c>
      <c r="O124" s="17" t="str">
        <f t="shared" si="6"/>
        <v>#N/A</v>
      </c>
      <c r="P124" s="17" t="str">
        <f t="shared" si="7"/>
        <v>#N/A</v>
      </c>
      <c r="Q124" s="17" t="str">
        <f t="shared" si="8"/>
        <v>#N/A</v>
      </c>
      <c r="R124" s="32" t="str">
        <f t="shared" si="9"/>
        <v>#N/A</v>
      </c>
    </row>
    <row r="125">
      <c r="A125" s="7">
        <v>125.0</v>
      </c>
      <c r="B125" s="44" t="s">
        <v>1432</v>
      </c>
      <c r="C125" s="31" t="s">
        <v>93</v>
      </c>
      <c r="D125" s="9">
        <f>IFERROR(__xludf.DUMMYFUNCTION("GOOGLEFINANCE(""NSE:""&amp;C125)"),178.2)</f>
        <v>178.2</v>
      </c>
      <c r="E125" s="10" t="str">
        <f>IFERROR(__xludf.DUMMYFUNCTION("INDEX(GOOGLEFINANCE(""NSE:""&amp;C125,dates!$I$1,dates!$C$3),2,2)"),"#N/A")</f>
        <v>#N/A</v>
      </c>
      <c r="F125" s="10" t="str">
        <f>IFERROR(__xludf.DUMMYFUNCTION("INDEX(GOOGLEFINANCE(""NSE:""&amp;C125,dates!$I$1,dates!$C$2),2,2)"),"#N/A")</f>
        <v>#N/A</v>
      </c>
      <c r="G125" s="10">
        <f>IFERROR(__xludf.DUMMYFUNCTION("INDEX(GOOGLEFINANCE(""NSE:""&amp;C125,dates!$I$1,dates!$C$4),2,2)"),178.8)</f>
        <v>178.8</v>
      </c>
      <c r="H125" s="10">
        <f>IFERROR(__xludf.DUMMYFUNCTION("INDEX(GOOGLEFINANCE(""NSE:""&amp;C125,dates!$I$1,dates!$C$5),2,2)"),173.9)</f>
        <v>173.9</v>
      </c>
      <c r="I125" s="10">
        <f>IFERROR(__xludf.DUMMYFUNCTION("INDEX(GOOGLEFINANCE(""NSE:""&amp;C125,dates!$I$1,dates!$C$6),2,2)"),174.35)</f>
        <v>174.35</v>
      </c>
      <c r="J125" s="16" t="str">
        <f t="shared" si="1"/>
        <v>#N/A</v>
      </c>
      <c r="K125" s="16" t="str">
        <f t="shared" si="2"/>
        <v>#N/A</v>
      </c>
      <c r="L125" s="16" t="str">
        <f t="shared" si="3"/>
        <v>#N/A</v>
      </c>
      <c r="M125" s="16" t="str">
        <f t="shared" si="4"/>
        <v>#N/A</v>
      </c>
      <c r="N125" s="17" t="str">
        <f t="shared" si="5"/>
        <v>#N/A</v>
      </c>
      <c r="O125" s="17" t="str">
        <f t="shared" si="6"/>
        <v>#N/A</v>
      </c>
      <c r="P125" s="17" t="str">
        <f t="shared" si="7"/>
        <v>#N/A</v>
      </c>
      <c r="Q125" s="17" t="str">
        <f t="shared" si="8"/>
        <v>#N/A</v>
      </c>
      <c r="R125" s="32" t="str">
        <f t="shared" si="9"/>
        <v>#N/A</v>
      </c>
    </row>
    <row r="126">
      <c r="A126" s="7">
        <v>126.0</v>
      </c>
      <c r="B126" s="44" t="s">
        <v>1433</v>
      </c>
      <c r="C126" s="31" t="s">
        <v>122</v>
      </c>
      <c r="D126" s="9">
        <f>IFERROR(__xludf.DUMMYFUNCTION("GOOGLEFINANCE(""NSE:""&amp;C126)"),29900.0)</f>
        <v>29900</v>
      </c>
      <c r="E126" s="10" t="str">
        <f>IFERROR(__xludf.DUMMYFUNCTION("INDEX(GOOGLEFINANCE(""NSE:""&amp;C126,dates!$I$1,dates!$C$3),2,2)"),"#N/A")</f>
        <v>#N/A</v>
      </c>
      <c r="F126" s="10" t="str">
        <f>IFERROR(__xludf.DUMMYFUNCTION("INDEX(GOOGLEFINANCE(""NSE:""&amp;C126,dates!$I$1,dates!$C$2),2,2)"),"#N/A")</f>
        <v>#N/A</v>
      </c>
      <c r="G126" s="10">
        <f>IFERROR(__xludf.DUMMYFUNCTION("INDEX(GOOGLEFINANCE(""NSE:""&amp;C126,dates!$I$1,dates!$C$4),2,2)"),30559.45)</f>
        <v>30559.45</v>
      </c>
      <c r="H126" s="10">
        <f>IFERROR(__xludf.DUMMYFUNCTION("INDEX(GOOGLEFINANCE(""NSE:""&amp;C126,dates!$I$1,dates!$C$5),2,2)"),30663.35)</f>
        <v>30663.35</v>
      </c>
      <c r="I126" s="10">
        <f>IFERROR(__xludf.DUMMYFUNCTION("INDEX(GOOGLEFINANCE(""NSE:""&amp;C126,dates!$I$1,dates!$C$6),2,2)"),26897.75)</f>
        <v>26897.75</v>
      </c>
      <c r="J126" s="16" t="str">
        <f t="shared" si="1"/>
        <v>#N/A</v>
      </c>
      <c r="K126" s="16" t="str">
        <f t="shared" si="2"/>
        <v>#N/A</v>
      </c>
      <c r="L126" s="16" t="str">
        <f t="shared" si="3"/>
        <v>#N/A</v>
      </c>
      <c r="M126" s="16" t="str">
        <f t="shared" si="4"/>
        <v>#N/A</v>
      </c>
      <c r="N126" s="17" t="str">
        <f t="shared" si="5"/>
        <v>#N/A</v>
      </c>
      <c r="O126" s="17" t="str">
        <f t="shared" si="6"/>
        <v>#N/A</v>
      </c>
      <c r="P126" s="17" t="str">
        <f t="shared" si="7"/>
        <v>#N/A</v>
      </c>
      <c r="Q126" s="17" t="str">
        <f t="shared" si="8"/>
        <v>#N/A</v>
      </c>
      <c r="R126" s="32" t="str">
        <f t="shared" si="9"/>
        <v>#N/A</v>
      </c>
    </row>
    <row r="127">
      <c r="A127" s="7">
        <v>127.0</v>
      </c>
      <c r="B127" s="44" t="s">
        <v>1434</v>
      </c>
      <c r="C127" s="31" t="s">
        <v>257</v>
      </c>
      <c r="D127" s="9">
        <f>IFERROR(__xludf.DUMMYFUNCTION("GOOGLEFINANCE(""NSE:""&amp;C127)"),1107.0)</f>
        <v>1107</v>
      </c>
      <c r="E127" s="10" t="str">
        <f>IFERROR(__xludf.DUMMYFUNCTION("INDEX(GOOGLEFINANCE(""NSE:""&amp;C127,dates!$I$1,dates!$C$3),2,2)"),"#N/A")</f>
        <v>#N/A</v>
      </c>
      <c r="F127" s="10" t="str">
        <f>IFERROR(__xludf.DUMMYFUNCTION("INDEX(GOOGLEFINANCE(""NSE:""&amp;C127,dates!$I$1,dates!$C$2),2,2)"),"#N/A")</f>
        <v>#N/A</v>
      </c>
      <c r="G127" s="10">
        <f>IFERROR(__xludf.DUMMYFUNCTION("INDEX(GOOGLEFINANCE(""NSE:""&amp;C127,dates!$I$1,dates!$C$4),2,2)"),1116.4)</f>
        <v>1116.4</v>
      </c>
      <c r="H127" s="10">
        <f>IFERROR(__xludf.DUMMYFUNCTION("INDEX(GOOGLEFINANCE(""NSE:""&amp;C127,dates!$I$1,dates!$C$5),2,2)"),1150.4)</f>
        <v>1150.4</v>
      </c>
      <c r="I127" s="10">
        <f>IFERROR(__xludf.DUMMYFUNCTION("INDEX(GOOGLEFINANCE(""NSE:""&amp;C127,dates!$I$1,dates!$C$6),2,2)"),1285.5)</f>
        <v>1285.5</v>
      </c>
      <c r="J127" s="16" t="str">
        <f t="shared" si="1"/>
        <v>#N/A</v>
      </c>
      <c r="K127" s="16" t="str">
        <f t="shared" si="2"/>
        <v>#N/A</v>
      </c>
      <c r="L127" s="16" t="str">
        <f t="shared" si="3"/>
        <v>#N/A</v>
      </c>
      <c r="M127" s="16" t="str">
        <f t="shared" si="4"/>
        <v>#N/A</v>
      </c>
      <c r="N127" s="17" t="str">
        <f t="shared" si="5"/>
        <v>#N/A</v>
      </c>
      <c r="O127" s="17" t="str">
        <f t="shared" si="6"/>
        <v>#N/A</v>
      </c>
      <c r="P127" s="17" t="str">
        <f t="shared" si="7"/>
        <v>#N/A</v>
      </c>
      <c r="Q127" s="17" t="str">
        <f t="shared" si="8"/>
        <v>#N/A</v>
      </c>
      <c r="R127" s="32" t="str">
        <f t="shared" si="9"/>
        <v>#N/A</v>
      </c>
    </row>
    <row r="128">
      <c r="A128" s="7">
        <v>128.0</v>
      </c>
      <c r="B128" s="44" t="s">
        <v>1435</v>
      </c>
      <c r="C128" s="31" t="s">
        <v>75</v>
      </c>
      <c r="D128" s="9">
        <f>IFERROR(__xludf.DUMMYFUNCTION("GOOGLEFINANCE(""NSE:""&amp;C128)"),674.3)</f>
        <v>674.3</v>
      </c>
      <c r="E128" s="10" t="str">
        <f>IFERROR(__xludf.DUMMYFUNCTION("INDEX(GOOGLEFINANCE(""NSE:""&amp;C128,dates!$I$1,dates!$C$3),2,2)"),"#N/A")</f>
        <v>#N/A</v>
      </c>
      <c r="F128" s="10" t="str">
        <f>IFERROR(__xludf.DUMMYFUNCTION("INDEX(GOOGLEFINANCE(""NSE:""&amp;C128,dates!$I$1,dates!$C$2),2,2)"),"#N/A")</f>
        <v>#N/A</v>
      </c>
      <c r="G128" s="10">
        <f>IFERROR(__xludf.DUMMYFUNCTION("INDEX(GOOGLEFINANCE(""NSE:""&amp;C128,dates!$I$1,dates!$C$4),2,2)"),682.3)</f>
        <v>682.3</v>
      </c>
      <c r="H128" s="10">
        <f>IFERROR(__xludf.DUMMYFUNCTION("INDEX(GOOGLEFINANCE(""NSE:""&amp;C128,dates!$I$1,dates!$C$5),2,2)"),694.4)</f>
        <v>694.4</v>
      </c>
      <c r="I128" s="10">
        <f>IFERROR(__xludf.DUMMYFUNCTION("INDEX(GOOGLEFINANCE(""NSE:""&amp;C128,dates!$I$1,dates!$C$6),2,2)"),677.5)</f>
        <v>677.5</v>
      </c>
      <c r="J128" s="16" t="str">
        <f t="shared" si="1"/>
        <v>#N/A</v>
      </c>
      <c r="K128" s="16" t="str">
        <f t="shared" si="2"/>
        <v>#N/A</v>
      </c>
      <c r="L128" s="16" t="str">
        <f t="shared" si="3"/>
        <v>#N/A</v>
      </c>
      <c r="M128" s="16" t="str">
        <f t="shared" si="4"/>
        <v>#N/A</v>
      </c>
      <c r="N128" s="17" t="str">
        <f t="shared" si="5"/>
        <v>#N/A</v>
      </c>
      <c r="O128" s="17" t="str">
        <f t="shared" si="6"/>
        <v>#N/A</v>
      </c>
      <c r="P128" s="17" t="str">
        <f t="shared" si="7"/>
        <v>#N/A</v>
      </c>
      <c r="Q128" s="17" t="str">
        <f t="shared" si="8"/>
        <v>#N/A</v>
      </c>
      <c r="R128" s="32" t="str">
        <f t="shared" si="9"/>
        <v>#N/A</v>
      </c>
    </row>
    <row r="129">
      <c r="A129" s="7">
        <v>129.0</v>
      </c>
      <c r="B129" s="44" t="s">
        <v>1436</v>
      </c>
      <c r="C129" s="31" t="s">
        <v>385</v>
      </c>
      <c r="D129" s="9">
        <f>IFERROR(__xludf.DUMMYFUNCTION("GOOGLEFINANCE(""NSE:""&amp;C129)"),8586.25)</f>
        <v>8586.25</v>
      </c>
      <c r="E129" s="10" t="str">
        <f>IFERROR(__xludf.DUMMYFUNCTION("INDEX(GOOGLEFINANCE(""NSE:""&amp;C129,dates!$I$1,dates!$C$3),2,2)"),"#N/A")</f>
        <v>#N/A</v>
      </c>
      <c r="F129" s="10" t="str">
        <f>IFERROR(__xludf.DUMMYFUNCTION("INDEX(GOOGLEFINANCE(""NSE:""&amp;C129,dates!$I$1,dates!$C$2),2,2)"),"#N/A")</f>
        <v>#N/A</v>
      </c>
      <c r="G129" s="10">
        <f>IFERROR(__xludf.DUMMYFUNCTION("INDEX(GOOGLEFINANCE(""NSE:""&amp;C129,dates!$I$1,dates!$C$4),2,2)"),8608.75)</f>
        <v>8608.75</v>
      </c>
      <c r="H129" s="10">
        <f>IFERROR(__xludf.DUMMYFUNCTION("INDEX(GOOGLEFINANCE(""NSE:""&amp;C129,dates!$I$1,dates!$C$5),2,2)"),8705.9)</f>
        <v>8705.9</v>
      </c>
      <c r="I129" s="10">
        <f>IFERROR(__xludf.DUMMYFUNCTION("INDEX(GOOGLEFINANCE(""NSE:""&amp;C129,dates!$I$1,dates!$C$6),2,2)"),7143.45)</f>
        <v>7143.45</v>
      </c>
      <c r="J129" s="16" t="str">
        <f t="shared" si="1"/>
        <v>#N/A</v>
      </c>
      <c r="K129" s="16" t="str">
        <f t="shared" si="2"/>
        <v>#N/A</v>
      </c>
      <c r="L129" s="16" t="str">
        <f t="shared" si="3"/>
        <v>#N/A</v>
      </c>
      <c r="M129" s="16" t="str">
        <f t="shared" si="4"/>
        <v>#N/A</v>
      </c>
      <c r="N129" s="17" t="str">
        <f t="shared" si="5"/>
        <v>#N/A</v>
      </c>
      <c r="O129" s="17" t="str">
        <f t="shared" si="6"/>
        <v>#N/A</v>
      </c>
      <c r="P129" s="17" t="str">
        <f t="shared" si="7"/>
        <v>#N/A</v>
      </c>
      <c r="Q129" s="17" t="str">
        <f t="shared" si="8"/>
        <v>#N/A</v>
      </c>
      <c r="R129" s="32" t="str">
        <f t="shared" si="9"/>
        <v>#N/A</v>
      </c>
    </row>
    <row r="130">
      <c r="A130" s="7">
        <v>130.0</v>
      </c>
      <c r="B130" s="44" t="s">
        <v>1437</v>
      </c>
      <c r="C130" s="31" t="s">
        <v>436</v>
      </c>
      <c r="D130" s="9">
        <f>IFERROR(__xludf.DUMMYFUNCTION("GOOGLEFINANCE(""NSE:""&amp;C130)"),529.25)</f>
        <v>529.25</v>
      </c>
      <c r="E130" s="10" t="str">
        <f>IFERROR(__xludf.DUMMYFUNCTION("INDEX(GOOGLEFINANCE(""NSE:""&amp;C130,dates!$I$1,dates!$C$3),2,2)"),"#N/A")</f>
        <v>#N/A</v>
      </c>
      <c r="F130" s="10" t="str">
        <f>IFERROR(__xludf.DUMMYFUNCTION("INDEX(GOOGLEFINANCE(""NSE:""&amp;C130,dates!$I$1,dates!$C$2),2,2)"),"#N/A")</f>
        <v>#N/A</v>
      </c>
      <c r="G130" s="10">
        <f>IFERROR(__xludf.DUMMYFUNCTION("INDEX(GOOGLEFINANCE(""NSE:""&amp;C130,dates!$I$1,dates!$C$4),2,2)"),493.15)</f>
        <v>493.15</v>
      </c>
      <c r="H130" s="10">
        <f>IFERROR(__xludf.DUMMYFUNCTION("INDEX(GOOGLEFINANCE(""NSE:""&amp;C130,dates!$I$1,dates!$C$5),2,2)"),488.65)</f>
        <v>488.65</v>
      </c>
      <c r="I130" s="10">
        <f>IFERROR(__xludf.DUMMYFUNCTION("INDEX(GOOGLEFINANCE(""NSE:""&amp;C130,dates!$I$1,dates!$C$6),2,2)"),482.65)</f>
        <v>482.65</v>
      </c>
      <c r="J130" s="16" t="str">
        <f t="shared" si="1"/>
        <v>#N/A</v>
      </c>
      <c r="K130" s="16" t="str">
        <f t="shared" si="2"/>
        <v>#N/A</v>
      </c>
      <c r="L130" s="16" t="str">
        <f t="shared" si="3"/>
        <v>#N/A</v>
      </c>
      <c r="M130" s="16" t="str">
        <f t="shared" si="4"/>
        <v>#N/A</v>
      </c>
      <c r="N130" s="17" t="str">
        <f t="shared" si="5"/>
        <v>#N/A</v>
      </c>
      <c r="O130" s="17" t="str">
        <f t="shared" si="6"/>
        <v>#N/A</v>
      </c>
      <c r="P130" s="17" t="str">
        <f t="shared" si="7"/>
        <v>#N/A</v>
      </c>
      <c r="Q130" s="17" t="str">
        <f t="shared" si="8"/>
        <v>#N/A</v>
      </c>
      <c r="R130" s="32" t="str">
        <f t="shared" si="9"/>
        <v>#N/A</v>
      </c>
    </row>
    <row r="131">
      <c r="A131" s="7">
        <v>131.0</v>
      </c>
      <c r="B131" s="44" t="s">
        <v>1438</v>
      </c>
      <c r="C131" s="31" t="s">
        <v>85</v>
      </c>
      <c r="D131" s="9">
        <f>IFERROR(__xludf.DUMMYFUNCTION("GOOGLEFINANCE(""NSE:""&amp;C131)"),725.15)</f>
        <v>725.15</v>
      </c>
      <c r="E131" s="10" t="str">
        <f>IFERROR(__xludf.DUMMYFUNCTION("INDEX(GOOGLEFINANCE(""NSE:""&amp;C131,dates!$I$1,dates!$C$3),2,2)"),"#N/A")</f>
        <v>#N/A</v>
      </c>
      <c r="F131" s="10" t="str">
        <f>IFERROR(__xludf.DUMMYFUNCTION("INDEX(GOOGLEFINANCE(""NSE:""&amp;C131,dates!$I$1,dates!$C$2),2,2)"),"#N/A")</f>
        <v>#N/A</v>
      </c>
      <c r="G131" s="10">
        <f>IFERROR(__xludf.DUMMYFUNCTION("INDEX(GOOGLEFINANCE(""NSE:""&amp;C131,dates!$I$1,dates!$C$4),2,2)"),747.75)</f>
        <v>747.75</v>
      </c>
      <c r="H131" s="10">
        <f>IFERROR(__xludf.DUMMYFUNCTION("INDEX(GOOGLEFINANCE(""NSE:""&amp;C131,dates!$I$1,dates!$C$5),2,2)"),734.9)</f>
        <v>734.9</v>
      </c>
      <c r="I131" s="10">
        <f>IFERROR(__xludf.DUMMYFUNCTION("INDEX(GOOGLEFINANCE(""NSE:""&amp;C131,dates!$I$1,dates!$C$6),2,2)"),704.1)</f>
        <v>704.1</v>
      </c>
      <c r="J131" s="16" t="str">
        <f t="shared" si="1"/>
        <v>#N/A</v>
      </c>
      <c r="K131" s="16" t="str">
        <f t="shared" si="2"/>
        <v>#N/A</v>
      </c>
      <c r="L131" s="16" t="str">
        <f t="shared" si="3"/>
        <v>#N/A</v>
      </c>
      <c r="M131" s="16" t="str">
        <f t="shared" si="4"/>
        <v>#N/A</v>
      </c>
      <c r="N131" s="17" t="str">
        <f t="shared" si="5"/>
        <v>#N/A</v>
      </c>
      <c r="O131" s="17" t="str">
        <f t="shared" si="6"/>
        <v>#N/A</v>
      </c>
      <c r="P131" s="17" t="str">
        <f t="shared" si="7"/>
        <v>#N/A</v>
      </c>
      <c r="Q131" s="17" t="str">
        <f t="shared" si="8"/>
        <v>#N/A</v>
      </c>
      <c r="R131" s="32" t="str">
        <f t="shared" si="9"/>
        <v>#N/A</v>
      </c>
    </row>
    <row r="132">
      <c r="A132" s="7">
        <v>132.0</v>
      </c>
      <c r="B132" s="44" t="s">
        <v>1439</v>
      </c>
      <c r="C132" s="31" t="s">
        <v>420</v>
      </c>
      <c r="D132" s="9">
        <f>IFERROR(__xludf.DUMMYFUNCTION("GOOGLEFINANCE(""NSE:""&amp;C132)"),440.3)</f>
        <v>440.3</v>
      </c>
      <c r="E132" s="10" t="str">
        <f>IFERROR(__xludf.DUMMYFUNCTION("INDEX(GOOGLEFINANCE(""NSE:""&amp;C132,dates!$I$1,dates!$C$3),2,2)"),"#N/A")</f>
        <v>#N/A</v>
      </c>
      <c r="F132" s="10" t="str">
        <f>IFERROR(__xludf.DUMMYFUNCTION("INDEX(GOOGLEFINANCE(""NSE:""&amp;C132,dates!$I$1,dates!$C$2),2,2)"),"#N/A")</f>
        <v>#N/A</v>
      </c>
      <c r="G132" s="10">
        <f>IFERROR(__xludf.DUMMYFUNCTION("INDEX(GOOGLEFINANCE(""NSE:""&amp;C132,dates!$I$1,dates!$C$4),2,2)"),417.75)</f>
        <v>417.75</v>
      </c>
      <c r="H132" s="10">
        <f>IFERROR(__xludf.DUMMYFUNCTION("INDEX(GOOGLEFINANCE(""NSE:""&amp;C132,dates!$I$1,dates!$C$5),2,2)"),419.55)</f>
        <v>419.55</v>
      </c>
      <c r="I132" s="10">
        <f>IFERROR(__xludf.DUMMYFUNCTION("INDEX(GOOGLEFINANCE(""NSE:""&amp;C132,dates!$I$1,dates!$C$6),2,2)"),387.75)</f>
        <v>387.75</v>
      </c>
      <c r="J132" s="16" t="str">
        <f t="shared" si="1"/>
        <v>#N/A</v>
      </c>
      <c r="K132" s="16" t="str">
        <f t="shared" si="2"/>
        <v>#N/A</v>
      </c>
      <c r="L132" s="16" t="str">
        <f t="shared" si="3"/>
        <v>#N/A</v>
      </c>
      <c r="M132" s="16" t="str">
        <f t="shared" si="4"/>
        <v>#N/A</v>
      </c>
      <c r="N132" s="17" t="str">
        <f t="shared" si="5"/>
        <v>#N/A</v>
      </c>
      <c r="O132" s="17" t="str">
        <f t="shared" si="6"/>
        <v>#N/A</v>
      </c>
      <c r="P132" s="17" t="str">
        <f t="shared" si="7"/>
        <v>#N/A</v>
      </c>
      <c r="Q132" s="17" t="str">
        <f t="shared" si="8"/>
        <v>#N/A</v>
      </c>
      <c r="R132" s="32" t="str">
        <f t="shared" si="9"/>
        <v>#N/A</v>
      </c>
    </row>
    <row r="133">
      <c r="A133" s="7">
        <v>133.0</v>
      </c>
      <c r="B133" s="44" t="s">
        <v>1440</v>
      </c>
      <c r="C133" s="31" t="s">
        <v>728</v>
      </c>
      <c r="D133" s="9">
        <f>IFERROR(__xludf.DUMMYFUNCTION("GOOGLEFINANCE(""NSE:""&amp;C133)"),236.6)</f>
        <v>236.6</v>
      </c>
      <c r="E133" s="10" t="str">
        <f>IFERROR(__xludf.DUMMYFUNCTION("INDEX(GOOGLEFINANCE(""NSE:""&amp;C133,dates!$I$1,dates!$C$3),2,2)"),"#N/A")</f>
        <v>#N/A</v>
      </c>
      <c r="F133" s="10" t="str">
        <f>IFERROR(__xludf.DUMMYFUNCTION("INDEX(GOOGLEFINANCE(""NSE:""&amp;C133,dates!$I$1,dates!$C$2),2,2)"),"#N/A")</f>
        <v>#N/A</v>
      </c>
      <c r="G133" s="10">
        <f>IFERROR(__xludf.DUMMYFUNCTION("INDEX(GOOGLEFINANCE(""NSE:""&amp;C133,dates!$I$1,dates!$C$4),2,2)"),223.6)</f>
        <v>223.6</v>
      </c>
      <c r="H133" s="10">
        <f>IFERROR(__xludf.DUMMYFUNCTION("INDEX(GOOGLEFINANCE(""NSE:""&amp;C133,dates!$I$1,dates!$C$5),2,2)"),214.9)</f>
        <v>214.9</v>
      </c>
      <c r="I133" s="10">
        <f>IFERROR(__xludf.DUMMYFUNCTION("INDEX(GOOGLEFINANCE(""NSE:""&amp;C133,dates!$I$1,dates!$C$6),2,2)"),208.95)</f>
        <v>208.95</v>
      </c>
      <c r="J133" s="16" t="str">
        <f t="shared" si="1"/>
        <v>#N/A</v>
      </c>
      <c r="K133" s="16" t="str">
        <f t="shared" si="2"/>
        <v>#N/A</v>
      </c>
      <c r="L133" s="16" t="str">
        <f t="shared" si="3"/>
        <v>#N/A</v>
      </c>
      <c r="M133" s="16" t="str">
        <f t="shared" si="4"/>
        <v>#N/A</v>
      </c>
      <c r="N133" s="17" t="str">
        <f t="shared" si="5"/>
        <v>#N/A</v>
      </c>
      <c r="O133" s="17" t="str">
        <f t="shared" si="6"/>
        <v>#N/A</v>
      </c>
      <c r="P133" s="17" t="str">
        <f t="shared" si="7"/>
        <v>#N/A</v>
      </c>
      <c r="Q133" s="17" t="str">
        <f t="shared" si="8"/>
        <v>#N/A</v>
      </c>
      <c r="R133" s="32" t="str">
        <f t="shared" si="9"/>
        <v>#N/A</v>
      </c>
    </row>
    <row r="134">
      <c r="A134" s="7">
        <v>134.0</v>
      </c>
      <c r="B134" s="44" t="s">
        <v>1441</v>
      </c>
      <c r="C134" s="31" t="s">
        <v>726</v>
      </c>
      <c r="D134" s="9">
        <f>IFERROR(__xludf.DUMMYFUNCTION("GOOGLEFINANCE(""NSE:""&amp;C134)"),181.7)</f>
        <v>181.7</v>
      </c>
      <c r="E134" s="10" t="str">
        <f>IFERROR(__xludf.DUMMYFUNCTION("INDEX(GOOGLEFINANCE(""NSE:""&amp;C134,dates!$I$1,dates!$C$3),2,2)"),"#N/A")</f>
        <v>#N/A</v>
      </c>
      <c r="F134" s="10" t="str">
        <f>IFERROR(__xludf.DUMMYFUNCTION("INDEX(GOOGLEFINANCE(""NSE:""&amp;C134,dates!$I$1,dates!$C$2),2,2)"),"#N/A")</f>
        <v>#N/A</v>
      </c>
      <c r="G134" s="10">
        <f>IFERROR(__xludf.DUMMYFUNCTION("INDEX(GOOGLEFINANCE(""NSE:""&amp;C134,dates!$I$1,dates!$C$4),2,2)"),184.45)</f>
        <v>184.45</v>
      </c>
      <c r="H134" s="10">
        <f>IFERROR(__xludf.DUMMYFUNCTION("INDEX(GOOGLEFINANCE(""NSE:""&amp;C134,dates!$I$1,dates!$C$5),2,2)"),184.05)</f>
        <v>184.05</v>
      </c>
      <c r="I134" s="10">
        <f>IFERROR(__xludf.DUMMYFUNCTION("INDEX(GOOGLEFINANCE(""NSE:""&amp;C134,dates!$I$1,dates!$C$6),2,2)"),157.6)</f>
        <v>157.6</v>
      </c>
      <c r="J134" s="16" t="str">
        <f t="shared" si="1"/>
        <v>#N/A</v>
      </c>
      <c r="K134" s="16" t="str">
        <f t="shared" si="2"/>
        <v>#N/A</v>
      </c>
      <c r="L134" s="16" t="str">
        <f t="shared" si="3"/>
        <v>#N/A</v>
      </c>
      <c r="M134" s="16" t="str">
        <f t="shared" si="4"/>
        <v>#N/A</v>
      </c>
      <c r="N134" s="17" t="str">
        <f t="shared" si="5"/>
        <v>#N/A</v>
      </c>
      <c r="O134" s="17" t="str">
        <f t="shared" si="6"/>
        <v>#N/A</v>
      </c>
      <c r="P134" s="17" t="str">
        <f t="shared" si="7"/>
        <v>#N/A</v>
      </c>
      <c r="Q134" s="17" t="str">
        <f t="shared" si="8"/>
        <v>#N/A</v>
      </c>
      <c r="R134" s="32" t="str">
        <f t="shared" si="9"/>
        <v>#N/A</v>
      </c>
    </row>
    <row r="135">
      <c r="A135" s="7">
        <v>135.0</v>
      </c>
      <c r="B135" s="44" t="s">
        <v>1442</v>
      </c>
      <c r="C135" s="31" t="s">
        <v>245</v>
      </c>
      <c r="D135" s="9">
        <f>IFERROR(__xludf.DUMMYFUNCTION("GOOGLEFINANCE(""NSE:""&amp;C135)"),15374.0)</f>
        <v>15374</v>
      </c>
      <c r="E135" s="10" t="str">
        <f>IFERROR(__xludf.DUMMYFUNCTION("INDEX(GOOGLEFINANCE(""NSE:""&amp;C135,dates!$I$1,dates!$C$3),2,2)"),"#N/A")</f>
        <v>#N/A</v>
      </c>
      <c r="F135" s="10" t="str">
        <f>IFERROR(__xludf.DUMMYFUNCTION("INDEX(GOOGLEFINANCE(""NSE:""&amp;C135,dates!$I$1,dates!$C$2),2,2)"),"#N/A")</f>
        <v>#N/A</v>
      </c>
      <c r="G135" s="10">
        <f>IFERROR(__xludf.DUMMYFUNCTION("INDEX(GOOGLEFINANCE(""NSE:""&amp;C135,dates!$I$1,dates!$C$4),2,2)"),15076.0)</f>
        <v>15076</v>
      </c>
      <c r="H135" s="10">
        <f>IFERROR(__xludf.DUMMYFUNCTION("INDEX(GOOGLEFINANCE(""NSE:""&amp;C135,dates!$I$1,dates!$C$5),2,2)"),14566.1)</f>
        <v>14566.1</v>
      </c>
      <c r="I135" s="10">
        <f>IFERROR(__xludf.DUMMYFUNCTION("INDEX(GOOGLEFINANCE(""NSE:""&amp;C135,dates!$I$1,dates!$C$6),2,2)"),13642.75)</f>
        <v>13642.75</v>
      </c>
      <c r="J135" s="16" t="str">
        <f t="shared" si="1"/>
        <v>#N/A</v>
      </c>
      <c r="K135" s="16" t="str">
        <f t="shared" si="2"/>
        <v>#N/A</v>
      </c>
      <c r="L135" s="16" t="str">
        <f t="shared" si="3"/>
        <v>#N/A</v>
      </c>
      <c r="M135" s="16" t="str">
        <f t="shared" si="4"/>
        <v>#N/A</v>
      </c>
      <c r="N135" s="17" t="str">
        <f t="shared" si="5"/>
        <v>#N/A</v>
      </c>
      <c r="O135" s="17" t="str">
        <f t="shared" si="6"/>
        <v>#N/A</v>
      </c>
      <c r="P135" s="17" t="str">
        <f t="shared" si="7"/>
        <v>#N/A</v>
      </c>
      <c r="Q135" s="17" t="str">
        <f t="shared" si="8"/>
        <v>#N/A</v>
      </c>
      <c r="R135" s="32" t="str">
        <f t="shared" si="9"/>
        <v>#N/A</v>
      </c>
    </row>
    <row r="136">
      <c r="A136" s="7">
        <v>136.0</v>
      </c>
      <c r="B136" s="44" t="s">
        <v>1443</v>
      </c>
      <c r="C136" s="31" t="s">
        <v>747</v>
      </c>
      <c r="D136" s="9">
        <f>IFERROR(__xludf.DUMMYFUNCTION("GOOGLEFINANCE(""NSE:""&amp;C136)"),1108.85)</f>
        <v>1108.85</v>
      </c>
      <c r="E136" s="10" t="str">
        <f>IFERROR(__xludf.DUMMYFUNCTION("INDEX(GOOGLEFINANCE(""NSE:""&amp;C136,dates!$I$1,dates!$C$3),2,2)"),"#N/A")</f>
        <v>#N/A</v>
      </c>
      <c r="F136" s="10" t="str">
        <f>IFERROR(__xludf.DUMMYFUNCTION("INDEX(GOOGLEFINANCE(""NSE:""&amp;C136,dates!$I$1,dates!$C$2),2,2)"),"#N/A")</f>
        <v>#N/A</v>
      </c>
      <c r="G136" s="10">
        <f>IFERROR(__xludf.DUMMYFUNCTION("INDEX(GOOGLEFINANCE(""NSE:""&amp;C136,dates!$I$1,dates!$C$4),2,2)"),1135.9)</f>
        <v>1135.9</v>
      </c>
      <c r="H136" s="10">
        <f>IFERROR(__xludf.DUMMYFUNCTION("INDEX(GOOGLEFINANCE(""NSE:""&amp;C136,dates!$I$1,dates!$C$5),2,2)"),1181.65)</f>
        <v>1181.65</v>
      </c>
      <c r="I136" s="10">
        <f>IFERROR(__xludf.DUMMYFUNCTION("INDEX(GOOGLEFINANCE(""NSE:""&amp;C136,dates!$I$1,dates!$C$6),2,2)"),1131.9)</f>
        <v>1131.9</v>
      </c>
      <c r="J136" s="16" t="str">
        <f t="shared" si="1"/>
        <v>#N/A</v>
      </c>
      <c r="K136" s="16" t="str">
        <f t="shared" si="2"/>
        <v>#N/A</v>
      </c>
      <c r="L136" s="16" t="str">
        <f t="shared" si="3"/>
        <v>#N/A</v>
      </c>
      <c r="M136" s="16" t="str">
        <f t="shared" si="4"/>
        <v>#N/A</v>
      </c>
      <c r="N136" s="17" t="str">
        <f t="shared" si="5"/>
        <v>#N/A</v>
      </c>
      <c r="O136" s="17" t="str">
        <f t="shared" si="6"/>
        <v>#N/A</v>
      </c>
      <c r="P136" s="17" t="str">
        <f t="shared" si="7"/>
        <v>#N/A</v>
      </c>
      <c r="Q136" s="17" t="str">
        <f t="shared" si="8"/>
        <v>#N/A</v>
      </c>
      <c r="R136" s="32" t="str">
        <f t="shared" si="9"/>
        <v>#N/A</v>
      </c>
    </row>
    <row r="137">
      <c r="A137" s="7">
        <v>137.0</v>
      </c>
      <c r="B137" s="44" t="s">
        <v>1444</v>
      </c>
      <c r="C137" s="31" t="s">
        <v>369</v>
      </c>
      <c r="D137" s="9">
        <f>IFERROR(__xludf.DUMMYFUNCTION("GOOGLEFINANCE(""NSE:""&amp;C137)"),659.05)</f>
        <v>659.05</v>
      </c>
      <c r="E137" s="10" t="str">
        <f>IFERROR(__xludf.DUMMYFUNCTION("INDEX(GOOGLEFINANCE(""NSE:""&amp;C137,dates!$I$1,dates!$C$3),2,2)"),"#N/A")</f>
        <v>#N/A</v>
      </c>
      <c r="F137" s="10" t="str">
        <f>IFERROR(__xludf.DUMMYFUNCTION("INDEX(GOOGLEFINANCE(""NSE:""&amp;C137,dates!$I$1,dates!$C$2),2,2)"),"#N/A")</f>
        <v>#N/A</v>
      </c>
      <c r="G137" s="10">
        <f>IFERROR(__xludf.DUMMYFUNCTION("INDEX(GOOGLEFINANCE(""NSE:""&amp;C137,dates!$I$1,dates!$C$4),2,2)"),646.9)</f>
        <v>646.9</v>
      </c>
      <c r="H137" s="10">
        <f>IFERROR(__xludf.DUMMYFUNCTION("INDEX(GOOGLEFINANCE(""NSE:""&amp;C137,dates!$I$1,dates!$C$5),2,2)"),668.8)</f>
        <v>668.8</v>
      </c>
      <c r="I137" s="10">
        <f>IFERROR(__xludf.DUMMYFUNCTION("INDEX(GOOGLEFINANCE(""NSE:""&amp;C137,dates!$I$1,dates!$C$6),2,2)"),617.75)</f>
        <v>617.75</v>
      </c>
      <c r="J137" s="16" t="str">
        <f t="shared" si="1"/>
        <v>#N/A</v>
      </c>
      <c r="K137" s="16" t="str">
        <f t="shared" si="2"/>
        <v>#N/A</v>
      </c>
      <c r="L137" s="16" t="str">
        <f t="shared" si="3"/>
        <v>#N/A</v>
      </c>
      <c r="M137" s="16" t="str">
        <f t="shared" si="4"/>
        <v>#N/A</v>
      </c>
      <c r="N137" s="17" t="str">
        <f t="shared" si="5"/>
        <v>#N/A</v>
      </c>
      <c r="O137" s="17" t="str">
        <f t="shared" si="6"/>
        <v>#N/A</v>
      </c>
      <c r="P137" s="17" t="str">
        <f t="shared" si="7"/>
        <v>#N/A</v>
      </c>
      <c r="Q137" s="17" t="str">
        <f t="shared" si="8"/>
        <v>#N/A</v>
      </c>
      <c r="R137" s="32" t="str">
        <f t="shared" si="9"/>
        <v>#N/A</v>
      </c>
    </row>
    <row r="138">
      <c r="A138" s="7">
        <v>138.0</v>
      </c>
      <c r="B138" s="44" t="s">
        <v>1445</v>
      </c>
      <c r="C138" s="31" t="s">
        <v>42</v>
      </c>
      <c r="D138" s="9">
        <f>IFERROR(__xludf.DUMMYFUNCTION("GOOGLEFINANCE(""NSE:""&amp;C138)"),2024.05)</f>
        <v>2024.05</v>
      </c>
      <c r="E138" s="10" t="str">
        <f>IFERROR(__xludf.DUMMYFUNCTION("INDEX(GOOGLEFINANCE(""NSE:""&amp;C138,dates!$I$1,dates!$C$3),2,2)"),"#N/A")</f>
        <v>#N/A</v>
      </c>
      <c r="F138" s="10" t="str">
        <f>IFERROR(__xludf.DUMMYFUNCTION("INDEX(GOOGLEFINANCE(""NSE:""&amp;C138,dates!$I$1,dates!$C$2),2,2)"),"#N/A")</f>
        <v>#N/A</v>
      </c>
      <c r="G138" s="10">
        <f>IFERROR(__xludf.DUMMYFUNCTION("INDEX(GOOGLEFINANCE(""NSE:""&amp;C138,dates!$I$1,dates!$C$4),2,2)"),2007.95)</f>
        <v>2007.95</v>
      </c>
      <c r="H138" s="10">
        <f>IFERROR(__xludf.DUMMYFUNCTION("INDEX(GOOGLEFINANCE(""NSE:""&amp;C138,dates!$I$1,dates!$C$5),2,2)"),1840.05)</f>
        <v>1840.05</v>
      </c>
      <c r="I138" s="10">
        <f>IFERROR(__xludf.DUMMYFUNCTION("INDEX(GOOGLEFINANCE(""NSE:""&amp;C138,dates!$I$1,dates!$C$6),2,2)"),1713.55)</f>
        <v>1713.55</v>
      </c>
      <c r="J138" s="16" t="str">
        <f t="shared" si="1"/>
        <v>#N/A</v>
      </c>
      <c r="K138" s="16" t="str">
        <f t="shared" si="2"/>
        <v>#N/A</v>
      </c>
      <c r="L138" s="16" t="str">
        <f t="shared" si="3"/>
        <v>#N/A</v>
      </c>
      <c r="M138" s="16" t="str">
        <f t="shared" si="4"/>
        <v>#N/A</v>
      </c>
      <c r="N138" s="17" t="str">
        <f t="shared" si="5"/>
        <v>#N/A</v>
      </c>
      <c r="O138" s="17" t="str">
        <f t="shared" si="6"/>
        <v>#N/A</v>
      </c>
      <c r="P138" s="17" t="str">
        <f t="shared" si="7"/>
        <v>#N/A</v>
      </c>
      <c r="Q138" s="17" t="str">
        <f t="shared" si="8"/>
        <v>#N/A</v>
      </c>
      <c r="R138" s="32" t="str">
        <f t="shared" si="9"/>
        <v>#N/A</v>
      </c>
    </row>
    <row r="139">
      <c r="A139" s="7">
        <v>139.0</v>
      </c>
      <c r="B139" s="44" t="s">
        <v>1446</v>
      </c>
      <c r="C139" s="31" t="s">
        <v>51</v>
      </c>
      <c r="D139" s="9">
        <f>IFERROR(__xludf.DUMMYFUNCTION("GOOGLEFINANCE(""NSE:""&amp;C139)"),242.35)</f>
        <v>242.35</v>
      </c>
      <c r="E139" s="10" t="str">
        <f>IFERROR(__xludf.DUMMYFUNCTION("INDEX(GOOGLEFINANCE(""NSE:""&amp;C139,dates!$I$1,dates!$C$3),2,2)"),"#N/A")</f>
        <v>#N/A</v>
      </c>
      <c r="F139" s="10" t="str">
        <f>IFERROR(__xludf.DUMMYFUNCTION("INDEX(GOOGLEFINANCE(""NSE:""&amp;C139,dates!$I$1,dates!$C$2),2,2)"),"#N/A")</f>
        <v>#N/A</v>
      </c>
      <c r="G139" s="10">
        <f>IFERROR(__xludf.DUMMYFUNCTION("INDEX(GOOGLEFINANCE(""NSE:""&amp;C139,dates!$I$1,dates!$C$4),2,2)"),231.15)</f>
        <v>231.15</v>
      </c>
      <c r="H139" s="10">
        <f>IFERROR(__xludf.DUMMYFUNCTION("INDEX(GOOGLEFINANCE(""NSE:""&amp;C139,dates!$I$1,dates!$C$5),2,2)"),214.15)</f>
        <v>214.15</v>
      </c>
      <c r="I139" s="10">
        <f>IFERROR(__xludf.DUMMYFUNCTION("INDEX(GOOGLEFINANCE(""NSE:""&amp;C139,dates!$I$1,dates!$C$6),2,2)"),205.9)</f>
        <v>205.9</v>
      </c>
      <c r="J139" s="16" t="str">
        <f t="shared" si="1"/>
        <v>#N/A</v>
      </c>
      <c r="K139" s="16" t="str">
        <f t="shared" si="2"/>
        <v>#N/A</v>
      </c>
      <c r="L139" s="16" t="str">
        <f t="shared" si="3"/>
        <v>#N/A</v>
      </c>
      <c r="M139" s="16" t="str">
        <f t="shared" si="4"/>
        <v>#N/A</v>
      </c>
      <c r="N139" s="17" t="str">
        <f t="shared" si="5"/>
        <v>#N/A</v>
      </c>
      <c r="O139" s="17" t="str">
        <f t="shared" si="6"/>
        <v>#N/A</v>
      </c>
      <c r="P139" s="17" t="str">
        <f t="shared" si="7"/>
        <v>#N/A</v>
      </c>
      <c r="Q139" s="17" t="str">
        <f t="shared" si="8"/>
        <v>#N/A</v>
      </c>
      <c r="R139" s="32" t="str">
        <f t="shared" si="9"/>
        <v>#N/A</v>
      </c>
    </row>
    <row r="140">
      <c r="A140" s="7">
        <v>140.0</v>
      </c>
      <c r="B140" s="44" t="s">
        <v>1447</v>
      </c>
      <c r="C140" s="31" t="s">
        <v>83</v>
      </c>
      <c r="D140" s="9">
        <f>IFERROR(__xludf.DUMMYFUNCTION("GOOGLEFINANCE(""NSE:""&amp;C140)"),754.0)</f>
        <v>754</v>
      </c>
      <c r="E140" s="10" t="str">
        <f>IFERROR(__xludf.DUMMYFUNCTION("INDEX(GOOGLEFINANCE(""NSE:""&amp;C140,dates!$I$1,dates!$C$3),2,2)"),"#N/A")</f>
        <v>#N/A</v>
      </c>
      <c r="F140" s="10" t="str">
        <f>IFERROR(__xludf.DUMMYFUNCTION("INDEX(GOOGLEFINANCE(""NSE:""&amp;C140,dates!$I$1,dates!$C$2),2,2)"),"#N/A")</f>
        <v>#N/A</v>
      </c>
      <c r="G140" s="10">
        <f>IFERROR(__xludf.DUMMYFUNCTION("INDEX(GOOGLEFINANCE(""NSE:""&amp;C140,dates!$I$1,dates!$C$4),2,2)"),767.1)</f>
        <v>767.1</v>
      </c>
      <c r="H140" s="10">
        <f>IFERROR(__xludf.DUMMYFUNCTION("INDEX(GOOGLEFINANCE(""NSE:""&amp;C140,dates!$I$1,dates!$C$5),2,2)"),745.1)</f>
        <v>745.1</v>
      </c>
      <c r="I140" s="10">
        <f>IFERROR(__xludf.DUMMYFUNCTION("INDEX(GOOGLEFINANCE(""NSE:""&amp;C140,dates!$I$1,dates!$C$6),2,2)"),727.0)</f>
        <v>727</v>
      </c>
      <c r="J140" s="16" t="str">
        <f t="shared" si="1"/>
        <v>#N/A</v>
      </c>
      <c r="K140" s="16" t="str">
        <f t="shared" si="2"/>
        <v>#N/A</v>
      </c>
      <c r="L140" s="16" t="str">
        <f t="shared" si="3"/>
        <v>#N/A</v>
      </c>
      <c r="M140" s="16" t="str">
        <f t="shared" si="4"/>
        <v>#N/A</v>
      </c>
      <c r="N140" s="17" t="str">
        <f t="shared" si="5"/>
        <v>#N/A</v>
      </c>
      <c r="O140" s="17" t="str">
        <f t="shared" si="6"/>
        <v>#N/A</v>
      </c>
      <c r="P140" s="17" t="str">
        <f t="shared" si="7"/>
        <v>#N/A</v>
      </c>
      <c r="Q140" s="17" t="str">
        <f t="shared" si="8"/>
        <v>#N/A</v>
      </c>
      <c r="R140" s="32" t="str">
        <f t="shared" si="9"/>
        <v>#N/A</v>
      </c>
    </row>
    <row r="141">
      <c r="A141" s="7">
        <v>141.0</v>
      </c>
      <c r="B141" s="44" t="s">
        <v>1448</v>
      </c>
      <c r="C141" s="31" t="s">
        <v>301</v>
      </c>
      <c r="D141" s="9">
        <f>IFERROR(__xludf.DUMMYFUNCTION("GOOGLEFINANCE(""NSE:""&amp;C141)"),80097.45)</f>
        <v>80097.45</v>
      </c>
      <c r="E141" s="10" t="str">
        <f>IFERROR(__xludf.DUMMYFUNCTION("INDEX(GOOGLEFINANCE(""NSE:""&amp;C141,dates!$I$1,dates!$C$3),2,2)"),"#N/A")</f>
        <v>#N/A</v>
      </c>
      <c r="F141" s="10" t="str">
        <f>IFERROR(__xludf.DUMMYFUNCTION("INDEX(GOOGLEFINANCE(""NSE:""&amp;C141,dates!$I$1,dates!$C$2),2,2)"),"#N/A")</f>
        <v>#N/A</v>
      </c>
      <c r="G141" s="10">
        <f>IFERROR(__xludf.DUMMYFUNCTION("INDEX(GOOGLEFINANCE(""NSE:""&amp;C141,dates!$I$1,dates!$C$4),2,2)"),79397.25)</f>
        <v>79397.25</v>
      </c>
      <c r="H141" s="10">
        <f>IFERROR(__xludf.DUMMYFUNCTION("INDEX(GOOGLEFINANCE(""NSE:""&amp;C141,dates!$I$1,dates!$C$5),2,2)"),80243.6)</f>
        <v>80243.6</v>
      </c>
      <c r="I141" s="10">
        <f>IFERROR(__xludf.DUMMYFUNCTION("INDEX(GOOGLEFINANCE(""NSE:""&amp;C141,dates!$I$1,dates!$C$6),2,2)"),76953.45)</f>
        <v>76953.45</v>
      </c>
      <c r="J141" s="16" t="str">
        <f t="shared" si="1"/>
        <v>#N/A</v>
      </c>
      <c r="K141" s="16" t="str">
        <f t="shared" si="2"/>
        <v>#N/A</v>
      </c>
      <c r="L141" s="16" t="str">
        <f t="shared" si="3"/>
        <v>#N/A</v>
      </c>
      <c r="M141" s="16" t="str">
        <f t="shared" si="4"/>
        <v>#N/A</v>
      </c>
      <c r="N141" s="17" t="str">
        <f t="shared" si="5"/>
        <v>#N/A</v>
      </c>
      <c r="O141" s="17" t="str">
        <f t="shared" si="6"/>
        <v>#N/A</v>
      </c>
      <c r="P141" s="17" t="str">
        <f t="shared" si="7"/>
        <v>#N/A</v>
      </c>
      <c r="Q141" s="17" t="str">
        <f t="shared" si="8"/>
        <v>#N/A</v>
      </c>
      <c r="R141" s="32" t="str">
        <f t="shared" si="9"/>
        <v>#N/A</v>
      </c>
    </row>
    <row r="142">
      <c r="A142" s="7">
        <v>142.0</v>
      </c>
      <c r="B142" s="44" t="s">
        <v>1449</v>
      </c>
      <c r="C142" s="31" t="s">
        <v>373</v>
      </c>
      <c r="D142" s="9">
        <f>IFERROR(__xludf.DUMMYFUNCTION("GOOGLEFINANCE(""NSE:""&amp;C142)"),537.6)</f>
        <v>537.6</v>
      </c>
      <c r="E142" s="10" t="str">
        <f>IFERROR(__xludf.DUMMYFUNCTION("INDEX(GOOGLEFINANCE(""NSE:""&amp;C142,dates!$I$1,dates!$C$3),2,2)"),"#N/A")</f>
        <v>#N/A</v>
      </c>
      <c r="F142" s="10" t="str">
        <f>IFERROR(__xludf.DUMMYFUNCTION("INDEX(GOOGLEFINANCE(""NSE:""&amp;C142,dates!$I$1,dates!$C$2),2,2)"),"#N/A")</f>
        <v>#N/A</v>
      </c>
      <c r="G142" s="10">
        <f>IFERROR(__xludf.DUMMYFUNCTION("INDEX(GOOGLEFINANCE(""NSE:""&amp;C142,dates!$I$1,dates!$C$4),2,2)"),547.1)</f>
        <v>547.1</v>
      </c>
      <c r="H142" s="10">
        <f>IFERROR(__xludf.DUMMYFUNCTION("INDEX(GOOGLEFINANCE(""NSE:""&amp;C142,dates!$I$1,dates!$C$5),2,2)"),545.65)</f>
        <v>545.65</v>
      </c>
      <c r="I142" s="10">
        <f>IFERROR(__xludf.DUMMYFUNCTION("INDEX(GOOGLEFINANCE(""NSE:""&amp;C142,dates!$I$1,dates!$C$6),2,2)"),511.1)</f>
        <v>511.1</v>
      </c>
      <c r="J142" s="16" t="str">
        <f t="shared" si="1"/>
        <v>#N/A</v>
      </c>
      <c r="K142" s="16" t="str">
        <f t="shared" si="2"/>
        <v>#N/A</v>
      </c>
      <c r="L142" s="16" t="str">
        <f t="shared" si="3"/>
        <v>#N/A</v>
      </c>
      <c r="M142" s="16" t="str">
        <f t="shared" si="4"/>
        <v>#N/A</v>
      </c>
      <c r="N142" s="17" t="str">
        <f t="shared" si="5"/>
        <v>#N/A</v>
      </c>
      <c r="O142" s="17" t="str">
        <f t="shared" si="6"/>
        <v>#N/A</v>
      </c>
      <c r="P142" s="17" t="str">
        <f t="shared" si="7"/>
        <v>#N/A</v>
      </c>
      <c r="Q142" s="17" t="str">
        <f t="shared" si="8"/>
        <v>#N/A</v>
      </c>
      <c r="R142" s="32" t="str">
        <f t="shared" si="9"/>
        <v>#N/A</v>
      </c>
    </row>
    <row r="143">
      <c r="A143" s="7">
        <v>143.0</v>
      </c>
      <c r="B143" s="44" t="s">
        <v>1450</v>
      </c>
      <c r="C143" s="31" t="s">
        <v>61</v>
      </c>
      <c r="D143" s="9">
        <f>IFERROR(__xludf.DUMMYFUNCTION("GOOGLEFINANCE(""NSE:""&amp;C143)"),6843.0)</f>
        <v>6843</v>
      </c>
      <c r="E143" s="10" t="str">
        <f>IFERROR(__xludf.DUMMYFUNCTION("INDEX(GOOGLEFINANCE(""NSE:""&amp;C143,dates!$I$1,dates!$C$3),2,2)"),"#N/A")</f>
        <v>#N/A</v>
      </c>
      <c r="F143" s="10" t="str">
        <f>IFERROR(__xludf.DUMMYFUNCTION("INDEX(GOOGLEFINANCE(""NSE:""&amp;C143,dates!$I$1,dates!$C$2),2,2)"),"#N/A")</f>
        <v>#N/A</v>
      </c>
      <c r="G143" s="10">
        <f>IFERROR(__xludf.DUMMYFUNCTION("INDEX(GOOGLEFINANCE(""NSE:""&amp;C143,dates!$I$1,dates!$C$4),2,2)"),7014.45)</f>
        <v>7014.45</v>
      </c>
      <c r="H143" s="10">
        <f>IFERROR(__xludf.DUMMYFUNCTION("INDEX(GOOGLEFINANCE(""NSE:""&amp;C143,dates!$I$1,dates!$C$5),2,2)"),6873.7)</f>
        <v>6873.7</v>
      </c>
      <c r="I143" s="10">
        <f>IFERROR(__xludf.DUMMYFUNCTION("INDEX(GOOGLEFINANCE(""NSE:""&amp;C143,dates!$I$1,dates!$C$6),2,2)"),6624.85)</f>
        <v>6624.85</v>
      </c>
      <c r="J143" s="16" t="str">
        <f t="shared" si="1"/>
        <v>#N/A</v>
      </c>
      <c r="K143" s="16" t="str">
        <f t="shared" si="2"/>
        <v>#N/A</v>
      </c>
      <c r="L143" s="16" t="str">
        <f t="shared" si="3"/>
        <v>#N/A</v>
      </c>
      <c r="M143" s="16" t="str">
        <f t="shared" si="4"/>
        <v>#N/A</v>
      </c>
      <c r="N143" s="17" t="str">
        <f t="shared" si="5"/>
        <v>#N/A</v>
      </c>
      <c r="O143" s="17" t="str">
        <f t="shared" si="6"/>
        <v>#N/A</v>
      </c>
      <c r="P143" s="17" t="str">
        <f t="shared" si="7"/>
        <v>#N/A</v>
      </c>
      <c r="Q143" s="17" t="str">
        <f t="shared" si="8"/>
        <v>#N/A</v>
      </c>
      <c r="R143" s="32" t="str">
        <f t="shared" si="9"/>
        <v>#N/A</v>
      </c>
    </row>
    <row r="144">
      <c r="A144" s="7">
        <v>144.0</v>
      </c>
      <c r="B144" s="44" t="s">
        <v>1451</v>
      </c>
      <c r="C144" s="31" t="s">
        <v>210</v>
      </c>
      <c r="D144" s="9">
        <f>IFERROR(__xludf.DUMMYFUNCTION("GOOGLEFINANCE(""NSE:""&amp;C144)"),585.3)</f>
        <v>585.3</v>
      </c>
      <c r="E144" s="10" t="str">
        <f>IFERROR(__xludf.DUMMYFUNCTION("INDEX(GOOGLEFINANCE(""NSE:""&amp;C144,dates!$I$1,dates!$C$3),2,2)"),"#N/A")</f>
        <v>#N/A</v>
      </c>
      <c r="F144" s="10" t="str">
        <f>IFERROR(__xludf.DUMMYFUNCTION("INDEX(GOOGLEFINANCE(""NSE:""&amp;C144,dates!$I$1,dates!$C$2),2,2)"),"#N/A")</f>
        <v>#N/A</v>
      </c>
      <c r="G144" s="10">
        <f>IFERROR(__xludf.DUMMYFUNCTION("INDEX(GOOGLEFINANCE(""NSE:""&amp;C144,dates!$I$1,dates!$C$4),2,2)"),606.85)</f>
        <v>606.85</v>
      </c>
      <c r="H144" s="10">
        <f>IFERROR(__xludf.DUMMYFUNCTION("INDEX(GOOGLEFINANCE(""NSE:""&amp;C144,dates!$I$1,dates!$C$5),2,2)"),584.4)</f>
        <v>584.4</v>
      </c>
      <c r="I144" s="10">
        <f>IFERROR(__xludf.DUMMYFUNCTION("INDEX(GOOGLEFINANCE(""NSE:""&amp;C144,dates!$I$1,dates!$C$6),2,2)"),524.8)</f>
        <v>524.8</v>
      </c>
      <c r="J144" s="16" t="str">
        <f t="shared" si="1"/>
        <v>#N/A</v>
      </c>
      <c r="K144" s="16" t="str">
        <f t="shared" si="2"/>
        <v>#N/A</v>
      </c>
      <c r="L144" s="16" t="str">
        <f t="shared" si="3"/>
        <v>#N/A</v>
      </c>
      <c r="M144" s="16" t="str">
        <f t="shared" si="4"/>
        <v>#N/A</v>
      </c>
      <c r="N144" s="17" t="str">
        <f t="shared" si="5"/>
        <v>#N/A</v>
      </c>
      <c r="O144" s="17" t="str">
        <f t="shared" si="6"/>
        <v>#N/A</v>
      </c>
      <c r="P144" s="17" t="str">
        <f t="shared" si="7"/>
        <v>#N/A</v>
      </c>
      <c r="Q144" s="17" t="str">
        <f t="shared" si="8"/>
        <v>#N/A</v>
      </c>
      <c r="R144" s="32" t="str">
        <f t="shared" si="9"/>
        <v>#N/A</v>
      </c>
    </row>
    <row r="145">
      <c r="A145" s="7">
        <v>145.0</v>
      </c>
      <c r="B145" s="44" t="s">
        <v>1452</v>
      </c>
      <c r="C145" s="31" t="s">
        <v>151</v>
      </c>
      <c r="D145" s="9">
        <f>IFERROR(__xludf.DUMMYFUNCTION("GOOGLEFINANCE(""NSE:""&amp;C145)"),969.0)</f>
        <v>969</v>
      </c>
      <c r="E145" s="10" t="str">
        <f>IFERROR(__xludf.DUMMYFUNCTION("INDEX(GOOGLEFINANCE(""NSE:""&amp;C145,dates!$I$1,dates!$C$3),2,2)"),"#N/A")</f>
        <v>#N/A</v>
      </c>
      <c r="F145" s="10" t="str">
        <f>IFERROR(__xludf.DUMMYFUNCTION("INDEX(GOOGLEFINANCE(""NSE:""&amp;C145,dates!$I$1,dates!$C$2),2,2)"),"#N/A")</f>
        <v>#N/A</v>
      </c>
      <c r="G145" s="10">
        <f>IFERROR(__xludf.DUMMYFUNCTION("INDEX(GOOGLEFINANCE(""NSE:""&amp;C145,dates!$I$1,dates!$C$4),2,2)"),954.05)</f>
        <v>954.05</v>
      </c>
      <c r="H145" s="10">
        <f>IFERROR(__xludf.DUMMYFUNCTION("INDEX(GOOGLEFINANCE(""NSE:""&amp;C145,dates!$I$1,dates!$C$5),2,2)"),950.45)</f>
        <v>950.45</v>
      </c>
      <c r="I145" s="10">
        <f>IFERROR(__xludf.DUMMYFUNCTION("INDEX(GOOGLEFINANCE(""NSE:""&amp;C145,dates!$I$1,dates!$C$6),2,2)"),923.9)</f>
        <v>923.9</v>
      </c>
      <c r="J145" s="16" t="str">
        <f t="shared" si="1"/>
        <v>#N/A</v>
      </c>
      <c r="K145" s="16" t="str">
        <f t="shared" si="2"/>
        <v>#N/A</v>
      </c>
      <c r="L145" s="16" t="str">
        <f t="shared" si="3"/>
        <v>#N/A</v>
      </c>
      <c r="M145" s="16" t="str">
        <f t="shared" si="4"/>
        <v>#N/A</v>
      </c>
      <c r="N145" s="17" t="str">
        <f t="shared" si="5"/>
        <v>#N/A</v>
      </c>
      <c r="O145" s="17" t="str">
        <f t="shared" si="6"/>
        <v>#N/A</v>
      </c>
      <c r="P145" s="17" t="str">
        <f t="shared" si="7"/>
        <v>#N/A</v>
      </c>
      <c r="Q145" s="17" t="str">
        <f t="shared" si="8"/>
        <v>#N/A</v>
      </c>
      <c r="R145" s="32" t="str">
        <f t="shared" si="9"/>
        <v>#N/A</v>
      </c>
    </row>
    <row r="146">
      <c r="A146" s="7">
        <v>146.0</v>
      </c>
      <c r="B146" s="44" t="s">
        <v>1453</v>
      </c>
      <c r="C146" s="31" t="s">
        <v>110</v>
      </c>
      <c r="D146" s="9">
        <f>IFERROR(__xludf.DUMMYFUNCTION("GOOGLEFINANCE(""NSE:""&amp;C146)"),321.0)</f>
        <v>321</v>
      </c>
      <c r="E146" s="10" t="str">
        <f>IFERROR(__xludf.DUMMYFUNCTION("INDEX(GOOGLEFINANCE(""NSE:""&amp;C146,dates!$I$1,dates!$C$3),2,2)"),"#N/A")</f>
        <v>#N/A</v>
      </c>
      <c r="F146" s="10" t="str">
        <f>IFERROR(__xludf.DUMMYFUNCTION("INDEX(GOOGLEFINANCE(""NSE:""&amp;C146,dates!$I$1,dates!$C$2),2,2)"),"#N/A")</f>
        <v>#N/A</v>
      </c>
      <c r="G146" s="10">
        <f>IFERROR(__xludf.DUMMYFUNCTION("INDEX(GOOGLEFINANCE(""NSE:""&amp;C146,dates!$I$1,dates!$C$4),2,2)"),308.6)</f>
        <v>308.6</v>
      </c>
      <c r="H146" s="10">
        <f>IFERROR(__xludf.DUMMYFUNCTION("INDEX(GOOGLEFINANCE(""NSE:""&amp;C146,dates!$I$1,dates!$C$5),2,2)"),301.2)</f>
        <v>301.2</v>
      </c>
      <c r="I146" s="10">
        <f>IFERROR(__xludf.DUMMYFUNCTION("INDEX(GOOGLEFINANCE(""NSE:""&amp;C146,dates!$I$1,dates!$C$6),2,2)"),285.75)</f>
        <v>285.75</v>
      </c>
      <c r="J146" s="16" t="str">
        <f t="shared" si="1"/>
        <v>#N/A</v>
      </c>
      <c r="K146" s="16" t="str">
        <f t="shared" si="2"/>
        <v>#N/A</v>
      </c>
      <c r="L146" s="16" t="str">
        <f t="shared" si="3"/>
        <v>#N/A</v>
      </c>
      <c r="M146" s="16" t="str">
        <f t="shared" si="4"/>
        <v>#N/A</v>
      </c>
      <c r="N146" s="17" t="str">
        <f t="shared" si="5"/>
        <v>#N/A</v>
      </c>
      <c r="O146" s="17" t="str">
        <f t="shared" si="6"/>
        <v>#N/A</v>
      </c>
      <c r="P146" s="17" t="str">
        <f t="shared" si="7"/>
        <v>#N/A</v>
      </c>
      <c r="Q146" s="17" t="str">
        <f t="shared" si="8"/>
        <v>#N/A</v>
      </c>
      <c r="R146" s="32" t="str">
        <f t="shared" si="9"/>
        <v>#N/A</v>
      </c>
    </row>
    <row r="147">
      <c r="A147" s="7">
        <v>147.0</v>
      </c>
      <c r="B147" s="44" t="s">
        <v>1454</v>
      </c>
      <c r="C147" s="31" t="s">
        <v>106</v>
      </c>
      <c r="D147" s="9">
        <f>IFERROR(__xludf.DUMMYFUNCTION("GOOGLEFINANCE(""NSE:""&amp;C147)"),3795.0)</f>
        <v>3795</v>
      </c>
      <c r="E147" s="10" t="str">
        <f>IFERROR(__xludf.DUMMYFUNCTION("INDEX(GOOGLEFINANCE(""NSE:""&amp;C147,dates!$I$1,dates!$C$3),2,2)"),"#N/A")</f>
        <v>#N/A</v>
      </c>
      <c r="F147" s="10" t="str">
        <f>IFERROR(__xludf.DUMMYFUNCTION("INDEX(GOOGLEFINANCE(""NSE:""&amp;C147,dates!$I$1,dates!$C$2),2,2)"),"#N/A")</f>
        <v>#N/A</v>
      </c>
      <c r="G147" s="10">
        <f>IFERROR(__xludf.DUMMYFUNCTION("INDEX(GOOGLEFINANCE(""NSE:""&amp;C147,dates!$I$1,dates!$C$4),2,2)"),3822.2)</f>
        <v>3822.2</v>
      </c>
      <c r="H147" s="10">
        <f>IFERROR(__xludf.DUMMYFUNCTION("INDEX(GOOGLEFINANCE(""NSE:""&amp;C147,dates!$I$1,dates!$C$5),2,2)"),3699.55)</f>
        <v>3699.55</v>
      </c>
      <c r="I147" s="10">
        <f>IFERROR(__xludf.DUMMYFUNCTION("INDEX(GOOGLEFINANCE(""NSE:""&amp;C147,dates!$I$1,dates!$C$6),2,2)"),3699.45)</f>
        <v>3699.45</v>
      </c>
      <c r="J147" s="16" t="str">
        <f t="shared" si="1"/>
        <v>#N/A</v>
      </c>
      <c r="K147" s="16" t="str">
        <f t="shared" si="2"/>
        <v>#N/A</v>
      </c>
      <c r="L147" s="16" t="str">
        <f t="shared" si="3"/>
        <v>#N/A</v>
      </c>
      <c r="M147" s="16" t="str">
        <f t="shared" si="4"/>
        <v>#N/A</v>
      </c>
      <c r="N147" s="17" t="str">
        <f t="shared" si="5"/>
        <v>#N/A</v>
      </c>
      <c r="O147" s="17" t="str">
        <f t="shared" si="6"/>
        <v>#N/A</v>
      </c>
      <c r="P147" s="17" t="str">
        <f t="shared" si="7"/>
        <v>#N/A</v>
      </c>
      <c r="Q147" s="17" t="str">
        <f t="shared" si="8"/>
        <v>#N/A</v>
      </c>
      <c r="R147" s="32" t="str">
        <f t="shared" si="9"/>
        <v>#N/A</v>
      </c>
    </row>
    <row r="148">
      <c r="A148" s="7">
        <v>148.0</v>
      </c>
      <c r="B148" s="44" t="s">
        <v>1455</v>
      </c>
      <c r="C148" s="31" t="s">
        <v>159</v>
      </c>
      <c r="D148" s="9">
        <f>IFERROR(__xludf.DUMMYFUNCTION("GOOGLEFINANCE(""NSE:""&amp;C148)"),226.8)</f>
        <v>226.8</v>
      </c>
      <c r="E148" s="10" t="str">
        <f>IFERROR(__xludf.DUMMYFUNCTION("INDEX(GOOGLEFINANCE(""NSE:""&amp;C148,dates!$I$1,dates!$C$3),2,2)"),"#N/A")</f>
        <v>#N/A</v>
      </c>
      <c r="F148" s="10" t="str">
        <f>IFERROR(__xludf.DUMMYFUNCTION("INDEX(GOOGLEFINANCE(""NSE:""&amp;C148,dates!$I$1,dates!$C$2),2,2)"),"#N/A")</f>
        <v>#N/A</v>
      </c>
      <c r="G148" s="10">
        <f>IFERROR(__xludf.DUMMYFUNCTION("INDEX(GOOGLEFINANCE(""NSE:""&amp;C148,dates!$I$1,dates!$C$4),2,2)"),223.0)</f>
        <v>223</v>
      </c>
      <c r="H148" s="10">
        <f>IFERROR(__xludf.DUMMYFUNCTION("INDEX(GOOGLEFINANCE(""NSE:""&amp;C148,dates!$I$1,dates!$C$5),2,2)"),213.25)</f>
        <v>213.25</v>
      </c>
      <c r="I148" s="10">
        <f>IFERROR(__xludf.DUMMYFUNCTION("INDEX(GOOGLEFINANCE(""NSE:""&amp;C148,dates!$I$1,dates!$C$6),2,2)"),214.25)</f>
        <v>214.25</v>
      </c>
      <c r="J148" s="16" t="str">
        <f t="shared" si="1"/>
        <v>#N/A</v>
      </c>
      <c r="K148" s="16" t="str">
        <f t="shared" si="2"/>
        <v>#N/A</v>
      </c>
      <c r="L148" s="16" t="str">
        <f t="shared" si="3"/>
        <v>#N/A</v>
      </c>
      <c r="M148" s="16" t="str">
        <f t="shared" si="4"/>
        <v>#N/A</v>
      </c>
      <c r="N148" s="17" t="str">
        <f t="shared" si="5"/>
        <v>#N/A</v>
      </c>
      <c r="O148" s="17" t="str">
        <f t="shared" si="6"/>
        <v>#N/A</v>
      </c>
      <c r="P148" s="17" t="str">
        <f t="shared" si="7"/>
        <v>#N/A</v>
      </c>
      <c r="Q148" s="17" t="str">
        <f t="shared" si="8"/>
        <v>#N/A</v>
      </c>
      <c r="R148" s="32" t="str">
        <f t="shared" si="9"/>
        <v>#N/A</v>
      </c>
    </row>
    <row r="149">
      <c r="A149" s="7">
        <v>149.0</v>
      </c>
      <c r="B149" s="44" t="s">
        <v>1456</v>
      </c>
      <c r="C149" s="31" t="s">
        <v>983</v>
      </c>
      <c r="D149" s="9">
        <f>IFERROR(__xludf.DUMMYFUNCTION("GOOGLEFINANCE(""NSE:""&amp;C149)"),322.0)</f>
        <v>322</v>
      </c>
      <c r="E149" s="10" t="str">
        <f>IFERROR(__xludf.DUMMYFUNCTION("INDEX(GOOGLEFINANCE(""NSE:""&amp;C149,dates!$I$1,dates!$C$3),2,2)"),"#N/A")</f>
        <v>#N/A</v>
      </c>
      <c r="F149" s="10" t="str">
        <f>IFERROR(__xludf.DUMMYFUNCTION("INDEX(GOOGLEFINANCE(""NSE:""&amp;C149,dates!$I$1,dates!$C$2),2,2)"),"#N/A")</f>
        <v>#N/A</v>
      </c>
      <c r="G149" s="10">
        <f>IFERROR(__xludf.DUMMYFUNCTION("INDEX(GOOGLEFINANCE(""NSE:""&amp;C149,dates!$I$1,dates!$C$4),2,2)"),327.85)</f>
        <v>327.85</v>
      </c>
      <c r="H149" s="10">
        <f>IFERROR(__xludf.DUMMYFUNCTION("INDEX(GOOGLEFINANCE(""NSE:""&amp;C149,dates!$I$1,dates!$C$5),2,2)"),323.85)</f>
        <v>323.85</v>
      </c>
      <c r="I149" s="10">
        <f>IFERROR(__xludf.DUMMYFUNCTION("INDEX(GOOGLEFINANCE(""NSE:""&amp;C149,dates!$I$1,dates!$C$6),2,2)"),331.05)</f>
        <v>331.05</v>
      </c>
      <c r="J149" s="16" t="str">
        <f t="shared" si="1"/>
        <v>#N/A</v>
      </c>
      <c r="K149" s="16" t="str">
        <f t="shared" si="2"/>
        <v>#N/A</v>
      </c>
      <c r="L149" s="16" t="str">
        <f t="shared" si="3"/>
        <v>#N/A</v>
      </c>
      <c r="M149" s="16" t="str">
        <f t="shared" si="4"/>
        <v>#N/A</v>
      </c>
      <c r="N149" s="17" t="str">
        <f t="shared" si="5"/>
        <v>#N/A</v>
      </c>
      <c r="O149" s="17" t="str">
        <f t="shared" si="6"/>
        <v>#N/A</v>
      </c>
      <c r="P149" s="17" t="str">
        <f t="shared" si="7"/>
        <v>#N/A</v>
      </c>
      <c r="Q149" s="17" t="str">
        <f t="shared" si="8"/>
        <v>#N/A</v>
      </c>
      <c r="R149" s="32" t="str">
        <f t="shared" si="9"/>
        <v>#N/A</v>
      </c>
    </row>
    <row r="150">
      <c r="A150" s="7">
        <v>150.0</v>
      </c>
      <c r="B150" s="44" t="s">
        <v>1457</v>
      </c>
      <c r="C150" s="31" t="s">
        <v>469</v>
      </c>
      <c r="D150" s="9">
        <f>IFERROR(__xludf.DUMMYFUNCTION("GOOGLEFINANCE(""NSE:""&amp;C150)"),10.55)</f>
        <v>10.55</v>
      </c>
      <c r="E150" s="10" t="str">
        <f>IFERROR(__xludf.DUMMYFUNCTION("INDEX(GOOGLEFINANCE(""NSE:""&amp;C150,dates!$I$1,dates!$C$3),2,2)"),"#N/A")</f>
        <v>#N/A</v>
      </c>
      <c r="F150" s="10" t="str">
        <f>IFERROR(__xludf.DUMMYFUNCTION("INDEX(GOOGLEFINANCE(""NSE:""&amp;C150,dates!$I$1,dates!$C$2),2,2)"),"#N/A")</f>
        <v>#N/A</v>
      </c>
      <c r="G150" s="10">
        <f>IFERROR(__xludf.DUMMYFUNCTION("INDEX(GOOGLEFINANCE(""NSE:""&amp;C150,dates!$I$1,dates!$C$4),2,2)"),11.15)</f>
        <v>11.15</v>
      </c>
      <c r="H150" s="10">
        <f>IFERROR(__xludf.DUMMYFUNCTION("INDEX(GOOGLEFINANCE(""NSE:""&amp;C150,dates!$I$1,dates!$C$5),2,2)"),7.95)</f>
        <v>7.95</v>
      </c>
      <c r="I150" s="10">
        <f>IFERROR(__xludf.DUMMYFUNCTION("INDEX(GOOGLEFINANCE(""NSE:""&amp;C150,dates!$I$1,dates!$C$6),2,2)"),6.0)</f>
        <v>6</v>
      </c>
      <c r="J150" s="16" t="str">
        <f t="shared" si="1"/>
        <v>#N/A</v>
      </c>
      <c r="K150" s="16" t="str">
        <f t="shared" si="2"/>
        <v>#N/A</v>
      </c>
      <c r="L150" s="16" t="str">
        <f t="shared" si="3"/>
        <v>#N/A</v>
      </c>
      <c r="M150" s="16" t="str">
        <f t="shared" si="4"/>
        <v>#N/A</v>
      </c>
      <c r="N150" s="17" t="str">
        <f t="shared" si="5"/>
        <v>#N/A</v>
      </c>
      <c r="O150" s="17" t="str">
        <f t="shared" si="6"/>
        <v>#N/A</v>
      </c>
      <c r="P150" s="17" t="str">
        <f t="shared" si="7"/>
        <v>#N/A</v>
      </c>
      <c r="Q150" s="17" t="str">
        <f t="shared" si="8"/>
        <v>#N/A</v>
      </c>
      <c r="R150" s="32" t="str">
        <f t="shared" si="9"/>
        <v>#N/A</v>
      </c>
    </row>
    <row r="151">
      <c r="A151" s="7">
        <v>151.0</v>
      </c>
      <c r="B151" s="44" t="s">
        <v>1458</v>
      </c>
      <c r="C151" s="31" t="s">
        <v>293</v>
      </c>
      <c r="D151" s="9">
        <f>IFERROR(__xludf.DUMMYFUNCTION("GOOGLEFINANCE(""NSE:""&amp;C151)"),233.5)</f>
        <v>233.5</v>
      </c>
      <c r="E151" s="10" t="str">
        <f>IFERROR(__xludf.DUMMYFUNCTION("INDEX(GOOGLEFINANCE(""NSE:""&amp;C151,dates!$I$1,dates!$C$3),2,2)"),"#N/A")</f>
        <v>#N/A</v>
      </c>
      <c r="F151" s="10" t="str">
        <f>IFERROR(__xludf.DUMMYFUNCTION("INDEX(GOOGLEFINANCE(""NSE:""&amp;C151,dates!$I$1,dates!$C$2),2,2)"),"#N/A")</f>
        <v>#N/A</v>
      </c>
      <c r="G151" s="10">
        <f>IFERROR(__xludf.DUMMYFUNCTION("INDEX(GOOGLEFINANCE(""NSE:""&amp;C151,dates!$I$1,dates!$C$4),2,2)"),232.2)</f>
        <v>232.2</v>
      </c>
      <c r="H151" s="10">
        <f>IFERROR(__xludf.DUMMYFUNCTION("INDEX(GOOGLEFINANCE(""NSE:""&amp;C151,dates!$I$1,dates!$C$5),2,2)"),230.05)</f>
        <v>230.05</v>
      </c>
      <c r="I151" s="10">
        <f>IFERROR(__xludf.DUMMYFUNCTION("INDEX(GOOGLEFINANCE(""NSE:""&amp;C151,dates!$I$1,dates!$C$6),2,2)"),227.85)</f>
        <v>227.85</v>
      </c>
      <c r="J151" s="16" t="str">
        <f t="shared" si="1"/>
        <v>#N/A</v>
      </c>
      <c r="K151" s="16" t="str">
        <f t="shared" si="2"/>
        <v>#N/A</v>
      </c>
      <c r="L151" s="16" t="str">
        <f t="shared" si="3"/>
        <v>#N/A</v>
      </c>
      <c r="M151" s="16" t="str">
        <f t="shared" si="4"/>
        <v>#N/A</v>
      </c>
      <c r="N151" s="17" t="str">
        <f t="shared" si="5"/>
        <v>#N/A</v>
      </c>
      <c r="O151" s="17" t="str">
        <f t="shared" si="6"/>
        <v>#N/A</v>
      </c>
      <c r="P151" s="17" t="str">
        <f t="shared" si="7"/>
        <v>#N/A</v>
      </c>
      <c r="Q151" s="17" t="str">
        <f t="shared" si="8"/>
        <v>#N/A</v>
      </c>
      <c r="R151" s="32" t="str">
        <f t="shared" si="9"/>
        <v>#N/A</v>
      </c>
    </row>
    <row r="152">
      <c r="A152" s="7">
        <v>152.0</v>
      </c>
      <c r="B152" s="44" t="s">
        <v>1459</v>
      </c>
      <c r="C152" s="31" t="s">
        <v>183</v>
      </c>
      <c r="D152" s="9">
        <f>IFERROR(__xludf.DUMMYFUNCTION("GOOGLEFINANCE(""NSE:""&amp;C152)"),2852.0)</f>
        <v>2852</v>
      </c>
      <c r="E152" s="10" t="str">
        <f>IFERROR(__xludf.DUMMYFUNCTION("INDEX(GOOGLEFINANCE(""NSE:""&amp;C152,dates!$I$1,dates!$C$3),2,2)"),"#N/A")</f>
        <v>#N/A</v>
      </c>
      <c r="F152" s="10" t="str">
        <f>IFERROR(__xludf.DUMMYFUNCTION("INDEX(GOOGLEFINANCE(""NSE:""&amp;C152,dates!$I$1,dates!$C$2),2,2)"),"#N/A")</f>
        <v>#N/A</v>
      </c>
      <c r="G152" s="10">
        <f>IFERROR(__xludf.DUMMYFUNCTION("INDEX(GOOGLEFINANCE(""NSE:""&amp;C152,dates!$I$1,dates!$C$4),2,2)"),2932.1)</f>
        <v>2932.1</v>
      </c>
      <c r="H152" s="10">
        <f>IFERROR(__xludf.DUMMYFUNCTION("INDEX(GOOGLEFINANCE(""NSE:""&amp;C152,dates!$I$1,dates!$C$5),2,2)"),2789.8)</f>
        <v>2789.8</v>
      </c>
      <c r="I152" s="10">
        <f>IFERROR(__xludf.DUMMYFUNCTION("INDEX(GOOGLEFINANCE(""NSE:""&amp;C152,dates!$I$1,dates!$C$6),2,2)"),2674.05)</f>
        <v>2674.05</v>
      </c>
      <c r="J152" s="16" t="str">
        <f t="shared" si="1"/>
        <v>#N/A</v>
      </c>
      <c r="K152" s="16" t="str">
        <f t="shared" si="2"/>
        <v>#N/A</v>
      </c>
      <c r="L152" s="16" t="str">
        <f t="shared" si="3"/>
        <v>#N/A</v>
      </c>
      <c r="M152" s="16" t="str">
        <f t="shared" si="4"/>
        <v>#N/A</v>
      </c>
      <c r="N152" s="17" t="str">
        <f t="shared" si="5"/>
        <v>#N/A</v>
      </c>
      <c r="O152" s="17" t="str">
        <f t="shared" si="6"/>
        <v>#N/A</v>
      </c>
      <c r="P152" s="17" t="str">
        <f t="shared" si="7"/>
        <v>#N/A</v>
      </c>
      <c r="Q152" s="17" t="str">
        <f t="shared" si="8"/>
        <v>#N/A</v>
      </c>
      <c r="R152" s="32" t="str">
        <f t="shared" si="9"/>
        <v>#N/A</v>
      </c>
    </row>
    <row r="153">
      <c r="A153" s="7">
        <v>153.0</v>
      </c>
      <c r="B153" s="44" t="s">
        <v>1460</v>
      </c>
      <c r="C153" s="31" t="s">
        <v>180</v>
      </c>
      <c r="D153" s="9">
        <f>IFERROR(__xludf.DUMMYFUNCTION("GOOGLEFINANCE(""NSE:""&amp;C153)"),567.0)</f>
        <v>567</v>
      </c>
      <c r="E153" s="10" t="str">
        <f>IFERROR(__xludf.DUMMYFUNCTION("INDEX(GOOGLEFINANCE(""NSE:""&amp;C153,dates!$I$1,dates!$C$3),2,2)"),"#N/A")</f>
        <v>#N/A</v>
      </c>
      <c r="F153" s="10" t="str">
        <f>IFERROR(__xludf.DUMMYFUNCTION("INDEX(GOOGLEFINANCE(""NSE:""&amp;C153,dates!$I$1,dates!$C$2),2,2)"),"#N/A")</f>
        <v>#N/A</v>
      </c>
      <c r="G153" s="10">
        <f>IFERROR(__xludf.DUMMYFUNCTION("INDEX(GOOGLEFINANCE(""NSE:""&amp;C153,dates!$I$1,dates!$C$4),2,2)"),557.2)</f>
        <v>557.2</v>
      </c>
      <c r="H153" s="10">
        <f>IFERROR(__xludf.DUMMYFUNCTION("INDEX(GOOGLEFINANCE(""NSE:""&amp;C153,dates!$I$1,dates!$C$5),2,2)"),555.55)</f>
        <v>555.55</v>
      </c>
      <c r="I153" s="10">
        <f>IFERROR(__xludf.DUMMYFUNCTION("INDEX(GOOGLEFINANCE(""NSE:""&amp;C153,dates!$I$1,dates!$C$6),2,2)"),550.55)</f>
        <v>550.55</v>
      </c>
      <c r="J153" s="16" t="str">
        <f t="shared" si="1"/>
        <v>#N/A</v>
      </c>
      <c r="K153" s="16" t="str">
        <f t="shared" si="2"/>
        <v>#N/A</v>
      </c>
      <c r="L153" s="16" t="str">
        <f t="shared" si="3"/>
        <v>#N/A</v>
      </c>
      <c r="M153" s="16" t="str">
        <f t="shared" si="4"/>
        <v>#N/A</v>
      </c>
      <c r="N153" s="17" t="str">
        <f t="shared" si="5"/>
        <v>#N/A</v>
      </c>
      <c r="O153" s="17" t="str">
        <f t="shared" si="6"/>
        <v>#N/A</v>
      </c>
      <c r="P153" s="17" t="str">
        <f t="shared" si="7"/>
        <v>#N/A</v>
      </c>
      <c r="Q153" s="17" t="str">
        <f t="shared" si="8"/>
        <v>#N/A</v>
      </c>
      <c r="R153" s="32" t="str">
        <f t="shared" si="9"/>
        <v>#N/A</v>
      </c>
    </row>
    <row r="154">
      <c r="A154" s="7">
        <v>154.0</v>
      </c>
      <c r="B154" s="44" t="s">
        <v>1461</v>
      </c>
      <c r="C154" s="31" t="s">
        <v>277</v>
      </c>
      <c r="D154" s="9">
        <f>IFERROR(__xludf.DUMMYFUNCTION("GOOGLEFINANCE(""NSE:""&amp;C154)"),1383.0)</f>
        <v>1383</v>
      </c>
      <c r="E154" s="10" t="str">
        <f>IFERROR(__xludf.DUMMYFUNCTION("INDEX(GOOGLEFINANCE(""NSE:""&amp;C154,dates!$I$1,dates!$C$3),2,2)"),"#N/A")</f>
        <v>#N/A</v>
      </c>
      <c r="F154" s="10" t="str">
        <f>IFERROR(__xludf.DUMMYFUNCTION("INDEX(GOOGLEFINANCE(""NSE:""&amp;C154,dates!$I$1,dates!$C$2),2,2)"),"#N/A")</f>
        <v>#N/A</v>
      </c>
      <c r="G154" s="10">
        <f>IFERROR(__xludf.DUMMYFUNCTION("INDEX(GOOGLEFINANCE(""NSE:""&amp;C154,dates!$I$1,dates!$C$4),2,2)"),1360.8)</f>
        <v>1360.8</v>
      </c>
      <c r="H154" s="10">
        <f>IFERROR(__xludf.DUMMYFUNCTION("INDEX(GOOGLEFINANCE(""NSE:""&amp;C154,dates!$I$1,dates!$C$5),2,2)"),1341.7)</f>
        <v>1341.7</v>
      </c>
      <c r="I154" s="10">
        <f>IFERROR(__xludf.DUMMYFUNCTION("INDEX(GOOGLEFINANCE(""NSE:""&amp;C154,dates!$I$1,dates!$C$6),2,2)"),1281.4)</f>
        <v>1281.4</v>
      </c>
      <c r="J154" s="16" t="str">
        <f t="shared" si="1"/>
        <v>#N/A</v>
      </c>
      <c r="K154" s="16" t="str">
        <f t="shared" si="2"/>
        <v>#N/A</v>
      </c>
      <c r="L154" s="16" t="str">
        <f t="shared" si="3"/>
        <v>#N/A</v>
      </c>
      <c r="M154" s="16" t="str">
        <f t="shared" si="4"/>
        <v>#N/A</v>
      </c>
      <c r="N154" s="17" t="str">
        <f t="shared" si="5"/>
        <v>#N/A</v>
      </c>
      <c r="O154" s="17" t="str">
        <f t="shared" si="6"/>
        <v>#N/A</v>
      </c>
      <c r="P154" s="17" t="str">
        <f t="shared" si="7"/>
        <v>#N/A</v>
      </c>
      <c r="Q154" s="17" t="str">
        <f t="shared" si="8"/>
        <v>#N/A</v>
      </c>
      <c r="R154" s="32" t="str">
        <f t="shared" si="9"/>
        <v>#N/A</v>
      </c>
    </row>
    <row r="155">
      <c r="A155" s="7">
        <v>155.0</v>
      </c>
      <c r="B155" s="44" t="s">
        <v>1462</v>
      </c>
      <c r="C155" s="31" t="s">
        <v>477</v>
      </c>
      <c r="D155" s="9">
        <f>IFERROR(__xludf.DUMMYFUNCTION("GOOGLEFINANCE(""NSE:""&amp;C155)"),318.95)</f>
        <v>318.95</v>
      </c>
      <c r="E155" s="10" t="str">
        <f>IFERROR(__xludf.DUMMYFUNCTION("INDEX(GOOGLEFINANCE(""NSE:""&amp;C155,dates!$I$1,dates!$C$3),2,2)"),"#N/A")</f>
        <v>#N/A</v>
      </c>
      <c r="F155" s="10" t="str">
        <f>IFERROR(__xludf.DUMMYFUNCTION("INDEX(GOOGLEFINANCE(""NSE:""&amp;C155,dates!$I$1,dates!$C$2),2,2)"),"#N/A")</f>
        <v>#N/A</v>
      </c>
      <c r="G155" s="10">
        <f>IFERROR(__xludf.DUMMYFUNCTION("INDEX(GOOGLEFINANCE(""NSE:""&amp;C155,dates!$I$1,dates!$C$4),2,2)"),255.45)</f>
        <v>255.45</v>
      </c>
      <c r="H155" s="10">
        <f>IFERROR(__xludf.DUMMYFUNCTION("INDEX(GOOGLEFINANCE(""NSE:""&amp;C155,dates!$I$1,dates!$C$5),2,2)"),186.85)</f>
        <v>186.85</v>
      </c>
      <c r="I155" s="10">
        <f>IFERROR(__xludf.DUMMYFUNCTION("INDEX(GOOGLEFINANCE(""NSE:""&amp;C155,dates!$I$1,dates!$C$6),2,2)"),170.75)</f>
        <v>170.75</v>
      </c>
      <c r="J155" s="16" t="str">
        <f t="shared" si="1"/>
        <v>#N/A</v>
      </c>
      <c r="K155" s="16" t="str">
        <f t="shared" si="2"/>
        <v>#N/A</v>
      </c>
      <c r="L155" s="16" t="str">
        <f t="shared" si="3"/>
        <v>#N/A</v>
      </c>
      <c r="M155" s="16" t="str">
        <f t="shared" si="4"/>
        <v>#N/A</v>
      </c>
      <c r="N155" s="17" t="str">
        <f t="shared" si="5"/>
        <v>#N/A</v>
      </c>
      <c r="O155" s="17" t="str">
        <f t="shared" si="6"/>
        <v>#N/A</v>
      </c>
      <c r="P155" s="17" t="str">
        <f t="shared" si="7"/>
        <v>#N/A</v>
      </c>
      <c r="Q155" s="17" t="str">
        <f t="shared" si="8"/>
        <v>#N/A</v>
      </c>
      <c r="R155" s="32" t="str">
        <f t="shared" si="9"/>
        <v>#N/A</v>
      </c>
    </row>
    <row r="156">
      <c r="A156" s="7">
        <v>156.0</v>
      </c>
      <c r="B156" s="44" t="s">
        <v>1463</v>
      </c>
      <c r="C156" s="31" t="s">
        <v>147</v>
      </c>
      <c r="D156" s="9">
        <f>IFERROR(__xludf.DUMMYFUNCTION("GOOGLEFINANCE(""NSE:""&amp;C156)"),4799.95)</f>
        <v>4799.95</v>
      </c>
      <c r="E156" s="10" t="str">
        <f>IFERROR(__xludf.DUMMYFUNCTION("INDEX(GOOGLEFINANCE(""NSE:""&amp;C156,dates!$I$1,dates!$C$3),2,2)"),"#N/A")</f>
        <v>#N/A</v>
      </c>
      <c r="F156" s="10" t="str">
        <f>IFERROR(__xludf.DUMMYFUNCTION("INDEX(GOOGLEFINANCE(""NSE:""&amp;C156,dates!$I$1,dates!$C$2),2,2)"),"#N/A")</f>
        <v>#N/A</v>
      </c>
      <c r="G156" s="10" t="str">
        <f>IFERROR(__xludf.DUMMYFUNCTION("INDEX(GOOGLEFINANCE(""NSE:""&amp;C156,dates!$I$1,dates!$C$4),2,2)"),"#N/A")</f>
        <v>#N/A</v>
      </c>
      <c r="H156" s="10">
        <f>IFERROR(__xludf.DUMMYFUNCTION("INDEX(GOOGLEFINANCE(""NSE:""&amp;C156,dates!$I$1,dates!$C$5),2,2)"),4931.4)</f>
        <v>4931.4</v>
      </c>
      <c r="I156" s="10">
        <f>IFERROR(__xludf.DUMMYFUNCTION("INDEX(GOOGLEFINANCE(""NSE:""&amp;C156,dates!$I$1,dates!$C$6),2,2)"),4600.55)</f>
        <v>4600.55</v>
      </c>
      <c r="J156" s="16" t="str">
        <f t="shared" si="1"/>
        <v>#N/A</v>
      </c>
      <c r="K156" s="16" t="str">
        <f t="shared" si="2"/>
        <v>#N/A</v>
      </c>
      <c r="L156" s="16" t="str">
        <f t="shared" si="3"/>
        <v>#N/A</v>
      </c>
      <c r="M156" s="16" t="str">
        <f t="shared" si="4"/>
        <v>#N/A</v>
      </c>
      <c r="N156" s="17" t="str">
        <f t="shared" si="5"/>
        <v>#N/A</v>
      </c>
      <c r="O156" s="17" t="str">
        <f t="shared" si="6"/>
        <v>#N/A</v>
      </c>
      <c r="P156" s="17" t="str">
        <f t="shared" si="7"/>
        <v>#N/A</v>
      </c>
      <c r="Q156" s="17" t="str">
        <f t="shared" si="8"/>
        <v>#N/A</v>
      </c>
      <c r="R156" s="32" t="str">
        <f t="shared" si="9"/>
        <v>#N/A</v>
      </c>
    </row>
    <row r="157">
      <c r="A157" s="7">
        <v>157.0</v>
      </c>
      <c r="B157" s="44" t="s">
        <v>1464</v>
      </c>
      <c r="C157" s="31" t="s">
        <v>120</v>
      </c>
      <c r="D157" s="9">
        <f>IFERROR(__xludf.DUMMYFUNCTION("GOOGLEFINANCE(""NSE:""&amp;C157)"),758.1)</f>
        <v>758.1</v>
      </c>
      <c r="E157" s="10" t="str">
        <f>IFERROR(__xludf.DUMMYFUNCTION("INDEX(GOOGLEFINANCE(""NSE:""&amp;C157,dates!$I$1,dates!$C$3),2,2)"),"#N/A")</f>
        <v>#N/A</v>
      </c>
      <c r="F157" s="10" t="str">
        <f>IFERROR(__xludf.DUMMYFUNCTION("INDEX(GOOGLEFINANCE(""NSE:""&amp;C157,dates!$I$1,dates!$C$2),2,2)"),"#N/A")</f>
        <v>#N/A</v>
      </c>
      <c r="G157" s="10">
        <f>IFERROR(__xludf.DUMMYFUNCTION("INDEX(GOOGLEFINANCE(""NSE:""&amp;C157,dates!$I$1,dates!$C$4),2,2)"),754.15)</f>
        <v>754.15</v>
      </c>
      <c r="H157" s="10">
        <f>IFERROR(__xludf.DUMMYFUNCTION("INDEX(GOOGLEFINANCE(""NSE:""&amp;C157,dates!$I$1,dates!$C$5),2,2)"),745.55)</f>
        <v>745.55</v>
      </c>
      <c r="I157" s="10">
        <f>IFERROR(__xludf.DUMMYFUNCTION("INDEX(GOOGLEFINANCE(""NSE:""&amp;C157,dates!$I$1,dates!$C$6),2,2)"),775.15)</f>
        <v>775.15</v>
      </c>
      <c r="J157" s="16" t="str">
        <f t="shared" si="1"/>
        <v>#N/A</v>
      </c>
      <c r="K157" s="16" t="str">
        <f t="shared" si="2"/>
        <v>#N/A</v>
      </c>
      <c r="L157" s="16" t="str">
        <f t="shared" si="3"/>
        <v>#N/A</v>
      </c>
      <c r="M157" s="16" t="str">
        <f t="shared" si="4"/>
        <v>#N/A</v>
      </c>
      <c r="N157" s="17" t="str">
        <f t="shared" si="5"/>
        <v>#N/A</v>
      </c>
      <c r="O157" s="17" t="str">
        <f t="shared" si="6"/>
        <v>#N/A</v>
      </c>
      <c r="P157" s="17" t="str">
        <f t="shared" si="7"/>
        <v>#N/A</v>
      </c>
      <c r="Q157" s="17" t="str">
        <f t="shared" si="8"/>
        <v>#N/A</v>
      </c>
      <c r="R157" s="32" t="str">
        <f t="shared" si="9"/>
        <v>#N/A</v>
      </c>
    </row>
    <row r="158">
      <c r="A158" s="7">
        <v>158.0</v>
      </c>
      <c r="B158" s="44" t="s">
        <v>1465</v>
      </c>
      <c r="C158" s="31" t="s">
        <v>749</v>
      </c>
      <c r="D158" s="9">
        <f>IFERROR(__xludf.DUMMYFUNCTION("GOOGLEFINANCE(""NSE:""&amp;C158)"),187.05)</f>
        <v>187.05</v>
      </c>
      <c r="E158" s="10" t="str">
        <f>IFERROR(__xludf.DUMMYFUNCTION("INDEX(GOOGLEFINANCE(""NSE:""&amp;C158,dates!$I$1,dates!$C$3),2,2)"),"#N/A")</f>
        <v>#N/A</v>
      </c>
      <c r="F158" s="10" t="str">
        <f>IFERROR(__xludf.DUMMYFUNCTION("INDEX(GOOGLEFINANCE(""NSE:""&amp;C158,dates!$I$1,dates!$C$2),2,2)"),"#N/A")</f>
        <v>#N/A</v>
      </c>
      <c r="G158" s="10">
        <f>IFERROR(__xludf.DUMMYFUNCTION("INDEX(GOOGLEFINANCE(""NSE:""&amp;C158,dates!$I$1,dates!$C$4),2,2)"),181.0)</f>
        <v>181</v>
      </c>
      <c r="H158" s="10">
        <f>IFERROR(__xludf.DUMMYFUNCTION("INDEX(GOOGLEFINANCE(""NSE:""&amp;C158,dates!$I$1,dates!$C$5),2,2)"),172.25)</f>
        <v>172.25</v>
      </c>
      <c r="I158" s="10">
        <f>IFERROR(__xludf.DUMMYFUNCTION("INDEX(GOOGLEFINANCE(""NSE:""&amp;C158,dates!$I$1,dates!$C$6),2,2)"),162.75)</f>
        <v>162.75</v>
      </c>
      <c r="J158" s="16" t="str">
        <f t="shared" si="1"/>
        <v>#N/A</v>
      </c>
      <c r="K158" s="16" t="str">
        <f t="shared" si="2"/>
        <v>#N/A</v>
      </c>
      <c r="L158" s="16" t="str">
        <f t="shared" si="3"/>
        <v>#N/A</v>
      </c>
      <c r="M158" s="16" t="str">
        <f t="shared" si="4"/>
        <v>#N/A</v>
      </c>
      <c r="N158" s="17" t="str">
        <f t="shared" si="5"/>
        <v>#N/A</v>
      </c>
      <c r="O158" s="17" t="str">
        <f t="shared" si="6"/>
        <v>#N/A</v>
      </c>
      <c r="P158" s="17" t="str">
        <f t="shared" si="7"/>
        <v>#N/A</v>
      </c>
      <c r="Q158" s="17" t="str">
        <f t="shared" si="8"/>
        <v>#N/A</v>
      </c>
      <c r="R158" s="32" t="str">
        <f t="shared" si="9"/>
        <v>#N/A</v>
      </c>
    </row>
    <row r="159">
      <c r="A159" s="7">
        <v>160.0</v>
      </c>
      <c r="B159" s="44" t="s">
        <v>1466</v>
      </c>
      <c r="C159" s="31" t="s">
        <v>411</v>
      </c>
      <c r="D159" s="9">
        <f>IFERROR(__xludf.DUMMYFUNCTION("GOOGLEFINANCE(""NSE:""&amp;C159)"),87.9)</f>
        <v>87.9</v>
      </c>
      <c r="E159" s="10" t="str">
        <f>IFERROR(__xludf.DUMMYFUNCTION("INDEX(GOOGLEFINANCE(""NSE:""&amp;C159,dates!$I$1,dates!$C$3),2,2)"),"#N/A")</f>
        <v>#N/A</v>
      </c>
      <c r="F159" s="10" t="str">
        <f>IFERROR(__xludf.DUMMYFUNCTION("INDEX(GOOGLEFINANCE(""NSE:""&amp;C159,dates!$I$1,dates!$C$2),2,2)"),"#N/A")</f>
        <v>#N/A</v>
      </c>
      <c r="G159" s="10">
        <f>IFERROR(__xludf.DUMMYFUNCTION("INDEX(GOOGLEFINANCE(""NSE:""&amp;C159,dates!$I$1,dates!$C$4),2,2)"),85.5)</f>
        <v>85.5</v>
      </c>
      <c r="H159" s="10">
        <f>IFERROR(__xludf.DUMMYFUNCTION("INDEX(GOOGLEFINANCE(""NSE:""&amp;C159,dates!$I$1,dates!$C$5),2,2)"),85.2)</f>
        <v>85.2</v>
      </c>
      <c r="I159" s="10">
        <f>IFERROR(__xludf.DUMMYFUNCTION("INDEX(GOOGLEFINANCE(""NSE:""&amp;C159,dates!$I$1,dates!$C$6),2,2)"),81.45)</f>
        <v>81.45</v>
      </c>
      <c r="J159" s="16" t="str">
        <f t="shared" si="1"/>
        <v>#N/A</v>
      </c>
      <c r="K159" s="16" t="str">
        <f t="shared" si="2"/>
        <v>#N/A</v>
      </c>
      <c r="L159" s="16" t="str">
        <f t="shared" si="3"/>
        <v>#N/A</v>
      </c>
      <c r="M159" s="16" t="str">
        <f t="shared" si="4"/>
        <v>#N/A</v>
      </c>
      <c r="N159" s="17" t="str">
        <f t="shared" si="5"/>
        <v>#N/A</v>
      </c>
      <c r="O159" s="17" t="str">
        <f t="shared" si="6"/>
        <v>#N/A</v>
      </c>
      <c r="P159" s="17" t="str">
        <f t="shared" si="7"/>
        <v>#N/A</v>
      </c>
      <c r="Q159" s="17" t="str">
        <f t="shared" si="8"/>
        <v>#N/A</v>
      </c>
      <c r="R159" s="32" t="str">
        <f t="shared" si="9"/>
        <v>#N/A</v>
      </c>
    </row>
    <row r="160">
      <c r="A160" s="7">
        <v>161.0</v>
      </c>
      <c r="B160" s="44" t="s">
        <v>1467</v>
      </c>
      <c r="C160" s="31" t="s">
        <v>743</v>
      </c>
      <c r="D160" s="9">
        <f>IFERROR(__xludf.DUMMYFUNCTION("GOOGLEFINANCE(""NSE:""&amp;C160)"),152.7)</f>
        <v>152.7</v>
      </c>
      <c r="E160" s="10" t="str">
        <f>IFERROR(__xludf.DUMMYFUNCTION("INDEX(GOOGLEFINANCE(""NSE:""&amp;C160,dates!$I$1,dates!$C$3),2,2)"),"#N/A")</f>
        <v>#N/A</v>
      </c>
      <c r="F160" s="10" t="str">
        <f>IFERROR(__xludf.DUMMYFUNCTION("INDEX(GOOGLEFINANCE(""NSE:""&amp;C160,dates!$I$1,dates!$C$2),2,2)"),"#N/A")</f>
        <v>#N/A</v>
      </c>
      <c r="G160" s="10">
        <f>IFERROR(__xludf.DUMMYFUNCTION("INDEX(GOOGLEFINANCE(""NSE:""&amp;C160,dates!$I$1,dates!$C$4),2,2)"),153.55)</f>
        <v>153.55</v>
      </c>
      <c r="H160" s="10">
        <f>IFERROR(__xludf.DUMMYFUNCTION("INDEX(GOOGLEFINANCE(""NSE:""&amp;C160,dates!$I$1,dates!$C$5),2,2)"),155.55)</f>
        <v>155.55</v>
      </c>
      <c r="I160" s="10">
        <f>IFERROR(__xludf.DUMMYFUNCTION("INDEX(GOOGLEFINANCE(""NSE:""&amp;C160,dates!$I$1,dates!$C$6),2,2)"),148.3)</f>
        <v>148.3</v>
      </c>
      <c r="J160" s="16" t="str">
        <f t="shared" si="1"/>
        <v>#N/A</v>
      </c>
      <c r="K160" s="16" t="str">
        <f t="shared" si="2"/>
        <v>#N/A</v>
      </c>
      <c r="L160" s="16" t="str">
        <f t="shared" si="3"/>
        <v>#N/A</v>
      </c>
      <c r="M160" s="16" t="str">
        <f t="shared" si="4"/>
        <v>#N/A</v>
      </c>
      <c r="N160" s="17" t="str">
        <f t="shared" si="5"/>
        <v>#N/A</v>
      </c>
      <c r="O160" s="17" t="str">
        <f t="shared" si="6"/>
        <v>#N/A</v>
      </c>
      <c r="P160" s="17" t="str">
        <f t="shared" si="7"/>
        <v>#N/A</v>
      </c>
      <c r="Q160" s="17" t="str">
        <f t="shared" si="8"/>
        <v>#N/A</v>
      </c>
      <c r="R160" s="32" t="str">
        <f t="shared" si="9"/>
        <v>#N/A</v>
      </c>
    </row>
    <row r="161">
      <c r="A161" s="7">
        <v>162.0</v>
      </c>
      <c r="B161" s="44" t="s">
        <v>1468</v>
      </c>
      <c r="C161" s="31" t="s">
        <v>500</v>
      </c>
      <c r="D161" s="9">
        <f>IFERROR(__xludf.DUMMYFUNCTION("GOOGLEFINANCE(""NSE:""&amp;C161)"),512.0)</f>
        <v>512</v>
      </c>
      <c r="E161" s="10" t="str">
        <f>IFERROR(__xludf.DUMMYFUNCTION("INDEX(GOOGLEFINANCE(""NSE:""&amp;C161,dates!$I$1,dates!$C$3),2,2)"),"#N/A")</f>
        <v>#N/A</v>
      </c>
      <c r="F161" s="10" t="str">
        <f>IFERROR(__xludf.DUMMYFUNCTION("INDEX(GOOGLEFINANCE(""NSE:""&amp;C161,dates!$I$1,dates!$C$2),2,2)"),"#N/A")</f>
        <v>#N/A</v>
      </c>
      <c r="G161" s="10">
        <f>IFERROR(__xludf.DUMMYFUNCTION("INDEX(GOOGLEFINANCE(""NSE:""&amp;C161,dates!$I$1,dates!$C$4),2,2)"),518.85)</f>
        <v>518.85</v>
      </c>
      <c r="H161" s="10">
        <f>IFERROR(__xludf.DUMMYFUNCTION("INDEX(GOOGLEFINANCE(""NSE:""&amp;C161,dates!$I$1,dates!$C$5),2,2)"),518.7)</f>
        <v>518.7</v>
      </c>
      <c r="I161" s="10">
        <f>IFERROR(__xludf.DUMMYFUNCTION("INDEX(GOOGLEFINANCE(""NSE:""&amp;C161,dates!$I$1,dates!$C$6),2,2)"),516.6)</f>
        <v>516.6</v>
      </c>
      <c r="J161" s="16" t="str">
        <f t="shared" si="1"/>
        <v>#N/A</v>
      </c>
      <c r="K161" s="16" t="str">
        <f t="shared" si="2"/>
        <v>#N/A</v>
      </c>
      <c r="L161" s="16" t="str">
        <f t="shared" si="3"/>
        <v>#N/A</v>
      </c>
      <c r="M161" s="16" t="str">
        <f t="shared" si="4"/>
        <v>#N/A</v>
      </c>
      <c r="N161" s="17" t="str">
        <f t="shared" si="5"/>
        <v>#N/A</v>
      </c>
      <c r="O161" s="17" t="str">
        <f t="shared" si="6"/>
        <v>#N/A</v>
      </c>
      <c r="P161" s="17" t="str">
        <f t="shared" si="7"/>
        <v>#N/A</v>
      </c>
      <c r="Q161" s="17" t="str">
        <f t="shared" si="8"/>
        <v>#N/A</v>
      </c>
      <c r="R161" s="32" t="str">
        <f t="shared" si="9"/>
        <v>#N/A</v>
      </c>
    </row>
    <row r="162">
      <c r="A162" s="7">
        <v>163.0</v>
      </c>
      <c r="B162" s="44" t="s">
        <v>1469</v>
      </c>
      <c r="C162" s="31" t="s">
        <v>424</v>
      </c>
      <c r="D162" s="9">
        <f>IFERROR(__xludf.DUMMYFUNCTION("GOOGLEFINANCE(""NSE:""&amp;C162)"),184.95)</f>
        <v>184.95</v>
      </c>
      <c r="E162" s="10" t="str">
        <f>IFERROR(__xludf.DUMMYFUNCTION("INDEX(GOOGLEFINANCE(""NSE:""&amp;C162,dates!$I$1,dates!$C$3),2,2)"),"#N/A")</f>
        <v>#N/A</v>
      </c>
      <c r="F162" s="10" t="str">
        <f>IFERROR(__xludf.DUMMYFUNCTION("INDEX(GOOGLEFINANCE(""NSE:""&amp;C162,dates!$I$1,dates!$C$2),2,2)"),"#N/A")</f>
        <v>#N/A</v>
      </c>
      <c r="G162" s="10">
        <f>IFERROR(__xludf.DUMMYFUNCTION("INDEX(GOOGLEFINANCE(""NSE:""&amp;C162,dates!$I$1,dates!$C$4),2,2)"),179.35)</f>
        <v>179.35</v>
      </c>
      <c r="H162" s="10">
        <f>IFERROR(__xludf.DUMMYFUNCTION("INDEX(GOOGLEFINANCE(""NSE:""&amp;C162,dates!$I$1,dates!$C$5),2,2)"),168.55)</f>
        <v>168.55</v>
      </c>
      <c r="I162" s="10">
        <f>IFERROR(__xludf.DUMMYFUNCTION("INDEX(GOOGLEFINANCE(""NSE:""&amp;C162,dates!$I$1,dates!$C$6),2,2)"),155.55)</f>
        <v>155.55</v>
      </c>
      <c r="J162" s="16" t="str">
        <f t="shared" si="1"/>
        <v>#N/A</v>
      </c>
      <c r="K162" s="16" t="str">
        <f t="shared" si="2"/>
        <v>#N/A</v>
      </c>
      <c r="L162" s="16" t="str">
        <f t="shared" si="3"/>
        <v>#N/A</v>
      </c>
      <c r="M162" s="16" t="str">
        <f t="shared" si="4"/>
        <v>#N/A</v>
      </c>
      <c r="N162" s="17" t="str">
        <f t="shared" si="5"/>
        <v>#N/A</v>
      </c>
      <c r="O162" s="17" t="str">
        <f t="shared" si="6"/>
        <v>#N/A</v>
      </c>
      <c r="P162" s="17" t="str">
        <f t="shared" si="7"/>
        <v>#N/A</v>
      </c>
      <c r="Q162" s="17" t="str">
        <f t="shared" si="8"/>
        <v>#N/A</v>
      </c>
      <c r="R162" s="32" t="str">
        <f t="shared" si="9"/>
        <v>#N/A</v>
      </c>
    </row>
    <row r="163">
      <c r="A163" s="7">
        <v>164.0</v>
      </c>
      <c r="B163" s="44" t="s">
        <v>1470</v>
      </c>
      <c r="C163" s="31" t="s">
        <v>345</v>
      </c>
      <c r="D163" s="9">
        <f>IFERROR(__xludf.DUMMYFUNCTION("GOOGLEFINANCE(""NSE:""&amp;C163)"),48.5)</f>
        <v>48.5</v>
      </c>
      <c r="E163" s="10" t="str">
        <f>IFERROR(__xludf.DUMMYFUNCTION("INDEX(GOOGLEFINANCE(""NSE:""&amp;C163,dates!$I$1,dates!$C$3),2,2)"),"#N/A")</f>
        <v>#N/A</v>
      </c>
      <c r="F163" s="10" t="str">
        <f>IFERROR(__xludf.DUMMYFUNCTION("INDEX(GOOGLEFINANCE(""NSE:""&amp;C163,dates!$I$1,dates!$C$2),2,2)"),"#N/A")</f>
        <v>#N/A</v>
      </c>
      <c r="G163" s="10">
        <f>IFERROR(__xludf.DUMMYFUNCTION("INDEX(GOOGLEFINANCE(""NSE:""&amp;C163,dates!$I$1,dates!$C$4),2,2)"),49.15)</f>
        <v>49.15</v>
      </c>
      <c r="H163" s="10">
        <f>IFERROR(__xludf.DUMMYFUNCTION("INDEX(GOOGLEFINANCE(""NSE:""&amp;C163,dates!$I$1,dates!$C$5),2,2)"),46.85)</f>
        <v>46.85</v>
      </c>
      <c r="I163" s="10">
        <f>IFERROR(__xludf.DUMMYFUNCTION("INDEX(GOOGLEFINANCE(""NSE:""&amp;C163,dates!$I$1,dates!$C$6),2,2)"),42.5)</f>
        <v>42.5</v>
      </c>
      <c r="J163" s="16" t="str">
        <f t="shared" si="1"/>
        <v>#N/A</v>
      </c>
      <c r="K163" s="16" t="str">
        <f t="shared" si="2"/>
        <v>#N/A</v>
      </c>
      <c r="L163" s="16" t="str">
        <f t="shared" si="3"/>
        <v>#N/A</v>
      </c>
      <c r="M163" s="16" t="str">
        <f t="shared" si="4"/>
        <v>#N/A</v>
      </c>
      <c r="N163" s="17" t="str">
        <f t="shared" si="5"/>
        <v>#N/A</v>
      </c>
      <c r="O163" s="17" t="str">
        <f t="shared" si="6"/>
        <v>#N/A</v>
      </c>
      <c r="P163" s="17" t="str">
        <f t="shared" si="7"/>
        <v>#N/A</v>
      </c>
      <c r="Q163" s="17" t="str">
        <f t="shared" si="8"/>
        <v>#N/A</v>
      </c>
      <c r="R163" s="32" t="str">
        <f t="shared" si="9"/>
        <v>#N/A</v>
      </c>
    </row>
    <row r="164">
      <c r="A164" s="7">
        <v>165.0</v>
      </c>
      <c r="B164" s="44" t="s">
        <v>1471</v>
      </c>
      <c r="C164" s="31" t="s">
        <v>261</v>
      </c>
      <c r="D164" s="9">
        <f>IFERROR(__xludf.DUMMYFUNCTION("GOOGLEFINANCE(""NSE:""&amp;C164)"),370.55)</f>
        <v>370.55</v>
      </c>
      <c r="E164" s="10" t="str">
        <f>IFERROR(__xludf.DUMMYFUNCTION("INDEX(GOOGLEFINANCE(""NSE:""&amp;C164,dates!$I$1,dates!$C$3),2,2)"),"#N/A")</f>
        <v>#N/A</v>
      </c>
      <c r="F164" s="10" t="str">
        <f>IFERROR(__xludf.DUMMYFUNCTION("INDEX(GOOGLEFINANCE(""NSE:""&amp;C164,dates!$I$1,dates!$C$2),2,2)"),"#N/A")</f>
        <v>#N/A</v>
      </c>
      <c r="G164" s="10">
        <f>IFERROR(__xludf.DUMMYFUNCTION("INDEX(GOOGLEFINANCE(""NSE:""&amp;C164,dates!$I$1,dates!$C$4),2,2)"),386.6)</f>
        <v>386.6</v>
      </c>
      <c r="H164" s="10">
        <f>IFERROR(__xludf.DUMMYFUNCTION("INDEX(GOOGLEFINANCE(""NSE:""&amp;C164,dates!$I$1,dates!$C$5),2,2)"),403.5)</f>
        <v>403.5</v>
      </c>
      <c r="I164" s="10">
        <f>IFERROR(__xludf.DUMMYFUNCTION("INDEX(GOOGLEFINANCE(""NSE:""&amp;C164,dates!$I$1,dates!$C$6),2,2)"),371.5)</f>
        <v>371.5</v>
      </c>
      <c r="J164" s="16" t="str">
        <f t="shared" si="1"/>
        <v>#N/A</v>
      </c>
      <c r="K164" s="16" t="str">
        <f t="shared" si="2"/>
        <v>#N/A</v>
      </c>
      <c r="L164" s="16" t="str">
        <f t="shared" si="3"/>
        <v>#N/A</v>
      </c>
      <c r="M164" s="16" t="str">
        <f t="shared" si="4"/>
        <v>#N/A</v>
      </c>
      <c r="N164" s="17" t="str">
        <f t="shared" si="5"/>
        <v>#N/A</v>
      </c>
      <c r="O164" s="17" t="str">
        <f t="shared" si="6"/>
        <v>#N/A</v>
      </c>
      <c r="P164" s="17" t="str">
        <f t="shared" si="7"/>
        <v>#N/A</v>
      </c>
      <c r="Q164" s="17" t="str">
        <f t="shared" si="8"/>
        <v>#N/A</v>
      </c>
      <c r="R164" s="32" t="str">
        <f t="shared" si="9"/>
        <v>#N/A</v>
      </c>
    </row>
    <row r="165">
      <c r="A165" s="7">
        <v>166.0</v>
      </c>
      <c r="B165" s="44" t="s">
        <v>1472</v>
      </c>
      <c r="C165" s="31" t="s">
        <v>219</v>
      </c>
      <c r="D165" s="9">
        <f>IFERROR(__xludf.DUMMYFUNCTION("GOOGLEFINANCE(""NSE:""&amp;C165)"),938.9)</f>
        <v>938.9</v>
      </c>
      <c r="E165" s="10" t="str">
        <f>IFERROR(__xludf.DUMMYFUNCTION("INDEX(GOOGLEFINANCE(""NSE:""&amp;C165,dates!$I$1,dates!$C$3),2,2)"),"#N/A")</f>
        <v>#N/A</v>
      </c>
      <c r="F165" s="10" t="str">
        <f>IFERROR(__xludf.DUMMYFUNCTION("INDEX(GOOGLEFINANCE(""NSE:""&amp;C165,dates!$I$1,dates!$C$2),2,2)"),"#N/A")</f>
        <v>#N/A</v>
      </c>
      <c r="G165" s="10">
        <f>IFERROR(__xludf.DUMMYFUNCTION("INDEX(GOOGLEFINANCE(""NSE:""&amp;C165,dates!$I$1,dates!$C$4),2,2)"),950.95)</f>
        <v>950.95</v>
      </c>
      <c r="H165" s="10">
        <f>IFERROR(__xludf.DUMMYFUNCTION("INDEX(GOOGLEFINANCE(""NSE:""&amp;C165,dates!$I$1,dates!$C$5),2,2)"),984.1)</f>
        <v>984.1</v>
      </c>
      <c r="I165" s="10">
        <f>IFERROR(__xludf.DUMMYFUNCTION("INDEX(GOOGLEFINANCE(""NSE:""&amp;C165,dates!$I$1,dates!$C$6),2,2)"),940.1)</f>
        <v>940.1</v>
      </c>
      <c r="J165" s="16" t="str">
        <f t="shared" si="1"/>
        <v>#N/A</v>
      </c>
      <c r="K165" s="16" t="str">
        <f t="shared" si="2"/>
        <v>#N/A</v>
      </c>
      <c r="L165" s="16" t="str">
        <f t="shared" si="3"/>
        <v>#N/A</v>
      </c>
      <c r="M165" s="16" t="str">
        <f t="shared" si="4"/>
        <v>#N/A</v>
      </c>
      <c r="N165" s="17" t="str">
        <f t="shared" si="5"/>
        <v>#N/A</v>
      </c>
      <c r="O165" s="17" t="str">
        <f t="shared" si="6"/>
        <v>#N/A</v>
      </c>
      <c r="P165" s="17" t="str">
        <f t="shared" si="7"/>
        <v>#N/A</v>
      </c>
      <c r="Q165" s="17" t="str">
        <f t="shared" si="8"/>
        <v>#N/A</v>
      </c>
      <c r="R165" s="32" t="str">
        <f t="shared" si="9"/>
        <v>#N/A</v>
      </c>
    </row>
    <row r="166">
      <c r="A166" s="7">
        <v>167.0</v>
      </c>
      <c r="B166" s="44" t="s">
        <v>1473</v>
      </c>
      <c r="C166" s="31" t="s">
        <v>207</v>
      </c>
      <c r="D166" s="9">
        <f>IFERROR(__xludf.DUMMYFUNCTION("GOOGLEFINANCE(""NSE:""&amp;C166)"),288.4)</f>
        <v>288.4</v>
      </c>
      <c r="E166" s="10" t="str">
        <f>IFERROR(__xludf.DUMMYFUNCTION("INDEX(GOOGLEFINANCE(""NSE:""&amp;C166,dates!$I$1,dates!$C$3),2,2)"),"#N/A")</f>
        <v>#N/A</v>
      </c>
      <c r="F166" s="10" t="str">
        <f>IFERROR(__xludf.DUMMYFUNCTION("INDEX(GOOGLEFINANCE(""NSE:""&amp;C166,dates!$I$1,dates!$C$2),2,2)"),"#N/A")</f>
        <v>#N/A</v>
      </c>
      <c r="G166" s="10">
        <f>IFERROR(__xludf.DUMMYFUNCTION("INDEX(GOOGLEFINANCE(""NSE:""&amp;C166,dates!$I$1,dates!$C$4),2,2)"),287.25)</f>
        <v>287.25</v>
      </c>
      <c r="H166" s="10">
        <f>IFERROR(__xludf.DUMMYFUNCTION("INDEX(GOOGLEFINANCE(""NSE:""&amp;C166,dates!$I$1,dates!$C$5),2,2)"),283.95)</f>
        <v>283.95</v>
      </c>
      <c r="I166" s="10">
        <f>IFERROR(__xludf.DUMMYFUNCTION("INDEX(GOOGLEFINANCE(""NSE:""&amp;C166,dates!$I$1,dates!$C$6),2,2)"),276.1)</f>
        <v>276.1</v>
      </c>
      <c r="J166" s="16" t="str">
        <f t="shared" si="1"/>
        <v>#N/A</v>
      </c>
      <c r="K166" s="16" t="str">
        <f t="shared" si="2"/>
        <v>#N/A</v>
      </c>
      <c r="L166" s="16" t="str">
        <f t="shared" si="3"/>
        <v>#N/A</v>
      </c>
      <c r="M166" s="16" t="str">
        <f t="shared" si="4"/>
        <v>#N/A</v>
      </c>
      <c r="N166" s="17" t="str">
        <f t="shared" si="5"/>
        <v>#N/A</v>
      </c>
      <c r="O166" s="17" t="str">
        <f t="shared" si="6"/>
        <v>#N/A</v>
      </c>
      <c r="P166" s="17" t="str">
        <f t="shared" si="7"/>
        <v>#N/A</v>
      </c>
      <c r="Q166" s="17" t="str">
        <f t="shared" si="8"/>
        <v>#N/A</v>
      </c>
      <c r="R166" s="32" t="str">
        <f t="shared" si="9"/>
        <v>#N/A</v>
      </c>
    </row>
    <row r="167">
      <c r="A167" s="7">
        <v>168.0</v>
      </c>
      <c r="B167" s="44" t="s">
        <v>1474</v>
      </c>
      <c r="C167" s="31" t="s">
        <v>735</v>
      </c>
      <c r="D167" s="9">
        <f>IFERROR(__xludf.DUMMYFUNCTION("GOOGLEFINANCE(""NSE:""&amp;C167)"),734.6)</f>
        <v>734.6</v>
      </c>
      <c r="E167" s="10" t="str">
        <f>IFERROR(__xludf.DUMMYFUNCTION("INDEX(GOOGLEFINANCE(""NSE:""&amp;C167,dates!$I$1,dates!$C$3),2,2)"),"#N/A")</f>
        <v>#N/A</v>
      </c>
      <c r="F167" s="10" t="str">
        <f>IFERROR(__xludf.DUMMYFUNCTION("INDEX(GOOGLEFINANCE(""NSE:""&amp;C167,dates!$I$1,dates!$C$2),2,2)"),"#N/A")</f>
        <v>#N/A</v>
      </c>
      <c r="G167" s="10">
        <f>IFERROR(__xludf.DUMMYFUNCTION("INDEX(GOOGLEFINANCE(""NSE:""&amp;C167,dates!$I$1,dates!$C$4),2,2)"),728.45)</f>
        <v>728.45</v>
      </c>
      <c r="H167" s="10">
        <f>IFERROR(__xludf.DUMMYFUNCTION("INDEX(GOOGLEFINANCE(""NSE:""&amp;C167,dates!$I$1,dates!$C$5),2,2)"),718.05)</f>
        <v>718.05</v>
      </c>
      <c r="I167" s="10">
        <f>IFERROR(__xludf.DUMMYFUNCTION("INDEX(GOOGLEFINANCE(""NSE:""&amp;C167,dates!$I$1,dates!$C$6),2,2)"),682.85)</f>
        <v>682.85</v>
      </c>
      <c r="J167" s="16" t="str">
        <f t="shared" si="1"/>
        <v>#N/A</v>
      </c>
      <c r="K167" s="16" t="str">
        <f t="shared" si="2"/>
        <v>#N/A</v>
      </c>
      <c r="L167" s="16" t="str">
        <f t="shared" si="3"/>
        <v>#N/A</v>
      </c>
      <c r="M167" s="16" t="str">
        <f t="shared" si="4"/>
        <v>#N/A</v>
      </c>
      <c r="N167" s="17" t="str">
        <f t="shared" si="5"/>
        <v>#N/A</v>
      </c>
      <c r="O167" s="17" t="str">
        <f t="shared" si="6"/>
        <v>#N/A</v>
      </c>
      <c r="P167" s="17" t="str">
        <f t="shared" si="7"/>
        <v>#N/A</v>
      </c>
      <c r="Q167" s="17" t="str">
        <f t="shared" si="8"/>
        <v>#N/A</v>
      </c>
      <c r="R167" s="32" t="str">
        <f t="shared" si="9"/>
        <v>#N/A</v>
      </c>
    </row>
    <row r="168">
      <c r="A168" s="7">
        <v>169.0</v>
      </c>
      <c r="B168" s="44" t="s">
        <v>1475</v>
      </c>
      <c r="C168" s="31" t="s">
        <v>223</v>
      </c>
      <c r="D168" s="9">
        <f>IFERROR(__xludf.DUMMYFUNCTION("GOOGLEFINANCE(""NSE:""&amp;C168)"),367.05)</f>
        <v>367.05</v>
      </c>
      <c r="E168" s="10" t="str">
        <f>IFERROR(__xludf.DUMMYFUNCTION("INDEX(GOOGLEFINANCE(""NSE:""&amp;C168,dates!$I$1,dates!$C$3),2,2)"),"#N/A")</f>
        <v>#N/A</v>
      </c>
      <c r="F168" s="10" t="str">
        <f>IFERROR(__xludf.DUMMYFUNCTION("INDEX(GOOGLEFINANCE(""NSE:""&amp;C168,dates!$I$1,dates!$C$2),2,2)"),"#N/A")</f>
        <v>#N/A</v>
      </c>
      <c r="G168" s="10">
        <f>IFERROR(__xludf.DUMMYFUNCTION("INDEX(GOOGLEFINANCE(""NSE:""&amp;C168,dates!$I$1,dates!$C$4),2,2)"),377.4)</f>
        <v>377.4</v>
      </c>
      <c r="H168" s="10">
        <f>IFERROR(__xludf.DUMMYFUNCTION("INDEX(GOOGLEFINANCE(""NSE:""&amp;C168,dates!$I$1,dates!$C$5),2,2)"),353.6)</f>
        <v>353.6</v>
      </c>
      <c r="I168" s="10">
        <f>IFERROR(__xludf.DUMMYFUNCTION("INDEX(GOOGLEFINANCE(""NSE:""&amp;C168,dates!$I$1,dates!$C$6),2,2)"),346.7)</f>
        <v>346.7</v>
      </c>
      <c r="J168" s="16" t="str">
        <f t="shared" si="1"/>
        <v>#N/A</v>
      </c>
      <c r="K168" s="16" t="str">
        <f t="shared" si="2"/>
        <v>#N/A</v>
      </c>
      <c r="L168" s="16" t="str">
        <f t="shared" si="3"/>
        <v>#N/A</v>
      </c>
      <c r="M168" s="16" t="str">
        <f t="shared" si="4"/>
        <v>#N/A</v>
      </c>
      <c r="N168" s="17" t="str">
        <f t="shared" si="5"/>
        <v>#N/A</v>
      </c>
      <c r="O168" s="17" t="str">
        <f t="shared" si="6"/>
        <v>#N/A</v>
      </c>
      <c r="P168" s="17" t="str">
        <f t="shared" si="7"/>
        <v>#N/A</v>
      </c>
      <c r="Q168" s="17" t="str">
        <f t="shared" si="8"/>
        <v>#N/A</v>
      </c>
      <c r="R168" s="32" t="str">
        <f t="shared" si="9"/>
        <v>#N/A</v>
      </c>
    </row>
    <row r="169">
      <c r="A169" s="7">
        <v>170.0</v>
      </c>
      <c r="B169" s="44" t="s">
        <v>1476</v>
      </c>
      <c r="C169" s="31" t="s">
        <v>502</v>
      </c>
      <c r="D169" s="9">
        <f>IFERROR(__xludf.DUMMYFUNCTION("GOOGLEFINANCE(""NSE:""&amp;C169)"),818.45)</f>
        <v>818.45</v>
      </c>
      <c r="E169" s="10" t="str">
        <f>IFERROR(__xludf.DUMMYFUNCTION("INDEX(GOOGLEFINANCE(""NSE:""&amp;C169,dates!$I$1,dates!$C$3),2,2)"),"#N/A")</f>
        <v>#N/A</v>
      </c>
      <c r="F169" s="10" t="str">
        <f>IFERROR(__xludf.DUMMYFUNCTION("INDEX(GOOGLEFINANCE(""NSE:""&amp;C169,dates!$I$1,dates!$C$2),2,2)"),"#N/A")</f>
        <v>#N/A</v>
      </c>
      <c r="G169" s="10">
        <f>IFERROR(__xludf.DUMMYFUNCTION("INDEX(GOOGLEFINANCE(""NSE:""&amp;C169,dates!$I$1,dates!$C$4),2,2)"),778.25)</f>
        <v>778.25</v>
      </c>
      <c r="H169" s="10">
        <f>IFERROR(__xludf.DUMMYFUNCTION("INDEX(GOOGLEFINANCE(""NSE:""&amp;C169,dates!$I$1,dates!$C$5),2,2)"),773.4)</f>
        <v>773.4</v>
      </c>
      <c r="I169" s="10">
        <f>IFERROR(__xludf.DUMMYFUNCTION("INDEX(GOOGLEFINANCE(""NSE:""&amp;C169,dates!$I$1,dates!$C$6),2,2)"),746.15)</f>
        <v>746.15</v>
      </c>
      <c r="J169" s="16" t="str">
        <f t="shared" si="1"/>
        <v>#N/A</v>
      </c>
      <c r="K169" s="16" t="str">
        <f t="shared" si="2"/>
        <v>#N/A</v>
      </c>
      <c r="L169" s="16" t="str">
        <f t="shared" si="3"/>
        <v>#N/A</v>
      </c>
      <c r="M169" s="16" t="str">
        <f t="shared" si="4"/>
        <v>#N/A</v>
      </c>
      <c r="N169" s="17" t="str">
        <f t="shared" si="5"/>
        <v>#N/A</v>
      </c>
      <c r="O169" s="17" t="str">
        <f t="shared" si="6"/>
        <v>#N/A</v>
      </c>
      <c r="P169" s="17" t="str">
        <f t="shared" si="7"/>
        <v>#N/A</v>
      </c>
      <c r="Q169" s="17" t="str">
        <f t="shared" si="8"/>
        <v>#N/A</v>
      </c>
      <c r="R169" s="32" t="str">
        <f t="shared" si="9"/>
        <v>#N/A</v>
      </c>
    </row>
    <row r="170">
      <c r="A170" s="7">
        <v>171.0</v>
      </c>
      <c r="B170" s="44" t="s">
        <v>1477</v>
      </c>
      <c r="C170" s="31" t="s">
        <v>225</v>
      </c>
      <c r="D170" s="9">
        <f>IFERROR(__xludf.DUMMYFUNCTION("GOOGLEFINANCE(""NSE:""&amp;C170)"),732.0)</f>
        <v>732</v>
      </c>
      <c r="E170" s="10" t="str">
        <f>IFERROR(__xludf.DUMMYFUNCTION("INDEX(GOOGLEFINANCE(""NSE:""&amp;C170,dates!$I$1,dates!$C$3),2,2)"),"#N/A")</f>
        <v>#N/A</v>
      </c>
      <c r="F170" s="10" t="str">
        <f>IFERROR(__xludf.DUMMYFUNCTION("INDEX(GOOGLEFINANCE(""NSE:""&amp;C170,dates!$I$1,dates!$C$2),2,2)"),"#N/A")</f>
        <v>#N/A</v>
      </c>
      <c r="G170" s="10">
        <f>IFERROR(__xludf.DUMMYFUNCTION("INDEX(GOOGLEFINANCE(""NSE:""&amp;C170,dates!$I$1,dates!$C$4),2,2)"),746.2)</f>
        <v>746.2</v>
      </c>
      <c r="H170" s="10">
        <f>IFERROR(__xludf.DUMMYFUNCTION("INDEX(GOOGLEFINANCE(""NSE:""&amp;C170,dates!$I$1,dates!$C$5),2,2)"),736.15)</f>
        <v>736.15</v>
      </c>
      <c r="I170" s="10">
        <f>IFERROR(__xludf.DUMMYFUNCTION("INDEX(GOOGLEFINANCE(""NSE:""&amp;C170,dates!$I$1,dates!$C$6),2,2)"),710.0)</f>
        <v>710</v>
      </c>
      <c r="J170" s="16" t="str">
        <f t="shared" si="1"/>
        <v>#N/A</v>
      </c>
      <c r="K170" s="16" t="str">
        <f t="shared" si="2"/>
        <v>#N/A</v>
      </c>
      <c r="L170" s="16" t="str">
        <f t="shared" si="3"/>
        <v>#N/A</v>
      </c>
      <c r="M170" s="16" t="str">
        <f t="shared" si="4"/>
        <v>#N/A</v>
      </c>
      <c r="N170" s="17" t="str">
        <f t="shared" si="5"/>
        <v>#N/A</v>
      </c>
      <c r="O170" s="17" t="str">
        <f t="shared" si="6"/>
        <v>#N/A</v>
      </c>
      <c r="P170" s="17" t="str">
        <f t="shared" si="7"/>
        <v>#N/A</v>
      </c>
      <c r="Q170" s="17" t="str">
        <f t="shared" si="8"/>
        <v>#N/A</v>
      </c>
      <c r="R170" s="32" t="str">
        <f t="shared" si="9"/>
        <v>#N/A</v>
      </c>
    </row>
    <row r="171">
      <c r="A171" s="7">
        <v>172.0</v>
      </c>
      <c r="B171" s="44" t="s">
        <v>1478</v>
      </c>
      <c r="C171" s="31" t="s">
        <v>1103</v>
      </c>
      <c r="D171" s="9">
        <f>IFERROR(__xludf.DUMMYFUNCTION("GOOGLEFINANCE(""NSE:""&amp;C171)"),614.2)</f>
        <v>614.2</v>
      </c>
      <c r="E171" s="10" t="str">
        <f>IFERROR(__xludf.DUMMYFUNCTION("INDEX(GOOGLEFINANCE(""NSE:""&amp;C171,dates!$I$1,dates!$C$3),2,2)"),"#N/A")</f>
        <v>#N/A</v>
      </c>
      <c r="F171" s="10" t="str">
        <f>IFERROR(__xludf.DUMMYFUNCTION("INDEX(GOOGLEFINANCE(""NSE:""&amp;C171,dates!$I$1,dates!$C$2),2,2)"),"#N/A")</f>
        <v>#N/A</v>
      </c>
      <c r="G171" s="10">
        <f>IFERROR(__xludf.DUMMYFUNCTION("INDEX(GOOGLEFINANCE(""NSE:""&amp;C171,dates!$I$1,dates!$C$4),2,2)"),609.4)</f>
        <v>609.4</v>
      </c>
      <c r="H171" s="10">
        <f>IFERROR(__xludf.DUMMYFUNCTION("INDEX(GOOGLEFINANCE(""NSE:""&amp;C171,dates!$I$1,dates!$C$5),2,2)"),597.55)</f>
        <v>597.55</v>
      </c>
      <c r="I171" s="10">
        <f>IFERROR(__xludf.DUMMYFUNCTION("INDEX(GOOGLEFINANCE(""NSE:""&amp;C171,dates!$I$1,dates!$C$6),2,2)"),603.2)</f>
        <v>603.2</v>
      </c>
      <c r="J171" s="16" t="str">
        <f t="shared" si="1"/>
        <v>#N/A</v>
      </c>
      <c r="K171" s="16" t="str">
        <f t="shared" si="2"/>
        <v>#N/A</v>
      </c>
      <c r="L171" s="16" t="str">
        <f t="shared" si="3"/>
        <v>#N/A</v>
      </c>
      <c r="M171" s="16" t="str">
        <f t="shared" si="4"/>
        <v>#N/A</v>
      </c>
      <c r="N171" s="17" t="str">
        <f t="shared" si="5"/>
        <v>#N/A</v>
      </c>
      <c r="O171" s="17" t="str">
        <f t="shared" si="6"/>
        <v>#N/A</v>
      </c>
      <c r="P171" s="17" t="str">
        <f t="shared" si="7"/>
        <v>#N/A</v>
      </c>
      <c r="Q171" s="17" t="str">
        <f t="shared" si="8"/>
        <v>#N/A</v>
      </c>
      <c r="R171" s="32" t="str">
        <f t="shared" si="9"/>
        <v>#N/A</v>
      </c>
    </row>
    <row r="172">
      <c r="A172" s="7">
        <v>173.0</v>
      </c>
      <c r="B172" s="18" t="s">
        <v>356</v>
      </c>
      <c r="C172" s="9" t="s">
        <v>357</v>
      </c>
      <c r="D172" s="9">
        <f>IFERROR(__xludf.DUMMYFUNCTION("GOOGLEFINANCE(""NSE:""&amp;C172)"),25000.0)</f>
        <v>25000</v>
      </c>
      <c r="E172" s="10" t="str">
        <f>IFERROR(__xludf.DUMMYFUNCTION("INDEX(GOOGLEFINANCE(""NSE:""&amp;C172,dates!$I$1,dates!$C$3),2,2)"),"#N/A")</f>
        <v>#N/A</v>
      </c>
      <c r="F172" s="10" t="str">
        <f>IFERROR(__xludf.DUMMYFUNCTION("INDEX(GOOGLEFINANCE(""NSE:""&amp;C172,dates!$I$1,dates!$C$2),2,2)"),"#N/A")</f>
        <v>#N/A</v>
      </c>
      <c r="G172" s="10">
        <f>IFERROR(__xludf.DUMMYFUNCTION("INDEX(GOOGLEFINANCE(""NSE:""&amp;C172,dates!$I$1,dates!$C$4),2,2)"),25235.9)</f>
        <v>25235.9</v>
      </c>
      <c r="H172" s="10">
        <f>IFERROR(__xludf.DUMMYFUNCTION("INDEX(GOOGLEFINANCE(""NSE:""&amp;C172,dates!$I$1,dates!$C$5),2,2)"),25150.9)</f>
        <v>25150.9</v>
      </c>
      <c r="I172" s="10">
        <f>IFERROR(__xludf.DUMMYFUNCTION("INDEX(GOOGLEFINANCE(""NSE:""&amp;C172,dates!$I$1,dates!$C$6),2,2)"),22643.35)</f>
        <v>22643.35</v>
      </c>
      <c r="J172" s="16" t="str">
        <f t="shared" si="1"/>
        <v>#N/A</v>
      </c>
      <c r="K172" s="16" t="str">
        <f t="shared" si="2"/>
        <v>#N/A</v>
      </c>
      <c r="L172" s="16" t="str">
        <f t="shared" si="3"/>
        <v>#N/A</v>
      </c>
      <c r="M172" s="16" t="str">
        <f t="shared" si="4"/>
        <v>#N/A</v>
      </c>
      <c r="N172" s="17" t="str">
        <f t="shared" si="5"/>
        <v>#N/A</v>
      </c>
      <c r="O172" s="17" t="str">
        <f t="shared" si="6"/>
        <v>#N/A</v>
      </c>
      <c r="P172" s="17" t="str">
        <f t="shared" si="7"/>
        <v>#N/A</v>
      </c>
      <c r="Q172" s="17" t="str">
        <f t="shared" si="8"/>
        <v>#N/A</v>
      </c>
      <c r="R172" s="32" t="str">
        <f t="shared" si="9"/>
        <v>#N/A</v>
      </c>
    </row>
    <row r="173">
      <c r="A173" s="7">
        <v>174.0</v>
      </c>
      <c r="B173" s="18" t="s">
        <v>358</v>
      </c>
      <c r="C173" s="9" t="s">
        <v>359</v>
      </c>
      <c r="D173" s="9">
        <f>IFERROR(__xludf.DUMMYFUNCTION("GOOGLEFINANCE(""NSE:""&amp;C173)"),1510.0)</f>
        <v>1510</v>
      </c>
      <c r="E173" s="10" t="str">
        <f>IFERROR(__xludf.DUMMYFUNCTION("INDEX(GOOGLEFINANCE(""NSE:""&amp;C173,dates!$I$1,dates!$C$3),2,2)"),"#N/A")</f>
        <v>#N/A</v>
      </c>
      <c r="F173" s="10" t="str">
        <f>IFERROR(__xludf.DUMMYFUNCTION("INDEX(GOOGLEFINANCE(""NSE:""&amp;C173,dates!$I$1,dates!$C$2),2,2)"),"#N/A")</f>
        <v>#N/A</v>
      </c>
      <c r="G173" s="10">
        <f>IFERROR(__xludf.DUMMYFUNCTION("INDEX(GOOGLEFINANCE(""NSE:""&amp;C173,dates!$I$1,dates!$C$4),2,2)"),1538.95)</f>
        <v>1538.95</v>
      </c>
      <c r="H173" s="10">
        <f>IFERROR(__xludf.DUMMYFUNCTION("INDEX(GOOGLEFINANCE(""NSE:""&amp;C173,dates!$I$1,dates!$C$5),2,2)"),1538.6)</f>
        <v>1538.6</v>
      </c>
      <c r="I173" s="10">
        <f>IFERROR(__xludf.DUMMYFUNCTION("INDEX(GOOGLEFINANCE(""NSE:""&amp;C173,dates!$I$1,dates!$C$6),2,2)"),1515.65)</f>
        <v>1515.65</v>
      </c>
      <c r="J173" s="16" t="str">
        <f t="shared" si="1"/>
        <v>#N/A</v>
      </c>
      <c r="K173" s="16" t="str">
        <f t="shared" si="2"/>
        <v>#N/A</v>
      </c>
      <c r="L173" s="16" t="str">
        <f t="shared" si="3"/>
        <v>#N/A</v>
      </c>
      <c r="M173" s="16" t="str">
        <f t="shared" si="4"/>
        <v>#N/A</v>
      </c>
      <c r="N173" s="17" t="str">
        <f t="shared" si="5"/>
        <v>#N/A</v>
      </c>
      <c r="O173" s="17" t="str">
        <f t="shared" si="6"/>
        <v>#N/A</v>
      </c>
      <c r="P173" s="17" t="str">
        <f t="shared" si="7"/>
        <v>#N/A</v>
      </c>
      <c r="Q173" s="17" t="str">
        <f t="shared" si="8"/>
        <v>#N/A</v>
      </c>
      <c r="R173" s="32" t="str">
        <f t="shared" si="9"/>
        <v>#N/A</v>
      </c>
    </row>
    <row r="174">
      <c r="A174" s="7">
        <v>175.0</v>
      </c>
      <c r="B174" s="18" t="s">
        <v>360</v>
      </c>
      <c r="C174" s="9" t="s">
        <v>361</v>
      </c>
      <c r="D174" s="9">
        <f>IFERROR(__xludf.DUMMYFUNCTION("GOOGLEFINANCE(""NSE:""&amp;C174)"),2256.9)</f>
        <v>2256.9</v>
      </c>
      <c r="E174" s="10" t="str">
        <f>IFERROR(__xludf.DUMMYFUNCTION("INDEX(GOOGLEFINANCE(""NSE:""&amp;C174,dates!$I$1,dates!$C$3),2,2)"),"#N/A")</f>
        <v>#N/A</v>
      </c>
      <c r="F174" s="10" t="str">
        <f>IFERROR(__xludf.DUMMYFUNCTION("INDEX(GOOGLEFINANCE(""NSE:""&amp;C174,dates!$I$1,dates!$C$2),2,2)"),"#N/A")</f>
        <v>#N/A</v>
      </c>
      <c r="G174" s="10">
        <f>IFERROR(__xludf.DUMMYFUNCTION("INDEX(GOOGLEFINANCE(""NSE:""&amp;C174,dates!$I$1,dates!$C$4),2,2)"),2246.9)</f>
        <v>2246.9</v>
      </c>
      <c r="H174" s="10">
        <f>IFERROR(__xludf.DUMMYFUNCTION("INDEX(GOOGLEFINANCE(""NSE:""&amp;C174,dates!$I$1,dates!$C$5),2,2)"),2293.95)</f>
        <v>2293.95</v>
      </c>
      <c r="I174" s="10">
        <f>IFERROR(__xludf.DUMMYFUNCTION("INDEX(GOOGLEFINANCE(""NSE:""&amp;C174,dates!$I$1,dates!$C$6),2,2)"),2009.3)</f>
        <v>2009.3</v>
      </c>
      <c r="J174" s="16" t="str">
        <f t="shared" si="1"/>
        <v>#N/A</v>
      </c>
      <c r="K174" s="16" t="str">
        <f t="shared" si="2"/>
        <v>#N/A</v>
      </c>
      <c r="L174" s="16" t="str">
        <f t="shared" si="3"/>
        <v>#N/A</v>
      </c>
      <c r="M174" s="16" t="str">
        <f t="shared" si="4"/>
        <v>#N/A</v>
      </c>
      <c r="N174" s="17" t="str">
        <f t="shared" si="5"/>
        <v>#N/A</v>
      </c>
      <c r="O174" s="17" t="str">
        <f t="shared" si="6"/>
        <v>#N/A</v>
      </c>
      <c r="P174" s="17" t="str">
        <f t="shared" si="7"/>
        <v>#N/A</v>
      </c>
      <c r="Q174" s="17" t="str">
        <f t="shared" si="8"/>
        <v>#N/A</v>
      </c>
      <c r="R174" s="32" t="str">
        <f t="shared" si="9"/>
        <v>#N/A</v>
      </c>
    </row>
    <row r="175">
      <c r="A175" s="7">
        <v>176.0</v>
      </c>
      <c r="B175" s="18" t="s">
        <v>362</v>
      </c>
      <c r="C175" s="9" t="s">
        <v>363</v>
      </c>
      <c r="D175" s="9">
        <f>IFERROR(__xludf.DUMMYFUNCTION("GOOGLEFINANCE(""NSE:""&amp;C175)"),3768.7)</f>
        <v>3768.7</v>
      </c>
      <c r="E175" s="10" t="str">
        <f>IFERROR(__xludf.DUMMYFUNCTION("INDEX(GOOGLEFINANCE(""NSE:""&amp;C175,dates!$I$1,dates!$C$3),2,2)"),"#N/A")</f>
        <v>#N/A</v>
      </c>
      <c r="F175" s="10" t="str">
        <f>IFERROR(__xludf.DUMMYFUNCTION("INDEX(GOOGLEFINANCE(""NSE:""&amp;C175,dates!$I$1,dates!$C$2),2,2)"),"#N/A")</f>
        <v>#N/A</v>
      </c>
      <c r="G175" s="10">
        <f>IFERROR(__xludf.DUMMYFUNCTION("INDEX(GOOGLEFINANCE(""NSE:""&amp;C175,dates!$I$1,dates!$C$4),2,2)"),3538.0)</f>
        <v>3538</v>
      </c>
      <c r="H175" s="10">
        <f>IFERROR(__xludf.DUMMYFUNCTION("INDEX(GOOGLEFINANCE(""NSE:""&amp;C175,dates!$I$1,dates!$C$5),2,2)"),3587.7)</f>
        <v>3587.7</v>
      </c>
      <c r="I175" s="10">
        <f>IFERROR(__xludf.DUMMYFUNCTION("INDEX(GOOGLEFINANCE(""NSE:""&amp;C175,dates!$I$1,dates!$C$6),2,2)"),3253.5)</f>
        <v>3253.5</v>
      </c>
      <c r="J175" s="16" t="str">
        <f t="shared" si="1"/>
        <v>#N/A</v>
      </c>
      <c r="K175" s="16" t="str">
        <f t="shared" si="2"/>
        <v>#N/A</v>
      </c>
      <c r="L175" s="16" t="str">
        <f t="shared" si="3"/>
        <v>#N/A</v>
      </c>
      <c r="M175" s="16" t="str">
        <f t="shared" si="4"/>
        <v>#N/A</v>
      </c>
      <c r="N175" s="17" t="str">
        <f t="shared" si="5"/>
        <v>#N/A</v>
      </c>
      <c r="O175" s="17" t="str">
        <f t="shared" si="6"/>
        <v>#N/A</v>
      </c>
      <c r="P175" s="17" t="str">
        <f t="shared" si="7"/>
        <v>#N/A</v>
      </c>
      <c r="Q175" s="17" t="str">
        <f t="shared" si="8"/>
        <v>#N/A</v>
      </c>
      <c r="R175" s="32" t="str">
        <f t="shared" si="9"/>
        <v>#N/A</v>
      </c>
    </row>
    <row r="176">
      <c r="A176" s="7">
        <v>177.0</v>
      </c>
      <c r="B176" s="18" t="s">
        <v>364</v>
      </c>
      <c r="C176" s="9" t="s">
        <v>365</v>
      </c>
      <c r="D176" s="9">
        <f>IFERROR(__xludf.DUMMYFUNCTION("GOOGLEFINANCE(""NSE:""&amp;C176)"),1496.0)</f>
        <v>1496</v>
      </c>
      <c r="E176" s="10" t="str">
        <f>IFERROR(__xludf.DUMMYFUNCTION("INDEX(GOOGLEFINANCE(""NSE:""&amp;C176,dates!$I$1,dates!$C$3),2,2)"),"#N/A")</f>
        <v>#N/A</v>
      </c>
      <c r="F176" s="10" t="str">
        <f>IFERROR(__xludf.DUMMYFUNCTION("INDEX(GOOGLEFINANCE(""NSE:""&amp;C176,dates!$I$1,dates!$C$2),2,2)"),"#N/A")</f>
        <v>#N/A</v>
      </c>
      <c r="G176" s="10">
        <f>IFERROR(__xludf.DUMMYFUNCTION("INDEX(GOOGLEFINANCE(""NSE:""&amp;C176,dates!$I$1,dates!$C$4),2,2)"),1463.1)</f>
        <v>1463.1</v>
      </c>
      <c r="H176" s="10">
        <f>IFERROR(__xludf.DUMMYFUNCTION("INDEX(GOOGLEFINANCE(""NSE:""&amp;C176,dates!$I$1,dates!$C$5),2,2)"),1338.9)</f>
        <v>1338.9</v>
      </c>
      <c r="I176" s="10">
        <f>IFERROR(__xludf.DUMMYFUNCTION("INDEX(GOOGLEFINANCE(""NSE:""&amp;C176,dates!$I$1,dates!$C$6),2,2)"),1291.35)</f>
        <v>1291.35</v>
      </c>
      <c r="J176" s="16" t="str">
        <f t="shared" si="1"/>
        <v>#N/A</v>
      </c>
      <c r="K176" s="16" t="str">
        <f t="shared" si="2"/>
        <v>#N/A</v>
      </c>
      <c r="L176" s="16" t="str">
        <f t="shared" si="3"/>
        <v>#N/A</v>
      </c>
      <c r="M176" s="16" t="str">
        <f t="shared" si="4"/>
        <v>#N/A</v>
      </c>
      <c r="N176" s="17" t="str">
        <f t="shared" si="5"/>
        <v>#N/A</v>
      </c>
      <c r="O176" s="17" t="str">
        <f t="shared" si="6"/>
        <v>#N/A</v>
      </c>
      <c r="P176" s="17" t="str">
        <f t="shared" si="7"/>
        <v>#N/A</v>
      </c>
      <c r="Q176" s="17" t="str">
        <f t="shared" si="8"/>
        <v>#N/A</v>
      </c>
      <c r="R176" s="32" t="str">
        <f t="shared" si="9"/>
        <v>#N/A</v>
      </c>
    </row>
    <row r="177">
      <c r="A177" s="7">
        <v>178.0</v>
      </c>
      <c r="B177" s="18" t="s">
        <v>366</v>
      </c>
      <c r="C177" s="9" t="s">
        <v>367</v>
      </c>
      <c r="D177" s="9">
        <f>IFERROR(__xludf.DUMMYFUNCTION("GOOGLEFINANCE(""NSE:""&amp;C177)"),849.0)</f>
        <v>849</v>
      </c>
      <c r="E177" s="10" t="str">
        <f>IFERROR(__xludf.DUMMYFUNCTION("INDEX(GOOGLEFINANCE(""NSE:""&amp;C177,dates!$I$1,dates!$C$3),2,2)"),"#N/A")</f>
        <v>#N/A</v>
      </c>
      <c r="F177" s="10" t="str">
        <f>IFERROR(__xludf.DUMMYFUNCTION("INDEX(GOOGLEFINANCE(""NSE:""&amp;C177,dates!$I$1,dates!$C$2),2,2)"),"#N/A")</f>
        <v>#N/A</v>
      </c>
      <c r="G177" s="10" t="str">
        <f>IFERROR(__xludf.DUMMYFUNCTION("INDEX(GOOGLEFINANCE(""NSE:""&amp;C177,dates!$I$1,dates!$C$4),2,2)"),"#N/A")</f>
        <v>#N/A</v>
      </c>
      <c r="H177" s="10">
        <f>IFERROR(__xludf.DUMMYFUNCTION("INDEX(GOOGLEFINANCE(""NSE:""&amp;C177,dates!$I$1,dates!$C$5),2,2)"),758.8)</f>
        <v>758.8</v>
      </c>
      <c r="I177" s="10">
        <f>IFERROR(__xludf.DUMMYFUNCTION("INDEX(GOOGLEFINANCE(""NSE:""&amp;C177,dates!$I$1,dates!$C$6),2,2)"),678.3)</f>
        <v>678.3</v>
      </c>
      <c r="J177" s="16" t="str">
        <f t="shared" si="1"/>
        <v>#N/A</v>
      </c>
      <c r="K177" s="16" t="str">
        <f t="shared" si="2"/>
        <v>#N/A</v>
      </c>
      <c r="L177" s="16" t="str">
        <f t="shared" si="3"/>
        <v>#N/A</v>
      </c>
      <c r="M177" s="16" t="str">
        <f t="shared" si="4"/>
        <v>#N/A</v>
      </c>
      <c r="N177" s="17" t="str">
        <f t="shared" si="5"/>
        <v>#N/A</v>
      </c>
      <c r="O177" s="17" t="str">
        <f t="shared" si="6"/>
        <v>#N/A</v>
      </c>
      <c r="P177" s="17" t="str">
        <f t="shared" si="7"/>
        <v>#N/A</v>
      </c>
      <c r="Q177" s="17" t="str">
        <f t="shared" si="8"/>
        <v>#N/A</v>
      </c>
      <c r="R177" s="32" t="str">
        <f t="shared" si="9"/>
        <v>#N/A</v>
      </c>
    </row>
    <row r="178">
      <c r="A178" s="7">
        <v>179.0</v>
      </c>
      <c r="B178" s="18" t="s">
        <v>368</v>
      </c>
      <c r="C178" s="9" t="s">
        <v>369</v>
      </c>
      <c r="D178" s="9">
        <f>IFERROR(__xludf.DUMMYFUNCTION("GOOGLEFINANCE(""NSE:""&amp;C178)"),659.05)</f>
        <v>659.05</v>
      </c>
      <c r="E178" s="10" t="str">
        <f>IFERROR(__xludf.DUMMYFUNCTION("INDEX(GOOGLEFINANCE(""NSE:""&amp;C178,dates!$I$1,dates!$C$3),2,2)"),"#N/A")</f>
        <v>#N/A</v>
      </c>
      <c r="F178" s="10" t="str">
        <f>IFERROR(__xludf.DUMMYFUNCTION("INDEX(GOOGLEFINANCE(""NSE:""&amp;C178,dates!$I$1,dates!$C$2),2,2)"),"#N/A")</f>
        <v>#N/A</v>
      </c>
      <c r="G178" s="10">
        <f>IFERROR(__xludf.DUMMYFUNCTION("INDEX(GOOGLEFINANCE(""NSE:""&amp;C178,dates!$I$1,dates!$C$4),2,2)"),646.9)</f>
        <v>646.9</v>
      </c>
      <c r="H178" s="10">
        <f>IFERROR(__xludf.DUMMYFUNCTION("INDEX(GOOGLEFINANCE(""NSE:""&amp;C178,dates!$I$1,dates!$C$5),2,2)"),668.8)</f>
        <v>668.8</v>
      </c>
      <c r="I178" s="10">
        <f>IFERROR(__xludf.DUMMYFUNCTION("INDEX(GOOGLEFINANCE(""NSE:""&amp;C178,dates!$I$1,dates!$C$6),2,2)"),617.75)</f>
        <v>617.75</v>
      </c>
      <c r="J178" s="16" t="str">
        <f t="shared" si="1"/>
        <v>#N/A</v>
      </c>
      <c r="K178" s="16" t="str">
        <f t="shared" si="2"/>
        <v>#N/A</v>
      </c>
      <c r="L178" s="16" t="str">
        <f t="shared" si="3"/>
        <v>#N/A</v>
      </c>
      <c r="M178" s="16" t="str">
        <f t="shared" si="4"/>
        <v>#N/A</v>
      </c>
      <c r="N178" s="17" t="str">
        <f t="shared" si="5"/>
        <v>#N/A</v>
      </c>
      <c r="O178" s="17" t="str">
        <f t="shared" si="6"/>
        <v>#N/A</v>
      </c>
      <c r="P178" s="17" t="str">
        <f t="shared" si="7"/>
        <v>#N/A</v>
      </c>
      <c r="Q178" s="17" t="str">
        <f t="shared" si="8"/>
        <v>#N/A</v>
      </c>
      <c r="R178" s="32" t="str">
        <f t="shared" si="9"/>
        <v>#N/A</v>
      </c>
    </row>
    <row r="179">
      <c r="A179" s="7">
        <v>180.0</v>
      </c>
      <c r="B179" s="18" t="s">
        <v>370</v>
      </c>
      <c r="C179" s="9" t="s">
        <v>371</v>
      </c>
      <c r="D179" s="9">
        <f>IFERROR(__xludf.DUMMYFUNCTION("GOOGLEFINANCE(""NSE:""&amp;C179)"),54.65)</f>
        <v>54.65</v>
      </c>
      <c r="E179" s="10" t="str">
        <f>IFERROR(__xludf.DUMMYFUNCTION("INDEX(GOOGLEFINANCE(""NSE:""&amp;C179,dates!$I$1,dates!$C$3),2,2)"),"#N/A")</f>
        <v>#N/A</v>
      </c>
      <c r="F179" s="10" t="str">
        <f>IFERROR(__xludf.DUMMYFUNCTION("INDEX(GOOGLEFINANCE(""NSE:""&amp;C179,dates!$I$1,dates!$C$2),2,2)"),"#N/A")</f>
        <v>#N/A</v>
      </c>
      <c r="G179" s="10">
        <f>IFERROR(__xludf.DUMMYFUNCTION("INDEX(GOOGLEFINANCE(""NSE:""&amp;C179,dates!$I$1,dates!$C$4),2,2)"),58.25)</f>
        <v>58.25</v>
      </c>
      <c r="H179" s="10">
        <f>IFERROR(__xludf.DUMMYFUNCTION("INDEX(GOOGLEFINANCE(""NSE:""&amp;C179,dates!$I$1,dates!$C$5),2,2)"),56.2)</f>
        <v>56.2</v>
      </c>
      <c r="I179" s="10">
        <f>IFERROR(__xludf.DUMMYFUNCTION("INDEX(GOOGLEFINANCE(""NSE:""&amp;C179,dates!$I$1,dates!$C$6),2,2)"),67.4)</f>
        <v>67.4</v>
      </c>
      <c r="J179" s="16" t="str">
        <f t="shared" si="1"/>
        <v>#N/A</v>
      </c>
      <c r="K179" s="16" t="str">
        <f t="shared" si="2"/>
        <v>#N/A</v>
      </c>
      <c r="L179" s="16" t="str">
        <f t="shared" si="3"/>
        <v>#N/A</v>
      </c>
      <c r="M179" s="16" t="str">
        <f t="shared" si="4"/>
        <v>#N/A</v>
      </c>
      <c r="N179" s="17" t="str">
        <f t="shared" si="5"/>
        <v>#N/A</v>
      </c>
      <c r="O179" s="17" t="str">
        <f t="shared" si="6"/>
        <v>#N/A</v>
      </c>
      <c r="P179" s="17" t="str">
        <f t="shared" si="7"/>
        <v>#N/A</v>
      </c>
      <c r="Q179" s="17" t="str">
        <f t="shared" si="8"/>
        <v>#N/A</v>
      </c>
      <c r="R179" s="32" t="str">
        <f t="shared" si="9"/>
        <v>#N/A</v>
      </c>
    </row>
    <row r="180">
      <c r="A180" s="7">
        <v>181.0</v>
      </c>
      <c r="B180" s="18" t="s">
        <v>372</v>
      </c>
      <c r="C180" s="9" t="s">
        <v>373</v>
      </c>
      <c r="D180" s="9">
        <f>IFERROR(__xludf.DUMMYFUNCTION("GOOGLEFINANCE(""NSE:""&amp;C180)"),537.6)</f>
        <v>537.6</v>
      </c>
      <c r="E180" s="10" t="str">
        <f>IFERROR(__xludf.DUMMYFUNCTION("INDEX(GOOGLEFINANCE(""NSE:""&amp;C180,dates!$I$1,dates!$C$3),2,2)"),"#N/A")</f>
        <v>#N/A</v>
      </c>
      <c r="F180" s="10" t="str">
        <f>IFERROR(__xludf.DUMMYFUNCTION("INDEX(GOOGLEFINANCE(""NSE:""&amp;C180,dates!$I$1,dates!$C$2),2,2)"),"#N/A")</f>
        <v>#N/A</v>
      </c>
      <c r="G180" s="10">
        <f>IFERROR(__xludf.DUMMYFUNCTION("INDEX(GOOGLEFINANCE(""NSE:""&amp;C180,dates!$I$1,dates!$C$4),2,2)"),547.1)</f>
        <v>547.1</v>
      </c>
      <c r="H180" s="10">
        <f>IFERROR(__xludf.DUMMYFUNCTION("INDEX(GOOGLEFINANCE(""NSE:""&amp;C180,dates!$I$1,dates!$C$5),2,2)"),545.65)</f>
        <v>545.65</v>
      </c>
      <c r="I180" s="10">
        <f>IFERROR(__xludf.DUMMYFUNCTION("INDEX(GOOGLEFINANCE(""NSE:""&amp;C180,dates!$I$1,dates!$C$6),2,2)"),511.1)</f>
        <v>511.1</v>
      </c>
      <c r="J180" s="16" t="str">
        <f t="shared" si="1"/>
        <v>#N/A</v>
      </c>
      <c r="K180" s="16" t="str">
        <f t="shared" si="2"/>
        <v>#N/A</v>
      </c>
      <c r="L180" s="16" t="str">
        <f t="shared" si="3"/>
        <v>#N/A</v>
      </c>
      <c r="M180" s="16" t="str">
        <f t="shared" si="4"/>
        <v>#N/A</v>
      </c>
      <c r="N180" s="17" t="str">
        <f t="shared" si="5"/>
        <v>#N/A</v>
      </c>
      <c r="O180" s="17" t="str">
        <f t="shared" si="6"/>
        <v>#N/A</v>
      </c>
      <c r="P180" s="17" t="str">
        <f t="shared" si="7"/>
        <v>#N/A</v>
      </c>
      <c r="Q180" s="17" t="str">
        <f t="shared" si="8"/>
        <v>#N/A</v>
      </c>
      <c r="R180" s="32" t="str">
        <f t="shared" si="9"/>
        <v>#N/A</v>
      </c>
    </row>
    <row r="181">
      <c r="A181" s="7">
        <v>182.0</v>
      </c>
      <c r="B181" s="18" t="s">
        <v>374</v>
      </c>
      <c r="C181" s="9" t="s">
        <v>375</v>
      </c>
      <c r="D181" s="9">
        <f>IFERROR(__xludf.DUMMYFUNCTION("GOOGLEFINANCE(""NSE:""&amp;C181)"),3204.0)</f>
        <v>3204</v>
      </c>
      <c r="E181" s="10" t="str">
        <f>IFERROR(__xludf.DUMMYFUNCTION("INDEX(GOOGLEFINANCE(""NSE:""&amp;C181,dates!$I$1,dates!$C$3),2,2)"),"#N/A")</f>
        <v>#N/A</v>
      </c>
      <c r="F181" s="10" t="str">
        <f>IFERROR(__xludf.DUMMYFUNCTION("INDEX(GOOGLEFINANCE(""NSE:""&amp;C181,dates!$I$1,dates!$C$2),2,2)"),"#N/A")</f>
        <v>#N/A</v>
      </c>
      <c r="G181" s="10">
        <f>IFERROR(__xludf.DUMMYFUNCTION("INDEX(GOOGLEFINANCE(""NSE:""&amp;C181,dates!$I$1,dates!$C$4),2,2)"),3379.45)</f>
        <v>3379.45</v>
      </c>
      <c r="H181" s="10">
        <f>IFERROR(__xludf.DUMMYFUNCTION("INDEX(GOOGLEFINANCE(""NSE:""&amp;C181,dates!$I$1,dates!$C$5),2,2)"),3472.95)</f>
        <v>3472.95</v>
      </c>
      <c r="I181" s="10">
        <f>IFERROR(__xludf.DUMMYFUNCTION("INDEX(GOOGLEFINANCE(""NSE:""&amp;C181,dates!$I$1,dates!$C$6),2,2)"),3125.3)</f>
        <v>3125.3</v>
      </c>
      <c r="J181" s="16" t="str">
        <f t="shared" si="1"/>
        <v>#N/A</v>
      </c>
      <c r="K181" s="16" t="str">
        <f t="shared" si="2"/>
        <v>#N/A</v>
      </c>
      <c r="L181" s="16" t="str">
        <f t="shared" si="3"/>
        <v>#N/A</v>
      </c>
      <c r="M181" s="16" t="str">
        <f t="shared" si="4"/>
        <v>#N/A</v>
      </c>
      <c r="N181" s="17" t="str">
        <f t="shared" si="5"/>
        <v>#N/A</v>
      </c>
      <c r="O181" s="17" t="str">
        <f t="shared" si="6"/>
        <v>#N/A</v>
      </c>
      <c r="P181" s="17" t="str">
        <f t="shared" si="7"/>
        <v>#N/A</v>
      </c>
      <c r="Q181" s="17" t="str">
        <f t="shared" si="8"/>
        <v>#N/A</v>
      </c>
      <c r="R181" s="32" t="str">
        <f t="shared" si="9"/>
        <v>#N/A</v>
      </c>
    </row>
    <row r="182">
      <c r="A182" s="7">
        <v>183.0</v>
      </c>
      <c r="B182" s="18" t="s">
        <v>376</v>
      </c>
      <c r="C182" s="9" t="s">
        <v>377</v>
      </c>
      <c r="D182" s="9">
        <f>IFERROR(__xludf.DUMMYFUNCTION("GOOGLEFINANCE(""NSE:""&amp;C182)"),5395.0)</f>
        <v>5395</v>
      </c>
      <c r="E182" s="10" t="str">
        <f>IFERROR(__xludf.DUMMYFUNCTION("INDEX(GOOGLEFINANCE(""NSE:""&amp;C182,dates!$I$1,dates!$C$3),2,2)"),"#N/A")</f>
        <v>#N/A</v>
      </c>
      <c r="F182" s="10" t="str">
        <f>IFERROR(__xludf.DUMMYFUNCTION("INDEX(GOOGLEFINANCE(""NSE:""&amp;C182,dates!$I$1,dates!$C$2),2,2)"),"#N/A")</f>
        <v>#N/A</v>
      </c>
      <c r="G182" s="10">
        <f>IFERROR(__xludf.DUMMYFUNCTION("INDEX(GOOGLEFINANCE(""NSE:""&amp;C182,dates!$I$1,dates!$C$4),2,2)"),5355.85)</f>
        <v>5355.85</v>
      </c>
      <c r="H182" s="10">
        <f>IFERROR(__xludf.DUMMYFUNCTION("INDEX(GOOGLEFINANCE(""NSE:""&amp;C182,dates!$I$1,dates!$C$5),2,2)"),5471.4)</f>
        <v>5471.4</v>
      </c>
      <c r="I182" s="10">
        <f>IFERROR(__xludf.DUMMYFUNCTION("INDEX(GOOGLEFINANCE(""NSE:""&amp;C182,dates!$I$1,dates!$C$6),2,2)"),5293.55)</f>
        <v>5293.55</v>
      </c>
      <c r="J182" s="16" t="str">
        <f t="shared" si="1"/>
        <v>#N/A</v>
      </c>
      <c r="K182" s="16" t="str">
        <f t="shared" si="2"/>
        <v>#N/A</v>
      </c>
      <c r="L182" s="16" t="str">
        <f t="shared" si="3"/>
        <v>#N/A</v>
      </c>
      <c r="M182" s="16" t="str">
        <f t="shared" si="4"/>
        <v>#N/A</v>
      </c>
      <c r="N182" s="17" t="str">
        <f t="shared" si="5"/>
        <v>#N/A</v>
      </c>
      <c r="O182" s="17" t="str">
        <f t="shared" si="6"/>
        <v>#N/A</v>
      </c>
      <c r="P182" s="17" t="str">
        <f t="shared" si="7"/>
        <v>#N/A</v>
      </c>
      <c r="Q182" s="17" t="str">
        <f t="shared" si="8"/>
        <v>#N/A</v>
      </c>
      <c r="R182" s="32" t="str">
        <f t="shared" si="9"/>
        <v>#N/A</v>
      </c>
    </row>
    <row r="183">
      <c r="A183" s="7">
        <v>184.0</v>
      </c>
      <c r="B183" s="18" t="s">
        <v>378</v>
      </c>
      <c r="C183" s="9" t="s">
        <v>379</v>
      </c>
      <c r="D183" s="9">
        <f>IFERROR(__xludf.DUMMYFUNCTION("GOOGLEFINANCE(""NSE:""&amp;C183)"),4390.0)</f>
        <v>4390</v>
      </c>
      <c r="E183" s="10" t="str">
        <f>IFERROR(__xludf.DUMMYFUNCTION("INDEX(GOOGLEFINANCE(""NSE:""&amp;C183,dates!$I$1,dates!$C$3),2,2)"),"#N/A")</f>
        <v>#N/A</v>
      </c>
      <c r="F183" s="10" t="str">
        <f>IFERROR(__xludf.DUMMYFUNCTION("INDEX(GOOGLEFINANCE(""NSE:""&amp;C183,dates!$I$1,dates!$C$2),2,2)"),"#N/A")</f>
        <v>#N/A</v>
      </c>
      <c r="G183" s="10">
        <f>IFERROR(__xludf.DUMMYFUNCTION("INDEX(GOOGLEFINANCE(""NSE:""&amp;C183,dates!$I$1,dates!$C$4),2,2)"),4245.1)</f>
        <v>4245.1</v>
      </c>
      <c r="H183" s="10">
        <f>IFERROR(__xludf.DUMMYFUNCTION("INDEX(GOOGLEFINANCE(""NSE:""&amp;C183,dates!$I$1,dates!$C$5),2,2)"),4306.75)</f>
        <v>4306.75</v>
      </c>
      <c r="I183" s="10">
        <f>IFERROR(__xludf.DUMMYFUNCTION("INDEX(GOOGLEFINANCE(""NSE:""&amp;C183,dates!$I$1,dates!$C$6),2,2)"),4046.25)</f>
        <v>4046.25</v>
      </c>
      <c r="J183" s="16" t="str">
        <f t="shared" si="1"/>
        <v>#N/A</v>
      </c>
      <c r="K183" s="16" t="str">
        <f t="shared" si="2"/>
        <v>#N/A</v>
      </c>
      <c r="L183" s="16" t="str">
        <f t="shared" si="3"/>
        <v>#N/A</v>
      </c>
      <c r="M183" s="16" t="str">
        <f t="shared" si="4"/>
        <v>#N/A</v>
      </c>
      <c r="N183" s="17" t="str">
        <f t="shared" si="5"/>
        <v>#N/A</v>
      </c>
      <c r="O183" s="17" t="str">
        <f t="shared" si="6"/>
        <v>#N/A</v>
      </c>
      <c r="P183" s="17" t="str">
        <f t="shared" si="7"/>
        <v>#N/A</v>
      </c>
      <c r="Q183" s="17" t="str">
        <f t="shared" si="8"/>
        <v>#N/A</v>
      </c>
      <c r="R183" s="32" t="str">
        <f t="shared" si="9"/>
        <v>#N/A</v>
      </c>
    </row>
    <row r="184">
      <c r="A184" s="7">
        <v>185.0</v>
      </c>
      <c r="B184" s="18" t="s">
        <v>380</v>
      </c>
      <c r="C184" s="9" t="s">
        <v>381</v>
      </c>
      <c r="D184" s="9">
        <f>IFERROR(__xludf.DUMMYFUNCTION("GOOGLEFINANCE(""NSE:""&amp;C184)"),1380.0)</f>
        <v>1380</v>
      </c>
      <c r="E184" s="10" t="str">
        <f>IFERROR(__xludf.DUMMYFUNCTION("INDEX(GOOGLEFINANCE(""NSE:""&amp;C184,dates!$I$1,dates!$C$3),2,2)"),"#N/A")</f>
        <v>#N/A</v>
      </c>
      <c r="F184" s="10" t="str">
        <f>IFERROR(__xludf.DUMMYFUNCTION("INDEX(GOOGLEFINANCE(""NSE:""&amp;C184,dates!$I$1,dates!$C$2),2,2)"),"#N/A")</f>
        <v>#N/A</v>
      </c>
      <c r="G184" s="10">
        <f>IFERROR(__xludf.DUMMYFUNCTION("INDEX(GOOGLEFINANCE(""NSE:""&amp;C184,dates!$I$1,dates!$C$4),2,2)"),1403.4)</f>
        <v>1403.4</v>
      </c>
      <c r="H184" s="10">
        <f>IFERROR(__xludf.DUMMYFUNCTION("INDEX(GOOGLEFINANCE(""NSE:""&amp;C184,dates!$I$1,dates!$C$5),2,2)"),1264.95)</f>
        <v>1264.95</v>
      </c>
      <c r="I184" s="10">
        <f>IFERROR(__xludf.DUMMYFUNCTION("INDEX(GOOGLEFINANCE(""NSE:""&amp;C184,dates!$I$1,dates!$C$6),2,2)"),1045.4)</f>
        <v>1045.4</v>
      </c>
      <c r="J184" s="16" t="str">
        <f t="shared" si="1"/>
        <v>#N/A</v>
      </c>
      <c r="K184" s="16" t="str">
        <f t="shared" si="2"/>
        <v>#N/A</v>
      </c>
      <c r="L184" s="16" t="str">
        <f t="shared" si="3"/>
        <v>#N/A</v>
      </c>
      <c r="M184" s="16" t="str">
        <f t="shared" si="4"/>
        <v>#N/A</v>
      </c>
      <c r="N184" s="17" t="str">
        <f t="shared" si="5"/>
        <v>#N/A</v>
      </c>
      <c r="O184" s="17" t="str">
        <f t="shared" si="6"/>
        <v>#N/A</v>
      </c>
      <c r="P184" s="17" t="str">
        <f t="shared" si="7"/>
        <v>#N/A</v>
      </c>
      <c r="Q184" s="17" t="str">
        <f t="shared" si="8"/>
        <v>#N/A</v>
      </c>
      <c r="R184" s="32" t="str">
        <f t="shared" si="9"/>
        <v>#N/A</v>
      </c>
    </row>
    <row r="185">
      <c r="A185" s="7">
        <v>186.0</v>
      </c>
      <c r="B185" s="18" t="s">
        <v>382</v>
      </c>
      <c r="C185" s="9" t="s">
        <v>383</v>
      </c>
      <c r="D185" s="9">
        <f>IFERROR(__xludf.DUMMYFUNCTION("GOOGLEFINANCE(""NSE:""&amp;C185)"),34.9)</f>
        <v>34.9</v>
      </c>
      <c r="E185" s="10" t="str">
        <f>IFERROR(__xludf.DUMMYFUNCTION("INDEX(GOOGLEFINANCE(""NSE:""&amp;C185,dates!$I$1,dates!$C$3),2,2)"),"#N/A")</f>
        <v>#N/A</v>
      </c>
      <c r="F185" s="10" t="str">
        <f>IFERROR(__xludf.DUMMYFUNCTION("INDEX(GOOGLEFINANCE(""NSE:""&amp;C185,dates!$I$1,dates!$C$2),2,2)"),"#N/A")</f>
        <v>#N/A</v>
      </c>
      <c r="G185" s="10">
        <f>IFERROR(__xludf.DUMMYFUNCTION("INDEX(GOOGLEFINANCE(""NSE:""&amp;C185,dates!$I$1,dates!$C$4),2,2)"),35.9)</f>
        <v>35.9</v>
      </c>
      <c r="H185" s="10">
        <f>IFERROR(__xludf.DUMMYFUNCTION("INDEX(GOOGLEFINANCE(""NSE:""&amp;C185,dates!$I$1,dates!$C$5),2,2)"),34.65)</f>
        <v>34.65</v>
      </c>
      <c r="I185" s="10">
        <f>IFERROR(__xludf.DUMMYFUNCTION("INDEX(GOOGLEFINANCE(""NSE:""&amp;C185,dates!$I$1,dates!$C$6),2,2)"),34.15)</f>
        <v>34.15</v>
      </c>
      <c r="J185" s="16" t="str">
        <f t="shared" si="1"/>
        <v>#N/A</v>
      </c>
      <c r="K185" s="16" t="str">
        <f t="shared" si="2"/>
        <v>#N/A</v>
      </c>
      <c r="L185" s="16" t="str">
        <f t="shared" si="3"/>
        <v>#N/A</v>
      </c>
      <c r="M185" s="16" t="str">
        <f t="shared" si="4"/>
        <v>#N/A</v>
      </c>
      <c r="N185" s="17" t="str">
        <f t="shared" si="5"/>
        <v>#N/A</v>
      </c>
      <c r="O185" s="17" t="str">
        <f t="shared" si="6"/>
        <v>#N/A</v>
      </c>
      <c r="P185" s="17" t="str">
        <f t="shared" si="7"/>
        <v>#N/A</v>
      </c>
      <c r="Q185" s="17" t="str">
        <f t="shared" si="8"/>
        <v>#N/A</v>
      </c>
      <c r="R185" s="32" t="str">
        <f t="shared" si="9"/>
        <v>#N/A</v>
      </c>
    </row>
    <row r="186">
      <c r="A186" s="7">
        <v>187.0</v>
      </c>
      <c r="B186" s="18" t="s">
        <v>384</v>
      </c>
      <c r="C186" s="9" t="s">
        <v>385</v>
      </c>
      <c r="D186" s="9">
        <f>IFERROR(__xludf.DUMMYFUNCTION("GOOGLEFINANCE(""NSE:""&amp;C186)"),8586.25)</f>
        <v>8586.25</v>
      </c>
      <c r="E186" s="10" t="str">
        <f>IFERROR(__xludf.DUMMYFUNCTION("INDEX(GOOGLEFINANCE(""NSE:""&amp;C186,dates!$I$1,dates!$C$3),2,2)"),"#N/A")</f>
        <v>#N/A</v>
      </c>
      <c r="F186" s="10" t="str">
        <f>IFERROR(__xludf.DUMMYFUNCTION("INDEX(GOOGLEFINANCE(""NSE:""&amp;C186,dates!$I$1,dates!$C$2),2,2)"),"#N/A")</f>
        <v>#N/A</v>
      </c>
      <c r="G186" s="10">
        <f>IFERROR(__xludf.DUMMYFUNCTION("INDEX(GOOGLEFINANCE(""NSE:""&amp;C186,dates!$I$1,dates!$C$4),2,2)"),8608.75)</f>
        <v>8608.75</v>
      </c>
      <c r="H186" s="10">
        <f>IFERROR(__xludf.DUMMYFUNCTION("INDEX(GOOGLEFINANCE(""NSE:""&amp;C186,dates!$I$1,dates!$C$5),2,2)"),8705.9)</f>
        <v>8705.9</v>
      </c>
      <c r="I186" s="10">
        <f>IFERROR(__xludf.DUMMYFUNCTION("INDEX(GOOGLEFINANCE(""NSE:""&amp;C186,dates!$I$1,dates!$C$6),2,2)"),7143.45)</f>
        <v>7143.45</v>
      </c>
      <c r="J186" s="16" t="str">
        <f t="shared" si="1"/>
        <v>#N/A</v>
      </c>
      <c r="K186" s="16" t="str">
        <f t="shared" si="2"/>
        <v>#N/A</v>
      </c>
      <c r="L186" s="16" t="str">
        <f t="shared" si="3"/>
        <v>#N/A</v>
      </c>
      <c r="M186" s="16" t="str">
        <f t="shared" si="4"/>
        <v>#N/A</v>
      </c>
      <c r="N186" s="17" t="str">
        <f t="shared" si="5"/>
        <v>#N/A</v>
      </c>
      <c r="O186" s="17" t="str">
        <f t="shared" si="6"/>
        <v>#N/A</v>
      </c>
      <c r="P186" s="17" t="str">
        <f t="shared" si="7"/>
        <v>#N/A</v>
      </c>
      <c r="Q186" s="17" t="str">
        <f t="shared" si="8"/>
        <v>#N/A</v>
      </c>
      <c r="R186" s="32" t="str">
        <f t="shared" si="9"/>
        <v>#N/A</v>
      </c>
    </row>
    <row r="187">
      <c r="A187" s="7">
        <v>188.0</v>
      </c>
      <c r="B187" s="18" t="s">
        <v>386</v>
      </c>
      <c r="C187" s="9" t="s">
        <v>387</v>
      </c>
      <c r="D187" s="9">
        <f>IFERROR(__xludf.DUMMYFUNCTION("GOOGLEFINANCE(""NSE:""&amp;C187)"),1566.0)</f>
        <v>1566</v>
      </c>
      <c r="E187" s="10" t="str">
        <f>IFERROR(__xludf.DUMMYFUNCTION("INDEX(GOOGLEFINANCE(""NSE:""&amp;C187,dates!$I$1,dates!$C$3),2,2)"),"#N/A")</f>
        <v>#N/A</v>
      </c>
      <c r="F187" s="10" t="str">
        <f>IFERROR(__xludf.DUMMYFUNCTION("INDEX(GOOGLEFINANCE(""NSE:""&amp;C187,dates!$I$1,dates!$C$2),2,2)"),"#N/A")</f>
        <v>#N/A</v>
      </c>
      <c r="G187" s="10">
        <f>IFERROR(__xludf.DUMMYFUNCTION("INDEX(GOOGLEFINANCE(""NSE:""&amp;C187,dates!$I$1,dates!$C$4),2,2)"),1588.9)</f>
        <v>1588.9</v>
      </c>
      <c r="H187" s="10">
        <f>IFERROR(__xludf.DUMMYFUNCTION("INDEX(GOOGLEFINANCE(""NSE:""&amp;C187,dates!$I$1,dates!$C$5),2,2)"),1604.5)</f>
        <v>1604.5</v>
      </c>
      <c r="I187" s="10">
        <f>IFERROR(__xludf.DUMMYFUNCTION("INDEX(GOOGLEFINANCE(""NSE:""&amp;C187,dates!$I$1,dates!$C$6),2,2)"),1698.7)</f>
        <v>1698.7</v>
      </c>
      <c r="J187" s="16" t="str">
        <f t="shared" si="1"/>
        <v>#N/A</v>
      </c>
      <c r="K187" s="16" t="str">
        <f t="shared" si="2"/>
        <v>#N/A</v>
      </c>
      <c r="L187" s="16" t="str">
        <f t="shared" si="3"/>
        <v>#N/A</v>
      </c>
      <c r="M187" s="16" t="str">
        <f t="shared" si="4"/>
        <v>#N/A</v>
      </c>
      <c r="N187" s="17" t="str">
        <f t="shared" si="5"/>
        <v>#N/A</v>
      </c>
      <c r="O187" s="17" t="str">
        <f t="shared" si="6"/>
        <v>#N/A</v>
      </c>
      <c r="P187" s="17" t="str">
        <f t="shared" si="7"/>
        <v>#N/A</v>
      </c>
      <c r="Q187" s="17" t="str">
        <f t="shared" si="8"/>
        <v>#N/A</v>
      </c>
      <c r="R187" s="32" t="str">
        <f t="shared" si="9"/>
        <v>#N/A</v>
      </c>
    </row>
    <row r="188">
      <c r="A188" s="7">
        <v>189.0</v>
      </c>
      <c r="B188" s="18" t="s">
        <v>388</v>
      </c>
      <c r="C188" s="9" t="s">
        <v>389</v>
      </c>
      <c r="D188" s="9">
        <f>IFERROR(__xludf.DUMMYFUNCTION("GOOGLEFINANCE(""NSE:""&amp;C188)"),495.15)</f>
        <v>495.15</v>
      </c>
      <c r="E188" s="10" t="str">
        <f>IFERROR(__xludf.DUMMYFUNCTION("INDEX(GOOGLEFINANCE(""NSE:""&amp;C188,dates!$I$1,dates!$C$3),2,2)"),"#N/A")</f>
        <v>#N/A</v>
      </c>
      <c r="F188" s="10" t="str">
        <f>IFERROR(__xludf.DUMMYFUNCTION("INDEX(GOOGLEFINANCE(""NSE:""&amp;C188,dates!$I$1,dates!$C$2),2,2)"),"#N/A")</f>
        <v>#N/A</v>
      </c>
      <c r="G188" s="10">
        <f>IFERROR(__xludf.DUMMYFUNCTION("INDEX(GOOGLEFINANCE(""NSE:""&amp;C188,dates!$I$1,dates!$C$4),2,2)"),481.9)</f>
        <v>481.9</v>
      </c>
      <c r="H188" s="10">
        <f>IFERROR(__xludf.DUMMYFUNCTION("INDEX(GOOGLEFINANCE(""NSE:""&amp;C188,dates!$I$1,dates!$C$5),2,2)"),480.75)</f>
        <v>480.75</v>
      </c>
      <c r="I188" s="10">
        <f>IFERROR(__xludf.DUMMYFUNCTION("INDEX(GOOGLEFINANCE(""NSE:""&amp;C188,dates!$I$1,dates!$C$6),2,2)"),488.15)</f>
        <v>488.15</v>
      </c>
      <c r="J188" s="16" t="str">
        <f t="shared" si="1"/>
        <v>#N/A</v>
      </c>
      <c r="K188" s="16" t="str">
        <f t="shared" si="2"/>
        <v>#N/A</v>
      </c>
      <c r="L188" s="16" t="str">
        <f t="shared" si="3"/>
        <v>#N/A</v>
      </c>
      <c r="M188" s="16" t="str">
        <f t="shared" si="4"/>
        <v>#N/A</v>
      </c>
      <c r="N188" s="17" t="str">
        <f t="shared" si="5"/>
        <v>#N/A</v>
      </c>
      <c r="O188" s="17" t="str">
        <f t="shared" si="6"/>
        <v>#N/A</v>
      </c>
      <c r="P188" s="17" t="str">
        <f t="shared" si="7"/>
        <v>#N/A</v>
      </c>
      <c r="Q188" s="17" t="str">
        <f t="shared" si="8"/>
        <v>#N/A</v>
      </c>
      <c r="R188" s="32" t="str">
        <f t="shared" si="9"/>
        <v>#N/A</v>
      </c>
    </row>
    <row r="189">
      <c r="A189" s="7">
        <v>190.0</v>
      </c>
      <c r="B189" s="18" t="s">
        <v>390</v>
      </c>
      <c r="C189" s="9" t="s">
        <v>391</v>
      </c>
      <c r="D189" s="9">
        <f>IFERROR(__xludf.DUMMYFUNCTION("GOOGLEFINANCE(""NSE:""&amp;C189)"),750.0)</f>
        <v>750</v>
      </c>
      <c r="E189" s="10" t="str">
        <f>IFERROR(__xludf.DUMMYFUNCTION("INDEX(GOOGLEFINANCE(""NSE:""&amp;C189,dates!$I$1,dates!$C$3),2,2)"),"#N/A")</f>
        <v>#N/A</v>
      </c>
      <c r="F189" s="10" t="str">
        <f>IFERROR(__xludf.DUMMYFUNCTION("INDEX(GOOGLEFINANCE(""NSE:""&amp;C189,dates!$I$1,dates!$C$2),2,2)"),"#N/A")</f>
        <v>#N/A</v>
      </c>
      <c r="G189" s="10">
        <f>IFERROR(__xludf.DUMMYFUNCTION("INDEX(GOOGLEFINANCE(""NSE:""&amp;C189,dates!$I$1,dates!$C$4),2,2)"),735.6)</f>
        <v>735.6</v>
      </c>
      <c r="H189" s="10">
        <f>IFERROR(__xludf.DUMMYFUNCTION("INDEX(GOOGLEFINANCE(""NSE:""&amp;C189,dates!$I$1,dates!$C$5),2,2)"),716.45)</f>
        <v>716.45</v>
      </c>
      <c r="I189" s="10">
        <f>IFERROR(__xludf.DUMMYFUNCTION("INDEX(GOOGLEFINANCE(""NSE:""&amp;C189,dates!$I$1,dates!$C$6),2,2)"),705.65)</f>
        <v>705.65</v>
      </c>
      <c r="J189" s="16" t="str">
        <f t="shared" si="1"/>
        <v>#N/A</v>
      </c>
      <c r="K189" s="16" t="str">
        <f t="shared" si="2"/>
        <v>#N/A</v>
      </c>
      <c r="L189" s="16" t="str">
        <f t="shared" si="3"/>
        <v>#N/A</v>
      </c>
      <c r="M189" s="16" t="str">
        <f t="shared" si="4"/>
        <v>#N/A</v>
      </c>
      <c r="N189" s="17" t="str">
        <f t="shared" si="5"/>
        <v>#N/A</v>
      </c>
      <c r="O189" s="17" t="str">
        <f t="shared" si="6"/>
        <v>#N/A</v>
      </c>
      <c r="P189" s="17" t="str">
        <f t="shared" si="7"/>
        <v>#N/A</v>
      </c>
      <c r="Q189" s="17" t="str">
        <f t="shared" si="8"/>
        <v>#N/A</v>
      </c>
      <c r="R189" s="32" t="str">
        <f t="shared" si="9"/>
        <v>#N/A</v>
      </c>
    </row>
    <row r="190">
      <c r="A190" s="7">
        <v>191.0</v>
      </c>
      <c r="B190" s="18" t="s">
        <v>392</v>
      </c>
      <c r="C190" s="9" t="s">
        <v>393</v>
      </c>
      <c r="D190" s="9">
        <f>IFERROR(__xludf.DUMMYFUNCTION("GOOGLEFINANCE(""NSE:""&amp;C190)"),972.2)</f>
        <v>972.2</v>
      </c>
      <c r="E190" s="10" t="str">
        <f>IFERROR(__xludf.DUMMYFUNCTION("INDEX(GOOGLEFINANCE(""NSE:""&amp;C190,dates!$I$1,dates!$C$3),2,2)"),"#N/A")</f>
        <v>#N/A</v>
      </c>
      <c r="F190" s="10" t="str">
        <f>IFERROR(__xludf.DUMMYFUNCTION("INDEX(GOOGLEFINANCE(""NSE:""&amp;C190,dates!$I$1,dates!$C$2),2,2)"),"#N/A")</f>
        <v>#N/A</v>
      </c>
      <c r="G190" s="10">
        <f>IFERROR(__xludf.DUMMYFUNCTION("INDEX(GOOGLEFINANCE(""NSE:""&amp;C190,dates!$I$1,dates!$C$4),2,2)"),1011.5)</f>
        <v>1011.5</v>
      </c>
      <c r="H190" s="10">
        <f>IFERROR(__xludf.DUMMYFUNCTION("INDEX(GOOGLEFINANCE(""NSE:""&amp;C190,dates!$I$1,dates!$C$5),2,2)"),1056.1)</f>
        <v>1056.1</v>
      </c>
      <c r="I190" s="10">
        <f>IFERROR(__xludf.DUMMYFUNCTION("INDEX(GOOGLEFINANCE(""NSE:""&amp;C190,dates!$I$1,dates!$C$6),2,2)"),986.65)</f>
        <v>986.65</v>
      </c>
      <c r="J190" s="16" t="str">
        <f t="shared" si="1"/>
        <v>#N/A</v>
      </c>
      <c r="K190" s="16" t="str">
        <f t="shared" si="2"/>
        <v>#N/A</v>
      </c>
      <c r="L190" s="16" t="str">
        <f t="shared" si="3"/>
        <v>#N/A</v>
      </c>
      <c r="M190" s="16" t="str">
        <f t="shared" si="4"/>
        <v>#N/A</v>
      </c>
      <c r="N190" s="17" t="str">
        <f t="shared" si="5"/>
        <v>#N/A</v>
      </c>
      <c r="O190" s="17" t="str">
        <f t="shared" si="6"/>
        <v>#N/A</v>
      </c>
      <c r="P190" s="17" t="str">
        <f t="shared" si="7"/>
        <v>#N/A</v>
      </c>
      <c r="Q190" s="17" t="str">
        <f t="shared" si="8"/>
        <v>#N/A</v>
      </c>
      <c r="R190" s="32" t="str">
        <f t="shared" si="9"/>
        <v>#N/A</v>
      </c>
    </row>
    <row r="191">
      <c r="A191" s="7">
        <v>192.0</v>
      </c>
      <c r="B191" s="18" t="s">
        <v>394</v>
      </c>
      <c r="C191" s="9" t="s">
        <v>395</v>
      </c>
      <c r="D191" s="9">
        <f>IFERROR(__xludf.DUMMYFUNCTION("GOOGLEFINANCE(""NSE:""&amp;C191)"),807.5)</f>
        <v>807.5</v>
      </c>
      <c r="E191" s="10" t="str">
        <f>IFERROR(__xludf.DUMMYFUNCTION("INDEX(GOOGLEFINANCE(""NSE:""&amp;C191,dates!$I$1,dates!$C$3),2,2)"),"#N/A")</f>
        <v>#N/A</v>
      </c>
      <c r="F191" s="10" t="str">
        <f>IFERROR(__xludf.DUMMYFUNCTION("INDEX(GOOGLEFINANCE(""NSE:""&amp;C191,dates!$I$1,dates!$C$2),2,2)"),"#N/A")</f>
        <v>#N/A</v>
      </c>
      <c r="G191" s="10">
        <f>IFERROR(__xludf.DUMMYFUNCTION("INDEX(GOOGLEFINANCE(""NSE:""&amp;C191,dates!$I$1,dates!$C$4),2,2)"),807.6)</f>
        <v>807.6</v>
      </c>
      <c r="H191" s="10">
        <f>IFERROR(__xludf.DUMMYFUNCTION("INDEX(GOOGLEFINANCE(""NSE:""&amp;C191,dates!$I$1,dates!$C$5),2,2)"),835.05)</f>
        <v>835.05</v>
      </c>
      <c r="I191" s="10">
        <f>IFERROR(__xludf.DUMMYFUNCTION("INDEX(GOOGLEFINANCE(""NSE:""&amp;C191,dates!$I$1,dates!$C$6),2,2)"),766.8)</f>
        <v>766.8</v>
      </c>
      <c r="J191" s="16" t="str">
        <f t="shared" si="1"/>
        <v>#N/A</v>
      </c>
      <c r="K191" s="16" t="str">
        <f t="shared" si="2"/>
        <v>#N/A</v>
      </c>
      <c r="L191" s="16" t="str">
        <f t="shared" si="3"/>
        <v>#N/A</v>
      </c>
      <c r="M191" s="16" t="str">
        <f t="shared" si="4"/>
        <v>#N/A</v>
      </c>
      <c r="N191" s="17" t="str">
        <f t="shared" si="5"/>
        <v>#N/A</v>
      </c>
      <c r="O191" s="17" t="str">
        <f t="shared" si="6"/>
        <v>#N/A</v>
      </c>
      <c r="P191" s="17" t="str">
        <f t="shared" si="7"/>
        <v>#N/A</v>
      </c>
      <c r="Q191" s="17" t="str">
        <f t="shared" si="8"/>
        <v>#N/A</v>
      </c>
      <c r="R191" s="32" t="str">
        <f t="shared" si="9"/>
        <v>#N/A</v>
      </c>
    </row>
    <row r="192">
      <c r="A192" s="7">
        <v>193.0</v>
      </c>
      <c r="B192" s="18" t="s">
        <v>396</v>
      </c>
      <c r="C192" s="9" t="s">
        <v>397</v>
      </c>
      <c r="D192" s="9">
        <f>IFERROR(__xludf.DUMMYFUNCTION("GOOGLEFINANCE(""NSE:""&amp;C192)"),1796.05)</f>
        <v>1796.05</v>
      </c>
      <c r="E192" s="10" t="str">
        <f>IFERROR(__xludf.DUMMYFUNCTION("INDEX(GOOGLEFINANCE(""NSE:""&amp;C192,dates!$I$1,dates!$C$3),2,2)"),"#N/A")</f>
        <v>#N/A</v>
      </c>
      <c r="F192" s="10" t="str">
        <f>IFERROR(__xludf.DUMMYFUNCTION("INDEX(GOOGLEFINANCE(""NSE:""&amp;C192,dates!$I$1,dates!$C$2),2,2)"),"#N/A")</f>
        <v>#N/A</v>
      </c>
      <c r="G192" s="10">
        <f>IFERROR(__xludf.DUMMYFUNCTION("INDEX(GOOGLEFINANCE(""NSE:""&amp;C192,dates!$I$1,dates!$C$4),2,2)"),1784.55)</f>
        <v>1784.55</v>
      </c>
      <c r="H192" s="10">
        <f>IFERROR(__xludf.DUMMYFUNCTION("INDEX(GOOGLEFINANCE(""NSE:""&amp;C192,dates!$I$1,dates!$C$5),2,2)"),1768.9)</f>
        <v>1768.9</v>
      </c>
      <c r="I192" s="10">
        <f>IFERROR(__xludf.DUMMYFUNCTION("INDEX(GOOGLEFINANCE(""NSE:""&amp;C192,dates!$I$1,dates!$C$6),2,2)"),1722.95)</f>
        <v>1722.95</v>
      </c>
      <c r="J192" s="16" t="str">
        <f t="shared" si="1"/>
        <v>#N/A</v>
      </c>
      <c r="K192" s="16" t="str">
        <f t="shared" si="2"/>
        <v>#N/A</v>
      </c>
      <c r="L192" s="16" t="str">
        <f t="shared" si="3"/>
        <v>#N/A</v>
      </c>
      <c r="M192" s="16" t="str">
        <f t="shared" si="4"/>
        <v>#N/A</v>
      </c>
      <c r="N192" s="17" t="str">
        <f t="shared" si="5"/>
        <v>#N/A</v>
      </c>
      <c r="O192" s="17" t="str">
        <f t="shared" si="6"/>
        <v>#N/A</v>
      </c>
      <c r="P192" s="17" t="str">
        <f t="shared" si="7"/>
        <v>#N/A</v>
      </c>
      <c r="Q192" s="17" t="str">
        <f t="shared" si="8"/>
        <v>#N/A</v>
      </c>
      <c r="R192" s="32" t="str">
        <f t="shared" si="9"/>
        <v>#N/A</v>
      </c>
    </row>
    <row r="193">
      <c r="A193" s="7">
        <v>194.0</v>
      </c>
      <c r="B193" s="18" t="s">
        <v>398</v>
      </c>
      <c r="C193" s="9" t="s">
        <v>399</v>
      </c>
      <c r="D193" s="9">
        <f>IFERROR(__xludf.DUMMYFUNCTION("GOOGLEFINANCE(""NSE:""&amp;C193)"),7405.2)</f>
        <v>7405.2</v>
      </c>
      <c r="E193" s="10" t="str">
        <f>IFERROR(__xludf.DUMMYFUNCTION("INDEX(GOOGLEFINANCE(""NSE:""&amp;C193,dates!$I$1,dates!$C$3),2,2)"),"#N/A")</f>
        <v>#N/A</v>
      </c>
      <c r="F193" s="10" t="str">
        <f>IFERROR(__xludf.DUMMYFUNCTION("INDEX(GOOGLEFINANCE(""NSE:""&amp;C193,dates!$I$1,dates!$C$2),2,2)"),"#N/A")</f>
        <v>#N/A</v>
      </c>
      <c r="G193" s="10">
        <f>IFERROR(__xludf.DUMMYFUNCTION("INDEX(GOOGLEFINANCE(""NSE:""&amp;C193,dates!$I$1,dates!$C$4),2,2)"),7299.85)</f>
        <v>7299.85</v>
      </c>
      <c r="H193" s="10">
        <f>IFERROR(__xludf.DUMMYFUNCTION("INDEX(GOOGLEFINANCE(""NSE:""&amp;C193,dates!$I$1,dates!$C$5),2,2)"),7307.05)</f>
        <v>7307.05</v>
      </c>
      <c r="I193" s="10">
        <f>IFERROR(__xludf.DUMMYFUNCTION("INDEX(GOOGLEFINANCE(""NSE:""&amp;C193,dates!$I$1,dates!$C$6),2,2)"),7194.7)</f>
        <v>7194.7</v>
      </c>
      <c r="J193" s="16" t="str">
        <f t="shared" si="1"/>
        <v>#N/A</v>
      </c>
      <c r="K193" s="16" t="str">
        <f t="shared" si="2"/>
        <v>#N/A</v>
      </c>
      <c r="L193" s="16" t="str">
        <f t="shared" si="3"/>
        <v>#N/A</v>
      </c>
      <c r="M193" s="16" t="str">
        <f t="shared" si="4"/>
        <v>#N/A</v>
      </c>
      <c r="N193" s="17" t="str">
        <f t="shared" si="5"/>
        <v>#N/A</v>
      </c>
      <c r="O193" s="17" t="str">
        <f t="shared" si="6"/>
        <v>#N/A</v>
      </c>
      <c r="P193" s="17" t="str">
        <f t="shared" si="7"/>
        <v>#N/A</v>
      </c>
      <c r="Q193" s="17" t="str">
        <f t="shared" si="8"/>
        <v>#N/A</v>
      </c>
      <c r="R193" s="32" t="str">
        <f t="shared" si="9"/>
        <v>#N/A</v>
      </c>
    </row>
    <row r="194">
      <c r="A194" s="7">
        <v>195.0</v>
      </c>
      <c r="B194" s="18" t="s">
        <v>400</v>
      </c>
      <c r="C194" s="9" t="s">
        <v>401</v>
      </c>
      <c r="D194" s="9">
        <f>IFERROR(__xludf.DUMMYFUNCTION("GOOGLEFINANCE(""NSE:""&amp;C194)"),3928.0)</f>
        <v>3928</v>
      </c>
      <c r="E194" s="10" t="str">
        <f>IFERROR(__xludf.DUMMYFUNCTION("INDEX(GOOGLEFINANCE(""NSE:""&amp;C194,dates!$I$1,dates!$C$3),2,2)"),"#N/A")</f>
        <v>#N/A</v>
      </c>
      <c r="F194" s="10" t="str">
        <f>IFERROR(__xludf.DUMMYFUNCTION("INDEX(GOOGLEFINANCE(""NSE:""&amp;C194,dates!$I$1,dates!$C$2),2,2)"),"#N/A")</f>
        <v>#N/A</v>
      </c>
      <c r="G194" s="10">
        <f>IFERROR(__xludf.DUMMYFUNCTION("INDEX(GOOGLEFINANCE(""NSE:""&amp;C194,dates!$I$1,dates!$C$4),2,2)"),3953.6)</f>
        <v>3953.6</v>
      </c>
      <c r="H194" s="10">
        <f>IFERROR(__xludf.DUMMYFUNCTION("INDEX(GOOGLEFINANCE(""NSE:""&amp;C194,dates!$I$1,dates!$C$5),2,2)"),4123.85)</f>
        <v>4123.85</v>
      </c>
      <c r="I194" s="10">
        <f>IFERROR(__xludf.DUMMYFUNCTION("INDEX(GOOGLEFINANCE(""NSE:""&amp;C194,dates!$I$1,dates!$C$6),2,2)"),4236.1)</f>
        <v>4236.1</v>
      </c>
      <c r="J194" s="16" t="str">
        <f t="shared" si="1"/>
        <v>#N/A</v>
      </c>
      <c r="K194" s="16" t="str">
        <f t="shared" si="2"/>
        <v>#N/A</v>
      </c>
      <c r="L194" s="16" t="str">
        <f t="shared" si="3"/>
        <v>#N/A</v>
      </c>
      <c r="M194" s="16" t="str">
        <f t="shared" si="4"/>
        <v>#N/A</v>
      </c>
      <c r="N194" s="17" t="str">
        <f t="shared" si="5"/>
        <v>#N/A</v>
      </c>
      <c r="O194" s="17" t="str">
        <f t="shared" si="6"/>
        <v>#N/A</v>
      </c>
      <c r="P194" s="17" t="str">
        <f t="shared" si="7"/>
        <v>#N/A</v>
      </c>
      <c r="Q194" s="17" t="str">
        <f t="shared" si="8"/>
        <v>#N/A</v>
      </c>
      <c r="R194" s="32" t="str">
        <f t="shared" si="9"/>
        <v>#N/A</v>
      </c>
    </row>
    <row r="195">
      <c r="A195" s="7">
        <v>196.0</v>
      </c>
      <c r="B195" s="18" t="s">
        <v>402</v>
      </c>
      <c r="C195" s="9" t="s">
        <v>403</v>
      </c>
      <c r="D195" s="9">
        <f>IFERROR(__xludf.DUMMYFUNCTION("GOOGLEFINANCE(""NSE:""&amp;C195)"),271.0)</f>
        <v>271</v>
      </c>
      <c r="E195" s="10" t="str">
        <f>IFERROR(__xludf.DUMMYFUNCTION("INDEX(GOOGLEFINANCE(""NSE:""&amp;C195,dates!$I$1,dates!$C$3),2,2)"),"#N/A")</f>
        <v>#N/A</v>
      </c>
      <c r="F195" s="10" t="str">
        <f>IFERROR(__xludf.DUMMYFUNCTION("INDEX(GOOGLEFINANCE(""NSE:""&amp;C195,dates!$I$1,dates!$C$2),2,2)"),"#N/A")</f>
        <v>#N/A</v>
      </c>
      <c r="G195" s="10">
        <f>IFERROR(__xludf.DUMMYFUNCTION("INDEX(GOOGLEFINANCE(""NSE:""&amp;C195,dates!$I$1,dates!$C$4),2,2)"),267.95)</f>
        <v>267.95</v>
      </c>
      <c r="H195" s="10">
        <f>IFERROR(__xludf.DUMMYFUNCTION("INDEX(GOOGLEFINANCE(""NSE:""&amp;C195,dates!$I$1,dates!$C$5),2,2)"),272.3)</f>
        <v>272.3</v>
      </c>
      <c r="I195" s="10">
        <f>IFERROR(__xludf.DUMMYFUNCTION("INDEX(GOOGLEFINANCE(""NSE:""&amp;C195,dates!$I$1,dates!$C$6),2,2)"),294.5)</f>
        <v>294.5</v>
      </c>
      <c r="J195" s="16" t="str">
        <f t="shared" si="1"/>
        <v>#N/A</v>
      </c>
      <c r="K195" s="16" t="str">
        <f t="shared" si="2"/>
        <v>#N/A</v>
      </c>
      <c r="L195" s="16" t="str">
        <f t="shared" si="3"/>
        <v>#N/A</v>
      </c>
      <c r="M195" s="16" t="str">
        <f t="shared" si="4"/>
        <v>#N/A</v>
      </c>
      <c r="N195" s="17" t="str">
        <f t="shared" si="5"/>
        <v>#N/A</v>
      </c>
      <c r="O195" s="17" t="str">
        <f t="shared" si="6"/>
        <v>#N/A</v>
      </c>
      <c r="P195" s="17" t="str">
        <f t="shared" si="7"/>
        <v>#N/A</v>
      </c>
      <c r="Q195" s="17" t="str">
        <f t="shared" si="8"/>
        <v>#N/A</v>
      </c>
      <c r="R195" s="32" t="str">
        <f t="shared" si="9"/>
        <v>#N/A</v>
      </c>
    </row>
    <row r="196">
      <c r="A196" s="7">
        <v>197.0</v>
      </c>
      <c r="B196" s="18" t="s">
        <v>404</v>
      </c>
      <c r="C196" s="9" t="s">
        <v>405</v>
      </c>
      <c r="D196" s="9">
        <f>IFERROR(__xludf.DUMMYFUNCTION("GOOGLEFINANCE(""NSE:""&amp;C196)"),847.0)</f>
        <v>847</v>
      </c>
      <c r="E196" s="10" t="str">
        <f>IFERROR(__xludf.DUMMYFUNCTION("INDEX(GOOGLEFINANCE(""NSE:""&amp;C196,dates!$I$1,dates!$C$3),2,2)"),"#N/A")</f>
        <v>#N/A</v>
      </c>
      <c r="F196" s="10" t="str">
        <f>IFERROR(__xludf.DUMMYFUNCTION("INDEX(GOOGLEFINANCE(""NSE:""&amp;C196,dates!$I$1,dates!$C$2),2,2)"),"#N/A")</f>
        <v>#N/A</v>
      </c>
      <c r="G196" s="10">
        <f>IFERROR(__xludf.DUMMYFUNCTION("INDEX(GOOGLEFINANCE(""NSE:""&amp;C196,dates!$I$1,dates!$C$4),2,2)"),844.5)</f>
        <v>844.5</v>
      </c>
      <c r="H196" s="10">
        <f>IFERROR(__xludf.DUMMYFUNCTION("INDEX(GOOGLEFINANCE(""NSE:""&amp;C196,dates!$I$1,dates!$C$5),2,2)"),837.3)</f>
        <v>837.3</v>
      </c>
      <c r="I196" s="10">
        <f>IFERROR(__xludf.DUMMYFUNCTION("INDEX(GOOGLEFINANCE(""NSE:""&amp;C196,dates!$I$1,dates!$C$6),2,2)"),829.0)</f>
        <v>829</v>
      </c>
      <c r="J196" s="16" t="str">
        <f t="shared" si="1"/>
        <v>#N/A</v>
      </c>
      <c r="K196" s="16" t="str">
        <f t="shared" si="2"/>
        <v>#N/A</v>
      </c>
      <c r="L196" s="16" t="str">
        <f t="shared" si="3"/>
        <v>#N/A</v>
      </c>
      <c r="M196" s="16" t="str">
        <f t="shared" si="4"/>
        <v>#N/A</v>
      </c>
      <c r="N196" s="17" t="str">
        <f t="shared" si="5"/>
        <v>#N/A</v>
      </c>
      <c r="O196" s="17" t="str">
        <f t="shared" si="6"/>
        <v>#N/A</v>
      </c>
      <c r="P196" s="17" t="str">
        <f t="shared" si="7"/>
        <v>#N/A</v>
      </c>
      <c r="Q196" s="17" t="str">
        <f t="shared" si="8"/>
        <v>#N/A</v>
      </c>
      <c r="R196" s="32" t="str">
        <f t="shared" si="9"/>
        <v>#N/A</v>
      </c>
    </row>
    <row r="197">
      <c r="A197" s="7">
        <v>198.0</v>
      </c>
      <c r="B197" s="18" t="s">
        <v>406</v>
      </c>
      <c r="C197" s="9" t="s">
        <v>407</v>
      </c>
      <c r="D197" s="9">
        <f>IFERROR(__xludf.DUMMYFUNCTION("GOOGLEFINANCE(""NSE:""&amp;C197)"),399.3)</f>
        <v>399.3</v>
      </c>
      <c r="E197" s="10" t="str">
        <f>IFERROR(__xludf.DUMMYFUNCTION("INDEX(GOOGLEFINANCE(""NSE:""&amp;C197,dates!$I$1,dates!$C$3),2,2)"),"#N/A")</f>
        <v>#N/A</v>
      </c>
      <c r="F197" s="10" t="str">
        <f>IFERROR(__xludf.DUMMYFUNCTION("INDEX(GOOGLEFINANCE(""NSE:""&amp;C197,dates!$I$1,dates!$C$2),2,2)"),"#N/A")</f>
        <v>#N/A</v>
      </c>
      <c r="G197" s="10">
        <f>IFERROR(__xludf.DUMMYFUNCTION("INDEX(GOOGLEFINANCE(""NSE:""&amp;C197,dates!$I$1,dates!$C$4),2,2)"),404.6)</f>
        <v>404.6</v>
      </c>
      <c r="H197" s="10">
        <f>IFERROR(__xludf.DUMMYFUNCTION("INDEX(GOOGLEFINANCE(""NSE:""&amp;C197,dates!$I$1,dates!$C$5),2,2)"),413.7)</f>
        <v>413.7</v>
      </c>
      <c r="I197" s="10">
        <f>IFERROR(__xludf.DUMMYFUNCTION("INDEX(GOOGLEFINANCE(""NSE:""&amp;C197,dates!$I$1,dates!$C$6),2,2)"),400.6)</f>
        <v>400.6</v>
      </c>
      <c r="J197" s="16" t="str">
        <f t="shared" si="1"/>
        <v>#N/A</v>
      </c>
      <c r="K197" s="16" t="str">
        <f t="shared" si="2"/>
        <v>#N/A</v>
      </c>
      <c r="L197" s="16" t="str">
        <f t="shared" si="3"/>
        <v>#N/A</v>
      </c>
      <c r="M197" s="16" t="str">
        <f t="shared" si="4"/>
        <v>#N/A</v>
      </c>
      <c r="N197" s="17" t="str">
        <f t="shared" si="5"/>
        <v>#N/A</v>
      </c>
      <c r="O197" s="17" t="str">
        <f t="shared" si="6"/>
        <v>#N/A</v>
      </c>
      <c r="P197" s="17" t="str">
        <f t="shared" si="7"/>
        <v>#N/A</v>
      </c>
      <c r="Q197" s="17" t="str">
        <f t="shared" si="8"/>
        <v>#N/A</v>
      </c>
      <c r="R197" s="32" t="str">
        <f t="shared" si="9"/>
        <v>#N/A</v>
      </c>
    </row>
    <row r="198">
      <c r="A198" s="7">
        <v>200.0</v>
      </c>
      <c r="B198" s="18" t="s">
        <v>410</v>
      </c>
      <c r="C198" s="19" t="s">
        <v>411</v>
      </c>
      <c r="D198" s="9">
        <f>IFERROR(__xludf.DUMMYFUNCTION("GOOGLEFINANCE(""NSE:""&amp;C198)"),87.9)</f>
        <v>87.9</v>
      </c>
      <c r="E198" s="10" t="str">
        <f>IFERROR(__xludf.DUMMYFUNCTION("INDEX(GOOGLEFINANCE(""NSE:""&amp;C198,dates!$I$1,dates!$C$3),2,2)"),"#N/A")</f>
        <v>#N/A</v>
      </c>
      <c r="F198" s="10" t="str">
        <f>IFERROR(__xludf.DUMMYFUNCTION("INDEX(GOOGLEFINANCE(""NSE:""&amp;C198,dates!$I$1,dates!$C$2),2,2)"),"#N/A")</f>
        <v>#N/A</v>
      </c>
      <c r="G198" s="10">
        <f>IFERROR(__xludf.DUMMYFUNCTION("INDEX(GOOGLEFINANCE(""NSE:""&amp;C198,dates!$I$1,dates!$C$4),2,2)"),85.5)</f>
        <v>85.5</v>
      </c>
      <c r="H198" s="10">
        <f>IFERROR(__xludf.DUMMYFUNCTION("INDEX(GOOGLEFINANCE(""NSE:""&amp;C198,dates!$I$1,dates!$C$5),2,2)"),85.2)</f>
        <v>85.2</v>
      </c>
      <c r="I198" s="10">
        <f>IFERROR(__xludf.DUMMYFUNCTION("INDEX(GOOGLEFINANCE(""NSE:""&amp;C198,dates!$I$1,dates!$C$6),2,2)"),81.45)</f>
        <v>81.45</v>
      </c>
      <c r="J198" s="16" t="str">
        <f t="shared" si="1"/>
        <v>#N/A</v>
      </c>
      <c r="K198" s="16" t="str">
        <f t="shared" si="2"/>
        <v>#N/A</v>
      </c>
      <c r="L198" s="16" t="str">
        <f t="shared" si="3"/>
        <v>#N/A</v>
      </c>
      <c r="M198" s="16" t="str">
        <f t="shared" si="4"/>
        <v>#N/A</v>
      </c>
      <c r="N198" s="17" t="str">
        <f t="shared" si="5"/>
        <v>#N/A</v>
      </c>
      <c r="O198" s="17" t="str">
        <f t="shared" si="6"/>
        <v>#N/A</v>
      </c>
      <c r="P198" s="17" t="str">
        <f t="shared" si="7"/>
        <v>#N/A</v>
      </c>
      <c r="Q198" s="17" t="str">
        <f t="shared" si="8"/>
        <v>#N/A</v>
      </c>
      <c r="R198" s="32" t="str">
        <f t="shared" si="9"/>
        <v>#N/A</v>
      </c>
    </row>
    <row r="199">
      <c r="A199" s="7">
        <v>201.0</v>
      </c>
      <c r="B199" s="18" t="s">
        <v>412</v>
      </c>
      <c r="C199" s="9" t="s">
        <v>413</v>
      </c>
      <c r="D199" s="9">
        <f>IFERROR(__xludf.DUMMYFUNCTION("GOOGLEFINANCE(""NSE:""&amp;C199)"),918.0)</f>
        <v>918</v>
      </c>
      <c r="E199" s="10" t="str">
        <f>IFERROR(__xludf.DUMMYFUNCTION("INDEX(GOOGLEFINANCE(""NSE:""&amp;C199,dates!$I$1,dates!$C$3),2,2)"),"#N/A")</f>
        <v>#N/A</v>
      </c>
      <c r="F199" s="10" t="str">
        <f>IFERROR(__xludf.DUMMYFUNCTION("INDEX(GOOGLEFINANCE(""NSE:""&amp;C199,dates!$I$1,dates!$C$2),2,2)"),"#N/A")</f>
        <v>#N/A</v>
      </c>
      <c r="G199" s="10">
        <f>IFERROR(__xludf.DUMMYFUNCTION("INDEX(GOOGLEFINANCE(""NSE:""&amp;C199,dates!$I$1,dates!$C$4),2,2)"),945.95)</f>
        <v>945.95</v>
      </c>
      <c r="H199" s="10">
        <f>IFERROR(__xludf.DUMMYFUNCTION("INDEX(GOOGLEFINANCE(""NSE:""&amp;C199,dates!$I$1,dates!$C$5),2,2)"),927.38)</f>
        <v>927.38</v>
      </c>
      <c r="I199" s="10">
        <f>IFERROR(__xludf.DUMMYFUNCTION("INDEX(GOOGLEFINANCE(""NSE:""&amp;C199,dates!$I$1,dates!$C$6),2,2)"),822.98)</f>
        <v>822.98</v>
      </c>
      <c r="J199" s="16" t="str">
        <f t="shared" si="1"/>
        <v>#N/A</v>
      </c>
      <c r="K199" s="16" t="str">
        <f t="shared" si="2"/>
        <v>#N/A</v>
      </c>
      <c r="L199" s="16" t="str">
        <f t="shared" si="3"/>
        <v>#N/A</v>
      </c>
      <c r="M199" s="16" t="str">
        <f t="shared" si="4"/>
        <v>#N/A</v>
      </c>
      <c r="N199" s="17" t="str">
        <f t="shared" si="5"/>
        <v>#N/A</v>
      </c>
      <c r="O199" s="17" t="str">
        <f t="shared" si="6"/>
        <v>#N/A</v>
      </c>
      <c r="P199" s="17" t="str">
        <f t="shared" si="7"/>
        <v>#N/A</v>
      </c>
      <c r="Q199" s="17" t="str">
        <f t="shared" si="8"/>
        <v>#N/A</v>
      </c>
      <c r="R199" s="32" t="str">
        <f t="shared" si="9"/>
        <v>#N/A</v>
      </c>
    </row>
    <row r="200">
      <c r="A200" s="7">
        <v>202.0</v>
      </c>
      <c r="B200" s="18" t="s">
        <v>414</v>
      </c>
      <c r="C200" s="9" t="s">
        <v>415</v>
      </c>
      <c r="D200" s="9">
        <f>IFERROR(__xludf.DUMMYFUNCTION("GOOGLEFINANCE(""NSE:""&amp;C200)"),732.95)</f>
        <v>732.95</v>
      </c>
      <c r="E200" s="10" t="str">
        <f>IFERROR(__xludf.DUMMYFUNCTION("INDEX(GOOGLEFINANCE(""NSE:""&amp;C200,dates!$I$1,dates!$C$3),2,2)"),"#N/A")</f>
        <v>#N/A</v>
      </c>
      <c r="F200" s="10" t="str">
        <f>IFERROR(__xludf.DUMMYFUNCTION("INDEX(GOOGLEFINANCE(""NSE:""&amp;C200,dates!$I$1,dates!$C$2),2,2)"),"#N/A")</f>
        <v>#N/A</v>
      </c>
      <c r="G200" s="10">
        <f>IFERROR(__xludf.DUMMYFUNCTION("INDEX(GOOGLEFINANCE(""NSE:""&amp;C200,dates!$I$1,dates!$C$4),2,2)"),713.95)</f>
        <v>713.95</v>
      </c>
      <c r="H200" s="10">
        <f>IFERROR(__xludf.DUMMYFUNCTION("INDEX(GOOGLEFINANCE(""NSE:""&amp;C200,dates!$I$1,dates!$C$5),2,2)"),698.9)</f>
        <v>698.9</v>
      </c>
      <c r="I200" s="10">
        <f>IFERROR(__xludf.DUMMYFUNCTION("INDEX(GOOGLEFINANCE(""NSE:""&amp;C200,dates!$I$1,dates!$C$6),2,2)"),712.1)</f>
        <v>712.1</v>
      </c>
      <c r="J200" s="16" t="str">
        <f t="shared" si="1"/>
        <v>#N/A</v>
      </c>
      <c r="K200" s="16" t="str">
        <f t="shared" si="2"/>
        <v>#N/A</v>
      </c>
      <c r="L200" s="16" t="str">
        <f t="shared" si="3"/>
        <v>#N/A</v>
      </c>
      <c r="M200" s="16" t="str">
        <f t="shared" si="4"/>
        <v>#N/A</v>
      </c>
      <c r="N200" s="17" t="str">
        <f t="shared" si="5"/>
        <v>#N/A</v>
      </c>
      <c r="O200" s="17" t="str">
        <f t="shared" si="6"/>
        <v>#N/A</v>
      </c>
      <c r="P200" s="17" t="str">
        <f t="shared" si="7"/>
        <v>#N/A</v>
      </c>
      <c r="Q200" s="17" t="str">
        <f t="shared" si="8"/>
        <v>#N/A</v>
      </c>
      <c r="R200" s="32" t="str">
        <f t="shared" si="9"/>
        <v>#N/A</v>
      </c>
    </row>
    <row r="201">
      <c r="A201" s="7">
        <v>203.0</v>
      </c>
      <c r="B201" s="18" t="s">
        <v>416</v>
      </c>
      <c r="C201" s="9" t="s">
        <v>417</v>
      </c>
      <c r="D201" s="9">
        <f>IFERROR(__xludf.DUMMYFUNCTION("GOOGLEFINANCE(""NSE:""&amp;C201)"),8205.0)</f>
        <v>8205</v>
      </c>
      <c r="E201" s="10" t="str">
        <f>IFERROR(__xludf.DUMMYFUNCTION("INDEX(GOOGLEFINANCE(""NSE:""&amp;C201,dates!$I$1,dates!$C$3),2,2)"),"#N/A")</f>
        <v>#N/A</v>
      </c>
      <c r="F201" s="10" t="str">
        <f>IFERROR(__xludf.DUMMYFUNCTION("INDEX(GOOGLEFINANCE(""NSE:""&amp;C201,dates!$I$1,dates!$C$2),2,2)"),"#N/A")</f>
        <v>#N/A</v>
      </c>
      <c r="G201" s="10">
        <f>IFERROR(__xludf.DUMMYFUNCTION("INDEX(GOOGLEFINANCE(""NSE:""&amp;C201,dates!$I$1,dates!$C$4),2,2)"),7916.3)</f>
        <v>7916.3</v>
      </c>
      <c r="H201" s="10">
        <f>IFERROR(__xludf.DUMMYFUNCTION("INDEX(GOOGLEFINANCE(""NSE:""&amp;C201,dates!$I$1,dates!$C$5),2,2)"),8213.45)</f>
        <v>8213.45</v>
      </c>
      <c r="I201" s="10">
        <f>IFERROR(__xludf.DUMMYFUNCTION("INDEX(GOOGLEFINANCE(""NSE:""&amp;C201,dates!$I$1,dates!$C$6),2,2)"),8794.0)</f>
        <v>8794</v>
      </c>
      <c r="J201" s="16" t="str">
        <f t="shared" si="1"/>
        <v>#N/A</v>
      </c>
      <c r="K201" s="16" t="str">
        <f t="shared" si="2"/>
        <v>#N/A</v>
      </c>
      <c r="L201" s="16" t="str">
        <f t="shared" si="3"/>
        <v>#N/A</v>
      </c>
      <c r="M201" s="16" t="str">
        <f t="shared" si="4"/>
        <v>#N/A</v>
      </c>
      <c r="N201" s="17" t="str">
        <f t="shared" si="5"/>
        <v>#N/A</v>
      </c>
      <c r="O201" s="17" t="str">
        <f t="shared" si="6"/>
        <v>#N/A</v>
      </c>
      <c r="P201" s="17" t="str">
        <f t="shared" si="7"/>
        <v>#N/A</v>
      </c>
      <c r="Q201" s="17" t="str">
        <f t="shared" si="8"/>
        <v>#N/A</v>
      </c>
      <c r="R201" s="32" t="str">
        <f t="shared" si="9"/>
        <v>#N/A</v>
      </c>
    </row>
    <row r="202">
      <c r="A202" s="7">
        <v>204.0</v>
      </c>
      <c r="B202" s="18" t="s">
        <v>418</v>
      </c>
      <c r="C202" s="9" t="s">
        <v>418</v>
      </c>
      <c r="D202" s="9">
        <f>IFERROR(__xludf.DUMMYFUNCTION("GOOGLEFINANCE(""NSE:""&amp;C202)"),2884.85)</f>
        <v>2884.85</v>
      </c>
      <c r="E202" s="10" t="str">
        <f>IFERROR(__xludf.DUMMYFUNCTION("INDEX(GOOGLEFINANCE(""NSE:""&amp;C202,dates!$I$1,dates!$C$3),2,2)"),"#N/A")</f>
        <v>#N/A</v>
      </c>
      <c r="F202" s="10" t="str">
        <f>IFERROR(__xludf.DUMMYFUNCTION("INDEX(GOOGLEFINANCE(""NSE:""&amp;C202,dates!$I$1,dates!$C$2),2,2)"),"#N/A")</f>
        <v>#N/A</v>
      </c>
      <c r="G202" s="10">
        <f>IFERROR(__xludf.DUMMYFUNCTION("INDEX(GOOGLEFINANCE(""NSE:""&amp;C202,dates!$I$1,dates!$C$4),2,2)"),2912.2)</f>
        <v>2912.2</v>
      </c>
      <c r="H202" s="10">
        <f>IFERROR(__xludf.DUMMYFUNCTION("INDEX(GOOGLEFINANCE(""NSE:""&amp;C202,dates!$I$1,dates!$C$5),2,2)"),2816.75)</f>
        <v>2816.75</v>
      </c>
      <c r="I202" s="10">
        <f>IFERROR(__xludf.DUMMYFUNCTION("INDEX(GOOGLEFINANCE(""NSE:""&amp;C202,dates!$I$1,dates!$C$6),2,2)"),2795.4)</f>
        <v>2795.4</v>
      </c>
      <c r="J202" s="16" t="str">
        <f t="shared" si="1"/>
        <v>#N/A</v>
      </c>
      <c r="K202" s="16" t="str">
        <f t="shared" si="2"/>
        <v>#N/A</v>
      </c>
      <c r="L202" s="16" t="str">
        <f t="shared" si="3"/>
        <v>#N/A</v>
      </c>
      <c r="M202" s="16" t="str">
        <f t="shared" si="4"/>
        <v>#N/A</v>
      </c>
      <c r="N202" s="17" t="str">
        <f t="shared" si="5"/>
        <v>#N/A</v>
      </c>
      <c r="O202" s="17" t="str">
        <f t="shared" si="6"/>
        <v>#N/A</v>
      </c>
      <c r="P202" s="17" t="str">
        <f t="shared" si="7"/>
        <v>#N/A</v>
      </c>
      <c r="Q202" s="17" t="str">
        <f t="shared" si="8"/>
        <v>#N/A</v>
      </c>
      <c r="R202" s="32" t="str">
        <f t="shared" si="9"/>
        <v>#N/A</v>
      </c>
    </row>
    <row r="203">
      <c r="A203" s="7">
        <v>205.0</v>
      </c>
      <c r="B203" s="18" t="s">
        <v>419</v>
      </c>
      <c r="C203" s="9" t="s">
        <v>420</v>
      </c>
      <c r="D203" s="9">
        <f>IFERROR(__xludf.DUMMYFUNCTION("GOOGLEFINANCE(""NSE:""&amp;C203)"),440.3)</f>
        <v>440.3</v>
      </c>
      <c r="E203" s="10" t="str">
        <f>IFERROR(__xludf.DUMMYFUNCTION("INDEX(GOOGLEFINANCE(""NSE:""&amp;C203,dates!$I$1,dates!$C$3),2,2)"),"#N/A")</f>
        <v>#N/A</v>
      </c>
      <c r="F203" s="10" t="str">
        <f>IFERROR(__xludf.DUMMYFUNCTION("INDEX(GOOGLEFINANCE(""NSE:""&amp;C203,dates!$I$1,dates!$C$2),2,2)"),"#N/A")</f>
        <v>#N/A</v>
      </c>
      <c r="G203" s="10">
        <f>IFERROR(__xludf.DUMMYFUNCTION("INDEX(GOOGLEFINANCE(""NSE:""&amp;C203,dates!$I$1,dates!$C$4),2,2)"),417.75)</f>
        <v>417.75</v>
      </c>
      <c r="H203" s="10">
        <f>IFERROR(__xludf.DUMMYFUNCTION("INDEX(GOOGLEFINANCE(""NSE:""&amp;C203,dates!$I$1,dates!$C$5),2,2)"),419.55)</f>
        <v>419.55</v>
      </c>
      <c r="I203" s="10">
        <f>IFERROR(__xludf.DUMMYFUNCTION("INDEX(GOOGLEFINANCE(""NSE:""&amp;C203,dates!$I$1,dates!$C$6),2,2)"),387.75)</f>
        <v>387.75</v>
      </c>
      <c r="J203" s="16" t="str">
        <f t="shared" si="1"/>
        <v>#N/A</v>
      </c>
      <c r="K203" s="16" t="str">
        <f t="shared" si="2"/>
        <v>#N/A</v>
      </c>
      <c r="L203" s="16" t="str">
        <f t="shared" si="3"/>
        <v>#N/A</v>
      </c>
      <c r="M203" s="16" t="str">
        <f t="shared" si="4"/>
        <v>#N/A</v>
      </c>
      <c r="N203" s="17" t="str">
        <f t="shared" si="5"/>
        <v>#N/A</v>
      </c>
      <c r="O203" s="17" t="str">
        <f t="shared" si="6"/>
        <v>#N/A</v>
      </c>
      <c r="P203" s="17" t="str">
        <f t="shared" si="7"/>
        <v>#N/A</v>
      </c>
      <c r="Q203" s="17" t="str">
        <f t="shared" si="8"/>
        <v>#N/A</v>
      </c>
      <c r="R203" s="32" t="str">
        <f t="shared" si="9"/>
        <v>#N/A</v>
      </c>
    </row>
    <row r="204">
      <c r="A204" s="7">
        <v>206.0</v>
      </c>
      <c r="B204" s="18" t="s">
        <v>421</v>
      </c>
      <c r="C204" s="9" t="s">
        <v>422</v>
      </c>
      <c r="D204" s="9">
        <f>IFERROR(__xludf.DUMMYFUNCTION("GOOGLEFINANCE(""NSE:""&amp;C204)"),2805.8)</f>
        <v>2805.8</v>
      </c>
      <c r="E204" s="10" t="str">
        <f>IFERROR(__xludf.DUMMYFUNCTION("INDEX(GOOGLEFINANCE(""NSE:""&amp;C204,dates!$I$1,dates!$C$3),2,2)"),"#N/A")</f>
        <v>#N/A</v>
      </c>
      <c r="F204" s="10" t="str">
        <f>IFERROR(__xludf.DUMMYFUNCTION("INDEX(GOOGLEFINANCE(""NSE:""&amp;C204,dates!$I$1,dates!$C$2),2,2)"),"#N/A")</f>
        <v>#N/A</v>
      </c>
      <c r="G204" s="10">
        <f>IFERROR(__xludf.DUMMYFUNCTION("INDEX(GOOGLEFINANCE(""NSE:""&amp;C204,dates!$I$1,dates!$C$4),2,2)"),2659.1)</f>
        <v>2659.1</v>
      </c>
      <c r="H204" s="10">
        <f>IFERROR(__xludf.DUMMYFUNCTION("INDEX(GOOGLEFINANCE(""NSE:""&amp;C204,dates!$I$1,dates!$C$5),2,2)"),2649.0)</f>
        <v>2649</v>
      </c>
      <c r="I204" s="10">
        <f>IFERROR(__xludf.DUMMYFUNCTION("INDEX(GOOGLEFINANCE(""NSE:""&amp;C204,dates!$I$1,dates!$C$6),2,2)"),2385.95)</f>
        <v>2385.95</v>
      </c>
      <c r="J204" s="16" t="str">
        <f t="shared" si="1"/>
        <v>#N/A</v>
      </c>
      <c r="K204" s="16" t="str">
        <f t="shared" si="2"/>
        <v>#N/A</v>
      </c>
      <c r="L204" s="16" t="str">
        <f t="shared" si="3"/>
        <v>#N/A</v>
      </c>
      <c r="M204" s="16" t="str">
        <f t="shared" si="4"/>
        <v>#N/A</v>
      </c>
      <c r="N204" s="17" t="str">
        <f t="shared" si="5"/>
        <v>#N/A</v>
      </c>
      <c r="O204" s="17" t="str">
        <f t="shared" si="6"/>
        <v>#N/A</v>
      </c>
      <c r="P204" s="17" t="str">
        <f t="shared" si="7"/>
        <v>#N/A</v>
      </c>
      <c r="Q204" s="17" t="str">
        <f t="shared" si="8"/>
        <v>#N/A</v>
      </c>
      <c r="R204" s="32" t="str">
        <f t="shared" si="9"/>
        <v>#N/A</v>
      </c>
    </row>
    <row r="205">
      <c r="A205" s="7">
        <v>207.0</v>
      </c>
      <c r="B205" s="18" t="s">
        <v>423</v>
      </c>
      <c r="C205" s="19" t="s">
        <v>424</v>
      </c>
      <c r="D205" s="9">
        <f>IFERROR(__xludf.DUMMYFUNCTION("GOOGLEFINANCE(""NSE:""&amp;C205)"),184.95)</f>
        <v>184.95</v>
      </c>
      <c r="E205" s="10" t="str">
        <f>IFERROR(__xludf.DUMMYFUNCTION("INDEX(GOOGLEFINANCE(""NSE:""&amp;C205,dates!$I$1,dates!$C$3),2,2)"),"#N/A")</f>
        <v>#N/A</v>
      </c>
      <c r="F205" s="10" t="str">
        <f>IFERROR(__xludf.DUMMYFUNCTION("INDEX(GOOGLEFINANCE(""NSE:""&amp;C205,dates!$I$1,dates!$C$2),2,2)"),"#N/A")</f>
        <v>#N/A</v>
      </c>
      <c r="G205" s="10">
        <f>IFERROR(__xludf.DUMMYFUNCTION("INDEX(GOOGLEFINANCE(""NSE:""&amp;C205,dates!$I$1,dates!$C$4),2,2)"),179.35)</f>
        <v>179.35</v>
      </c>
      <c r="H205" s="10">
        <f>IFERROR(__xludf.DUMMYFUNCTION("INDEX(GOOGLEFINANCE(""NSE:""&amp;C205,dates!$I$1,dates!$C$5),2,2)"),168.55)</f>
        <v>168.55</v>
      </c>
      <c r="I205" s="10">
        <f>IFERROR(__xludf.DUMMYFUNCTION("INDEX(GOOGLEFINANCE(""NSE:""&amp;C205,dates!$I$1,dates!$C$6),2,2)"),155.55)</f>
        <v>155.55</v>
      </c>
      <c r="J205" s="16" t="str">
        <f t="shared" si="1"/>
        <v>#N/A</v>
      </c>
      <c r="K205" s="16" t="str">
        <f t="shared" si="2"/>
        <v>#N/A</v>
      </c>
      <c r="L205" s="16" t="str">
        <f t="shared" si="3"/>
        <v>#N/A</v>
      </c>
      <c r="M205" s="16" t="str">
        <f t="shared" si="4"/>
        <v>#N/A</v>
      </c>
      <c r="N205" s="17" t="str">
        <f t="shared" si="5"/>
        <v>#N/A</v>
      </c>
      <c r="O205" s="17" t="str">
        <f t="shared" si="6"/>
        <v>#N/A</v>
      </c>
      <c r="P205" s="17" t="str">
        <f t="shared" si="7"/>
        <v>#N/A</v>
      </c>
      <c r="Q205" s="17" t="str">
        <f t="shared" si="8"/>
        <v>#N/A</v>
      </c>
      <c r="R205" s="32" t="str">
        <f t="shared" si="9"/>
        <v>#N/A</v>
      </c>
    </row>
    <row r="206">
      <c r="A206" s="7">
        <v>208.0</v>
      </c>
      <c r="B206" s="18" t="s">
        <v>425</v>
      </c>
      <c r="C206" s="9" t="s">
        <v>426</v>
      </c>
      <c r="D206" s="9">
        <f>IFERROR(__xludf.DUMMYFUNCTION("GOOGLEFINANCE(""NSE:""&amp;C206)"),321.6)</f>
        <v>321.6</v>
      </c>
      <c r="E206" s="10" t="str">
        <f>IFERROR(__xludf.DUMMYFUNCTION("INDEX(GOOGLEFINANCE(""NSE:""&amp;C206,dates!$I$1,dates!$C$3),2,2)"),"#N/A")</f>
        <v>#N/A</v>
      </c>
      <c r="F206" s="10" t="str">
        <f>IFERROR(__xludf.DUMMYFUNCTION("INDEX(GOOGLEFINANCE(""NSE:""&amp;C206,dates!$I$1,dates!$C$2),2,2)"),"#N/A")</f>
        <v>#N/A</v>
      </c>
      <c r="G206" s="10">
        <f>IFERROR(__xludf.DUMMYFUNCTION("INDEX(GOOGLEFINANCE(""NSE:""&amp;C206,dates!$I$1,dates!$C$4),2,2)"),321.25)</f>
        <v>321.25</v>
      </c>
      <c r="H206" s="10">
        <f>IFERROR(__xludf.DUMMYFUNCTION("INDEX(GOOGLEFINANCE(""NSE:""&amp;C206,dates!$I$1,dates!$C$5),2,2)"),351.0)</f>
        <v>351</v>
      </c>
      <c r="I206" s="10">
        <f>IFERROR(__xludf.DUMMYFUNCTION("INDEX(GOOGLEFINANCE(""NSE:""&amp;C206,dates!$I$1,dates!$C$6),2,2)"),347.05)</f>
        <v>347.05</v>
      </c>
      <c r="J206" s="16" t="str">
        <f t="shared" si="1"/>
        <v>#N/A</v>
      </c>
      <c r="K206" s="16" t="str">
        <f t="shared" si="2"/>
        <v>#N/A</v>
      </c>
      <c r="L206" s="16" t="str">
        <f t="shared" si="3"/>
        <v>#N/A</v>
      </c>
      <c r="M206" s="16" t="str">
        <f t="shared" si="4"/>
        <v>#N/A</v>
      </c>
      <c r="N206" s="17" t="str">
        <f t="shared" si="5"/>
        <v>#N/A</v>
      </c>
      <c r="O206" s="17" t="str">
        <f t="shared" si="6"/>
        <v>#N/A</v>
      </c>
      <c r="P206" s="17" t="str">
        <f t="shared" si="7"/>
        <v>#N/A</v>
      </c>
      <c r="Q206" s="17" t="str">
        <f t="shared" si="8"/>
        <v>#N/A</v>
      </c>
      <c r="R206" s="32" t="str">
        <f t="shared" si="9"/>
        <v>#N/A</v>
      </c>
    </row>
    <row r="207">
      <c r="A207" s="7">
        <v>209.0</v>
      </c>
      <c r="B207" s="18" t="s">
        <v>427</v>
      </c>
      <c r="C207" s="9" t="s">
        <v>428</v>
      </c>
      <c r="D207" s="9">
        <f>IFERROR(__xludf.DUMMYFUNCTION("GOOGLEFINANCE(""NSE:""&amp;C207)"),219.1)</f>
        <v>219.1</v>
      </c>
      <c r="E207" s="10" t="str">
        <f>IFERROR(__xludf.DUMMYFUNCTION("INDEX(GOOGLEFINANCE(""NSE:""&amp;C207,dates!$I$1,dates!$C$3),2,2)"),"#N/A")</f>
        <v>#N/A</v>
      </c>
      <c r="F207" s="10" t="str">
        <f>IFERROR(__xludf.DUMMYFUNCTION("INDEX(GOOGLEFINANCE(""NSE:""&amp;C207,dates!$I$1,dates!$C$2),2,2)"),"#N/A")</f>
        <v>#N/A</v>
      </c>
      <c r="G207" s="10">
        <f>IFERROR(__xludf.DUMMYFUNCTION("INDEX(GOOGLEFINANCE(""NSE:""&amp;C207,dates!$I$1,dates!$C$4),2,2)"),212.1)</f>
        <v>212.1</v>
      </c>
      <c r="H207" s="10">
        <f>IFERROR(__xludf.DUMMYFUNCTION("INDEX(GOOGLEFINANCE(""NSE:""&amp;C207,dates!$I$1,dates!$C$5),2,2)"),215.9)</f>
        <v>215.9</v>
      </c>
      <c r="I207" s="10">
        <f>IFERROR(__xludf.DUMMYFUNCTION("INDEX(GOOGLEFINANCE(""NSE:""&amp;C207,dates!$I$1,dates!$C$6),2,2)"),202.35)</f>
        <v>202.35</v>
      </c>
      <c r="J207" s="16" t="str">
        <f t="shared" si="1"/>
        <v>#N/A</v>
      </c>
      <c r="K207" s="16" t="str">
        <f t="shared" si="2"/>
        <v>#N/A</v>
      </c>
      <c r="L207" s="16" t="str">
        <f t="shared" si="3"/>
        <v>#N/A</v>
      </c>
      <c r="M207" s="16" t="str">
        <f t="shared" si="4"/>
        <v>#N/A</v>
      </c>
      <c r="N207" s="17" t="str">
        <f t="shared" si="5"/>
        <v>#N/A</v>
      </c>
      <c r="O207" s="17" t="str">
        <f t="shared" si="6"/>
        <v>#N/A</v>
      </c>
      <c r="P207" s="17" t="str">
        <f t="shared" si="7"/>
        <v>#N/A</v>
      </c>
      <c r="Q207" s="17" t="str">
        <f t="shared" si="8"/>
        <v>#N/A</v>
      </c>
      <c r="R207" s="32" t="str">
        <f t="shared" si="9"/>
        <v>#N/A</v>
      </c>
    </row>
    <row r="208">
      <c r="A208" s="7">
        <v>211.0</v>
      </c>
      <c r="B208" s="18" t="s">
        <v>429</v>
      </c>
      <c r="C208" s="9" t="s">
        <v>430</v>
      </c>
      <c r="D208" s="9">
        <f>IFERROR(__xludf.DUMMYFUNCTION("GOOGLEFINANCE(""NSE:""&amp;C208)"),2557.0)</f>
        <v>2557</v>
      </c>
      <c r="E208" s="10" t="str">
        <f>IFERROR(__xludf.DUMMYFUNCTION("INDEX(GOOGLEFINANCE(""NSE:""&amp;C208,dates!$I$1,dates!$C$3),2,2)"),"#N/A")</f>
        <v>#N/A</v>
      </c>
      <c r="F208" s="10" t="str">
        <f>IFERROR(__xludf.DUMMYFUNCTION("INDEX(GOOGLEFINANCE(""NSE:""&amp;C208,dates!$I$1,dates!$C$2),2,2)"),"#N/A")</f>
        <v>#N/A</v>
      </c>
      <c r="G208" s="10">
        <f>IFERROR(__xludf.DUMMYFUNCTION("INDEX(GOOGLEFINANCE(""NSE:""&amp;C208,dates!$I$1,dates!$C$4),2,2)"),2493.25)</f>
        <v>2493.25</v>
      </c>
      <c r="H208" s="10">
        <f>IFERROR(__xludf.DUMMYFUNCTION("INDEX(GOOGLEFINANCE(""NSE:""&amp;C208,dates!$I$1,dates!$C$5),2,2)"),2505.5)</f>
        <v>2505.5</v>
      </c>
      <c r="I208" s="10">
        <f>IFERROR(__xludf.DUMMYFUNCTION("INDEX(GOOGLEFINANCE(""NSE:""&amp;C208,dates!$I$1,dates!$C$6),2,2)"),2440.6)</f>
        <v>2440.6</v>
      </c>
      <c r="J208" s="16" t="str">
        <f t="shared" si="1"/>
        <v>#N/A</v>
      </c>
      <c r="K208" s="16" t="str">
        <f t="shared" si="2"/>
        <v>#N/A</v>
      </c>
      <c r="L208" s="16" t="str">
        <f t="shared" si="3"/>
        <v>#N/A</v>
      </c>
      <c r="M208" s="16" t="str">
        <f t="shared" si="4"/>
        <v>#N/A</v>
      </c>
      <c r="N208" s="17" t="str">
        <f t="shared" si="5"/>
        <v>#N/A</v>
      </c>
      <c r="O208" s="17" t="str">
        <f t="shared" si="6"/>
        <v>#N/A</v>
      </c>
      <c r="P208" s="17" t="str">
        <f t="shared" si="7"/>
        <v>#N/A</v>
      </c>
      <c r="Q208" s="17" t="str">
        <f t="shared" si="8"/>
        <v>#N/A</v>
      </c>
      <c r="R208" s="32" t="str">
        <f t="shared" si="9"/>
        <v>#N/A</v>
      </c>
    </row>
    <row r="209">
      <c r="A209" s="7">
        <v>212.0</v>
      </c>
      <c r="B209" s="18" t="s">
        <v>431</v>
      </c>
      <c r="C209" s="9" t="s">
        <v>432</v>
      </c>
      <c r="D209" s="9">
        <f>IFERROR(__xludf.DUMMYFUNCTION("GOOGLEFINANCE(""NSE:""&amp;C209)"),3930.0)</f>
        <v>3930</v>
      </c>
      <c r="E209" s="10" t="str">
        <f>IFERROR(__xludf.DUMMYFUNCTION("INDEX(GOOGLEFINANCE(""NSE:""&amp;C209,dates!$I$1,dates!$C$3),2,2)"),"#N/A")</f>
        <v>#N/A</v>
      </c>
      <c r="F209" s="10" t="str">
        <f>IFERROR(__xludf.DUMMYFUNCTION("INDEX(GOOGLEFINANCE(""NSE:""&amp;C209,dates!$I$1,dates!$C$2),2,2)"),"#N/A")</f>
        <v>#N/A</v>
      </c>
      <c r="G209" s="10">
        <f>IFERROR(__xludf.DUMMYFUNCTION("INDEX(GOOGLEFINANCE(""NSE:""&amp;C209,dates!$I$1,dates!$C$4),2,2)"),3860.15)</f>
        <v>3860.15</v>
      </c>
      <c r="H209" s="10">
        <f>IFERROR(__xludf.DUMMYFUNCTION("INDEX(GOOGLEFINANCE(""NSE:""&amp;C209,dates!$I$1,dates!$C$5),2,2)"),4019.85)</f>
        <v>4019.85</v>
      </c>
      <c r="I209" s="10">
        <f>IFERROR(__xludf.DUMMYFUNCTION("INDEX(GOOGLEFINANCE(""NSE:""&amp;C209,dates!$I$1,dates!$C$6),2,2)"),3830.05)</f>
        <v>3830.05</v>
      </c>
      <c r="J209" s="16" t="str">
        <f t="shared" si="1"/>
        <v>#N/A</v>
      </c>
      <c r="K209" s="16" t="str">
        <f t="shared" si="2"/>
        <v>#N/A</v>
      </c>
      <c r="L209" s="16" t="str">
        <f t="shared" si="3"/>
        <v>#N/A</v>
      </c>
      <c r="M209" s="16" t="str">
        <f t="shared" si="4"/>
        <v>#N/A</v>
      </c>
      <c r="N209" s="17" t="str">
        <f t="shared" si="5"/>
        <v>#N/A</v>
      </c>
      <c r="O209" s="17" t="str">
        <f t="shared" si="6"/>
        <v>#N/A</v>
      </c>
      <c r="P209" s="17" t="str">
        <f t="shared" si="7"/>
        <v>#N/A</v>
      </c>
      <c r="Q209" s="17" t="str">
        <f t="shared" si="8"/>
        <v>#N/A</v>
      </c>
      <c r="R209" s="32" t="str">
        <f t="shared" si="9"/>
        <v>#N/A</v>
      </c>
    </row>
    <row r="210">
      <c r="A210" s="7">
        <v>213.0</v>
      </c>
      <c r="B210" s="18" t="s">
        <v>433</v>
      </c>
      <c r="C210" s="9" t="s">
        <v>434</v>
      </c>
      <c r="D210" s="9">
        <f>IFERROR(__xludf.DUMMYFUNCTION("GOOGLEFINANCE(""NSE:""&amp;C210)"),2185.0)</f>
        <v>2185</v>
      </c>
      <c r="E210" s="10" t="str">
        <f>IFERROR(__xludf.DUMMYFUNCTION("INDEX(GOOGLEFINANCE(""NSE:""&amp;C210,dates!$I$1,dates!$C$3),2,2)"),"#N/A")</f>
        <v>#N/A</v>
      </c>
      <c r="F210" s="10" t="str">
        <f>IFERROR(__xludf.DUMMYFUNCTION("INDEX(GOOGLEFINANCE(""NSE:""&amp;C210,dates!$I$1,dates!$C$2),2,2)"),"#N/A")</f>
        <v>#N/A</v>
      </c>
      <c r="G210" s="10">
        <f>IFERROR(__xludf.DUMMYFUNCTION("INDEX(GOOGLEFINANCE(""NSE:""&amp;C210,dates!$I$1,dates!$C$4),2,2)"),2185.15)</f>
        <v>2185.15</v>
      </c>
      <c r="H210" s="10">
        <f>IFERROR(__xludf.DUMMYFUNCTION("INDEX(GOOGLEFINANCE(""NSE:""&amp;C210,dates!$I$1,dates!$C$5),2,2)"),2137.05)</f>
        <v>2137.05</v>
      </c>
      <c r="I210" s="10">
        <f>IFERROR(__xludf.DUMMYFUNCTION("INDEX(GOOGLEFINANCE(""NSE:""&amp;C210,dates!$I$1,dates!$C$6),2,2)"),2218.3)</f>
        <v>2218.3</v>
      </c>
      <c r="J210" s="16" t="str">
        <f t="shared" si="1"/>
        <v>#N/A</v>
      </c>
      <c r="K210" s="16" t="str">
        <f t="shared" si="2"/>
        <v>#N/A</v>
      </c>
      <c r="L210" s="16" t="str">
        <f t="shared" si="3"/>
        <v>#N/A</v>
      </c>
      <c r="M210" s="16" t="str">
        <f t="shared" si="4"/>
        <v>#N/A</v>
      </c>
      <c r="N210" s="17" t="str">
        <f t="shared" si="5"/>
        <v>#N/A</v>
      </c>
      <c r="O210" s="17" t="str">
        <f t="shared" si="6"/>
        <v>#N/A</v>
      </c>
      <c r="P210" s="17" t="str">
        <f t="shared" si="7"/>
        <v>#N/A</v>
      </c>
      <c r="Q210" s="17" t="str">
        <f t="shared" si="8"/>
        <v>#N/A</v>
      </c>
      <c r="R210" s="32" t="str">
        <f t="shared" si="9"/>
        <v>#N/A</v>
      </c>
    </row>
    <row r="211">
      <c r="A211" s="7">
        <v>214.0</v>
      </c>
      <c r="B211" s="18" t="s">
        <v>435</v>
      </c>
      <c r="C211" s="9" t="s">
        <v>436</v>
      </c>
      <c r="D211" s="9">
        <f>IFERROR(__xludf.DUMMYFUNCTION("GOOGLEFINANCE(""NSE:""&amp;C211)"),529.25)</f>
        <v>529.25</v>
      </c>
      <c r="E211" s="10" t="str">
        <f>IFERROR(__xludf.DUMMYFUNCTION("INDEX(GOOGLEFINANCE(""NSE:""&amp;C211,dates!$I$1,dates!$C$3),2,2)"),"#N/A")</f>
        <v>#N/A</v>
      </c>
      <c r="F211" s="10" t="str">
        <f>IFERROR(__xludf.DUMMYFUNCTION("INDEX(GOOGLEFINANCE(""NSE:""&amp;C211,dates!$I$1,dates!$C$2),2,2)"),"#N/A")</f>
        <v>#N/A</v>
      </c>
      <c r="G211" s="10">
        <f>IFERROR(__xludf.DUMMYFUNCTION("INDEX(GOOGLEFINANCE(""NSE:""&amp;C211,dates!$I$1,dates!$C$4),2,2)"),493.15)</f>
        <v>493.15</v>
      </c>
      <c r="H211" s="10">
        <f>IFERROR(__xludf.DUMMYFUNCTION("INDEX(GOOGLEFINANCE(""NSE:""&amp;C211,dates!$I$1,dates!$C$5),2,2)"),488.65)</f>
        <v>488.65</v>
      </c>
      <c r="I211" s="10">
        <f>IFERROR(__xludf.DUMMYFUNCTION("INDEX(GOOGLEFINANCE(""NSE:""&amp;C211,dates!$I$1,dates!$C$6),2,2)"),482.65)</f>
        <v>482.65</v>
      </c>
      <c r="J211" s="16" t="str">
        <f t="shared" si="1"/>
        <v>#N/A</v>
      </c>
      <c r="K211" s="16" t="str">
        <f t="shared" si="2"/>
        <v>#N/A</v>
      </c>
      <c r="L211" s="16" t="str">
        <f t="shared" si="3"/>
        <v>#N/A</v>
      </c>
      <c r="M211" s="16" t="str">
        <f t="shared" si="4"/>
        <v>#N/A</v>
      </c>
      <c r="N211" s="17" t="str">
        <f t="shared" si="5"/>
        <v>#N/A</v>
      </c>
      <c r="O211" s="17" t="str">
        <f t="shared" si="6"/>
        <v>#N/A</v>
      </c>
      <c r="P211" s="17" t="str">
        <f t="shared" si="7"/>
        <v>#N/A</v>
      </c>
      <c r="Q211" s="17" t="str">
        <f t="shared" si="8"/>
        <v>#N/A</v>
      </c>
      <c r="R211" s="32" t="str">
        <f t="shared" si="9"/>
        <v>#N/A</v>
      </c>
    </row>
    <row r="212">
      <c r="A212" s="7">
        <v>215.0</v>
      </c>
      <c r="B212" s="18" t="s">
        <v>437</v>
      </c>
      <c r="C212" s="9" t="s">
        <v>438</v>
      </c>
      <c r="D212" s="9">
        <f>IFERROR(__xludf.DUMMYFUNCTION("GOOGLEFINANCE(""NSE:""&amp;C212)"),5978.55)</f>
        <v>5978.55</v>
      </c>
      <c r="E212" s="10" t="str">
        <f>IFERROR(__xludf.DUMMYFUNCTION("INDEX(GOOGLEFINANCE(""NSE:""&amp;C212,dates!$I$1,dates!$C$3),2,2)"),"#N/A")</f>
        <v>#N/A</v>
      </c>
      <c r="F212" s="10" t="str">
        <f>IFERROR(__xludf.DUMMYFUNCTION("INDEX(GOOGLEFINANCE(""NSE:""&amp;C212,dates!$I$1,dates!$C$2),2,2)"),"#N/A")</f>
        <v>#N/A</v>
      </c>
      <c r="G212" s="10">
        <f>IFERROR(__xludf.DUMMYFUNCTION("INDEX(GOOGLEFINANCE(""NSE:""&amp;C212,dates!$I$1,dates!$C$4),2,2)"),5945.5)</f>
        <v>5945.5</v>
      </c>
      <c r="H212" s="10">
        <f>IFERROR(__xludf.DUMMYFUNCTION("INDEX(GOOGLEFINANCE(""NSE:""&amp;C212,dates!$I$1,dates!$C$5),2,2)"),6145.5)</f>
        <v>6145.5</v>
      </c>
      <c r="I212" s="10">
        <f>IFERROR(__xludf.DUMMYFUNCTION("INDEX(GOOGLEFINANCE(""NSE:""&amp;C212,dates!$I$1,dates!$C$6),2,2)"),5825.25)</f>
        <v>5825.25</v>
      </c>
      <c r="J212" s="16" t="str">
        <f t="shared" si="1"/>
        <v>#N/A</v>
      </c>
      <c r="K212" s="16" t="str">
        <f t="shared" si="2"/>
        <v>#N/A</v>
      </c>
      <c r="L212" s="16" t="str">
        <f t="shared" si="3"/>
        <v>#N/A</v>
      </c>
      <c r="M212" s="16" t="str">
        <f t="shared" si="4"/>
        <v>#N/A</v>
      </c>
      <c r="N212" s="17" t="str">
        <f t="shared" si="5"/>
        <v>#N/A</v>
      </c>
      <c r="O212" s="17" t="str">
        <f t="shared" si="6"/>
        <v>#N/A</v>
      </c>
      <c r="P212" s="17" t="str">
        <f t="shared" si="7"/>
        <v>#N/A</v>
      </c>
      <c r="Q212" s="17" t="str">
        <f t="shared" si="8"/>
        <v>#N/A</v>
      </c>
      <c r="R212" s="32" t="str">
        <f t="shared" si="9"/>
        <v>#N/A</v>
      </c>
    </row>
    <row r="213">
      <c r="A213" s="7">
        <v>216.0</v>
      </c>
      <c r="B213" s="18" t="s">
        <v>439</v>
      </c>
      <c r="C213" s="9" t="s">
        <v>440</v>
      </c>
      <c r="D213" s="9">
        <f>IFERROR(__xludf.DUMMYFUNCTION("GOOGLEFINANCE(""NSE:""&amp;C213)"),215.2)</f>
        <v>215.2</v>
      </c>
      <c r="E213" s="10" t="str">
        <f>IFERROR(__xludf.DUMMYFUNCTION("INDEX(GOOGLEFINANCE(""NSE:""&amp;C213,dates!$I$1,dates!$C$3),2,2)"),"#N/A")</f>
        <v>#N/A</v>
      </c>
      <c r="F213" s="10" t="str">
        <f>IFERROR(__xludf.DUMMYFUNCTION("INDEX(GOOGLEFINANCE(""NSE:""&amp;C213,dates!$I$1,dates!$C$2),2,2)"),"#N/A")</f>
        <v>#N/A</v>
      </c>
      <c r="G213" s="10">
        <f>IFERROR(__xludf.DUMMYFUNCTION("INDEX(GOOGLEFINANCE(""NSE:""&amp;C213,dates!$I$1,dates!$C$4),2,2)"),199.8)</f>
        <v>199.8</v>
      </c>
      <c r="H213" s="10">
        <f>IFERROR(__xludf.DUMMYFUNCTION("INDEX(GOOGLEFINANCE(""NSE:""&amp;C213,dates!$I$1,dates!$C$5),2,2)"),193.35)</f>
        <v>193.35</v>
      </c>
      <c r="I213" s="10">
        <f>IFERROR(__xludf.DUMMYFUNCTION("INDEX(GOOGLEFINANCE(""NSE:""&amp;C213,dates!$I$1,dates!$C$6),2,2)"),176.55)</f>
        <v>176.55</v>
      </c>
      <c r="J213" s="16" t="str">
        <f t="shared" si="1"/>
        <v>#N/A</v>
      </c>
      <c r="K213" s="16" t="str">
        <f t="shared" si="2"/>
        <v>#N/A</v>
      </c>
      <c r="L213" s="16" t="str">
        <f t="shared" si="3"/>
        <v>#N/A</v>
      </c>
      <c r="M213" s="16" t="str">
        <f t="shared" si="4"/>
        <v>#N/A</v>
      </c>
      <c r="N213" s="17" t="str">
        <f t="shared" si="5"/>
        <v>#N/A</v>
      </c>
      <c r="O213" s="17" t="str">
        <f t="shared" si="6"/>
        <v>#N/A</v>
      </c>
      <c r="P213" s="17" t="str">
        <f t="shared" si="7"/>
        <v>#N/A</v>
      </c>
      <c r="Q213" s="17" t="str">
        <f t="shared" si="8"/>
        <v>#N/A</v>
      </c>
      <c r="R213" s="32" t="str">
        <f t="shared" si="9"/>
        <v>#N/A</v>
      </c>
    </row>
    <row r="214">
      <c r="A214" s="7">
        <v>217.0</v>
      </c>
      <c r="B214" s="18" t="s">
        <v>441</v>
      </c>
      <c r="C214" s="9" t="s">
        <v>442</v>
      </c>
      <c r="D214" s="9">
        <f>IFERROR(__xludf.DUMMYFUNCTION("GOOGLEFINANCE(""NSE:""&amp;C214)"),591.1)</f>
        <v>591.1</v>
      </c>
      <c r="E214" s="10" t="str">
        <f>IFERROR(__xludf.DUMMYFUNCTION("INDEX(GOOGLEFINANCE(""NSE:""&amp;C214,dates!$I$1,dates!$C$3),2,2)"),"#N/A")</f>
        <v>#N/A</v>
      </c>
      <c r="F214" s="10" t="str">
        <f>IFERROR(__xludf.DUMMYFUNCTION("INDEX(GOOGLEFINANCE(""NSE:""&amp;C214,dates!$I$1,dates!$C$2),2,2)"),"#N/A")</f>
        <v>#N/A</v>
      </c>
      <c r="G214" s="10">
        <f>IFERROR(__xludf.DUMMYFUNCTION("INDEX(GOOGLEFINANCE(""NSE:""&amp;C214,dates!$I$1,dates!$C$4),2,2)"),546.8)</f>
        <v>546.8</v>
      </c>
      <c r="H214" s="10">
        <f>IFERROR(__xludf.DUMMYFUNCTION("INDEX(GOOGLEFINANCE(""NSE:""&amp;C214,dates!$I$1,dates!$C$5),2,2)"),553.7)</f>
        <v>553.7</v>
      </c>
      <c r="I214" s="10">
        <f>IFERROR(__xludf.DUMMYFUNCTION("INDEX(GOOGLEFINANCE(""NSE:""&amp;C214,dates!$I$1,dates!$C$6),2,2)"),551.15)</f>
        <v>551.15</v>
      </c>
      <c r="J214" s="16" t="str">
        <f t="shared" si="1"/>
        <v>#N/A</v>
      </c>
      <c r="K214" s="16" t="str">
        <f t="shared" si="2"/>
        <v>#N/A</v>
      </c>
      <c r="L214" s="16" t="str">
        <f t="shared" si="3"/>
        <v>#N/A</v>
      </c>
      <c r="M214" s="16" t="str">
        <f t="shared" si="4"/>
        <v>#N/A</v>
      </c>
      <c r="N214" s="17" t="str">
        <f t="shared" si="5"/>
        <v>#N/A</v>
      </c>
      <c r="O214" s="17" t="str">
        <f t="shared" si="6"/>
        <v>#N/A</v>
      </c>
      <c r="P214" s="17" t="str">
        <f t="shared" si="7"/>
        <v>#N/A</v>
      </c>
      <c r="Q214" s="17" t="str">
        <f t="shared" si="8"/>
        <v>#N/A</v>
      </c>
      <c r="R214" s="32" t="str">
        <f t="shared" si="9"/>
        <v>#N/A</v>
      </c>
    </row>
    <row r="215">
      <c r="A215" s="7">
        <v>218.0</v>
      </c>
      <c r="B215" s="18" t="s">
        <v>443</v>
      </c>
      <c r="C215" s="9" t="s">
        <v>444</v>
      </c>
      <c r="D215" s="9">
        <f>IFERROR(__xludf.DUMMYFUNCTION("GOOGLEFINANCE(""NSE:""&amp;C215)"),57.05)</f>
        <v>57.05</v>
      </c>
      <c r="E215" s="10" t="str">
        <f>IFERROR(__xludf.DUMMYFUNCTION("INDEX(GOOGLEFINANCE(""NSE:""&amp;C215,dates!$I$1,dates!$C$3),2,2)"),"#N/A")</f>
        <v>#N/A</v>
      </c>
      <c r="F215" s="10" t="str">
        <f>IFERROR(__xludf.DUMMYFUNCTION("INDEX(GOOGLEFINANCE(""NSE:""&amp;C215,dates!$I$1,dates!$C$2),2,2)"),"#N/A")</f>
        <v>#N/A</v>
      </c>
      <c r="G215" s="10">
        <f>IFERROR(__xludf.DUMMYFUNCTION("INDEX(GOOGLEFINANCE(""NSE:""&amp;C215,dates!$I$1,dates!$C$4),2,2)"),56.55)</f>
        <v>56.55</v>
      </c>
      <c r="H215" s="10">
        <f>IFERROR(__xludf.DUMMYFUNCTION("INDEX(GOOGLEFINANCE(""NSE:""&amp;C215,dates!$I$1,dates!$C$5),2,2)"),55.15)</f>
        <v>55.15</v>
      </c>
      <c r="I215" s="10">
        <f>IFERROR(__xludf.DUMMYFUNCTION("INDEX(GOOGLEFINANCE(""NSE:""&amp;C215,dates!$I$1,dates!$C$6),2,2)"),54.2)</f>
        <v>54.2</v>
      </c>
      <c r="J215" s="16" t="str">
        <f t="shared" si="1"/>
        <v>#N/A</v>
      </c>
      <c r="K215" s="16" t="str">
        <f t="shared" si="2"/>
        <v>#N/A</v>
      </c>
      <c r="L215" s="16" t="str">
        <f t="shared" si="3"/>
        <v>#N/A</v>
      </c>
      <c r="M215" s="16" t="str">
        <f t="shared" si="4"/>
        <v>#N/A</v>
      </c>
      <c r="N215" s="17" t="str">
        <f t="shared" si="5"/>
        <v>#N/A</v>
      </c>
      <c r="O215" s="17" t="str">
        <f t="shared" si="6"/>
        <v>#N/A</v>
      </c>
      <c r="P215" s="17" t="str">
        <f t="shared" si="7"/>
        <v>#N/A</v>
      </c>
      <c r="Q215" s="17" t="str">
        <f t="shared" si="8"/>
        <v>#N/A</v>
      </c>
      <c r="R215" s="32" t="str">
        <f t="shared" si="9"/>
        <v>#N/A</v>
      </c>
    </row>
    <row r="216">
      <c r="A216" s="7">
        <v>219.0</v>
      </c>
      <c r="B216" s="18" t="s">
        <v>445</v>
      </c>
      <c r="C216" s="9" t="s">
        <v>446</v>
      </c>
      <c r="D216" s="9">
        <f>IFERROR(__xludf.DUMMYFUNCTION("GOOGLEFINANCE(""NSE:""&amp;C216)"),1759.0)</f>
        <v>1759</v>
      </c>
      <c r="E216" s="10" t="str">
        <f>IFERROR(__xludf.DUMMYFUNCTION("INDEX(GOOGLEFINANCE(""NSE:""&amp;C216,dates!$I$1,dates!$C$3),2,2)"),"#N/A")</f>
        <v>#N/A</v>
      </c>
      <c r="F216" s="10" t="str">
        <f>IFERROR(__xludf.DUMMYFUNCTION("INDEX(GOOGLEFINANCE(""NSE:""&amp;C216,dates!$I$1,dates!$C$2),2,2)"),"#N/A")</f>
        <v>#N/A</v>
      </c>
      <c r="G216" s="10">
        <f>IFERROR(__xludf.DUMMYFUNCTION("INDEX(GOOGLEFINANCE(""NSE:""&amp;C216,dates!$I$1,dates!$C$4),2,2)"),1704.2)</f>
        <v>1704.2</v>
      </c>
      <c r="H216" s="10">
        <f>IFERROR(__xludf.DUMMYFUNCTION("INDEX(GOOGLEFINANCE(""NSE:""&amp;C216,dates!$I$1,dates!$C$5),2,2)"),1697.35)</f>
        <v>1697.35</v>
      </c>
      <c r="I216" s="10">
        <f>IFERROR(__xludf.DUMMYFUNCTION("INDEX(GOOGLEFINANCE(""NSE:""&amp;C216,dates!$I$1,dates!$C$6),2,2)"),1699.0)</f>
        <v>1699</v>
      </c>
      <c r="J216" s="16" t="str">
        <f t="shared" si="1"/>
        <v>#N/A</v>
      </c>
      <c r="K216" s="16" t="str">
        <f t="shared" si="2"/>
        <v>#N/A</v>
      </c>
      <c r="L216" s="16" t="str">
        <f t="shared" si="3"/>
        <v>#N/A</v>
      </c>
      <c r="M216" s="16" t="str">
        <f t="shared" si="4"/>
        <v>#N/A</v>
      </c>
      <c r="N216" s="17" t="str">
        <f t="shared" si="5"/>
        <v>#N/A</v>
      </c>
      <c r="O216" s="17" t="str">
        <f t="shared" si="6"/>
        <v>#N/A</v>
      </c>
      <c r="P216" s="17" t="str">
        <f t="shared" si="7"/>
        <v>#N/A</v>
      </c>
      <c r="Q216" s="17" t="str">
        <f t="shared" si="8"/>
        <v>#N/A</v>
      </c>
      <c r="R216" s="32" t="str">
        <f t="shared" si="9"/>
        <v>#N/A</v>
      </c>
    </row>
    <row r="217">
      <c r="A217" s="7">
        <v>220.0</v>
      </c>
      <c r="B217" s="18" t="s">
        <v>447</v>
      </c>
      <c r="C217" s="9" t="s">
        <v>448</v>
      </c>
      <c r="D217" s="9">
        <f>IFERROR(__xludf.DUMMYFUNCTION("GOOGLEFINANCE(""NSE:""&amp;C217)"),1168.0)</f>
        <v>1168</v>
      </c>
      <c r="E217" s="10" t="str">
        <f>IFERROR(__xludf.DUMMYFUNCTION("INDEX(GOOGLEFINANCE(""NSE:""&amp;C217,dates!$I$1,dates!$C$3),2,2)"),"#N/A")</f>
        <v>#N/A</v>
      </c>
      <c r="F217" s="10" t="str">
        <f>IFERROR(__xludf.DUMMYFUNCTION("INDEX(GOOGLEFINANCE(""NSE:""&amp;C217,dates!$I$1,dates!$C$2),2,2)"),"#N/A")</f>
        <v>#N/A</v>
      </c>
      <c r="G217" s="10">
        <f>IFERROR(__xludf.DUMMYFUNCTION("INDEX(GOOGLEFINANCE(""NSE:""&amp;C217,dates!$I$1,dates!$C$4),2,2)"),1155.0)</f>
        <v>1155</v>
      </c>
      <c r="H217" s="10">
        <f>IFERROR(__xludf.DUMMYFUNCTION("INDEX(GOOGLEFINANCE(""NSE:""&amp;C217,dates!$I$1,dates!$C$5),2,2)"),1172.7)</f>
        <v>1172.7</v>
      </c>
      <c r="I217" s="10">
        <f>IFERROR(__xludf.DUMMYFUNCTION("INDEX(GOOGLEFINANCE(""NSE:""&amp;C217,dates!$I$1,dates!$C$6),2,2)"),1185.05)</f>
        <v>1185.05</v>
      </c>
      <c r="J217" s="16" t="str">
        <f t="shared" si="1"/>
        <v>#N/A</v>
      </c>
      <c r="K217" s="16" t="str">
        <f t="shared" si="2"/>
        <v>#N/A</v>
      </c>
      <c r="L217" s="16" t="str">
        <f t="shared" si="3"/>
        <v>#N/A</v>
      </c>
      <c r="M217" s="16" t="str">
        <f t="shared" si="4"/>
        <v>#N/A</v>
      </c>
      <c r="N217" s="17" t="str">
        <f t="shared" si="5"/>
        <v>#N/A</v>
      </c>
      <c r="O217" s="17" t="str">
        <f t="shared" si="6"/>
        <v>#N/A</v>
      </c>
      <c r="P217" s="17" t="str">
        <f t="shared" si="7"/>
        <v>#N/A</v>
      </c>
      <c r="Q217" s="17" t="str">
        <f t="shared" si="8"/>
        <v>#N/A</v>
      </c>
      <c r="R217" s="32" t="str">
        <f t="shared" si="9"/>
        <v>#N/A</v>
      </c>
    </row>
    <row r="218">
      <c r="A218" s="7">
        <v>221.0</v>
      </c>
      <c r="B218" s="18" t="s">
        <v>449</v>
      </c>
      <c r="C218" s="9" t="s">
        <v>450</v>
      </c>
      <c r="D218" s="9">
        <f>IFERROR(__xludf.DUMMYFUNCTION("GOOGLEFINANCE(""NSE:""&amp;C218)"),2020.0)</f>
        <v>2020</v>
      </c>
      <c r="E218" s="10" t="str">
        <f>IFERROR(__xludf.DUMMYFUNCTION("INDEX(GOOGLEFINANCE(""NSE:""&amp;C218,dates!$I$1,dates!$C$3),2,2)"),"#N/A")</f>
        <v>#N/A</v>
      </c>
      <c r="F218" s="10" t="str">
        <f>IFERROR(__xludf.DUMMYFUNCTION("INDEX(GOOGLEFINANCE(""NSE:""&amp;C218,dates!$I$1,dates!$C$2),2,2)"),"#N/A")</f>
        <v>#N/A</v>
      </c>
      <c r="G218" s="10">
        <f>IFERROR(__xludf.DUMMYFUNCTION("INDEX(GOOGLEFINANCE(""NSE:""&amp;C218,dates!$I$1,dates!$C$4),2,2)"),2097.75)</f>
        <v>2097.75</v>
      </c>
      <c r="H218" s="10">
        <f>IFERROR(__xludf.DUMMYFUNCTION("INDEX(GOOGLEFINANCE(""NSE:""&amp;C218,dates!$I$1,dates!$C$5),2,2)"),2095.85)</f>
        <v>2095.85</v>
      </c>
      <c r="I218" s="10">
        <f>IFERROR(__xludf.DUMMYFUNCTION("INDEX(GOOGLEFINANCE(""NSE:""&amp;C218,dates!$I$1,dates!$C$6),2,2)"),1932.9)</f>
        <v>1932.9</v>
      </c>
      <c r="J218" s="16" t="str">
        <f t="shared" si="1"/>
        <v>#N/A</v>
      </c>
      <c r="K218" s="16" t="str">
        <f t="shared" si="2"/>
        <v>#N/A</v>
      </c>
      <c r="L218" s="16" t="str">
        <f t="shared" si="3"/>
        <v>#N/A</v>
      </c>
      <c r="M218" s="16" t="str">
        <f t="shared" si="4"/>
        <v>#N/A</v>
      </c>
      <c r="N218" s="17" t="str">
        <f t="shared" si="5"/>
        <v>#N/A</v>
      </c>
      <c r="O218" s="17" t="str">
        <f t="shared" si="6"/>
        <v>#N/A</v>
      </c>
      <c r="P218" s="17" t="str">
        <f t="shared" si="7"/>
        <v>#N/A</v>
      </c>
      <c r="Q218" s="17" t="str">
        <f t="shared" si="8"/>
        <v>#N/A</v>
      </c>
      <c r="R218" s="32" t="str">
        <f t="shared" si="9"/>
        <v>#N/A</v>
      </c>
    </row>
    <row r="219">
      <c r="A219" s="7">
        <v>222.0</v>
      </c>
      <c r="B219" s="18" t="s">
        <v>451</v>
      </c>
      <c r="C219" s="9" t="s">
        <v>452</v>
      </c>
      <c r="D219" s="9">
        <f>IFERROR(__xludf.DUMMYFUNCTION("GOOGLEFINANCE(""NSE:""&amp;C219)"),1507.0)</f>
        <v>1507</v>
      </c>
      <c r="E219" s="10" t="str">
        <f>IFERROR(__xludf.DUMMYFUNCTION("INDEX(GOOGLEFINANCE(""NSE:""&amp;C219,dates!$I$1,dates!$C$3),2,2)"),"#N/A")</f>
        <v>#N/A</v>
      </c>
      <c r="F219" s="10" t="str">
        <f>IFERROR(__xludf.DUMMYFUNCTION("INDEX(GOOGLEFINANCE(""NSE:""&amp;C219,dates!$I$1,dates!$C$2),2,2)"),"#N/A")</f>
        <v>#N/A</v>
      </c>
      <c r="G219" s="10">
        <f>IFERROR(__xludf.DUMMYFUNCTION("INDEX(GOOGLEFINANCE(""NSE:""&amp;C219,dates!$I$1,dates!$C$4),2,2)"),1452.55)</f>
        <v>1452.55</v>
      </c>
      <c r="H219" s="10">
        <f>IFERROR(__xludf.DUMMYFUNCTION("INDEX(GOOGLEFINANCE(""NSE:""&amp;C219,dates!$I$1,dates!$C$5),2,2)"),1378.85)</f>
        <v>1378.85</v>
      </c>
      <c r="I219" s="10">
        <f>IFERROR(__xludf.DUMMYFUNCTION("INDEX(GOOGLEFINANCE(""NSE:""&amp;C219,dates!$I$1,dates!$C$6),2,2)"),1347.5)</f>
        <v>1347.5</v>
      </c>
      <c r="J219" s="16" t="str">
        <f t="shared" si="1"/>
        <v>#N/A</v>
      </c>
      <c r="K219" s="16" t="str">
        <f t="shared" si="2"/>
        <v>#N/A</v>
      </c>
      <c r="L219" s="16" t="str">
        <f t="shared" si="3"/>
        <v>#N/A</v>
      </c>
      <c r="M219" s="16" t="str">
        <f t="shared" si="4"/>
        <v>#N/A</v>
      </c>
      <c r="N219" s="17" t="str">
        <f t="shared" si="5"/>
        <v>#N/A</v>
      </c>
      <c r="O219" s="17" t="str">
        <f t="shared" si="6"/>
        <v>#N/A</v>
      </c>
      <c r="P219" s="17" t="str">
        <f t="shared" si="7"/>
        <v>#N/A</v>
      </c>
      <c r="Q219" s="17" t="str">
        <f t="shared" si="8"/>
        <v>#N/A</v>
      </c>
      <c r="R219" s="32" t="str">
        <f t="shared" si="9"/>
        <v>#N/A</v>
      </c>
    </row>
    <row r="220">
      <c r="A220" s="7">
        <v>223.0</v>
      </c>
      <c r="B220" s="18" t="s">
        <v>453</v>
      </c>
      <c r="C220" s="9" t="s">
        <v>454</v>
      </c>
      <c r="D220" s="9">
        <f>IFERROR(__xludf.DUMMYFUNCTION("GOOGLEFINANCE(""NSE:""&amp;C220)"),1874.0)</f>
        <v>1874</v>
      </c>
      <c r="E220" s="10" t="str">
        <f>IFERROR(__xludf.DUMMYFUNCTION("INDEX(GOOGLEFINANCE(""NSE:""&amp;C220,dates!$I$1,dates!$C$3),2,2)"),"#N/A")</f>
        <v>#N/A</v>
      </c>
      <c r="F220" s="10" t="str">
        <f>IFERROR(__xludf.DUMMYFUNCTION("INDEX(GOOGLEFINANCE(""NSE:""&amp;C220,dates!$I$1,dates!$C$2),2,2)"),"#N/A")</f>
        <v>#N/A</v>
      </c>
      <c r="G220" s="10">
        <f>IFERROR(__xludf.DUMMYFUNCTION("INDEX(GOOGLEFINANCE(""NSE:""&amp;C220,dates!$I$1,dates!$C$4),2,2)"),1857.15)</f>
        <v>1857.15</v>
      </c>
      <c r="H220" s="10">
        <f>IFERROR(__xludf.DUMMYFUNCTION("INDEX(GOOGLEFINANCE(""NSE:""&amp;C220,dates!$I$1,dates!$C$5),2,2)"),1930.75)</f>
        <v>1930.75</v>
      </c>
      <c r="I220" s="10">
        <f>IFERROR(__xludf.DUMMYFUNCTION("INDEX(GOOGLEFINANCE(""NSE:""&amp;C220,dates!$I$1,dates!$C$6),2,2)"),1789.5)</f>
        <v>1789.5</v>
      </c>
      <c r="J220" s="16" t="str">
        <f t="shared" si="1"/>
        <v>#N/A</v>
      </c>
      <c r="K220" s="16" t="str">
        <f t="shared" si="2"/>
        <v>#N/A</v>
      </c>
      <c r="L220" s="16" t="str">
        <f t="shared" si="3"/>
        <v>#N/A</v>
      </c>
      <c r="M220" s="16" t="str">
        <f t="shared" si="4"/>
        <v>#N/A</v>
      </c>
      <c r="N220" s="17" t="str">
        <f t="shared" si="5"/>
        <v>#N/A</v>
      </c>
      <c r="O220" s="17" t="str">
        <f t="shared" si="6"/>
        <v>#N/A</v>
      </c>
      <c r="P220" s="17" t="str">
        <f t="shared" si="7"/>
        <v>#N/A</v>
      </c>
      <c r="Q220" s="17" t="str">
        <f t="shared" si="8"/>
        <v>#N/A</v>
      </c>
      <c r="R220" s="32" t="str">
        <f t="shared" si="9"/>
        <v>#N/A</v>
      </c>
    </row>
    <row r="221">
      <c r="A221" s="7">
        <v>224.0</v>
      </c>
      <c r="B221" s="18" t="s">
        <v>455</v>
      </c>
      <c r="C221" s="9" t="s">
        <v>456</v>
      </c>
      <c r="D221" s="9">
        <f>IFERROR(__xludf.DUMMYFUNCTION("GOOGLEFINANCE(""NSE:""&amp;C221)"),21.2)</f>
        <v>21.2</v>
      </c>
      <c r="E221" s="10" t="str">
        <f>IFERROR(__xludf.DUMMYFUNCTION("INDEX(GOOGLEFINANCE(""NSE:""&amp;C221,dates!$I$1,dates!$C$3),2,2)"),"#N/A")</f>
        <v>#N/A</v>
      </c>
      <c r="F221" s="10" t="str">
        <f>IFERROR(__xludf.DUMMYFUNCTION("INDEX(GOOGLEFINANCE(""NSE:""&amp;C221,dates!$I$1,dates!$C$2),2,2)"),"#N/A")</f>
        <v>#N/A</v>
      </c>
      <c r="G221" s="10">
        <f>IFERROR(__xludf.DUMMYFUNCTION("INDEX(GOOGLEFINANCE(""NSE:""&amp;C221,dates!$I$1,dates!$C$4),2,2)"),23.2)</f>
        <v>23.2</v>
      </c>
      <c r="H221" s="10">
        <f>IFERROR(__xludf.DUMMYFUNCTION("INDEX(GOOGLEFINANCE(""NSE:""&amp;C221,dates!$I$1,dates!$C$5),2,2)"),20.5)</f>
        <v>20.5</v>
      </c>
      <c r="I221" s="10">
        <f>IFERROR(__xludf.DUMMYFUNCTION("INDEX(GOOGLEFINANCE(""NSE:""&amp;C221,dates!$I$1,dates!$C$6),2,2)"),20.7)</f>
        <v>20.7</v>
      </c>
      <c r="J221" s="16" t="str">
        <f t="shared" si="1"/>
        <v>#N/A</v>
      </c>
      <c r="K221" s="16" t="str">
        <f t="shared" si="2"/>
        <v>#N/A</v>
      </c>
      <c r="L221" s="16" t="str">
        <f t="shared" si="3"/>
        <v>#N/A</v>
      </c>
      <c r="M221" s="16" t="str">
        <f t="shared" si="4"/>
        <v>#N/A</v>
      </c>
      <c r="N221" s="17" t="str">
        <f t="shared" si="5"/>
        <v>#N/A</v>
      </c>
      <c r="O221" s="17" t="str">
        <f t="shared" si="6"/>
        <v>#N/A</v>
      </c>
      <c r="P221" s="17" t="str">
        <f t="shared" si="7"/>
        <v>#N/A</v>
      </c>
      <c r="Q221" s="17" t="str">
        <f t="shared" si="8"/>
        <v>#N/A</v>
      </c>
      <c r="R221" s="32" t="str">
        <f t="shared" si="9"/>
        <v>#N/A</v>
      </c>
    </row>
    <row r="222">
      <c r="A222" s="7">
        <v>225.0</v>
      </c>
      <c r="B222" s="18" t="s">
        <v>457</v>
      </c>
      <c r="C222" s="9" t="s">
        <v>458</v>
      </c>
      <c r="D222" s="9">
        <f>IFERROR(__xludf.DUMMYFUNCTION("GOOGLEFINANCE(""NSE:""&amp;C222)"),36.0)</f>
        <v>36</v>
      </c>
      <c r="E222" s="10" t="str">
        <f>IFERROR(__xludf.DUMMYFUNCTION("INDEX(GOOGLEFINANCE(""NSE:""&amp;C222,dates!$I$1,dates!$C$3),2,2)"),"#N/A")</f>
        <v>#N/A</v>
      </c>
      <c r="F222" s="10" t="str">
        <f>IFERROR(__xludf.DUMMYFUNCTION("INDEX(GOOGLEFINANCE(""NSE:""&amp;C222,dates!$I$1,dates!$C$2),2,2)"),"#N/A")</f>
        <v>#N/A</v>
      </c>
      <c r="G222" s="10">
        <f>IFERROR(__xludf.DUMMYFUNCTION("INDEX(GOOGLEFINANCE(""NSE:""&amp;C222,dates!$I$1,dates!$C$4),2,2)"),31.55)</f>
        <v>31.55</v>
      </c>
      <c r="H222" s="10">
        <f>IFERROR(__xludf.DUMMYFUNCTION("INDEX(GOOGLEFINANCE(""NSE:""&amp;C222,dates!$I$1,dates!$C$5),2,2)"),30.0)</f>
        <v>30</v>
      </c>
      <c r="I222" s="10">
        <f>IFERROR(__xludf.DUMMYFUNCTION("INDEX(GOOGLEFINANCE(""NSE:""&amp;C222,dates!$I$1,dates!$C$6),2,2)"),29.15)</f>
        <v>29.15</v>
      </c>
      <c r="J222" s="16" t="str">
        <f t="shared" si="1"/>
        <v>#N/A</v>
      </c>
      <c r="K222" s="16" t="str">
        <f t="shared" si="2"/>
        <v>#N/A</v>
      </c>
      <c r="L222" s="16" t="str">
        <f t="shared" si="3"/>
        <v>#N/A</v>
      </c>
      <c r="M222" s="16" t="str">
        <f t="shared" si="4"/>
        <v>#N/A</v>
      </c>
      <c r="N222" s="17" t="str">
        <f t="shared" si="5"/>
        <v>#N/A</v>
      </c>
      <c r="O222" s="17" t="str">
        <f t="shared" si="6"/>
        <v>#N/A</v>
      </c>
      <c r="P222" s="17" t="str">
        <f t="shared" si="7"/>
        <v>#N/A</v>
      </c>
      <c r="Q222" s="17" t="str">
        <f t="shared" si="8"/>
        <v>#N/A</v>
      </c>
      <c r="R222" s="32" t="str">
        <f t="shared" si="9"/>
        <v>#N/A</v>
      </c>
    </row>
    <row r="223">
      <c r="A223" s="7">
        <v>228.0</v>
      </c>
      <c r="B223" s="18" t="s">
        <v>461</v>
      </c>
      <c r="C223" s="9" t="s">
        <v>462</v>
      </c>
      <c r="D223" s="9">
        <f>IFERROR(__xludf.DUMMYFUNCTION("GOOGLEFINANCE(""NSE:""&amp;C223)"),883.95)</f>
        <v>883.95</v>
      </c>
      <c r="E223" s="10" t="str">
        <f>IFERROR(__xludf.DUMMYFUNCTION("INDEX(GOOGLEFINANCE(""NSE:""&amp;C223,dates!$I$1,dates!$C$3),2,2)"),"#N/A")</f>
        <v>#N/A</v>
      </c>
      <c r="F223" s="10" t="str">
        <f>IFERROR(__xludf.DUMMYFUNCTION("INDEX(GOOGLEFINANCE(""NSE:""&amp;C223,dates!$I$1,dates!$C$2),2,2)"),"#N/A")</f>
        <v>#N/A</v>
      </c>
      <c r="G223" s="10">
        <f>IFERROR(__xludf.DUMMYFUNCTION("INDEX(GOOGLEFINANCE(""NSE:""&amp;C223,dates!$I$1,dates!$C$4),2,2)"),937.4)</f>
        <v>937.4</v>
      </c>
      <c r="H223" s="10">
        <f>IFERROR(__xludf.DUMMYFUNCTION("INDEX(GOOGLEFINANCE(""NSE:""&amp;C223,dates!$I$1,dates!$C$5),2,2)"),970.6)</f>
        <v>970.6</v>
      </c>
      <c r="I223" s="10">
        <f>IFERROR(__xludf.DUMMYFUNCTION("INDEX(GOOGLEFINANCE(""NSE:""&amp;C223,dates!$I$1,dates!$C$6),2,2)"),938.1)</f>
        <v>938.1</v>
      </c>
      <c r="J223" s="16" t="str">
        <f t="shared" si="1"/>
        <v>#N/A</v>
      </c>
      <c r="K223" s="16" t="str">
        <f t="shared" si="2"/>
        <v>#N/A</v>
      </c>
      <c r="L223" s="16" t="str">
        <f t="shared" si="3"/>
        <v>#N/A</v>
      </c>
      <c r="M223" s="16" t="str">
        <f t="shared" si="4"/>
        <v>#N/A</v>
      </c>
      <c r="N223" s="17" t="str">
        <f t="shared" si="5"/>
        <v>#N/A</v>
      </c>
      <c r="O223" s="17" t="str">
        <f t="shared" si="6"/>
        <v>#N/A</v>
      </c>
      <c r="P223" s="17" t="str">
        <f t="shared" si="7"/>
        <v>#N/A</v>
      </c>
      <c r="Q223" s="17" t="str">
        <f t="shared" si="8"/>
        <v>#N/A</v>
      </c>
      <c r="R223" s="32" t="str">
        <f t="shared" si="9"/>
        <v>#N/A</v>
      </c>
    </row>
    <row r="224">
      <c r="A224" s="7">
        <v>229.0</v>
      </c>
      <c r="B224" s="18" t="s">
        <v>463</v>
      </c>
      <c r="C224" s="20">
        <v>543217.0</v>
      </c>
      <c r="D224" s="9">
        <f>IFERROR(__xludf.DUMMYFUNCTION("GOOGLEFINANCE(""BOM:""&amp;C224)"),298.2)</f>
        <v>298.2</v>
      </c>
      <c r="E224" s="10" t="str">
        <f>IFERROR(__xludf.DUMMYFUNCTION("INDEX(GOOGLEFINANCE(""BOM:""&amp;C224,dates!$I$1,dates!$C$3),2,2)"),"#N/A")</f>
        <v>#N/A</v>
      </c>
      <c r="F224" s="10" t="str">
        <f>IFERROR(__xludf.DUMMYFUNCTION("INDEX(GOOGLEFINANCE(""BOM:""&amp;C224,dates!$I$1,dates!$C$2),2,2)"),"#N/A")</f>
        <v>#N/A</v>
      </c>
      <c r="G224" s="10">
        <f>IFERROR(__xludf.DUMMYFUNCTION("INDEX(GOOGLEFINANCE(""BOM:""&amp;C224,dates!$I$1,dates!$C$4),2,2)"),296.96)</f>
        <v>296.96</v>
      </c>
      <c r="H224" s="10">
        <f>IFERROR(__xludf.DUMMYFUNCTION("INDEX(GOOGLEFINANCE(""BOM:""&amp;C224,dates!$I$1,dates!$C$5),2,2)"),298.83)</f>
        <v>298.83</v>
      </c>
      <c r="I224" s="10">
        <f>IFERROR(__xludf.DUMMYFUNCTION("INDEX(GOOGLEFINANCE(""BOM:""&amp;C224,dates!$I$1,dates!$C$6),2,2)"),290.46)</f>
        <v>290.46</v>
      </c>
      <c r="J224" s="16" t="str">
        <f t="shared" si="1"/>
        <v>#N/A</v>
      </c>
      <c r="K224" s="16" t="str">
        <f t="shared" si="2"/>
        <v>#N/A</v>
      </c>
      <c r="L224" s="16" t="str">
        <f t="shared" si="3"/>
        <v>#N/A</v>
      </c>
      <c r="M224" s="16" t="str">
        <f t="shared" si="4"/>
        <v>#N/A</v>
      </c>
      <c r="N224" s="17" t="str">
        <f t="shared" si="5"/>
        <v>#N/A</v>
      </c>
      <c r="O224" s="17" t="str">
        <f t="shared" si="6"/>
        <v>#N/A</v>
      </c>
      <c r="P224" s="17" t="str">
        <f t="shared" si="7"/>
        <v>#N/A</v>
      </c>
      <c r="Q224" s="17" t="str">
        <f t="shared" si="8"/>
        <v>#N/A</v>
      </c>
      <c r="R224" s="32" t="str">
        <f t="shared" si="9"/>
        <v>#N/A</v>
      </c>
    </row>
    <row r="225">
      <c r="A225" s="7">
        <v>230.0</v>
      </c>
      <c r="B225" s="18" t="s">
        <v>464</v>
      </c>
      <c r="C225" s="9" t="s">
        <v>465</v>
      </c>
      <c r="D225" s="9">
        <f>IFERROR(__xludf.DUMMYFUNCTION("GOOGLEFINANCE(""NSE:""&amp;C225)"),580.8)</f>
        <v>580.8</v>
      </c>
      <c r="E225" s="10" t="str">
        <f>IFERROR(__xludf.DUMMYFUNCTION("INDEX(GOOGLEFINANCE(""NSE:""&amp;C225,dates!$I$1,dates!$C$3),2,2)"),"#N/A")</f>
        <v>#N/A</v>
      </c>
      <c r="F225" s="10" t="str">
        <f>IFERROR(__xludf.DUMMYFUNCTION("INDEX(GOOGLEFINANCE(""NSE:""&amp;C225,dates!$I$1,dates!$C$2),2,2)"),"#N/A")</f>
        <v>#N/A</v>
      </c>
      <c r="G225" s="10">
        <f>IFERROR(__xludf.DUMMYFUNCTION("INDEX(GOOGLEFINANCE(""NSE:""&amp;C225,dates!$I$1,dates!$C$4),2,2)"),581.65)</f>
        <v>581.65</v>
      </c>
      <c r="H225" s="10">
        <f>IFERROR(__xludf.DUMMYFUNCTION("INDEX(GOOGLEFINANCE(""NSE:""&amp;C225,dates!$I$1,dates!$C$5),2,2)"),606.7)</f>
        <v>606.7</v>
      </c>
      <c r="I225" s="10">
        <f>IFERROR(__xludf.DUMMYFUNCTION("INDEX(GOOGLEFINANCE(""NSE:""&amp;C225,dates!$I$1,dates!$C$6),2,2)"),589.45)</f>
        <v>589.45</v>
      </c>
      <c r="J225" s="16" t="str">
        <f t="shared" si="1"/>
        <v>#N/A</v>
      </c>
      <c r="K225" s="16" t="str">
        <f t="shared" si="2"/>
        <v>#N/A</v>
      </c>
      <c r="L225" s="16" t="str">
        <f t="shared" si="3"/>
        <v>#N/A</v>
      </c>
      <c r="M225" s="16" t="str">
        <f t="shared" si="4"/>
        <v>#N/A</v>
      </c>
      <c r="N225" s="17" t="str">
        <f t="shared" si="5"/>
        <v>#N/A</v>
      </c>
      <c r="O225" s="17" t="str">
        <f t="shared" si="6"/>
        <v>#N/A</v>
      </c>
      <c r="P225" s="17" t="str">
        <f t="shared" si="7"/>
        <v>#N/A</v>
      </c>
      <c r="Q225" s="17" t="str">
        <f t="shared" si="8"/>
        <v>#N/A</v>
      </c>
      <c r="R225" s="32" t="str">
        <f t="shared" si="9"/>
        <v>#N/A</v>
      </c>
    </row>
    <row r="226">
      <c r="A226" s="7">
        <v>231.0</v>
      </c>
      <c r="B226" s="18" t="s">
        <v>466</v>
      </c>
      <c r="C226" s="9" t="s">
        <v>467</v>
      </c>
      <c r="D226" s="9">
        <f>IFERROR(__xludf.DUMMYFUNCTION("GOOGLEFINANCE(""NSE:""&amp;C226)"),81.95)</f>
        <v>81.95</v>
      </c>
      <c r="E226" s="10" t="str">
        <f>IFERROR(__xludf.DUMMYFUNCTION("INDEX(GOOGLEFINANCE(""NSE:""&amp;C226,dates!$I$1,dates!$C$3),2,2)"),"#N/A")</f>
        <v>#N/A</v>
      </c>
      <c r="F226" s="10" t="str">
        <f>IFERROR(__xludf.DUMMYFUNCTION("INDEX(GOOGLEFINANCE(""NSE:""&amp;C226,dates!$I$1,dates!$C$2),2,2)"),"#N/A")</f>
        <v>#N/A</v>
      </c>
      <c r="G226" s="10">
        <f>IFERROR(__xludf.DUMMYFUNCTION("INDEX(GOOGLEFINANCE(""NSE:""&amp;C226,dates!$I$1,dates!$C$4),2,2)"),83.3)</f>
        <v>83.3</v>
      </c>
      <c r="H226" s="10">
        <f>IFERROR(__xludf.DUMMYFUNCTION("INDEX(GOOGLEFINANCE(""NSE:""&amp;C226,dates!$I$1,dates!$C$5),2,2)"),82.1)</f>
        <v>82.1</v>
      </c>
      <c r="I226" s="10">
        <f>IFERROR(__xludf.DUMMYFUNCTION("INDEX(GOOGLEFINANCE(""NSE:""&amp;C226,dates!$I$1,dates!$C$6),2,2)"),77.95)</f>
        <v>77.95</v>
      </c>
      <c r="J226" s="16" t="str">
        <f t="shared" si="1"/>
        <v>#N/A</v>
      </c>
      <c r="K226" s="16" t="str">
        <f t="shared" si="2"/>
        <v>#N/A</v>
      </c>
      <c r="L226" s="16" t="str">
        <f t="shared" si="3"/>
        <v>#N/A</v>
      </c>
      <c r="M226" s="16" t="str">
        <f t="shared" si="4"/>
        <v>#N/A</v>
      </c>
      <c r="N226" s="17" t="str">
        <f t="shared" si="5"/>
        <v>#N/A</v>
      </c>
      <c r="O226" s="17" t="str">
        <f t="shared" si="6"/>
        <v>#N/A</v>
      </c>
      <c r="P226" s="17" t="str">
        <f t="shared" si="7"/>
        <v>#N/A</v>
      </c>
      <c r="Q226" s="17" t="str">
        <f t="shared" si="8"/>
        <v>#N/A</v>
      </c>
      <c r="R226" s="32" t="str">
        <f t="shared" si="9"/>
        <v>#N/A</v>
      </c>
    </row>
    <row r="227">
      <c r="A227" s="7">
        <v>232.0</v>
      </c>
      <c r="B227" s="18" t="s">
        <v>468</v>
      </c>
      <c r="C227" s="9" t="s">
        <v>469</v>
      </c>
      <c r="D227" s="9">
        <f>IFERROR(__xludf.DUMMYFUNCTION("GOOGLEFINANCE(""NSE:""&amp;C227)"),10.55)</f>
        <v>10.55</v>
      </c>
      <c r="E227" s="10" t="str">
        <f>IFERROR(__xludf.DUMMYFUNCTION("INDEX(GOOGLEFINANCE(""NSE:""&amp;C227,dates!$I$1,dates!$C$3),2,2)"),"#N/A")</f>
        <v>#N/A</v>
      </c>
      <c r="F227" s="10" t="str">
        <f>IFERROR(__xludf.DUMMYFUNCTION("INDEX(GOOGLEFINANCE(""NSE:""&amp;C227,dates!$I$1,dates!$C$2),2,2)"),"#N/A")</f>
        <v>#N/A</v>
      </c>
      <c r="G227" s="10">
        <f>IFERROR(__xludf.DUMMYFUNCTION("INDEX(GOOGLEFINANCE(""NSE:""&amp;C227,dates!$I$1,dates!$C$4),2,2)"),11.15)</f>
        <v>11.15</v>
      </c>
      <c r="H227" s="10">
        <f>IFERROR(__xludf.DUMMYFUNCTION("INDEX(GOOGLEFINANCE(""NSE:""&amp;C227,dates!$I$1,dates!$C$5),2,2)"),7.95)</f>
        <v>7.95</v>
      </c>
      <c r="I227" s="10">
        <f>IFERROR(__xludf.DUMMYFUNCTION("INDEX(GOOGLEFINANCE(""NSE:""&amp;C227,dates!$I$1,dates!$C$6),2,2)"),6.0)</f>
        <v>6</v>
      </c>
      <c r="J227" s="16" t="str">
        <f t="shared" si="1"/>
        <v>#N/A</v>
      </c>
      <c r="K227" s="16" t="str">
        <f t="shared" si="2"/>
        <v>#N/A</v>
      </c>
      <c r="L227" s="16" t="str">
        <f t="shared" si="3"/>
        <v>#N/A</v>
      </c>
      <c r="M227" s="16" t="str">
        <f t="shared" si="4"/>
        <v>#N/A</v>
      </c>
      <c r="N227" s="17" t="str">
        <f t="shared" si="5"/>
        <v>#N/A</v>
      </c>
      <c r="O227" s="17" t="str">
        <f t="shared" si="6"/>
        <v>#N/A</v>
      </c>
      <c r="P227" s="17" t="str">
        <f t="shared" si="7"/>
        <v>#N/A</v>
      </c>
      <c r="Q227" s="17" t="str">
        <f t="shared" si="8"/>
        <v>#N/A</v>
      </c>
      <c r="R227" s="32" t="str">
        <f t="shared" si="9"/>
        <v>#N/A</v>
      </c>
    </row>
    <row r="228">
      <c r="A228" s="7">
        <v>233.0</v>
      </c>
      <c r="B228" s="18" t="s">
        <v>470</v>
      </c>
      <c r="C228" s="9" t="s">
        <v>471</v>
      </c>
      <c r="D228" s="9">
        <f>IFERROR(__xludf.DUMMYFUNCTION("GOOGLEFINANCE(""NSE:""&amp;C228)"),920.0)</f>
        <v>920</v>
      </c>
      <c r="E228" s="10" t="str">
        <f>IFERROR(__xludf.DUMMYFUNCTION("INDEX(GOOGLEFINANCE(""NSE:""&amp;C228,dates!$I$1,dates!$C$3),2,2)"),"#N/A")</f>
        <v>#N/A</v>
      </c>
      <c r="F228" s="10" t="str">
        <f>IFERROR(__xludf.DUMMYFUNCTION("INDEX(GOOGLEFINANCE(""NSE:""&amp;C228,dates!$I$1,dates!$C$2),2,2)"),"#N/A")</f>
        <v>#N/A</v>
      </c>
      <c r="G228" s="10">
        <f>IFERROR(__xludf.DUMMYFUNCTION("INDEX(GOOGLEFINANCE(""NSE:""&amp;C228,dates!$I$1,dates!$C$4),2,2)"),903.35)</f>
        <v>903.35</v>
      </c>
      <c r="H228" s="10">
        <f>IFERROR(__xludf.DUMMYFUNCTION("INDEX(GOOGLEFINANCE(""NSE:""&amp;C228,dates!$I$1,dates!$C$5),2,2)"),884.1)</f>
        <v>884.1</v>
      </c>
      <c r="I228" s="10">
        <f>IFERROR(__xludf.DUMMYFUNCTION("INDEX(GOOGLEFINANCE(""NSE:""&amp;C228,dates!$I$1,dates!$C$6),2,2)"),775.05)</f>
        <v>775.05</v>
      </c>
      <c r="J228" s="16" t="str">
        <f t="shared" si="1"/>
        <v>#N/A</v>
      </c>
      <c r="K228" s="16" t="str">
        <f t="shared" si="2"/>
        <v>#N/A</v>
      </c>
      <c r="L228" s="16" t="str">
        <f t="shared" si="3"/>
        <v>#N/A</v>
      </c>
      <c r="M228" s="16" t="str">
        <f t="shared" si="4"/>
        <v>#N/A</v>
      </c>
      <c r="N228" s="17" t="str">
        <f t="shared" si="5"/>
        <v>#N/A</v>
      </c>
      <c r="O228" s="17" t="str">
        <f t="shared" si="6"/>
        <v>#N/A</v>
      </c>
      <c r="P228" s="17" t="str">
        <f t="shared" si="7"/>
        <v>#N/A</v>
      </c>
      <c r="Q228" s="17" t="str">
        <f t="shared" si="8"/>
        <v>#N/A</v>
      </c>
      <c r="R228" s="32" t="str">
        <f t="shared" si="9"/>
        <v>#N/A</v>
      </c>
    </row>
    <row r="229">
      <c r="A229" s="7">
        <v>234.0</v>
      </c>
      <c r="B229" s="18" t="s">
        <v>472</v>
      </c>
      <c r="C229" s="9" t="s">
        <v>473</v>
      </c>
      <c r="D229" s="9">
        <f>IFERROR(__xludf.DUMMYFUNCTION("GOOGLEFINANCE(""NSE:""&amp;C229)"),185.0)</f>
        <v>185</v>
      </c>
      <c r="E229" s="10" t="str">
        <f>IFERROR(__xludf.DUMMYFUNCTION("INDEX(GOOGLEFINANCE(""NSE:""&amp;C229,dates!$I$1,dates!$C$3),2,2)"),"#N/A")</f>
        <v>#N/A</v>
      </c>
      <c r="F229" s="10" t="str">
        <f>IFERROR(__xludf.DUMMYFUNCTION("INDEX(GOOGLEFINANCE(""NSE:""&amp;C229,dates!$I$1,dates!$C$2),2,2)"),"#N/A")</f>
        <v>#N/A</v>
      </c>
      <c r="G229" s="10">
        <f>IFERROR(__xludf.DUMMYFUNCTION("INDEX(GOOGLEFINANCE(""NSE:""&amp;C229,dates!$I$1,dates!$C$4),2,2)"),149.05)</f>
        <v>149.05</v>
      </c>
      <c r="H229" s="10">
        <f>IFERROR(__xludf.DUMMYFUNCTION("INDEX(GOOGLEFINANCE(""NSE:""&amp;C229,dates!$I$1,dates!$C$5),2,2)"),154.1)</f>
        <v>154.1</v>
      </c>
      <c r="I229" s="10">
        <f>IFERROR(__xludf.DUMMYFUNCTION("INDEX(GOOGLEFINANCE(""NSE:""&amp;C229,dates!$I$1,dates!$C$6),2,2)"),140.15)</f>
        <v>140.15</v>
      </c>
      <c r="J229" s="16" t="str">
        <f t="shared" si="1"/>
        <v>#N/A</v>
      </c>
      <c r="K229" s="16" t="str">
        <f t="shared" si="2"/>
        <v>#N/A</v>
      </c>
      <c r="L229" s="16" t="str">
        <f t="shared" si="3"/>
        <v>#N/A</v>
      </c>
      <c r="M229" s="16" t="str">
        <f t="shared" si="4"/>
        <v>#N/A</v>
      </c>
      <c r="N229" s="17" t="str">
        <f t="shared" si="5"/>
        <v>#N/A</v>
      </c>
      <c r="O229" s="17" t="str">
        <f t="shared" si="6"/>
        <v>#N/A</v>
      </c>
      <c r="P229" s="17" t="str">
        <f t="shared" si="7"/>
        <v>#N/A</v>
      </c>
      <c r="Q229" s="17" t="str">
        <f t="shared" si="8"/>
        <v>#N/A</v>
      </c>
      <c r="R229" s="32" t="str">
        <f t="shared" si="9"/>
        <v>#N/A</v>
      </c>
    </row>
    <row r="230">
      <c r="A230" s="7">
        <v>235.0</v>
      </c>
      <c r="B230" s="18" t="s">
        <v>474</v>
      </c>
      <c r="C230" s="9" t="s">
        <v>475</v>
      </c>
      <c r="D230" s="9">
        <f>IFERROR(__xludf.DUMMYFUNCTION("GOOGLEFINANCE(""NSE:""&amp;C230)"),1400.0)</f>
        <v>1400</v>
      </c>
      <c r="E230" s="10" t="str">
        <f>IFERROR(__xludf.DUMMYFUNCTION("INDEX(GOOGLEFINANCE(""NSE:""&amp;C230,dates!$I$1,dates!$C$3),2,2)"),"#N/A")</f>
        <v>#N/A</v>
      </c>
      <c r="F230" s="10" t="str">
        <f>IFERROR(__xludf.DUMMYFUNCTION("INDEX(GOOGLEFINANCE(""NSE:""&amp;C230,dates!$I$1,dates!$C$2),2,2)"),"#N/A")</f>
        <v>#N/A</v>
      </c>
      <c r="G230" s="10">
        <f>IFERROR(__xludf.DUMMYFUNCTION("INDEX(GOOGLEFINANCE(""NSE:""&amp;C230,dates!$I$1,dates!$C$4),2,2)"),1476.45)</f>
        <v>1476.45</v>
      </c>
      <c r="H230" s="10">
        <f>IFERROR(__xludf.DUMMYFUNCTION("INDEX(GOOGLEFINANCE(""NSE:""&amp;C230,dates!$I$1,dates!$C$5),2,2)"),1430.95)</f>
        <v>1430.95</v>
      </c>
      <c r="I230" s="10">
        <f>IFERROR(__xludf.DUMMYFUNCTION("INDEX(GOOGLEFINANCE(""NSE:""&amp;C230,dates!$I$1,dates!$C$6),2,2)"),1373.5)</f>
        <v>1373.5</v>
      </c>
      <c r="J230" s="16" t="str">
        <f t="shared" si="1"/>
        <v>#N/A</v>
      </c>
      <c r="K230" s="16" t="str">
        <f t="shared" si="2"/>
        <v>#N/A</v>
      </c>
      <c r="L230" s="16" t="str">
        <f t="shared" si="3"/>
        <v>#N/A</v>
      </c>
      <c r="M230" s="16" t="str">
        <f t="shared" si="4"/>
        <v>#N/A</v>
      </c>
      <c r="N230" s="17" t="str">
        <f t="shared" si="5"/>
        <v>#N/A</v>
      </c>
      <c r="O230" s="17" t="str">
        <f t="shared" si="6"/>
        <v>#N/A</v>
      </c>
      <c r="P230" s="17" t="str">
        <f t="shared" si="7"/>
        <v>#N/A</v>
      </c>
      <c r="Q230" s="17" t="str">
        <f t="shared" si="8"/>
        <v>#N/A</v>
      </c>
      <c r="R230" s="32" t="str">
        <f t="shared" si="9"/>
        <v>#N/A</v>
      </c>
    </row>
    <row r="231">
      <c r="A231" s="7">
        <v>236.0</v>
      </c>
      <c r="B231" s="18" t="s">
        <v>476</v>
      </c>
      <c r="C231" s="9" t="s">
        <v>477</v>
      </c>
      <c r="D231" s="9">
        <f>IFERROR(__xludf.DUMMYFUNCTION("GOOGLEFINANCE(""NSE:""&amp;C231)"),318.95)</f>
        <v>318.95</v>
      </c>
      <c r="E231" s="10" t="str">
        <f>IFERROR(__xludf.DUMMYFUNCTION("INDEX(GOOGLEFINANCE(""NSE:""&amp;C231,dates!$I$1,dates!$C$3),2,2)"),"#N/A")</f>
        <v>#N/A</v>
      </c>
      <c r="F231" s="10" t="str">
        <f>IFERROR(__xludf.DUMMYFUNCTION("INDEX(GOOGLEFINANCE(""NSE:""&amp;C231,dates!$I$1,dates!$C$2),2,2)"),"#N/A")</f>
        <v>#N/A</v>
      </c>
      <c r="G231" s="10">
        <f>IFERROR(__xludf.DUMMYFUNCTION("INDEX(GOOGLEFINANCE(""NSE:""&amp;C231,dates!$I$1,dates!$C$4),2,2)"),255.45)</f>
        <v>255.45</v>
      </c>
      <c r="H231" s="10">
        <f>IFERROR(__xludf.DUMMYFUNCTION("INDEX(GOOGLEFINANCE(""NSE:""&amp;C231,dates!$I$1,dates!$C$5),2,2)"),186.85)</f>
        <v>186.85</v>
      </c>
      <c r="I231" s="10">
        <f>IFERROR(__xludf.DUMMYFUNCTION("INDEX(GOOGLEFINANCE(""NSE:""&amp;C231,dates!$I$1,dates!$C$6),2,2)"),170.75)</f>
        <v>170.75</v>
      </c>
      <c r="J231" s="16" t="str">
        <f t="shared" si="1"/>
        <v>#N/A</v>
      </c>
      <c r="K231" s="16" t="str">
        <f t="shared" si="2"/>
        <v>#N/A</v>
      </c>
      <c r="L231" s="16" t="str">
        <f t="shared" si="3"/>
        <v>#N/A</v>
      </c>
      <c r="M231" s="16" t="str">
        <f t="shared" si="4"/>
        <v>#N/A</v>
      </c>
      <c r="N231" s="17" t="str">
        <f t="shared" si="5"/>
        <v>#N/A</v>
      </c>
      <c r="O231" s="17" t="str">
        <f t="shared" si="6"/>
        <v>#N/A</v>
      </c>
      <c r="P231" s="17" t="str">
        <f t="shared" si="7"/>
        <v>#N/A</v>
      </c>
      <c r="Q231" s="17" t="str">
        <f t="shared" si="8"/>
        <v>#N/A</v>
      </c>
      <c r="R231" s="32" t="str">
        <f t="shared" si="9"/>
        <v>#N/A</v>
      </c>
    </row>
    <row r="232">
      <c r="A232" s="7">
        <v>237.0</v>
      </c>
      <c r="B232" s="18" t="s">
        <v>478</v>
      </c>
      <c r="C232" s="9" t="s">
        <v>479</v>
      </c>
      <c r="D232" s="9">
        <f>IFERROR(__xludf.DUMMYFUNCTION("GOOGLEFINANCE(""NSE:""&amp;C232)"),90.9)</f>
        <v>90.9</v>
      </c>
      <c r="E232" s="10" t="str">
        <f>IFERROR(__xludf.DUMMYFUNCTION("INDEX(GOOGLEFINANCE(""NSE:""&amp;C232,dates!$I$1,dates!$C$3),2,2)"),"#N/A")</f>
        <v>#N/A</v>
      </c>
      <c r="F232" s="10" t="str">
        <f>IFERROR(__xludf.DUMMYFUNCTION("INDEX(GOOGLEFINANCE(""NSE:""&amp;C232,dates!$I$1,dates!$C$2),2,2)"),"#N/A")</f>
        <v>#N/A</v>
      </c>
      <c r="G232" s="10">
        <f>IFERROR(__xludf.DUMMYFUNCTION("INDEX(GOOGLEFINANCE(""NSE:""&amp;C232,dates!$I$1,dates!$C$4),2,2)"),94.15)</f>
        <v>94.15</v>
      </c>
      <c r="H232" s="10">
        <f>IFERROR(__xludf.DUMMYFUNCTION("INDEX(GOOGLEFINANCE(""NSE:""&amp;C232,dates!$I$1,dates!$C$5),2,2)"),100.75)</f>
        <v>100.75</v>
      </c>
      <c r="I232" s="10">
        <f>IFERROR(__xludf.DUMMYFUNCTION("INDEX(GOOGLEFINANCE(""NSE:""&amp;C232,dates!$I$1,dates!$C$6),2,2)"),85.0)</f>
        <v>85</v>
      </c>
      <c r="J232" s="16" t="str">
        <f t="shared" si="1"/>
        <v>#N/A</v>
      </c>
      <c r="K232" s="16" t="str">
        <f t="shared" si="2"/>
        <v>#N/A</v>
      </c>
      <c r="L232" s="16" t="str">
        <f t="shared" si="3"/>
        <v>#N/A</v>
      </c>
      <c r="M232" s="16" t="str">
        <f t="shared" si="4"/>
        <v>#N/A</v>
      </c>
      <c r="N232" s="17" t="str">
        <f t="shared" si="5"/>
        <v>#N/A</v>
      </c>
      <c r="O232" s="17" t="str">
        <f t="shared" si="6"/>
        <v>#N/A</v>
      </c>
      <c r="P232" s="17" t="str">
        <f t="shared" si="7"/>
        <v>#N/A</v>
      </c>
      <c r="Q232" s="17" t="str">
        <f t="shared" si="8"/>
        <v>#N/A</v>
      </c>
      <c r="R232" s="32" t="str">
        <f t="shared" si="9"/>
        <v>#N/A</v>
      </c>
    </row>
    <row r="233">
      <c r="A233" s="7">
        <v>238.0</v>
      </c>
      <c r="B233" s="18" t="s">
        <v>480</v>
      </c>
      <c r="C233" s="9" t="s">
        <v>481</v>
      </c>
      <c r="D233" s="9">
        <f>IFERROR(__xludf.DUMMYFUNCTION("GOOGLEFINANCE(""NSE:""&amp;C233)"),2000.0)</f>
        <v>2000</v>
      </c>
      <c r="E233" s="10" t="str">
        <f>IFERROR(__xludf.DUMMYFUNCTION("INDEX(GOOGLEFINANCE(""NSE:""&amp;C233,dates!$I$1,dates!$C$3),2,2)"),"#N/A")</f>
        <v>#N/A</v>
      </c>
      <c r="F233" s="10" t="str">
        <f>IFERROR(__xludf.DUMMYFUNCTION("INDEX(GOOGLEFINANCE(""NSE:""&amp;C233,dates!$I$1,dates!$C$2),2,2)"),"#N/A")</f>
        <v>#N/A</v>
      </c>
      <c r="G233" s="10">
        <f>IFERROR(__xludf.DUMMYFUNCTION("INDEX(GOOGLEFINANCE(""NSE:""&amp;C233,dates!$I$1,dates!$C$4),2,2)"),1979.1)</f>
        <v>1979.1</v>
      </c>
      <c r="H233" s="10">
        <f>IFERROR(__xludf.DUMMYFUNCTION("INDEX(GOOGLEFINANCE(""NSE:""&amp;C233,dates!$I$1,dates!$C$5),2,2)"),1805.75)</f>
        <v>1805.75</v>
      </c>
      <c r="I233" s="10">
        <f>IFERROR(__xludf.DUMMYFUNCTION("INDEX(GOOGLEFINANCE(""NSE:""&amp;C233,dates!$I$1,dates!$C$6),2,2)"),1724.25)</f>
        <v>1724.25</v>
      </c>
      <c r="J233" s="16" t="str">
        <f t="shared" si="1"/>
        <v>#N/A</v>
      </c>
      <c r="K233" s="16" t="str">
        <f t="shared" si="2"/>
        <v>#N/A</v>
      </c>
      <c r="L233" s="16" t="str">
        <f t="shared" si="3"/>
        <v>#N/A</v>
      </c>
      <c r="M233" s="16" t="str">
        <f t="shared" si="4"/>
        <v>#N/A</v>
      </c>
      <c r="N233" s="17" t="str">
        <f t="shared" si="5"/>
        <v>#N/A</v>
      </c>
      <c r="O233" s="17" t="str">
        <f t="shared" si="6"/>
        <v>#N/A</v>
      </c>
      <c r="P233" s="17" t="str">
        <f t="shared" si="7"/>
        <v>#N/A</v>
      </c>
      <c r="Q233" s="17" t="str">
        <f t="shared" si="8"/>
        <v>#N/A</v>
      </c>
      <c r="R233" s="32" t="str">
        <f t="shared" si="9"/>
        <v>#N/A</v>
      </c>
    </row>
    <row r="234">
      <c r="A234" s="7">
        <v>239.0</v>
      </c>
      <c r="B234" s="18" t="s">
        <v>482</v>
      </c>
      <c r="C234" s="9" t="s">
        <v>483</v>
      </c>
      <c r="D234" s="9">
        <f>IFERROR(__xludf.DUMMYFUNCTION("GOOGLEFINANCE(""NSE:""&amp;C234)"),3435.0)</f>
        <v>3435</v>
      </c>
      <c r="E234" s="10" t="str">
        <f>IFERROR(__xludf.DUMMYFUNCTION("INDEX(GOOGLEFINANCE(""NSE:""&amp;C234,dates!$I$1,dates!$C$3),2,2)"),"#N/A")</f>
        <v>#N/A</v>
      </c>
      <c r="F234" s="10" t="str">
        <f>IFERROR(__xludf.DUMMYFUNCTION("INDEX(GOOGLEFINANCE(""NSE:""&amp;C234,dates!$I$1,dates!$C$2),2,2)"),"#N/A")</f>
        <v>#N/A</v>
      </c>
      <c r="G234" s="10">
        <f>IFERROR(__xludf.DUMMYFUNCTION("INDEX(GOOGLEFINANCE(""NSE:""&amp;C234,dates!$I$1,dates!$C$4),2,2)"),3425.35)</f>
        <v>3425.35</v>
      </c>
      <c r="H234" s="10">
        <f>IFERROR(__xludf.DUMMYFUNCTION("INDEX(GOOGLEFINANCE(""NSE:""&amp;C234,dates!$I$1,dates!$C$5),2,2)"),3420.45)</f>
        <v>3420.45</v>
      </c>
      <c r="I234" s="10">
        <f>IFERROR(__xludf.DUMMYFUNCTION("INDEX(GOOGLEFINANCE(""NSE:""&amp;C234,dates!$I$1,dates!$C$6),2,2)"),3432.9)</f>
        <v>3432.9</v>
      </c>
      <c r="J234" s="16" t="str">
        <f t="shared" si="1"/>
        <v>#N/A</v>
      </c>
      <c r="K234" s="16" t="str">
        <f t="shared" si="2"/>
        <v>#N/A</v>
      </c>
      <c r="L234" s="16" t="str">
        <f t="shared" si="3"/>
        <v>#N/A</v>
      </c>
      <c r="M234" s="16" t="str">
        <f t="shared" si="4"/>
        <v>#N/A</v>
      </c>
      <c r="N234" s="17" t="str">
        <f t="shared" si="5"/>
        <v>#N/A</v>
      </c>
      <c r="O234" s="17" t="str">
        <f t="shared" si="6"/>
        <v>#N/A</v>
      </c>
      <c r="P234" s="17" t="str">
        <f t="shared" si="7"/>
        <v>#N/A</v>
      </c>
      <c r="Q234" s="17" t="str">
        <f t="shared" si="8"/>
        <v>#N/A</v>
      </c>
      <c r="R234" s="32" t="str">
        <f t="shared" si="9"/>
        <v>#N/A</v>
      </c>
    </row>
    <row r="235">
      <c r="A235" s="7">
        <v>241.0</v>
      </c>
      <c r="B235" s="18" t="s">
        <v>486</v>
      </c>
      <c r="C235" s="9" t="s">
        <v>487</v>
      </c>
      <c r="D235" s="9">
        <f>IFERROR(__xludf.DUMMYFUNCTION("GOOGLEFINANCE(""NSE:""&amp;C235)"),13.5)</f>
        <v>13.5</v>
      </c>
      <c r="E235" s="10" t="str">
        <f>IFERROR(__xludf.DUMMYFUNCTION("INDEX(GOOGLEFINANCE(""NSE:""&amp;C235,dates!$I$1,dates!$C$3),2,2)"),"#N/A")</f>
        <v>#N/A</v>
      </c>
      <c r="F235" s="10" t="str">
        <f>IFERROR(__xludf.DUMMYFUNCTION("INDEX(GOOGLEFINANCE(""NSE:""&amp;C235,dates!$I$1,dates!$C$2),2,2)"),"#N/A")</f>
        <v>#N/A</v>
      </c>
      <c r="G235" s="10">
        <f>IFERROR(__xludf.DUMMYFUNCTION("INDEX(GOOGLEFINANCE(""NSE:""&amp;C235,dates!$I$1,dates!$C$4),2,2)"),13.9)</f>
        <v>13.9</v>
      </c>
      <c r="H235" s="10">
        <f>IFERROR(__xludf.DUMMYFUNCTION("INDEX(GOOGLEFINANCE(""NSE:""&amp;C235,dates!$I$1,dates!$C$5),2,2)"),13.8)</f>
        <v>13.8</v>
      </c>
      <c r="I235" s="10">
        <f>IFERROR(__xludf.DUMMYFUNCTION("INDEX(GOOGLEFINANCE(""NSE:""&amp;C235,dates!$I$1,dates!$C$6),2,2)"),12.7)</f>
        <v>12.7</v>
      </c>
      <c r="J235" s="16" t="str">
        <f t="shared" si="1"/>
        <v>#N/A</v>
      </c>
      <c r="K235" s="16" t="str">
        <f t="shared" si="2"/>
        <v>#N/A</v>
      </c>
      <c r="L235" s="16" t="str">
        <f t="shared" si="3"/>
        <v>#N/A</v>
      </c>
      <c r="M235" s="16" t="str">
        <f t="shared" si="4"/>
        <v>#N/A</v>
      </c>
      <c r="N235" s="17" t="str">
        <f t="shared" si="5"/>
        <v>#N/A</v>
      </c>
      <c r="O235" s="17" t="str">
        <f t="shared" si="6"/>
        <v>#N/A</v>
      </c>
      <c r="P235" s="17" t="str">
        <f t="shared" si="7"/>
        <v>#N/A</v>
      </c>
      <c r="Q235" s="17" t="str">
        <f t="shared" si="8"/>
        <v>#N/A</v>
      </c>
      <c r="R235" s="32" t="str">
        <f t="shared" si="9"/>
        <v>#N/A</v>
      </c>
    </row>
    <row r="236">
      <c r="A236" s="7">
        <v>243.0</v>
      </c>
      <c r="B236" s="18" t="s">
        <v>490</v>
      </c>
      <c r="C236" s="9" t="s">
        <v>490</v>
      </c>
      <c r="D236" s="9">
        <f>IFERROR(__xludf.DUMMYFUNCTION("GOOGLEFINANCE(""NSE:""&amp;C236)"),252.0)</f>
        <v>252</v>
      </c>
      <c r="E236" s="10" t="str">
        <f>IFERROR(__xludf.DUMMYFUNCTION("INDEX(GOOGLEFINANCE(""NSE:""&amp;C236,dates!$I$1,dates!$C$3),2,2)"),"#N/A")</f>
        <v>#N/A</v>
      </c>
      <c r="F236" s="10" t="str">
        <f>IFERROR(__xludf.DUMMYFUNCTION("INDEX(GOOGLEFINANCE(""NSE:""&amp;C236,dates!$I$1,dates!$C$2),2,2)"),"#N/A")</f>
        <v>#N/A</v>
      </c>
      <c r="G236" s="10">
        <f>IFERROR(__xludf.DUMMYFUNCTION("INDEX(GOOGLEFINANCE(""NSE:""&amp;C236,dates!$I$1,dates!$C$4),2,2)"),255.55)</f>
        <v>255.55</v>
      </c>
      <c r="H236" s="10">
        <f>IFERROR(__xludf.DUMMYFUNCTION("INDEX(GOOGLEFINANCE(""NSE:""&amp;C236,dates!$I$1,dates!$C$5),2,2)"),263.1)</f>
        <v>263.1</v>
      </c>
      <c r="I236" s="10">
        <f>IFERROR(__xludf.DUMMYFUNCTION("INDEX(GOOGLEFINANCE(""NSE:""&amp;C236,dates!$I$1,dates!$C$6),2,2)"),252.7)</f>
        <v>252.7</v>
      </c>
      <c r="J236" s="16" t="str">
        <f t="shared" si="1"/>
        <v>#N/A</v>
      </c>
      <c r="K236" s="16" t="str">
        <f t="shared" si="2"/>
        <v>#N/A</v>
      </c>
      <c r="L236" s="16" t="str">
        <f t="shared" si="3"/>
        <v>#N/A</v>
      </c>
      <c r="M236" s="16" t="str">
        <f t="shared" si="4"/>
        <v>#N/A</v>
      </c>
      <c r="N236" s="17" t="str">
        <f t="shared" si="5"/>
        <v>#N/A</v>
      </c>
      <c r="O236" s="17" t="str">
        <f t="shared" si="6"/>
        <v>#N/A</v>
      </c>
      <c r="P236" s="17" t="str">
        <f t="shared" si="7"/>
        <v>#N/A</v>
      </c>
      <c r="Q236" s="17" t="str">
        <f t="shared" si="8"/>
        <v>#N/A</v>
      </c>
      <c r="R236" s="32" t="str">
        <f t="shared" si="9"/>
        <v>#N/A</v>
      </c>
    </row>
    <row r="237">
      <c r="A237" s="7">
        <v>244.0</v>
      </c>
      <c r="B237" s="18" t="s">
        <v>491</v>
      </c>
      <c r="C237" s="9" t="s">
        <v>492</v>
      </c>
      <c r="D237" s="9">
        <f>IFERROR(__xludf.DUMMYFUNCTION("GOOGLEFINANCE(""NSE:""&amp;C237)"),874.75)</f>
        <v>874.75</v>
      </c>
      <c r="E237" s="10" t="str">
        <f>IFERROR(__xludf.DUMMYFUNCTION("INDEX(GOOGLEFINANCE(""NSE:""&amp;C237,dates!$I$1,dates!$C$3),2,2)"),"#N/A")</f>
        <v>#N/A</v>
      </c>
      <c r="F237" s="10" t="str">
        <f>IFERROR(__xludf.DUMMYFUNCTION("INDEX(GOOGLEFINANCE(""NSE:""&amp;C237,dates!$I$1,dates!$C$2),2,2)"),"#N/A")</f>
        <v>#N/A</v>
      </c>
      <c r="G237" s="10">
        <f>IFERROR(__xludf.DUMMYFUNCTION("INDEX(GOOGLEFINANCE(""NSE:""&amp;C237,dates!$I$1,dates!$C$4),2,2)"),859.15)</f>
        <v>859.15</v>
      </c>
      <c r="H237" s="10">
        <f>IFERROR(__xludf.DUMMYFUNCTION("INDEX(GOOGLEFINANCE(""NSE:""&amp;C237,dates!$I$1,dates!$C$5),2,2)"),913.75)</f>
        <v>913.75</v>
      </c>
      <c r="I237" s="10">
        <f>IFERROR(__xludf.DUMMYFUNCTION("INDEX(GOOGLEFINANCE(""NSE:""&amp;C237,dates!$I$1,dates!$C$6),2,2)"),783.35)</f>
        <v>783.35</v>
      </c>
      <c r="J237" s="16" t="str">
        <f t="shared" si="1"/>
        <v>#N/A</v>
      </c>
      <c r="K237" s="16" t="str">
        <f t="shared" si="2"/>
        <v>#N/A</v>
      </c>
      <c r="L237" s="16" t="str">
        <f t="shared" si="3"/>
        <v>#N/A</v>
      </c>
      <c r="M237" s="16" t="str">
        <f t="shared" si="4"/>
        <v>#N/A</v>
      </c>
      <c r="N237" s="17" t="str">
        <f t="shared" si="5"/>
        <v>#N/A</v>
      </c>
      <c r="O237" s="17" t="str">
        <f t="shared" si="6"/>
        <v>#N/A</v>
      </c>
      <c r="P237" s="17" t="str">
        <f t="shared" si="7"/>
        <v>#N/A</v>
      </c>
      <c r="Q237" s="17" t="str">
        <f t="shared" si="8"/>
        <v>#N/A</v>
      </c>
      <c r="R237" s="32" t="str">
        <f t="shared" si="9"/>
        <v>#N/A</v>
      </c>
    </row>
    <row r="238">
      <c r="A238" s="7">
        <v>245.0</v>
      </c>
      <c r="B238" s="18" t="s">
        <v>493</v>
      </c>
      <c r="C238" s="9" t="s">
        <v>494</v>
      </c>
      <c r="D238" s="9">
        <f>IFERROR(__xludf.DUMMYFUNCTION("GOOGLEFINANCE(""NSE:""&amp;C238)"),132.0)</f>
        <v>132</v>
      </c>
      <c r="E238" s="10" t="str">
        <f>IFERROR(__xludf.DUMMYFUNCTION("INDEX(GOOGLEFINANCE(""NSE:""&amp;C238,dates!$I$1,dates!$C$3),2,2)"),"#N/A")</f>
        <v>#N/A</v>
      </c>
      <c r="F238" s="10" t="str">
        <f>IFERROR(__xludf.DUMMYFUNCTION("INDEX(GOOGLEFINANCE(""NSE:""&amp;C238,dates!$I$1,dates!$C$2),2,2)"),"#N/A")</f>
        <v>#N/A</v>
      </c>
      <c r="G238" s="10">
        <f>IFERROR(__xludf.DUMMYFUNCTION("INDEX(GOOGLEFINANCE(""NSE:""&amp;C238,dates!$I$1,dates!$C$4),2,2)"),137.05)</f>
        <v>137.05</v>
      </c>
      <c r="H238" s="10">
        <f>IFERROR(__xludf.DUMMYFUNCTION("INDEX(GOOGLEFINANCE(""NSE:""&amp;C238,dates!$I$1,dates!$C$5),2,2)"),125.0)</f>
        <v>125</v>
      </c>
      <c r="I238" s="10">
        <f>IFERROR(__xludf.DUMMYFUNCTION("INDEX(GOOGLEFINANCE(""NSE:""&amp;C238,dates!$I$1,dates!$C$6),2,2)"),123.4)</f>
        <v>123.4</v>
      </c>
      <c r="J238" s="16" t="str">
        <f t="shared" si="1"/>
        <v>#N/A</v>
      </c>
      <c r="K238" s="16" t="str">
        <f t="shared" si="2"/>
        <v>#N/A</v>
      </c>
      <c r="L238" s="16" t="str">
        <f t="shared" si="3"/>
        <v>#N/A</v>
      </c>
      <c r="M238" s="16" t="str">
        <f t="shared" si="4"/>
        <v>#N/A</v>
      </c>
      <c r="N238" s="17" t="str">
        <f t="shared" si="5"/>
        <v>#N/A</v>
      </c>
      <c r="O238" s="17" t="str">
        <f t="shared" si="6"/>
        <v>#N/A</v>
      </c>
      <c r="P238" s="17" t="str">
        <f t="shared" si="7"/>
        <v>#N/A</v>
      </c>
      <c r="Q238" s="17" t="str">
        <f t="shared" si="8"/>
        <v>#N/A</v>
      </c>
      <c r="R238" s="32" t="str">
        <f t="shared" si="9"/>
        <v>#N/A</v>
      </c>
    </row>
    <row r="239">
      <c r="A239" s="7">
        <v>246.0</v>
      </c>
      <c r="B239" s="18" t="s">
        <v>495</v>
      </c>
      <c r="C239" s="9" t="s">
        <v>496</v>
      </c>
      <c r="D239" s="9">
        <f>IFERROR(__xludf.DUMMYFUNCTION("GOOGLEFINANCE(""NSE:""&amp;C239)"),3000.0)</f>
        <v>3000</v>
      </c>
      <c r="E239" s="10" t="str">
        <f>IFERROR(__xludf.DUMMYFUNCTION("INDEX(GOOGLEFINANCE(""NSE:""&amp;C239,dates!$I$1,dates!$C$3),2,2)"),"#N/A")</f>
        <v>#N/A</v>
      </c>
      <c r="F239" s="10" t="str">
        <f>IFERROR(__xludf.DUMMYFUNCTION("INDEX(GOOGLEFINANCE(""NSE:""&amp;C239,dates!$I$1,dates!$C$2),2,2)"),"#N/A")</f>
        <v>#N/A</v>
      </c>
      <c r="G239" s="10">
        <f>IFERROR(__xludf.DUMMYFUNCTION("INDEX(GOOGLEFINANCE(""NSE:""&amp;C239,dates!$I$1,dates!$C$4),2,2)"),3032.1)</f>
        <v>3032.1</v>
      </c>
      <c r="H239" s="10">
        <f>IFERROR(__xludf.DUMMYFUNCTION("INDEX(GOOGLEFINANCE(""NSE:""&amp;C239,dates!$I$1,dates!$C$5),2,2)"),3195.85)</f>
        <v>3195.85</v>
      </c>
      <c r="I239" s="10">
        <f>IFERROR(__xludf.DUMMYFUNCTION("INDEX(GOOGLEFINANCE(""NSE:""&amp;C239,dates!$I$1,dates!$C$6),2,2)"),2977.05)</f>
        <v>2977.05</v>
      </c>
      <c r="J239" s="16" t="str">
        <f t="shared" si="1"/>
        <v>#N/A</v>
      </c>
      <c r="K239" s="16" t="str">
        <f t="shared" si="2"/>
        <v>#N/A</v>
      </c>
      <c r="L239" s="16" t="str">
        <f t="shared" si="3"/>
        <v>#N/A</v>
      </c>
      <c r="M239" s="16" t="str">
        <f t="shared" si="4"/>
        <v>#N/A</v>
      </c>
      <c r="N239" s="17" t="str">
        <f t="shared" si="5"/>
        <v>#N/A</v>
      </c>
      <c r="O239" s="17" t="str">
        <f t="shared" si="6"/>
        <v>#N/A</v>
      </c>
      <c r="P239" s="17" t="str">
        <f t="shared" si="7"/>
        <v>#N/A</v>
      </c>
      <c r="Q239" s="17" t="str">
        <f t="shared" si="8"/>
        <v>#N/A</v>
      </c>
      <c r="R239" s="32" t="str">
        <f t="shared" si="9"/>
        <v>#N/A</v>
      </c>
    </row>
    <row r="240">
      <c r="A240" s="7">
        <v>247.0</v>
      </c>
      <c r="B240" s="18" t="s">
        <v>497</v>
      </c>
      <c r="C240" s="9" t="s">
        <v>498</v>
      </c>
      <c r="D240" s="9">
        <f>IFERROR(__xludf.DUMMYFUNCTION("GOOGLEFINANCE(""NSE:""&amp;C240)"),920.0)</f>
        <v>920</v>
      </c>
      <c r="E240" s="10" t="str">
        <f>IFERROR(__xludf.DUMMYFUNCTION("INDEX(GOOGLEFINANCE(""NSE:""&amp;C240,dates!$I$1,dates!$C$3),2,2)"),"#N/A")</f>
        <v>#N/A</v>
      </c>
      <c r="F240" s="10" t="str">
        <f>IFERROR(__xludf.DUMMYFUNCTION("INDEX(GOOGLEFINANCE(""NSE:""&amp;C240,dates!$I$1,dates!$C$2),2,2)"),"#N/A")</f>
        <v>#N/A</v>
      </c>
      <c r="G240" s="10">
        <f>IFERROR(__xludf.DUMMYFUNCTION("INDEX(GOOGLEFINANCE(""NSE:""&amp;C240,dates!$I$1,dates!$C$4),2,2)"),851.0)</f>
        <v>851</v>
      </c>
      <c r="H240" s="10">
        <f>IFERROR(__xludf.DUMMYFUNCTION("INDEX(GOOGLEFINANCE(""NSE:""&amp;C240,dates!$I$1,dates!$C$5),2,2)"),853.3)</f>
        <v>853.3</v>
      </c>
      <c r="I240" s="10">
        <f>IFERROR(__xludf.DUMMYFUNCTION("INDEX(GOOGLEFINANCE(""NSE:""&amp;C240,dates!$I$1,dates!$C$6),2,2)"),855.05)</f>
        <v>855.05</v>
      </c>
      <c r="J240" s="16" t="str">
        <f t="shared" si="1"/>
        <v>#N/A</v>
      </c>
      <c r="K240" s="16" t="str">
        <f t="shared" si="2"/>
        <v>#N/A</v>
      </c>
      <c r="L240" s="16" t="str">
        <f t="shared" si="3"/>
        <v>#N/A</v>
      </c>
      <c r="M240" s="16" t="str">
        <f t="shared" si="4"/>
        <v>#N/A</v>
      </c>
      <c r="N240" s="17" t="str">
        <f t="shared" si="5"/>
        <v>#N/A</v>
      </c>
      <c r="O240" s="17" t="str">
        <f t="shared" si="6"/>
        <v>#N/A</v>
      </c>
      <c r="P240" s="17" t="str">
        <f t="shared" si="7"/>
        <v>#N/A</v>
      </c>
      <c r="Q240" s="17" t="str">
        <f t="shared" si="8"/>
        <v>#N/A</v>
      </c>
      <c r="R240" s="32" t="str">
        <f t="shared" si="9"/>
        <v>#N/A</v>
      </c>
    </row>
    <row r="241">
      <c r="A241" s="7">
        <v>248.0</v>
      </c>
      <c r="B241" s="18" t="s">
        <v>499</v>
      </c>
      <c r="C241" s="9" t="s">
        <v>500</v>
      </c>
      <c r="D241" s="9">
        <f>IFERROR(__xludf.DUMMYFUNCTION("GOOGLEFINANCE(""NSE:""&amp;C241)"),512.0)</f>
        <v>512</v>
      </c>
      <c r="E241" s="10" t="str">
        <f>IFERROR(__xludf.DUMMYFUNCTION("INDEX(GOOGLEFINANCE(""NSE:""&amp;C241,dates!$I$1,dates!$C$3),2,2)"),"#N/A")</f>
        <v>#N/A</v>
      </c>
      <c r="F241" s="10" t="str">
        <f>IFERROR(__xludf.DUMMYFUNCTION("INDEX(GOOGLEFINANCE(""NSE:""&amp;C241,dates!$I$1,dates!$C$2),2,2)"),"#N/A")</f>
        <v>#N/A</v>
      </c>
      <c r="G241" s="10">
        <f>IFERROR(__xludf.DUMMYFUNCTION("INDEX(GOOGLEFINANCE(""NSE:""&amp;C241,dates!$I$1,dates!$C$4),2,2)"),518.85)</f>
        <v>518.85</v>
      </c>
      <c r="H241" s="10">
        <f>IFERROR(__xludf.DUMMYFUNCTION("INDEX(GOOGLEFINANCE(""NSE:""&amp;C241,dates!$I$1,dates!$C$5),2,2)"),518.7)</f>
        <v>518.7</v>
      </c>
      <c r="I241" s="10">
        <f>IFERROR(__xludf.DUMMYFUNCTION("INDEX(GOOGLEFINANCE(""NSE:""&amp;C241,dates!$I$1,dates!$C$6),2,2)"),516.6)</f>
        <v>516.6</v>
      </c>
      <c r="J241" s="16" t="str">
        <f t="shared" si="1"/>
        <v>#N/A</v>
      </c>
      <c r="K241" s="16" t="str">
        <f t="shared" si="2"/>
        <v>#N/A</v>
      </c>
      <c r="L241" s="16" t="str">
        <f t="shared" si="3"/>
        <v>#N/A</v>
      </c>
      <c r="M241" s="16" t="str">
        <f t="shared" si="4"/>
        <v>#N/A</v>
      </c>
      <c r="N241" s="17" t="str">
        <f t="shared" si="5"/>
        <v>#N/A</v>
      </c>
      <c r="O241" s="17" t="str">
        <f t="shared" si="6"/>
        <v>#N/A</v>
      </c>
      <c r="P241" s="17" t="str">
        <f t="shared" si="7"/>
        <v>#N/A</v>
      </c>
      <c r="Q241" s="17" t="str">
        <f t="shared" si="8"/>
        <v>#N/A</v>
      </c>
      <c r="R241" s="32" t="str">
        <f t="shared" si="9"/>
        <v>#N/A</v>
      </c>
    </row>
    <row r="242">
      <c r="A242" s="7">
        <v>249.0</v>
      </c>
      <c r="B242" s="18" t="s">
        <v>501</v>
      </c>
      <c r="C242" s="9" t="s">
        <v>502</v>
      </c>
      <c r="D242" s="9">
        <f>IFERROR(__xludf.DUMMYFUNCTION("GOOGLEFINANCE(""NSE:""&amp;C242)"),818.45)</f>
        <v>818.45</v>
      </c>
      <c r="E242" s="10" t="str">
        <f>IFERROR(__xludf.DUMMYFUNCTION("INDEX(GOOGLEFINANCE(""NSE:""&amp;C242,dates!$I$1,dates!$C$3),2,2)"),"#N/A")</f>
        <v>#N/A</v>
      </c>
      <c r="F242" s="10" t="str">
        <f>IFERROR(__xludf.DUMMYFUNCTION("INDEX(GOOGLEFINANCE(""NSE:""&amp;C242,dates!$I$1,dates!$C$2),2,2)"),"#N/A")</f>
        <v>#N/A</v>
      </c>
      <c r="G242" s="10">
        <f>IFERROR(__xludf.DUMMYFUNCTION("INDEX(GOOGLEFINANCE(""NSE:""&amp;C242,dates!$I$1,dates!$C$4),2,2)"),778.25)</f>
        <v>778.25</v>
      </c>
      <c r="H242" s="10">
        <f>IFERROR(__xludf.DUMMYFUNCTION("INDEX(GOOGLEFINANCE(""NSE:""&amp;C242,dates!$I$1,dates!$C$5),2,2)"),773.4)</f>
        <v>773.4</v>
      </c>
      <c r="I242" s="10">
        <f>IFERROR(__xludf.DUMMYFUNCTION("INDEX(GOOGLEFINANCE(""NSE:""&amp;C242,dates!$I$1,dates!$C$6),2,2)"),746.15)</f>
        <v>746.15</v>
      </c>
      <c r="J242" s="16" t="str">
        <f t="shared" si="1"/>
        <v>#N/A</v>
      </c>
      <c r="K242" s="16" t="str">
        <f t="shared" si="2"/>
        <v>#N/A</v>
      </c>
      <c r="L242" s="16" t="str">
        <f t="shared" si="3"/>
        <v>#N/A</v>
      </c>
      <c r="M242" s="16" t="str">
        <f t="shared" si="4"/>
        <v>#N/A</v>
      </c>
      <c r="N242" s="17" t="str">
        <f t="shared" si="5"/>
        <v>#N/A</v>
      </c>
      <c r="O242" s="17" t="str">
        <f t="shared" si="6"/>
        <v>#N/A</v>
      </c>
      <c r="P242" s="17" t="str">
        <f t="shared" si="7"/>
        <v>#N/A</v>
      </c>
      <c r="Q242" s="17" t="str">
        <f t="shared" si="8"/>
        <v>#N/A</v>
      </c>
      <c r="R242" s="32" t="str">
        <f t="shared" si="9"/>
        <v>#N/A</v>
      </c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</sheetData>
  <autoFilter ref="$A$1:$AA$242">
    <sortState ref="A1:AA242">
      <sortCondition ref="A1:A242"/>
      <sortCondition ref="P1:P242"/>
      <sortCondition ref="Q1:Q242"/>
      <sortCondition ref="R1:R242"/>
      <sortCondition ref="N1:N242"/>
    </sortState>
  </autoFilter>
  <hyperlinks>
    <hyperlink r:id="rId1" ref="A1"/>
    <hyperlink r:id="rId2" ref="B1"/>
    <hyperlink r:id="rId3" ref="B2"/>
    <hyperlink r:id="rId4" ref="B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69"/>
    <hyperlink r:id="rId71" ref="B70"/>
    <hyperlink r:id="rId72" ref="B71"/>
    <hyperlink r:id="rId73" ref="B72"/>
    <hyperlink r:id="rId74" ref="B73"/>
    <hyperlink r:id="rId75" ref="B74"/>
    <hyperlink r:id="rId76" ref="B75"/>
    <hyperlink r:id="rId77" ref="B76"/>
    <hyperlink r:id="rId78" ref="B77"/>
    <hyperlink r:id="rId79" ref="B78"/>
    <hyperlink r:id="rId80" ref="B79"/>
    <hyperlink r:id="rId81" ref="B80"/>
    <hyperlink r:id="rId82" ref="B81"/>
    <hyperlink r:id="rId83" ref="B82"/>
    <hyperlink r:id="rId84" ref="B83"/>
    <hyperlink r:id="rId85" ref="B84"/>
    <hyperlink r:id="rId86" ref="B85"/>
    <hyperlink r:id="rId87" ref="B86"/>
    <hyperlink r:id="rId88" ref="B87"/>
    <hyperlink r:id="rId89" ref="B88"/>
    <hyperlink r:id="rId90" ref="B89"/>
    <hyperlink r:id="rId91" ref="B90"/>
    <hyperlink r:id="rId92" ref="B91"/>
    <hyperlink r:id="rId93" ref="B92"/>
    <hyperlink r:id="rId94" ref="B93"/>
    <hyperlink r:id="rId95" ref="B94"/>
    <hyperlink r:id="rId96" ref="B95"/>
    <hyperlink r:id="rId97" ref="B96"/>
    <hyperlink r:id="rId98" ref="B97"/>
    <hyperlink r:id="rId99" ref="B98"/>
    <hyperlink r:id="rId100" ref="B99"/>
    <hyperlink r:id="rId101" ref="B100"/>
    <hyperlink r:id="rId102" ref="B101"/>
    <hyperlink r:id="rId103" ref="B102"/>
    <hyperlink r:id="rId104" ref="B103"/>
    <hyperlink r:id="rId105" ref="B104"/>
    <hyperlink r:id="rId106" ref="B105"/>
    <hyperlink r:id="rId107" ref="B106"/>
    <hyperlink r:id="rId108" ref="B107"/>
    <hyperlink r:id="rId109" ref="B108"/>
    <hyperlink r:id="rId110" ref="B109"/>
    <hyperlink r:id="rId111" ref="B110"/>
    <hyperlink r:id="rId112" ref="B111"/>
    <hyperlink r:id="rId113" ref="B112"/>
    <hyperlink r:id="rId114" ref="B113"/>
    <hyperlink r:id="rId115" ref="B114"/>
    <hyperlink r:id="rId116" ref="B115"/>
    <hyperlink r:id="rId117" ref="B116"/>
    <hyperlink r:id="rId118" ref="B117"/>
    <hyperlink r:id="rId119" ref="B118"/>
    <hyperlink r:id="rId120" ref="B119"/>
    <hyperlink r:id="rId121" ref="B120"/>
    <hyperlink r:id="rId122" ref="B121"/>
    <hyperlink r:id="rId123" ref="B122"/>
    <hyperlink r:id="rId124" ref="B123"/>
    <hyperlink r:id="rId125" ref="B124"/>
    <hyperlink r:id="rId126" ref="B125"/>
    <hyperlink r:id="rId127" ref="B126"/>
    <hyperlink r:id="rId128" ref="B127"/>
    <hyperlink r:id="rId129" ref="B128"/>
    <hyperlink r:id="rId130" ref="B129"/>
    <hyperlink r:id="rId131" ref="B130"/>
    <hyperlink r:id="rId132" ref="B131"/>
    <hyperlink r:id="rId133" ref="B132"/>
    <hyperlink r:id="rId134" ref="B133"/>
    <hyperlink r:id="rId135" ref="B134"/>
    <hyperlink r:id="rId136" ref="B135"/>
    <hyperlink r:id="rId137" ref="B136"/>
    <hyperlink r:id="rId138" ref="B137"/>
    <hyperlink r:id="rId139" ref="B138"/>
    <hyperlink r:id="rId140" ref="B139"/>
    <hyperlink r:id="rId141" ref="B140"/>
    <hyperlink r:id="rId142" ref="B141"/>
    <hyperlink r:id="rId143" ref="B142"/>
    <hyperlink r:id="rId144" ref="B143"/>
    <hyperlink r:id="rId145" ref="B144"/>
    <hyperlink r:id="rId146" ref="B145"/>
    <hyperlink r:id="rId147" ref="B146"/>
    <hyperlink r:id="rId148" ref="B147"/>
    <hyperlink r:id="rId149" ref="B148"/>
    <hyperlink r:id="rId150" ref="B149"/>
    <hyperlink r:id="rId151" ref="B150"/>
    <hyperlink r:id="rId152" ref="B151"/>
    <hyperlink r:id="rId153" ref="B152"/>
    <hyperlink r:id="rId154" ref="B153"/>
    <hyperlink r:id="rId155" ref="B154"/>
    <hyperlink r:id="rId156" ref="B155"/>
    <hyperlink r:id="rId157" ref="B156"/>
    <hyperlink r:id="rId158" ref="B157"/>
    <hyperlink r:id="rId159" ref="B158"/>
    <hyperlink r:id="rId160" ref="B159"/>
    <hyperlink r:id="rId161" ref="B160"/>
    <hyperlink r:id="rId162" ref="B161"/>
    <hyperlink r:id="rId163" ref="B162"/>
    <hyperlink r:id="rId164" ref="B163"/>
    <hyperlink r:id="rId165" ref="B164"/>
    <hyperlink r:id="rId166" ref="B165"/>
    <hyperlink r:id="rId167" ref="B166"/>
    <hyperlink r:id="rId168" ref="B167"/>
    <hyperlink r:id="rId169" ref="B168"/>
    <hyperlink r:id="rId170" ref="B169"/>
    <hyperlink r:id="rId171" ref="B170"/>
    <hyperlink r:id="rId172" ref="B171"/>
    <hyperlink r:id="rId173" ref="B172"/>
    <hyperlink r:id="rId174" ref="B173"/>
    <hyperlink r:id="rId175" ref="B174"/>
    <hyperlink r:id="rId176" ref="B175"/>
    <hyperlink r:id="rId177" ref="B176"/>
    <hyperlink r:id="rId178" ref="B177"/>
    <hyperlink r:id="rId179" ref="B178"/>
    <hyperlink r:id="rId180" ref="B179"/>
    <hyperlink r:id="rId181" ref="B180"/>
    <hyperlink r:id="rId182" ref="B181"/>
    <hyperlink r:id="rId183" ref="B182"/>
    <hyperlink r:id="rId184" ref="B183"/>
    <hyperlink r:id="rId185" ref="B184"/>
    <hyperlink r:id="rId186" ref="B185"/>
    <hyperlink r:id="rId187" ref="B186"/>
    <hyperlink r:id="rId188" ref="B187"/>
    <hyperlink r:id="rId189" ref="B188"/>
    <hyperlink r:id="rId190" ref="B189"/>
    <hyperlink r:id="rId191" ref="B190"/>
    <hyperlink r:id="rId192" ref="B191"/>
    <hyperlink r:id="rId193" ref="B192"/>
    <hyperlink r:id="rId194" ref="B193"/>
    <hyperlink r:id="rId195" ref="B194"/>
    <hyperlink r:id="rId196" ref="B195"/>
    <hyperlink r:id="rId197" ref="B196"/>
    <hyperlink r:id="rId198" ref="B197"/>
    <hyperlink r:id="rId199" ref="B198"/>
    <hyperlink r:id="rId200" ref="B199"/>
    <hyperlink r:id="rId201" ref="B200"/>
    <hyperlink r:id="rId202" ref="B201"/>
    <hyperlink r:id="rId203" ref="B202"/>
    <hyperlink r:id="rId204" ref="B203"/>
    <hyperlink r:id="rId205" ref="B204"/>
    <hyperlink r:id="rId206" ref="B205"/>
    <hyperlink r:id="rId207" ref="B206"/>
    <hyperlink r:id="rId208" ref="B207"/>
    <hyperlink r:id="rId209" ref="B208"/>
    <hyperlink r:id="rId210" ref="B209"/>
    <hyperlink r:id="rId211" ref="B210"/>
    <hyperlink r:id="rId212" ref="B211"/>
    <hyperlink r:id="rId213" ref="B212"/>
    <hyperlink r:id="rId214" ref="B213"/>
    <hyperlink r:id="rId215" ref="B214"/>
    <hyperlink r:id="rId216" ref="B215"/>
    <hyperlink r:id="rId217" ref="B216"/>
    <hyperlink r:id="rId218" ref="B217"/>
    <hyperlink r:id="rId219" ref="B218"/>
    <hyperlink r:id="rId220" ref="B219"/>
    <hyperlink r:id="rId221" ref="B220"/>
    <hyperlink r:id="rId222" ref="B221"/>
    <hyperlink r:id="rId223" ref="B222"/>
    <hyperlink r:id="rId224" ref="B223"/>
    <hyperlink r:id="rId225" ref="B224"/>
    <hyperlink r:id="rId226" ref="C224"/>
    <hyperlink r:id="rId227" ref="B225"/>
    <hyperlink r:id="rId228" ref="B226"/>
    <hyperlink r:id="rId229" ref="B227"/>
    <hyperlink r:id="rId230" ref="B228"/>
    <hyperlink r:id="rId231" ref="B229"/>
    <hyperlink r:id="rId232" ref="B230"/>
    <hyperlink r:id="rId233" ref="B231"/>
    <hyperlink r:id="rId234" ref="B232"/>
    <hyperlink r:id="rId235" ref="B233"/>
    <hyperlink r:id="rId236" ref="B234"/>
    <hyperlink r:id="rId237" ref="B235"/>
    <hyperlink r:id="rId238" ref="B236"/>
    <hyperlink r:id="rId239" ref="B237"/>
    <hyperlink r:id="rId240" ref="B238"/>
    <hyperlink r:id="rId241" ref="B239"/>
    <hyperlink r:id="rId242" ref="B240"/>
    <hyperlink r:id="rId243" ref="B241"/>
    <hyperlink r:id="rId244" ref="B242"/>
  </hyperlinks>
  <drawing r:id="rId24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4.29"/>
    <col customWidth="1" min="2" max="2" width="26.86"/>
    <col customWidth="1" min="4" max="4" width="12.0"/>
    <col customWidth="1" min="6" max="7" width="9.14"/>
    <col customWidth="1" min="8" max="10" width="9.57"/>
    <col customWidth="1" min="11" max="12" width="7.14"/>
    <col customWidth="1" min="13" max="14" width="7.57"/>
    <col customWidth="1" min="15" max="15" width="8.29"/>
    <col customWidth="1" min="16" max="18" width="12.0"/>
    <col customWidth="1" min="19" max="19" width="11.14"/>
    <col customWidth="1" min="20" max="20" width="7.71"/>
  </cols>
  <sheetData>
    <row r="1">
      <c r="A1" s="45" t="s">
        <v>1479</v>
      </c>
      <c r="B1" s="45" t="s">
        <v>1480</v>
      </c>
      <c r="C1" s="45" t="s">
        <v>1306</v>
      </c>
      <c r="D1" s="46" t="s">
        <v>508</v>
      </c>
      <c r="E1" s="45" t="s">
        <v>1481</v>
      </c>
      <c r="F1" s="14" t="s">
        <v>1482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1483</v>
      </c>
      <c r="L1" s="14" t="s">
        <v>1484</v>
      </c>
      <c r="M1" s="14" t="s">
        <v>1485</v>
      </c>
      <c r="N1" s="14" t="s">
        <v>1486</v>
      </c>
      <c r="O1" s="13" t="s">
        <v>19</v>
      </c>
      <c r="P1" s="14" t="s">
        <v>20</v>
      </c>
      <c r="Q1" s="14" t="s">
        <v>21</v>
      </c>
      <c r="R1" s="14" t="s">
        <v>22</v>
      </c>
      <c r="S1" s="14" t="s">
        <v>1487</v>
      </c>
      <c r="T1" s="14" t="s">
        <v>1488</v>
      </c>
      <c r="U1" s="17"/>
      <c r="V1" s="17"/>
      <c r="W1" s="17"/>
      <c r="X1" s="17"/>
      <c r="Y1" s="17"/>
    </row>
    <row r="2">
      <c r="A2" s="47">
        <v>1.0</v>
      </c>
      <c r="B2" s="48" t="s">
        <v>1489</v>
      </c>
      <c r="C2" s="48" t="s">
        <v>122</v>
      </c>
      <c r="D2" s="49">
        <f>IFERROR(__xludf.DUMMYFUNCTION("GOOGLEFINANCE(""NSE:""&amp;C2,""marketcap"")/10000000"),108100.6941888)</f>
        <v>108100.6942</v>
      </c>
      <c r="E2" s="50">
        <f>IFERROR(__xludf.DUMMYFUNCTION("GOOGLEFINANCE(""NSE:""&amp;C2,""volume"")"),35742.0)</f>
        <v>35742</v>
      </c>
      <c r="F2" s="9">
        <f>IFERROR(__xludf.DUMMYFUNCTION("GOOGLEFINANCE(""NSE:""&amp;C2)"),29900.0)</f>
        <v>29900</v>
      </c>
      <c r="G2" s="9">
        <f>IFERROR(__xludf.DUMMYFUNCTION("GOOGLEFINANCE(""NSE:""&amp;C2,""closeyest"")"),29792.5)</f>
        <v>29792.5</v>
      </c>
      <c r="H2" s="51">
        <f>IFERROR(__xludf.DUMMYFUNCTION("INDEX(GOOGLEFINANCE(""NSE:""&amp;C2,dates!$I$1,dates!$C$4),2,2)"),30559.45)</f>
        <v>30559.45</v>
      </c>
      <c r="I2" s="51">
        <f>IFERROR(__xludf.DUMMYFUNCTION("INDEX(GOOGLEFINANCE(""NSE:""&amp;C2,dates!$I$1,dates!$C$5),2,2)"),30663.35)</f>
        <v>30663.35</v>
      </c>
      <c r="J2" s="51">
        <f>IFERROR(__xludf.DUMMYFUNCTION("INDEX(GOOGLEFINANCE(""NSE:""&amp;C2,dates!$I$1,dates!$C$6),2,2)"),26897.75)</f>
        <v>26897.75</v>
      </c>
      <c r="K2" s="16">
        <f t="shared" ref="K2:K136" si="1">(F2-G2)/G2</f>
        <v>0.003608290677</v>
      </c>
      <c r="L2" s="16">
        <f t="shared" ref="L2:L136" si="2">(F2-H2)/H2</f>
        <v>-0.02157924963</v>
      </c>
      <c r="M2" s="16">
        <f t="shared" ref="M2:M136" si="3">(F2-I2)/I2</f>
        <v>-0.02489454022</v>
      </c>
      <c r="N2" s="16">
        <f t="shared" ref="N2:N136" si="4">(F2-J2)/J2</f>
        <v>0.1116171427</v>
      </c>
      <c r="O2" s="16">
        <f t="shared" ref="O2:O136" si="5">L2-M2</f>
        <v>0.003315290598</v>
      </c>
      <c r="P2" s="17" t="str">
        <f t="shared" ref="P2:P136" si="6">rank(L2,$L$2:$L$90)</f>
        <v>#N/A</v>
      </c>
      <c r="Q2" s="17" t="str">
        <f t="shared" ref="Q2:Q136" si="7">rank(M2,$M$2:$M$90)</f>
        <v>#N/A</v>
      </c>
      <c r="R2" s="17">
        <f t="shared" ref="R2:R136" si="8">RANK(N2,$N$2:$N$90)</f>
        <v>36</v>
      </c>
      <c r="S2" s="17" t="str">
        <f t="shared" ref="S2:S136" si="9">RANK(O2,$O$2:$O$90)</f>
        <v>#N/A</v>
      </c>
    </row>
    <row r="3">
      <c r="A3" s="47">
        <v>2.0</v>
      </c>
      <c r="B3" s="48" t="s">
        <v>1490</v>
      </c>
      <c r="C3" s="48" t="s">
        <v>247</v>
      </c>
      <c r="D3" s="49">
        <f>IFERROR(__xludf.DUMMYFUNCTION("GOOGLEFINANCE(""NSE:""&amp;C3,""marketcap"")/10000000"),45810.7883299)</f>
        <v>45810.78833</v>
      </c>
      <c r="E3" s="50">
        <f>IFERROR(__xludf.DUMMYFUNCTION("GOOGLEFINANCE(""NSE:""&amp;C3,""volume"")"),8679.0)</f>
        <v>8679</v>
      </c>
      <c r="F3" s="9">
        <f>IFERROR(__xludf.DUMMYFUNCTION("GOOGLEFINANCE(""NSE:""&amp;C3)"),21610.0)</f>
        <v>21610</v>
      </c>
      <c r="G3" s="9">
        <f>IFERROR(__xludf.DUMMYFUNCTION("GOOGLEFINANCE(""NSE:""&amp;C3,""closeyest"")"),21464.95)</f>
        <v>21464.95</v>
      </c>
      <c r="H3" s="51">
        <f>IFERROR(__xludf.DUMMYFUNCTION("INDEX(GOOGLEFINANCE(""NSE:""&amp;C3,dates!$I$1,dates!$C$4),2,2)"),20480.6)</f>
        <v>20480.6</v>
      </c>
      <c r="I3" s="51">
        <f>IFERROR(__xludf.DUMMYFUNCTION("INDEX(GOOGLEFINANCE(""NSE:""&amp;C3,dates!$I$1,dates!$C$5),2,2)"),21378.55)</f>
        <v>21378.55</v>
      </c>
      <c r="J3" s="51">
        <f>IFERROR(__xludf.DUMMYFUNCTION("INDEX(GOOGLEFINANCE(""NSE:""&amp;C3,dates!$I$1,dates!$C$6),2,2)"),19028.8)</f>
        <v>19028.8</v>
      </c>
      <c r="K3" s="16">
        <f t="shared" si="1"/>
        <v>0.00675752797</v>
      </c>
      <c r="L3" s="16">
        <f t="shared" si="2"/>
        <v>0.0551448688</v>
      </c>
      <c r="M3" s="16">
        <f t="shared" si="3"/>
        <v>0.01082627213</v>
      </c>
      <c r="N3" s="16">
        <f t="shared" si="4"/>
        <v>0.1356470193</v>
      </c>
      <c r="O3" s="16">
        <f t="shared" si="5"/>
        <v>0.04431859667</v>
      </c>
      <c r="P3" s="17" t="str">
        <f t="shared" si="6"/>
        <v>#N/A</v>
      </c>
      <c r="Q3" s="17" t="str">
        <f t="shared" si="7"/>
        <v>#N/A</v>
      </c>
      <c r="R3" s="17">
        <f t="shared" si="8"/>
        <v>27</v>
      </c>
      <c r="S3" s="17" t="str">
        <f t="shared" si="9"/>
        <v>#N/A</v>
      </c>
      <c r="T3" s="17"/>
    </row>
    <row r="4">
      <c r="A4" s="47">
        <v>3.0</v>
      </c>
      <c r="B4" s="48" t="s">
        <v>1491</v>
      </c>
      <c r="C4" s="48" t="s">
        <v>63</v>
      </c>
      <c r="D4" s="49">
        <f>IFERROR(__xludf.DUMMYFUNCTION("GOOGLEFINANCE(""NSE:""&amp;C4,""marketcap"")/10000000"),191327.354768)</f>
        <v>191327.3548</v>
      </c>
      <c r="E4" s="50">
        <f>IFERROR(__xludf.DUMMYFUNCTION("GOOGLEFINANCE(""NSE:""&amp;C4,""volume"")"),53724.0)</f>
        <v>53724</v>
      </c>
      <c r="F4" s="9">
        <f>IFERROR(__xludf.DUMMYFUNCTION("GOOGLEFINANCE(""NSE:""&amp;C4)"),19844.0)</f>
        <v>19844</v>
      </c>
      <c r="G4" s="9">
        <f>IFERROR(__xludf.DUMMYFUNCTION("GOOGLEFINANCE(""NSE:""&amp;C4,""closeyest"")"),19925.2)</f>
        <v>19925.2</v>
      </c>
      <c r="H4" s="51">
        <f>IFERROR(__xludf.DUMMYFUNCTION("INDEX(GOOGLEFINANCE(""NSE:""&amp;C4,dates!$I$1,dates!$C$4),2,2)"),20175.7)</f>
        <v>20175.7</v>
      </c>
      <c r="I4" s="51">
        <f>IFERROR(__xludf.DUMMYFUNCTION("INDEX(GOOGLEFINANCE(""NSE:""&amp;C4,dates!$I$1,dates!$C$5),2,2)"),20452.25)</f>
        <v>20452.25</v>
      </c>
      <c r="J4" s="51">
        <f>IFERROR(__xludf.DUMMYFUNCTION("INDEX(GOOGLEFINANCE(""NSE:""&amp;C4,dates!$I$1,dates!$C$6),2,2)"),19957.35)</f>
        <v>19957.35</v>
      </c>
      <c r="K4" s="16">
        <f t="shared" si="1"/>
        <v>-0.004075241403</v>
      </c>
      <c r="L4" s="16">
        <f t="shared" si="2"/>
        <v>-0.0164405696</v>
      </c>
      <c r="M4" s="16">
        <f t="shared" si="3"/>
        <v>-0.02974000416</v>
      </c>
      <c r="N4" s="16">
        <f t="shared" si="4"/>
        <v>-0.005679611772</v>
      </c>
      <c r="O4" s="16">
        <f t="shared" si="5"/>
        <v>0.01329943456</v>
      </c>
      <c r="P4" s="17" t="str">
        <f t="shared" si="6"/>
        <v>#N/A</v>
      </c>
      <c r="Q4" s="17" t="str">
        <f t="shared" si="7"/>
        <v>#N/A</v>
      </c>
      <c r="R4" s="17">
        <f t="shared" si="8"/>
        <v>84</v>
      </c>
      <c r="S4" s="17" t="str">
        <f t="shared" si="9"/>
        <v>#N/A</v>
      </c>
      <c r="T4" s="17"/>
    </row>
    <row r="5">
      <c r="A5" s="47">
        <v>4.0</v>
      </c>
      <c r="B5" s="48" t="s">
        <v>1492</v>
      </c>
      <c r="C5" s="48" t="s">
        <v>50</v>
      </c>
      <c r="D5" s="49">
        <f>IFERROR(__xludf.DUMMYFUNCTION("GOOGLEFINANCE(""NSE:""&amp;C5,""marketcap"")/10000000"),294144.3113936)</f>
        <v>294144.3114</v>
      </c>
      <c r="E5" s="50">
        <f>IFERROR(__xludf.DUMMYFUNCTION("GOOGLEFINANCE(""NSE:""&amp;C5,""volume"")"),712551.0)</f>
        <v>712551</v>
      </c>
      <c r="F5" s="9">
        <f>IFERROR(__xludf.DUMMYFUNCTION("GOOGLEFINANCE(""NSE:""&amp;C5)"),18430.0)</f>
        <v>18430</v>
      </c>
      <c r="G5" s="9">
        <f>IFERROR(__xludf.DUMMYFUNCTION("GOOGLEFINANCE(""NSE:""&amp;C5,""closeyest"")"),17614.75)</f>
        <v>17614.75</v>
      </c>
      <c r="H5" s="51">
        <f>IFERROR(__xludf.DUMMYFUNCTION("INDEX(GOOGLEFINANCE(""NSE:""&amp;C5,dates!$I$1,dates!$C$4),2,2)"),16840.2)</f>
        <v>16840.2</v>
      </c>
      <c r="I5" s="51">
        <f>IFERROR(__xludf.DUMMYFUNCTION("INDEX(GOOGLEFINANCE(""NSE:""&amp;C5,dates!$I$1,dates!$C$5),2,2)"),16938.2)</f>
        <v>16938.2</v>
      </c>
      <c r="J5" s="51">
        <f>IFERROR(__xludf.DUMMYFUNCTION("INDEX(GOOGLEFINANCE(""NSE:""&amp;C5,dates!$I$1,dates!$C$6),2,2)"),16195.6)</f>
        <v>16195.6</v>
      </c>
      <c r="K5" s="16">
        <f t="shared" si="1"/>
        <v>0.04628223506</v>
      </c>
      <c r="L5" s="16">
        <f t="shared" si="2"/>
        <v>0.09440505457</v>
      </c>
      <c r="M5" s="16">
        <f t="shared" si="3"/>
        <v>0.08807311285</v>
      </c>
      <c r="N5" s="16">
        <f t="shared" si="4"/>
        <v>0.1379633975</v>
      </c>
      <c r="O5" s="16">
        <f t="shared" si="5"/>
        <v>0.006331941726</v>
      </c>
      <c r="P5" s="17" t="str">
        <f t="shared" si="6"/>
        <v>#N/A</v>
      </c>
      <c r="Q5" s="17" t="str">
        <f t="shared" si="7"/>
        <v>#N/A</v>
      </c>
      <c r="R5" s="17">
        <f t="shared" si="8"/>
        <v>26</v>
      </c>
      <c r="S5" s="17" t="str">
        <f t="shared" si="9"/>
        <v>#N/A</v>
      </c>
    </row>
    <row r="6">
      <c r="A6" s="47">
        <v>5.0</v>
      </c>
      <c r="B6" s="48" t="s">
        <v>1493</v>
      </c>
      <c r="C6" s="48" t="s">
        <v>212</v>
      </c>
      <c r="D6" s="49">
        <f>IFERROR(__xludf.DUMMYFUNCTION("GOOGLEFINANCE(""NSE:""&amp;C6,""marketcap"")/10000000"),46502.26861)</f>
        <v>46502.26861</v>
      </c>
      <c r="E6" s="50">
        <f>IFERROR(__xludf.DUMMYFUNCTION("GOOGLEFINANCE(""NSE:""&amp;C6,""volume"")"),4607.0)</f>
        <v>4607</v>
      </c>
      <c r="F6" s="9">
        <f>IFERROR(__xludf.DUMMYFUNCTION("GOOGLEFINANCE(""NSE:""&amp;C6)"),14325.7)</f>
        <v>14325.7</v>
      </c>
      <c r="G6" s="9">
        <f>IFERROR(__xludf.DUMMYFUNCTION("GOOGLEFINANCE(""NSE:""&amp;C6,""closeyest"")"),14072.55)</f>
        <v>14072.55</v>
      </c>
      <c r="H6" s="51">
        <f>IFERROR(__xludf.DUMMYFUNCTION("INDEX(GOOGLEFINANCE(""NSE:""&amp;C6,dates!$I$1,dates!$C$4),2,2)"),13923.2)</f>
        <v>13923.2</v>
      </c>
      <c r="I6" s="51">
        <f>IFERROR(__xludf.DUMMYFUNCTION("INDEX(GOOGLEFINANCE(""NSE:""&amp;C6,dates!$I$1,dates!$C$5),2,2)"),14202.9)</f>
        <v>14202.9</v>
      </c>
      <c r="J6" s="51">
        <f>IFERROR(__xludf.DUMMYFUNCTION("INDEX(GOOGLEFINANCE(""NSE:""&amp;C6,dates!$I$1,dates!$C$6),2,2)"),13737.2)</f>
        <v>13737.2</v>
      </c>
      <c r="K6" s="16">
        <f t="shared" si="1"/>
        <v>0.0179889217</v>
      </c>
      <c r="L6" s="16">
        <f t="shared" si="2"/>
        <v>0.02890858423</v>
      </c>
      <c r="M6" s="16">
        <f t="shared" si="3"/>
        <v>0.008646121567</v>
      </c>
      <c r="N6" s="16">
        <f t="shared" si="4"/>
        <v>0.04283988003</v>
      </c>
      <c r="O6" s="16">
        <f t="shared" si="5"/>
        <v>0.02026246267</v>
      </c>
      <c r="P6" s="17" t="str">
        <f t="shared" si="6"/>
        <v>#N/A</v>
      </c>
      <c r="Q6" s="17" t="str">
        <f t="shared" si="7"/>
        <v>#N/A</v>
      </c>
      <c r="R6" s="17">
        <f t="shared" si="8"/>
        <v>55</v>
      </c>
      <c r="S6" s="17" t="str">
        <f t="shared" si="9"/>
        <v>#N/A</v>
      </c>
      <c r="T6" s="17"/>
    </row>
    <row r="7">
      <c r="A7" s="47">
        <v>6.0</v>
      </c>
      <c r="B7" s="48" t="s">
        <v>1494</v>
      </c>
      <c r="C7" s="48" t="s">
        <v>178</v>
      </c>
      <c r="D7" s="49">
        <f>IFERROR(__xludf.DUMMYFUNCTION("GOOGLEFINANCE(""NSE:""&amp;C7,""marketcap"")/10000000"),65148.5829648)</f>
        <v>65148.58296</v>
      </c>
      <c r="E7" s="50">
        <f>IFERROR(__xludf.DUMMYFUNCTION("GOOGLEFINANCE(""NSE:""&amp;C7,""volume"")"),259560.0)</f>
        <v>259560</v>
      </c>
      <c r="F7" s="9">
        <f>IFERROR(__xludf.DUMMYFUNCTION("GOOGLEFINANCE(""NSE:""&amp;C7)"),11004.0)</f>
        <v>11004</v>
      </c>
      <c r="G7" s="9">
        <f>IFERROR(__xludf.DUMMYFUNCTION("GOOGLEFINANCE(""NSE:""&amp;C7,""closeyest"")"),10730.7)</f>
        <v>10730.7</v>
      </c>
      <c r="H7" s="51">
        <f>IFERROR(__xludf.DUMMYFUNCTION("INDEX(GOOGLEFINANCE(""NSE:""&amp;C7,dates!$I$1,dates!$C$4),2,2)"),11099.05)</f>
        <v>11099.05</v>
      </c>
      <c r="I7" s="51">
        <f>IFERROR(__xludf.DUMMYFUNCTION("INDEX(GOOGLEFINANCE(""NSE:""&amp;C7,dates!$I$1,dates!$C$5),2,2)"),10685.5)</f>
        <v>10685.5</v>
      </c>
      <c r="J7" s="51">
        <f>IFERROR(__xludf.DUMMYFUNCTION("INDEX(GOOGLEFINANCE(""NSE:""&amp;C7,dates!$I$1,dates!$C$6),2,2)"),9423.55)</f>
        <v>9423.55</v>
      </c>
      <c r="K7" s="16">
        <f t="shared" si="1"/>
        <v>0.02546898152</v>
      </c>
      <c r="L7" s="16">
        <f t="shared" si="2"/>
        <v>-0.008563796001</v>
      </c>
      <c r="M7" s="16">
        <f t="shared" si="3"/>
        <v>0.02980674746</v>
      </c>
      <c r="N7" s="16">
        <f t="shared" si="4"/>
        <v>0.1677128046</v>
      </c>
      <c r="O7" s="16">
        <f t="shared" si="5"/>
        <v>-0.03837054346</v>
      </c>
      <c r="P7" s="17" t="str">
        <f t="shared" si="6"/>
        <v>#N/A</v>
      </c>
      <c r="Q7" s="17" t="str">
        <f t="shared" si="7"/>
        <v>#N/A</v>
      </c>
      <c r="R7" s="17">
        <f t="shared" si="8"/>
        <v>14</v>
      </c>
      <c r="S7" s="17" t="str">
        <f t="shared" si="9"/>
        <v>#N/A</v>
      </c>
      <c r="T7" s="17"/>
    </row>
    <row r="8">
      <c r="A8" s="47">
        <v>7.0</v>
      </c>
      <c r="B8" s="48" t="s">
        <v>1495</v>
      </c>
      <c r="C8" s="48" t="s">
        <v>341</v>
      </c>
      <c r="D8" s="49">
        <f>IFERROR(__xludf.DUMMYFUNCTION("GOOGLEFINANCE(""NSE:""&amp;C8,""marketcap"")/10000000"),28300.013325)</f>
        <v>28300.01333</v>
      </c>
      <c r="E8" s="50">
        <f>IFERROR(__xludf.DUMMYFUNCTION("GOOGLEFINANCE(""NSE:""&amp;C8,""volume"")"),16025.0)</f>
        <v>16025</v>
      </c>
      <c r="F8" s="9">
        <f>IFERROR(__xludf.DUMMYFUNCTION("GOOGLEFINANCE(""NSE:""&amp;C8)"),9565.0)</f>
        <v>9565</v>
      </c>
      <c r="G8" s="9">
        <f>IFERROR(__xludf.DUMMYFUNCTION("GOOGLEFINANCE(""NSE:""&amp;C8,""closeyest"")"),9459.7)</f>
        <v>9459.7</v>
      </c>
      <c r="H8" s="51">
        <f>IFERROR(__xludf.DUMMYFUNCTION("INDEX(GOOGLEFINANCE(""NSE:""&amp;C8,dates!$I$1,dates!$C$4),2,2)"),9643.55)</f>
        <v>9643.55</v>
      </c>
      <c r="I8" s="51">
        <f>IFERROR(__xludf.DUMMYFUNCTION("INDEX(GOOGLEFINANCE(""NSE:""&amp;C8,dates!$I$1,dates!$C$5),2,2)"),9558.95)</f>
        <v>9558.95</v>
      </c>
      <c r="J8" s="51">
        <f>IFERROR(__xludf.DUMMYFUNCTION("INDEX(GOOGLEFINANCE(""NSE:""&amp;C8,dates!$I$1,dates!$C$6),2,2)"),9007.65)</f>
        <v>9007.65</v>
      </c>
      <c r="K8" s="16">
        <f t="shared" si="1"/>
        <v>0.01113143123</v>
      </c>
      <c r="L8" s="16">
        <f t="shared" si="2"/>
        <v>-0.008145340668</v>
      </c>
      <c r="M8" s="16">
        <f t="shared" si="3"/>
        <v>0.000632914703</v>
      </c>
      <c r="N8" s="16">
        <f t="shared" si="4"/>
        <v>0.06187518387</v>
      </c>
      <c r="O8" s="16">
        <f t="shared" si="5"/>
        <v>-0.008778255371</v>
      </c>
      <c r="P8" s="17" t="str">
        <f t="shared" si="6"/>
        <v>#N/A</v>
      </c>
      <c r="Q8" s="17" t="str">
        <f t="shared" si="7"/>
        <v>#N/A</v>
      </c>
      <c r="R8" s="17">
        <f t="shared" si="8"/>
        <v>47</v>
      </c>
      <c r="S8" s="17" t="str">
        <f t="shared" si="9"/>
        <v>#N/A</v>
      </c>
      <c r="T8" s="17"/>
    </row>
    <row r="9">
      <c r="A9" s="47">
        <v>8.0</v>
      </c>
      <c r="B9" s="48" t="s">
        <v>1496</v>
      </c>
      <c r="C9" s="48" t="s">
        <v>850</v>
      </c>
      <c r="D9" s="49">
        <f>IFERROR(__xludf.DUMMYFUNCTION("GOOGLEFINANCE(""NSE:""&amp;C9,""marketcap"")/10000000"),12404.7640562)</f>
        <v>12404.76406</v>
      </c>
      <c r="E9" s="50">
        <f>IFERROR(__xludf.DUMMYFUNCTION("GOOGLEFINANCE(""NSE:""&amp;C9,""volume"")"),2604.0)</f>
        <v>2604</v>
      </c>
      <c r="F9" s="9">
        <f>IFERROR(__xludf.DUMMYFUNCTION("GOOGLEFINANCE(""NSE:""&amp;C9)"),8950.0)</f>
        <v>8950</v>
      </c>
      <c r="G9" s="9">
        <f>IFERROR(__xludf.DUMMYFUNCTION("GOOGLEFINANCE(""NSE:""&amp;C9,""closeyest"")"),9010.45)</f>
        <v>9010.45</v>
      </c>
      <c r="H9" s="51">
        <f>IFERROR(__xludf.DUMMYFUNCTION("INDEX(GOOGLEFINANCE(""NSE:""&amp;C9,dates!$I$1,dates!$C$4),2,2)"),9168.55)</f>
        <v>9168.55</v>
      </c>
      <c r="I9" s="51">
        <f>IFERROR(__xludf.DUMMYFUNCTION("INDEX(GOOGLEFINANCE(""NSE:""&amp;C9,dates!$I$1,dates!$C$5),2,2)"),9241.3)</f>
        <v>9241.3</v>
      </c>
      <c r="J9" s="51">
        <f>IFERROR(__xludf.DUMMYFUNCTION("INDEX(GOOGLEFINANCE(""NSE:""&amp;C9,dates!$I$1,dates!$C$6),2,2)"),8795.25)</f>
        <v>8795.25</v>
      </c>
      <c r="K9" s="16">
        <f t="shared" si="1"/>
        <v>-0.006708876915</v>
      </c>
      <c r="L9" s="16">
        <f t="shared" si="2"/>
        <v>-0.02383692078</v>
      </c>
      <c r="M9" s="16">
        <f t="shared" si="3"/>
        <v>-0.03152153918</v>
      </c>
      <c r="N9" s="16">
        <f t="shared" si="4"/>
        <v>0.01759472443</v>
      </c>
      <c r="O9" s="16">
        <f t="shared" si="5"/>
        <v>0.007684618399</v>
      </c>
      <c r="P9" s="17" t="str">
        <f t="shared" si="6"/>
        <v>#N/A</v>
      </c>
      <c r="Q9" s="17" t="str">
        <f t="shared" si="7"/>
        <v>#N/A</v>
      </c>
      <c r="R9" s="17">
        <f t="shared" si="8"/>
        <v>74</v>
      </c>
      <c r="S9" s="17" t="str">
        <f t="shared" si="9"/>
        <v>#N/A</v>
      </c>
    </row>
    <row r="10">
      <c r="A10" s="47">
        <v>9.0</v>
      </c>
      <c r="B10" s="48" t="s">
        <v>1497</v>
      </c>
      <c r="C10" s="48" t="s">
        <v>59</v>
      </c>
      <c r="D10" s="49">
        <f>IFERROR(__xludf.DUMMYFUNCTION("GOOGLEFINANCE(""NSE:""&amp;C10,""marketcap"")/10000000"),220045.44996)</f>
        <v>220045.45</v>
      </c>
      <c r="E10" s="50">
        <f>IFERROR(__xludf.DUMMYFUNCTION("GOOGLEFINANCE(""NSE:""&amp;C10,""volume"")"),201988.0)</f>
        <v>201988</v>
      </c>
      <c r="F10" s="9">
        <f>IFERROR(__xludf.DUMMYFUNCTION("GOOGLEFINANCE(""NSE:""&amp;C10)"),7628.0)</f>
        <v>7628</v>
      </c>
      <c r="G10" s="9">
        <f>IFERROR(__xludf.DUMMYFUNCTION("GOOGLEFINANCE(""NSE:""&amp;C10,""closeyest"")"),7625.6)</f>
        <v>7625.6</v>
      </c>
      <c r="H10" s="51">
        <f>IFERROR(__xludf.DUMMYFUNCTION("INDEX(GOOGLEFINANCE(""NSE:""&amp;C10,dates!$I$1,dates!$C$4),2,2)"),7711.85)</f>
        <v>7711.85</v>
      </c>
      <c r="I10" s="51">
        <f>IFERROR(__xludf.DUMMYFUNCTION("INDEX(GOOGLEFINANCE(""NSE:""&amp;C10,dates!$I$1,dates!$C$5),2,2)"),7944.45)</f>
        <v>7944.45</v>
      </c>
      <c r="J10" s="51">
        <f>IFERROR(__xludf.DUMMYFUNCTION("INDEX(GOOGLEFINANCE(""NSE:""&amp;C10,dates!$I$1,dates!$C$6),2,2)"),7565.6)</f>
        <v>7565.6</v>
      </c>
      <c r="K10" s="16">
        <f t="shared" si="1"/>
        <v>0.0003147293328</v>
      </c>
      <c r="L10" s="16">
        <f t="shared" si="2"/>
        <v>-0.01087287745</v>
      </c>
      <c r="M10" s="16">
        <f t="shared" si="3"/>
        <v>-0.03983283928</v>
      </c>
      <c r="N10" s="16">
        <f t="shared" si="4"/>
        <v>0.008247858729</v>
      </c>
      <c r="O10" s="16">
        <f t="shared" si="5"/>
        <v>0.02895996182</v>
      </c>
      <c r="P10" s="17" t="str">
        <f t="shared" si="6"/>
        <v>#N/A</v>
      </c>
      <c r="Q10" s="17" t="str">
        <f t="shared" si="7"/>
        <v>#N/A</v>
      </c>
      <c r="R10" s="17">
        <f t="shared" si="8"/>
        <v>79</v>
      </c>
      <c r="S10" s="17" t="str">
        <f t="shared" si="9"/>
        <v>#N/A</v>
      </c>
    </row>
    <row r="11">
      <c r="A11" s="47">
        <v>10.0</v>
      </c>
      <c r="B11" s="48" t="s">
        <v>1498</v>
      </c>
      <c r="C11" s="48" t="s">
        <v>36</v>
      </c>
      <c r="D11" s="49">
        <f>IFERROR(__xludf.DUMMYFUNCTION("GOOGLEFINANCE(""NSE:""&amp;C11,""marketcap"")/10000000"),476076.6988323)</f>
        <v>476076.6988</v>
      </c>
      <c r="E11" s="50">
        <f>IFERROR(__xludf.DUMMYFUNCTION("GOOGLEFINANCE(""NSE:""&amp;C11,""volume"")"),2109147.0)</f>
        <v>2109147</v>
      </c>
      <c r="F11" s="9">
        <f>IFERROR(__xludf.DUMMYFUNCTION("GOOGLEFINANCE(""NSE:""&amp;C11)"),7890.05)</f>
        <v>7890.05</v>
      </c>
      <c r="G11" s="9">
        <f>IFERROR(__xludf.DUMMYFUNCTION("GOOGLEFINANCE(""NSE:""&amp;C11,""closeyest"")"),7793.65)</f>
        <v>7793.65</v>
      </c>
      <c r="H11" s="51">
        <f>IFERROR(__xludf.DUMMYFUNCTION("INDEX(GOOGLEFINANCE(""NSE:""&amp;C11,dates!$I$1,dates!$C$4),2,2)"),7428.8)</f>
        <v>7428.8</v>
      </c>
      <c r="I11" s="51">
        <f>IFERROR(__xludf.DUMMYFUNCTION("INDEX(GOOGLEFINANCE(""NSE:""&amp;C11,dates!$I$1,dates!$C$5),2,2)"),7445.55)</f>
        <v>7445.55</v>
      </c>
      <c r="J11" s="51">
        <f>IFERROR(__xludf.DUMMYFUNCTION("INDEX(GOOGLEFINANCE(""NSE:""&amp;C11,dates!$I$1,dates!$C$6),2,2)"),6966.6)</f>
        <v>6966.6</v>
      </c>
      <c r="K11" s="16">
        <f t="shared" si="1"/>
        <v>0.01236904403</v>
      </c>
      <c r="L11" s="16">
        <f t="shared" si="2"/>
        <v>0.06208943571</v>
      </c>
      <c r="M11" s="16">
        <f t="shared" si="3"/>
        <v>0.05970008932</v>
      </c>
      <c r="N11" s="16">
        <f t="shared" si="4"/>
        <v>0.1325539</v>
      </c>
      <c r="O11" s="16">
        <f t="shared" si="5"/>
        <v>0.002389346395</v>
      </c>
      <c r="P11" s="17" t="str">
        <f t="shared" si="6"/>
        <v>#N/A</v>
      </c>
      <c r="Q11" s="17" t="str">
        <f t="shared" si="7"/>
        <v>#N/A</v>
      </c>
      <c r="R11" s="17">
        <f t="shared" si="8"/>
        <v>28</v>
      </c>
      <c r="S11" s="17" t="str">
        <f t="shared" si="9"/>
        <v>#N/A</v>
      </c>
      <c r="T11" s="17"/>
    </row>
    <row r="12">
      <c r="A12" s="47">
        <v>11.0</v>
      </c>
      <c r="B12" s="48" t="s">
        <v>1499</v>
      </c>
      <c r="C12" s="48" t="s">
        <v>399</v>
      </c>
      <c r="D12" s="49">
        <f>IFERROR(__xludf.DUMMYFUNCTION("GOOGLEFINANCE(""NSE:""&amp;C12,""marketcap"")/10000000"),23152.7264425)</f>
        <v>23152.72644</v>
      </c>
      <c r="E12" s="50">
        <f>IFERROR(__xludf.DUMMYFUNCTION("GOOGLEFINANCE(""NSE:""&amp;C12,""volume"")"),12193.0)</f>
        <v>12193</v>
      </c>
      <c r="F12" s="9">
        <f>IFERROR(__xludf.DUMMYFUNCTION("GOOGLEFINANCE(""NSE:""&amp;C12)"),7405.2)</f>
        <v>7405.2</v>
      </c>
      <c r="G12" s="9">
        <f>IFERROR(__xludf.DUMMYFUNCTION("GOOGLEFINANCE(""NSE:""&amp;C12,""closeyest"")"),7300.65)</f>
        <v>7300.65</v>
      </c>
      <c r="H12" s="51">
        <f>IFERROR(__xludf.DUMMYFUNCTION("INDEX(GOOGLEFINANCE(""NSE:""&amp;C12,dates!$I$1,dates!$C$4),2,2)"),7299.85)</f>
        <v>7299.85</v>
      </c>
      <c r="I12" s="51">
        <f>IFERROR(__xludf.DUMMYFUNCTION("INDEX(GOOGLEFINANCE(""NSE:""&amp;C12,dates!$I$1,dates!$C$5),2,2)"),7307.05)</f>
        <v>7307.05</v>
      </c>
      <c r="J12" s="51">
        <f>IFERROR(__xludf.DUMMYFUNCTION("INDEX(GOOGLEFINANCE(""NSE:""&amp;C12,dates!$I$1,dates!$C$6),2,2)"),7194.7)</f>
        <v>7194.7</v>
      </c>
      <c r="K12" s="16">
        <f t="shared" si="1"/>
        <v>0.01432064268</v>
      </c>
      <c r="L12" s="16">
        <f t="shared" si="2"/>
        <v>0.01443180339</v>
      </c>
      <c r="M12" s="16">
        <f t="shared" si="3"/>
        <v>0.01343223325</v>
      </c>
      <c r="N12" s="16">
        <f t="shared" si="4"/>
        <v>0.02925764799</v>
      </c>
      <c r="O12" s="16">
        <f t="shared" si="5"/>
        <v>0.000999570139</v>
      </c>
      <c r="P12" s="17" t="str">
        <f t="shared" si="6"/>
        <v>#N/A</v>
      </c>
      <c r="Q12" s="17" t="str">
        <f t="shared" si="7"/>
        <v>#N/A</v>
      </c>
      <c r="R12" s="17">
        <f t="shared" si="8"/>
        <v>60</v>
      </c>
      <c r="S12" s="17" t="str">
        <f t="shared" si="9"/>
        <v>#N/A</v>
      </c>
    </row>
    <row r="13">
      <c r="A13" s="47">
        <v>12.0</v>
      </c>
      <c r="B13" s="48" t="s">
        <v>1500</v>
      </c>
      <c r="C13" s="48" t="s">
        <v>145</v>
      </c>
      <c r="D13" s="49">
        <f>IFERROR(__xludf.DUMMYFUNCTION("GOOGLEFINANCE(""NSE:""&amp;C13,""marketcap"")/10000000"),87755.67034)</f>
        <v>87755.67034</v>
      </c>
      <c r="E13" s="50">
        <f>IFERROR(__xludf.DUMMYFUNCTION("GOOGLEFINANCE(""NSE:""&amp;C13,""volume"")"),350913.0)</f>
        <v>350913</v>
      </c>
      <c r="F13" s="9">
        <f>IFERROR(__xludf.DUMMYFUNCTION("GOOGLEFINANCE(""NSE:""&amp;C13)"),6826.0)</f>
        <v>6826</v>
      </c>
      <c r="G13" s="9">
        <f>IFERROR(__xludf.DUMMYFUNCTION("GOOGLEFINANCE(""NSE:""&amp;C13,""closeyest"")"),6797.65)</f>
        <v>6797.65</v>
      </c>
      <c r="H13" s="51">
        <f>IFERROR(__xludf.DUMMYFUNCTION("INDEX(GOOGLEFINANCE(""NSE:""&amp;C13,dates!$I$1,dates!$C$4),2,2)"),6614.7)</f>
        <v>6614.7</v>
      </c>
      <c r="I13" s="51">
        <f>IFERROR(__xludf.DUMMYFUNCTION("INDEX(GOOGLEFINANCE(""NSE:""&amp;C13,dates!$I$1,dates!$C$5),2,2)"),6604.35)</f>
        <v>6604.35</v>
      </c>
      <c r="J13" s="51">
        <f>IFERROR(__xludf.DUMMYFUNCTION("INDEX(GOOGLEFINANCE(""NSE:""&amp;C13,dates!$I$1,dates!$C$6),2,2)"),5895.65)</f>
        <v>5895.65</v>
      </c>
      <c r="K13" s="16">
        <f t="shared" si="1"/>
        <v>0.004170558943</v>
      </c>
      <c r="L13" s="16">
        <f t="shared" si="2"/>
        <v>0.03194400351</v>
      </c>
      <c r="M13" s="16">
        <f t="shared" si="3"/>
        <v>0.03356121344</v>
      </c>
      <c r="N13" s="16">
        <f t="shared" si="4"/>
        <v>0.1578027868</v>
      </c>
      <c r="O13" s="16">
        <f t="shared" si="5"/>
        <v>-0.001617209935</v>
      </c>
      <c r="P13" s="17" t="str">
        <f t="shared" si="6"/>
        <v>#N/A</v>
      </c>
      <c r="Q13" s="17" t="str">
        <f t="shared" si="7"/>
        <v>#N/A</v>
      </c>
      <c r="R13" s="17">
        <f t="shared" si="8"/>
        <v>20</v>
      </c>
      <c r="S13" s="17" t="str">
        <f t="shared" si="9"/>
        <v>#N/A</v>
      </c>
      <c r="T13" s="17"/>
    </row>
    <row r="14">
      <c r="A14" s="47">
        <v>13.0</v>
      </c>
      <c r="B14" s="48" t="s">
        <v>1501</v>
      </c>
      <c r="C14" s="48" t="s">
        <v>813</v>
      </c>
      <c r="D14" s="49">
        <f>IFERROR(__xludf.DUMMYFUNCTION("GOOGLEFINANCE(""NSE:""&amp;C14,""marketcap"")/10000000"),15280.78692)</f>
        <v>15280.78692</v>
      </c>
      <c r="E14" s="50">
        <f>IFERROR(__xludf.DUMMYFUNCTION("GOOGLEFINANCE(""NSE:""&amp;C14,""volume"")"),32976.0)</f>
        <v>32976</v>
      </c>
      <c r="F14" s="9">
        <f>IFERROR(__xludf.DUMMYFUNCTION("GOOGLEFINANCE(""NSE:""&amp;C14)"),6440.0)</f>
        <v>6440</v>
      </c>
      <c r="G14" s="9">
        <f>IFERROR(__xludf.DUMMYFUNCTION("GOOGLEFINANCE(""NSE:""&amp;C14,""closeyest"")"),6421.2)</f>
        <v>6421.2</v>
      </c>
      <c r="H14" s="51">
        <f>IFERROR(__xludf.DUMMYFUNCTION("INDEX(GOOGLEFINANCE(""NSE:""&amp;C14,dates!$I$1,dates!$C$4),2,2)"),6483.35)</f>
        <v>6483.35</v>
      </c>
      <c r="I14" s="51">
        <f>IFERROR(__xludf.DUMMYFUNCTION("INDEX(GOOGLEFINANCE(""NSE:""&amp;C14,dates!$I$1,dates!$C$5),2,2)"),6379.8)</f>
        <v>6379.8</v>
      </c>
      <c r="J14" s="51">
        <f>IFERROR(__xludf.DUMMYFUNCTION("INDEX(GOOGLEFINANCE(""NSE:""&amp;C14,dates!$I$1,dates!$C$6),2,2)"),5690.9)</f>
        <v>5690.9</v>
      </c>
      <c r="K14" s="16">
        <f t="shared" si="1"/>
        <v>0.002927801657</v>
      </c>
      <c r="L14" s="16">
        <f t="shared" si="2"/>
        <v>-0.006686358133</v>
      </c>
      <c r="M14" s="16">
        <f t="shared" si="3"/>
        <v>0.009436032478</v>
      </c>
      <c r="N14" s="16">
        <f t="shared" si="4"/>
        <v>0.1316312007</v>
      </c>
      <c r="O14" s="16">
        <f t="shared" si="5"/>
        <v>-0.01612239061</v>
      </c>
      <c r="P14" s="17" t="str">
        <f t="shared" si="6"/>
        <v>#N/A</v>
      </c>
      <c r="Q14" s="17" t="str">
        <f t="shared" si="7"/>
        <v>#N/A</v>
      </c>
      <c r="R14" s="17">
        <f t="shared" si="8"/>
        <v>29</v>
      </c>
      <c r="S14" s="17" t="str">
        <f t="shared" si="9"/>
        <v>#N/A</v>
      </c>
      <c r="T14" s="17"/>
    </row>
    <row r="15">
      <c r="A15" s="47">
        <v>14.0</v>
      </c>
      <c r="B15" s="48" t="s">
        <v>1502</v>
      </c>
      <c r="C15" s="48" t="s">
        <v>353</v>
      </c>
      <c r="D15" s="49">
        <f>IFERROR(__xludf.DUMMYFUNCTION("GOOGLEFINANCE(""NSE:""&amp;C15,""marketcap"")/10000000"),26648.052725)</f>
        <v>26648.05273</v>
      </c>
      <c r="E15" s="50">
        <f>IFERROR(__xludf.DUMMYFUNCTION("GOOGLEFINANCE(""NSE:""&amp;C15,""volume"")"),65714.0)</f>
        <v>65714</v>
      </c>
      <c r="F15" s="9">
        <f>IFERROR(__xludf.DUMMYFUNCTION("GOOGLEFINANCE(""NSE:""&amp;C15)"),5825.0)</f>
        <v>5825</v>
      </c>
      <c r="G15" s="9">
        <f>IFERROR(__xludf.DUMMYFUNCTION("GOOGLEFINANCE(""NSE:""&amp;C15,""closeyest"")"),5794.65)</f>
        <v>5794.65</v>
      </c>
      <c r="H15" s="51">
        <f>IFERROR(__xludf.DUMMYFUNCTION("INDEX(GOOGLEFINANCE(""NSE:""&amp;C15,dates!$I$1,dates!$C$4),2,2)"),5872.25)</f>
        <v>5872.25</v>
      </c>
      <c r="I15" s="51">
        <f>IFERROR(__xludf.DUMMYFUNCTION("INDEX(GOOGLEFINANCE(""NSE:""&amp;C15,dates!$I$1,dates!$C$5),2,2)"),6091.6)</f>
        <v>6091.6</v>
      </c>
      <c r="J15" s="51">
        <f>IFERROR(__xludf.DUMMYFUNCTION("INDEX(GOOGLEFINANCE(""NSE:""&amp;C15,dates!$I$1,dates!$C$6),2,2)"),5692.65)</f>
        <v>5692.65</v>
      </c>
      <c r="K15" s="16">
        <f t="shared" si="1"/>
        <v>0.005237589846</v>
      </c>
      <c r="L15" s="16">
        <f t="shared" si="2"/>
        <v>-0.008046319554</v>
      </c>
      <c r="M15" s="16">
        <f t="shared" si="3"/>
        <v>-0.04376518484</v>
      </c>
      <c r="N15" s="16">
        <f t="shared" si="4"/>
        <v>0.02324927758</v>
      </c>
      <c r="O15" s="16">
        <f t="shared" si="5"/>
        <v>0.03571886529</v>
      </c>
      <c r="P15" s="17" t="str">
        <f t="shared" si="6"/>
        <v>#N/A</v>
      </c>
      <c r="Q15" s="17" t="str">
        <f t="shared" si="7"/>
        <v>#N/A</v>
      </c>
      <c r="R15" s="17">
        <f t="shared" si="8"/>
        <v>67</v>
      </c>
      <c r="S15" s="17" t="str">
        <f t="shared" si="9"/>
        <v>#N/A</v>
      </c>
      <c r="T15" s="17"/>
    </row>
    <row r="16">
      <c r="A16" s="47">
        <v>15.0</v>
      </c>
      <c r="B16" s="48" t="s">
        <v>1503</v>
      </c>
      <c r="C16" s="48" t="s">
        <v>130</v>
      </c>
      <c r="D16" s="49">
        <f>IFERROR(__xludf.DUMMYFUNCTION("GOOGLEFINANCE(""NSE:""&amp;C16,""marketcap"")/10000000"),106680.8442)</f>
        <v>106680.8442</v>
      </c>
      <c r="E16" s="50">
        <f>IFERROR(__xludf.DUMMYFUNCTION("GOOGLEFINANCE(""NSE:""&amp;C16,""volume"")"),280558.0)</f>
        <v>280558</v>
      </c>
      <c r="F16" s="9">
        <f>IFERROR(__xludf.DUMMYFUNCTION("GOOGLEFINANCE(""NSE:""&amp;C16)"),6090.0)</f>
        <v>6090</v>
      </c>
      <c r="G16" s="9">
        <f>IFERROR(__xludf.DUMMYFUNCTION("GOOGLEFINANCE(""NSE:""&amp;C16,""closeyest"")"),5848.3)</f>
        <v>5848.3</v>
      </c>
      <c r="H16" s="51">
        <f>IFERROR(__xludf.DUMMYFUNCTION("INDEX(GOOGLEFINANCE(""NSE:""&amp;C16,dates!$I$1,dates!$C$4),2,2)"),5715.25)</f>
        <v>5715.25</v>
      </c>
      <c r="I16" s="51">
        <f>IFERROR(__xludf.DUMMYFUNCTION("INDEX(GOOGLEFINANCE(""NSE:""&amp;C16,dates!$I$1,dates!$C$5),2,2)"),5488.95)</f>
        <v>5488.95</v>
      </c>
      <c r="J16" s="51">
        <f>IFERROR(__xludf.DUMMYFUNCTION("INDEX(GOOGLEFINANCE(""NSE:""&amp;C16,dates!$I$1,dates!$C$6),2,2)"),5233.6)</f>
        <v>5233.6</v>
      </c>
      <c r="K16" s="16">
        <f t="shared" si="1"/>
        <v>0.04132824923</v>
      </c>
      <c r="L16" s="16">
        <f t="shared" si="2"/>
        <v>0.06557018503</v>
      </c>
      <c r="M16" s="16">
        <f t="shared" si="3"/>
        <v>0.1095018173</v>
      </c>
      <c r="N16" s="16">
        <f t="shared" si="4"/>
        <v>0.163634974</v>
      </c>
      <c r="O16" s="16">
        <f t="shared" si="5"/>
        <v>-0.04393163226</v>
      </c>
      <c r="P16" s="17" t="str">
        <f t="shared" si="6"/>
        <v>#N/A</v>
      </c>
      <c r="Q16" s="17" t="str">
        <f t="shared" si="7"/>
        <v>#N/A</v>
      </c>
      <c r="R16" s="17">
        <f t="shared" si="8"/>
        <v>15</v>
      </c>
      <c r="S16" s="17" t="str">
        <f t="shared" si="9"/>
        <v>#N/A</v>
      </c>
      <c r="T16" s="17"/>
    </row>
    <row r="17">
      <c r="A17" s="47">
        <v>16.0</v>
      </c>
      <c r="B17" s="48" t="s">
        <v>1504</v>
      </c>
      <c r="C17" s="48" t="s">
        <v>311</v>
      </c>
      <c r="D17" s="49">
        <f>IFERROR(__xludf.DUMMYFUNCTION("GOOGLEFINANCE(""NSE:""&amp;C17,""marketcap"")/10000000"),34171.5943907)</f>
        <v>34171.59439</v>
      </c>
      <c r="E17" s="50">
        <f>IFERROR(__xludf.DUMMYFUNCTION("GOOGLEFINANCE(""NSE:""&amp;C17,""volume"")"),220233.0)</f>
        <v>220233</v>
      </c>
      <c r="F17" s="9">
        <f>IFERROR(__xludf.DUMMYFUNCTION("GOOGLEFINANCE(""NSE:""&amp;C17)"),5650.0)</f>
        <v>5650</v>
      </c>
      <c r="G17" s="9">
        <f>IFERROR(__xludf.DUMMYFUNCTION("GOOGLEFINANCE(""NSE:""&amp;C17,""closeyest"")"),5560.35)</f>
        <v>5560.35</v>
      </c>
      <c r="H17" s="51">
        <f>IFERROR(__xludf.DUMMYFUNCTION("INDEX(GOOGLEFINANCE(""NSE:""&amp;C17,dates!$I$1,dates!$C$4),2,2)"),5444.7)</f>
        <v>5444.7</v>
      </c>
      <c r="I17" s="51">
        <f>IFERROR(__xludf.DUMMYFUNCTION("INDEX(GOOGLEFINANCE(""NSE:""&amp;C17,dates!$I$1,dates!$C$5),2,2)"),5177.85)</f>
        <v>5177.85</v>
      </c>
      <c r="J17" s="51">
        <f>IFERROR(__xludf.DUMMYFUNCTION("INDEX(GOOGLEFINANCE(""NSE:""&amp;C17,dates!$I$1,dates!$C$6),2,2)"),5077.0)</f>
        <v>5077</v>
      </c>
      <c r="K17" s="16">
        <f t="shared" si="1"/>
        <v>0.01612308578</v>
      </c>
      <c r="L17" s="16">
        <f t="shared" si="2"/>
        <v>0.03770639337</v>
      </c>
      <c r="M17" s="16">
        <f t="shared" si="3"/>
        <v>0.09118649633</v>
      </c>
      <c r="N17" s="16">
        <f t="shared" si="4"/>
        <v>0.1128619263</v>
      </c>
      <c r="O17" s="16">
        <f t="shared" si="5"/>
        <v>-0.05348010295</v>
      </c>
      <c r="P17" s="17" t="str">
        <f t="shared" si="6"/>
        <v>#N/A</v>
      </c>
      <c r="Q17" s="17" t="str">
        <f t="shared" si="7"/>
        <v>#N/A</v>
      </c>
      <c r="R17" s="17">
        <f t="shared" si="8"/>
        <v>35</v>
      </c>
      <c r="S17" s="17" t="str">
        <f t="shared" si="9"/>
        <v>#N/A</v>
      </c>
      <c r="T17" s="17"/>
    </row>
    <row r="18">
      <c r="A18" s="47">
        <v>17.0</v>
      </c>
      <c r="B18" s="48" t="s">
        <v>1505</v>
      </c>
      <c r="C18" s="48" t="s">
        <v>91</v>
      </c>
      <c r="D18" s="49">
        <f>IFERROR(__xludf.DUMMYFUNCTION("GOOGLEFINANCE(""NSE:""&amp;C18,""marketcap"")/10000000"),138407.3905447)</f>
        <v>138407.3905</v>
      </c>
      <c r="E18" s="50">
        <f>IFERROR(__xludf.DUMMYFUNCTION("GOOGLEFINANCE(""NSE:""&amp;C18,""volume"")"),258292.0)</f>
        <v>258292</v>
      </c>
      <c r="F18" s="9">
        <f>IFERROR(__xludf.DUMMYFUNCTION("GOOGLEFINANCE(""NSE:""&amp;C18)"),5219.5)</f>
        <v>5219.5</v>
      </c>
      <c r="G18" s="9">
        <f>IFERROR(__xludf.DUMMYFUNCTION("GOOGLEFINANCE(""NSE:""&amp;C18,""closeyest"")"),5139.9)</f>
        <v>5139.9</v>
      </c>
      <c r="H18" s="51">
        <f>IFERROR(__xludf.DUMMYFUNCTION("INDEX(GOOGLEFINANCE(""NSE:""&amp;C18,dates!$I$1,dates!$C$4),2,2)"),5122.8)</f>
        <v>5122.8</v>
      </c>
      <c r="I18" s="51">
        <f>IFERROR(__xludf.DUMMYFUNCTION("INDEX(GOOGLEFINANCE(""NSE:""&amp;C18,dates!$I$1,dates!$C$5),2,2)"),5085.2)</f>
        <v>5085.2</v>
      </c>
      <c r="J18" s="51">
        <f>IFERROR(__xludf.DUMMYFUNCTION("INDEX(GOOGLEFINANCE(""NSE:""&amp;C18,dates!$I$1,dates!$C$6),2,2)"),4910.7)</f>
        <v>4910.7</v>
      </c>
      <c r="K18" s="16">
        <f t="shared" si="1"/>
        <v>0.01548668262</v>
      </c>
      <c r="L18" s="16">
        <f t="shared" si="2"/>
        <v>0.01887639572</v>
      </c>
      <c r="M18" s="16">
        <f t="shared" si="3"/>
        <v>0.02640997404</v>
      </c>
      <c r="N18" s="16">
        <f t="shared" si="4"/>
        <v>0.06288309202</v>
      </c>
      <c r="O18" s="16">
        <f t="shared" si="5"/>
        <v>-0.007533578321</v>
      </c>
      <c r="P18" s="17" t="str">
        <f t="shared" si="6"/>
        <v>#N/A</v>
      </c>
      <c r="Q18" s="17" t="str">
        <f t="shared" si="7"/>
        <v>#N/A</v>
      </c>
      <c r="R18" s="17">
        <f t="shared" si="8"/>
        <v>46</v>
      </c>
      <c r="S18" s="17" t="str">
        <f t="shared" si="9"/>
        <v>#N/A</v>
      </c>
      <c r="T18" s="17"/>
    </row>
    <row r="19">
      <c r="A19" s="47">
        <v>18.0</v>
      </c>
      <c r="B19" s="48" t="s">
        <v>1506</v>
      </c>
      <c r="C19" s="48" t="s">
        <v>319</v>
      </c>
      <c r="D19" s="49">
        <f>IFERROR(__xludf.DUMMYFUNCTION("GOOGLEFINANCE(""NSE:""&amp;C19,""marketcap"")/10000000"),35659.982769)</f>
        <v>35659.98277</v>
      </c>
      <c r="E19" s="50">
        <f>IFERROR(__xludf.DUMMYFUNCTION("GOOGLEFINANCE(""NSE:""&amp;C19,""volume"")"),375994.0)</f>
        <v>375994</v>
      </c>
      <c r="F19" s="9">
        <f>IFERROR(__xludf.DUMMYFUNCTION("GOOGLEFINANCE(""NSE:""&amp;C19)"),5725.0)</f>
        <v>5725</v>
      </c>
      <c r="G19" s="9">
        <f>IFERROR(__xludf.DUMMYFUNCTION("GOOGLEFINANCE(""NSE:""&amp;C19,""closeyest"")"),5580.15)</f>
        <v>5580.15</v>
      </c>
      <c r="H19" s="51">
        <f>IFERROR(__xludf.DUMMYFUNCTION("INDEX(GOOGLEFINANCE(""NSE:""&amp;C19,dates!$I$1,dates!$C$4),2,2)"),5490.65)</f>
        <v>5490.65</v>
      </c>
      <c r="I19" s="51">
        <f>IFERROR(__xludf.DUMMYFUNCTION("INDEX(GOOGLEFINANCE(""NSE:""&amp;C19,dates!$I$1,dates!$C$5),2,2)"),5009.3)</f>
        <v>5009.3</v>
      </c>
      <c r="J19" s="51">
        <f>IFERROR(__xludf.DUMMYFUNCTION("INDEX(GOOGLEFINANCE(""NSE:""&amp;C19,dates!$I$1,dates!$C$6),2,2)"),4868.65)</f>
        <v>4868.65</v>
      </c>
      <c r="K19" s="16">
        <f t="shared" si="1"/>
        <v>0.02595808356</v>
      </c>
      <c r="L19" s="16">
        <f t="shared" si="2"/>
        <v>0.04268164971</v>
      </c>
      <c r="M19" s="16">
        <f t="shared" si="3"/>
        <v>0.1428742539</v>
      </c>
      <c r="N19" s="16">
        <f t="shared" si="4"/>
        <v>0.1758906473</v>
      </c>
      <c r="O19" s="16">
        <f t="shared" si="5"/>
        <v>-0.1001926042</v>
      </c>
      <c r="P19" s="17" t="str">
        <f t="shared" si="6"/>
        <v>#N/A</v>
      </c>
      <c r="Q19" s="17" t="str">
        <f t="shared" si="7"/>
        <v>#N/A</v>
      </c>
      <c r="R19" s="17">
        <f t="shared" si="8"/>
        <v>13</v>
      </c>
      <c r="S19" s="17" t="str">
        <f t="shared" si="9"/>
        <v>#N/A</v>
      </c>
      <c r="T19" s="17"/>
    </row>
    <row r="20">
      <c r="A20" s="47">
        <v>19.0</v>
      </c>
      <c r="B20" s="48" t="s">
        <v>1507</v>
      </c>
      <c r="C20" s="48" t="s">
        <v>817</v>
      </c>
      <c r="D20" s="49">
        <f>IFERROR(__xludf.DUMMYFUNCTION("GOOGLEFINANCE(""NSE:""&amp;C20,""marketcap"")/10000000"),15123.3604875)</f>
        <v>15123.36049</v>
      </c>
      <c r="E20" s="50">
        <f>IFERROR(__xludf.DUMMYFUNCTION("GOOGLEFINANCE(""NSE:""&amp;C20,""volume"")"),50848.0)</f>
        <v>50848</v>
      </c>
      <c r="F20" s="9">
        <f>IFERROR(__xludf.DUMMYFUNCTION("GOOGLEFINANCE(""NSE:""&amp;C20)"),4675.0)</f>
        <v>4675</v>
      </c>
      <c r="G20" s="9">
        <f>IFERROR(__xludf.DUMMYFUNCTION("GOOGLEFINANCE(""NSE:""&amp;C20,""closeyest"")"),4650.3)</f>
        <v>4650.3</v>
      </c>
      <c r="H20" s="51">
        <f>IFERROR(__xludf.DUMMYFUNCTION("INDEX(GOOGLEFINANCE(""NSE:""&amp;C20,dates!$I$1,dates!$C$4),2,2)"),4780.95)</f>
        <v>4780.95</v>
      </c>
      <c r="I20" s="51">
        <f>IFERROR(__xludf.DUMMYFUNCTION("INDEX(GOOGLEFINANCE(""NSE:""&amp;C20,dates!$I$1,dates!$C$5),2,2)"),4645.35)</f>
        <v>4645.35</v>
      </c>
      <c r="J20" s="51">
        <f>IFERROR(__xludf.DUMMYFUNCTION("INDEX(GOOGLEFINANCE(""NSE:""&amp;C20,dates!$I$1,dates!$C$6),2,2)"),3788.7)</f>
        <v>3788.7</v>
      </c>
      <c r="K20" s="16">
        <f t="shared" si="1"/>
        <v>0.005311485281</v>
      </c>
      <c r="L20" s="16">
        <f t="shared" si="2"/>
        <v>-0.02216086761</v>
      </c>
      <c r="M20" s="16">
        <f t="shared" si="3"/>
        <v>0.006382726813</v>
      </c>
      <c r="N20" s="16">
        <f t="shared" si="4"/>
        <v>0.2339324834</v>
      </c>
      <c r="O20" s="16">
        <f t="shared" si="5"/>
        <v>-0.02854359442</v>
      </c>
      <c r="P20" s="17" t="str">
        <f t="shared" si="6"/>
        <v>#N/A</v>
      </c>
      <c r="Q20" s="17" t="str">
        <f t="shared" si="7"/>
        <v>#N/A</v>
      </c>
      <c r="R20" s="17">
        <f t="shared" si="8"/>
        <v>7</v>
      </c>
      <c r="S20" s="17" t="str">
        <f t="shared" si="9"/>
        <v>#N/A</v>
      </c>
    </row>
    <row r="21">
      <c r="A21" s="47">
        <v>20.0</v>
      </c>
      <c r="B21" s="48" t="s">
        <v>1508</v>
      </c>
      <c r="C21" s="48" t="s">
        <v>161</v>
      </c>
      <c r="D21" s="49">
        <f>IFERROR(__xludf.DUMMYFUNCTION("GOOGLEFINANCE(""NSE:""&amp;C21,""marketcap"")/10000000"),73649.3067)</f>
        <v>73649.3067</v>
      </c>
      <c r="E21" s="50">
        <f>IFERROR(__xludf.DUMMYFUNCTION("GOOGLEFINANCE(""NSE:""&amp;C21,""volume"")"),696944.0)</f>
        <v>696944</v>
      </c>
      <c r="F21" s="9">
        <f>IFERROR(__xludf.DUMMYFUNCTION("GOOGLEFINANCE(""NSE:""&amp;C21)"),5129.0)</f>
        <v>5129</v>
      </c>
      <c r="G21" s="9">
        <f>IFERROR(__xludf.DUMMYFUNCTION("GOOGLEFINANCE(""NSE:""&amp;C21,""closeyest"")"),4904.9)</f>
        <v>4904.9</v>
      </c>
      <c r="H21" s="51">
        <f>IFERROR(__xludf.DUMMYFUNCTION("INDEX(GOOGLEFINANCE(""NSE:""&amp;C21,dates!$I$1,dates!$C$4),2,2)"),4908.25)</f>
        <v>4908.25</v>
      </c>
      <c r="I21" s="51">
        <f>IFERROR(__xludf.DUMMYFUNCTION("INDEX(GOOGLEFINANCE(""NSE:""&amp;C21,dates!$I$1,dates!$C$5),2,2)"),4745.85)</f>
        <v>4745.85</v>
      </c>
      <c r="J21" s="51">
        <f>IFERROR(__xludf.DUMMYFUNCTION("INDEX(GOOGLEFINANCE(""NSE:""&amp;C21,dates!$I$1,dates!$C$6),2,2)"),4765.1)</f>
        <v>4765.1</v>
      </c>
      <c r="K21" s="16">
        <f t="shared" si="1"/>
        <v>0.04568900487</v>
      </c>
      <c r="L21" s="16">
        <f t="shared" si="2"/>
        <v>0.04497529669</v>
      </c>
      <c r="M21" s="16">
        <f t="shared" si="3"/>
        <v>0.08073369365</v>
      </c>
      <c r="N21" s="16">
        <f t="shared" si="4"/>
        <v>0.07636775723</v>
      </c>
      <c r="O21" s="16">
        <f t="shared" si="5"/>
        <v>-0.03575839695</v>
      </c>
      <c r="P21" s="17" t="str">
        <f t="shared" si="6"/>
        <v>#N/A</v>
      </c>
      <c r="Q21" s="17" t="str">
        <f t="shared" si="7"/>
        <v>#N/A</v>
      </c>
      <c r="R21" s="17">
        <f t="shared" si="8"/>
        <v>43</v>
      </c>
      <c r="S21" s="17" t="str">
        <f t="shared" si="9"/>
        <v>#N/A</v>
      </c>
      <c r="T21" s="17"/>
    </row>
    <row r="22">
      <c r="A22" s="47">
        <v>21.0</v>
      </c>
      <c r="B22" s="48" t="s">
        <v>1509</v>
      </c>
      <c r="C22" s="48" t="s">
        <v>251</v>
      </c>
      <c r="D22" s="49">
        <f>IFERROR(__xludf.DUMMYFUNCTION("GOOGLEFINANCE(""NSE:""&amp;C22,""marketcap"")/10000000"),40539.0676552)</f>
        <v>40539.06766</v>
      </c>
      <c r="E22" s="50">
        <f>IFERROR(__xludf.DUMMYFUNCTION("GOOGLEFINANCE(""NSE:""&amp;C22,""volume"")"),96759.0)</f>
        <v>96759</v>
      </c>
      <c r="F22" s="9">
        <f>IFERROR(__xludf.DUMMYFUNCTION("GOOGLEFINANCE(""NSE:""&amp;C22)"),4709.95)</f>
        <v>4709.95</v>
      </c>
      <c r="G22" s="9">
        <f>IFERROR(__xludf.DUMMYFUNCTION("GOOGLEFINANCE(""NSE:""&amp;C22,""closeyest"")"),4672.9)</f>
        <v>4672.9</v>
      </c>
      <c r="H22" s="51">
        <f>IFERROR(__xludf.DUMMYFUNCTION("INDEX(GOOGLEFINANCE(""NSE:""&amp;C22,dates!$I$1,dates!$C$4),2,2)"),4790.8)</f>
        <v>4790.8</v>
      </c>
      <c r="I22" s="51">
        <f>IFERROR(__xludf.DUMMYFUNCTION("INDEX(GOOGLEFINANCE(""NSE:""&amp;C22,dates!$I$1,dates!$C$5),2,2)"),4856.05)</f>
        <v>4856.05</v>
      </c>
      <c r="J22" s="51">
        <f>IFERROR(__xludf.DUMMYFUNCTION("INDEX(GOOGLEFINANCE(""NSE:""&amp;C22,dates!$I$1,dates!$C$6),2,2)"),4763.55)</f>
        <v>4763.55</v>
      </c>
      <c r="K22" s="16">
        <f t="shared" si="1"/>
        <v>0.007928695243</v>
      </c>
      <c r="L22" s="16">
        <f t="shared" si="2"/>
        <v>-0.01687609585</v>
      </c>
      <c r="M22" s="16">
        <f t="shared" si="3"/>
        <v>-0.03008618116</v>
      </c>
      <c r="N22" s="16">
        <f t="shared" si="4"/>
        <v>-0.0112521124</v>
      </c>
      <c r="O22" s="16">
        <f t="shared" si="5"/>
        <v>0.01321008531</v>
      </c>
      <c r="P22" s="17" t="str">
        <f t="shared" si="6"/>
        <v>#N/A</v>
      </c>
      <c r="Q22" s="17" t="str">
        <f t="shared" si="7"/>
        <v>#N/A</v>
      </c>
      <c r="R22" s="17">
        <f t="shared" si="8"/>
        <v>86</v>
      </c>
      <c r="S22" s="17" t="str">
        <f t="shared" si="9"/>
        <v>#N/A</v>
      </c>
    </row>
    <row r="23">
      <c r="A23" s="47">
        <v>22.0</v>
      </c>
      <c r="B23" s="48" t="s">
        <v>1510</v>
      </c>
      <c r="C23" s="48" t="s">
        <v>1015</v>
      </c>
      <c r="D23" s="49">
        <f>IFERROR(__xludf.DUMMYFUNCTION("GOOGLEFINANCE(""NSE:""&amp;C23,""marketcap"")/10000000"),7501.865443)</f>
        <v>7501.865443</v>
      </c>
      <c r="E23" s="50">
        <f>IFERROR(__xludf.DUMMYFUNCTION("GOOGLEFINANCE(""NSE:""&amp;C23,""volume"")"),21561.0)</f>
        <v>21561</v>
      </c>
      <c r="F23" s="9">
        <f>IFERROR(__xludf.DUMMYFUNCTION("GOOGLEFINANCE(""NSE:""&amp;C23)"),4381.0)</f>
        <v>4381</v>
      </c>
      <c r="G23" s="9">
        <f>IFERROR(__xludf.DUMMYFUNCTION("GOOGLEFINANCE(""NSE:""&amp;C23,""closeyest"")"),4320.2)</f>
        <v>4320.2</v>
      </c>
      <c r="H23" s="51">
        <f>IFERROR(__xludf.DUMMYFUNCTION("INDEX(GOOGLEFINANCE(""NSE:""&amp;C23,dates!$I$1,dates!$C$4),2,2)"),4650.9)</f>
        <v>4650.9</v>
      </c>
      <c r="I23" s="51">
        <f>IFERROR(__xludf.DUMMYFUNCTION("INDEX(GOOGLEFINANCE(""NSE:""&amp;C23,dates!$I$1,dates!$C$5),2,2)"),4509.9)</f>
        <v>4509.9</v>
      </c>
      <c r="J23" s="51">
        <f>IFERROR(__xludf.DUMMYFUNCTION("INDEX(GOOGLEFINANCE(""NSE:""&amp;C23,dates!$I$1,dates!$C$6),2,2)"),3928.2)</f>
        <v>3928.2</v>
      </c>
      <c r="K23" s="16">
        <f t="shared" si="1"/>
        <v>0.01407342253</v>
      </c>
      <c r="L23" s="16">
        <f t="shared" si="2"/>
        <v>-0.0580317788</v>
      </c>
      <c r="M23" s="16">
        <f t="shared" si="3"/>
        <v>-0.028581565</v>
      </c>
      <c r="N23" s="16">
        <f t="shared" si="4"/>
        <v>0.11526908</v>
      </c>
      <c r="O23" s="16">
        <f t="shared" si="5"/>
        <v>-0.02945021379</v>
      </c>
      <c r="P23" s="17" t="str">
        <f t="shared" si="6"/>
        <v>#N/A</v>
      </c>
      <c r="Q23" s="17" t="str">
        <f t="shared" si="7"/>
        <v>#N/A</v>
      </c>
      <c r="R23" s="17">
        <f t="shared" si="8"/>
        <v>34</v>
      </c>
      <c r="S23" s="17" t="str">
        <f t="shared" si="9"/>
        <v>#N/A</v>
      </c>
      <c r="T23" s="17"/>
    </row>
    <row r="24">
      <c r="A24" s="47">
        <v>23.0</v>
      </c>
      <c r="B24" s="48" t="s">
        <v>1511</v>
      </c>
      <c r="C24" s="48" t="s">
        <v>239</v>
      </c>
      <c r="D24" s="49">
        <f>IFERROR(__xludf.DUMMYFUNCTION("GOOGLEFINANCE(""NSE:""&amp;C24,""marketcap"")/10000000"),50168.9496318)</f>
        <v>50168.94963</v>
      </c>
      <c r="E24" s="50">
        <f>IFERROR(__xludf.DUMMYFUNCTION("GOOGLEFINANCE(""NSE:""&amp;C24,""volume"")"),246422.0)</f>
        <v>246422</v>
      </c>
      <c r="F24" s="9">
        <f>IFERROR(__xludf.DUMMYFUNCTION("GOOGLEFINANCE(""NSE:""&amp;C24)"),4780.05)</f>
        <v>4780.05</v>
      </c>
      <c r="G24" s="9">
        <f>IFERROR(__xludf.DUMMYFUNCTION("GOOGLEFINANCE(""NSE:""&amp;C24,""closeyest"")"),4682.3)</f>
        <v>4682.3</v>
      </c>
      <c r="H24" s="51">
        <f>IFERROR(__xludf.DUMMYFUNCTION("INDEX(GOOGLEFINANCE(""NSE:""&amp;C24,dates!$I$1,dates!$C$4),2,2)"),4558.7)</f>
        <v>4558.7</v>
      </c>
      <c r="I24" s="51">
        <f>IFERROR(__xludf.DUMMYFUNCTION("INDEX(GOOGLEFINANCE(""NSE:""&amp;C24,dates!$I$1,dates!$C$5),2,2)"),4373.25)</f>
        <v>4373.25</v>
      </c>
      <c r="J24" s="51">
        <f>IFERROR(__xludf.DUMMYFUNCTION("INDEX(GOOGLEFINANCE(""NSE:""&amp;C24,dates!$I$1,dates!$C$6),2,2)"),3974.2)</f>
        <v>3974.2</v>
      </c>
      <c r="K24" s="16">
        <f t="shared" si="1"/>
        <v>0.02087649232</v>
      </c>
      <c r="L24" s="16">
        <f t="shared" si="2"/>
        <v>0.04855550925</v>
      </c>
      <c r="M24" s="16">
        <f t="shared" si="3"/>
        <v>0.09302006517</v>
      </c>
      <c r="N24" s="16">
        <f t="shared" si="4"/>
        <v>0.2027703689</v>
      </c>
      <c r="O24" s="16">
        <f t="shared" si="5"/>
        <v>-0.04446455592</v>
      </c>
      <c r="P24" s="17" t="str">
        <f t="shared" si="6"/>
        <v>#N/A</v>
      </c>
      <c r="Q24" s="17" t="str">
        <f t="shared" si="7"/>
        <v>#N/A</v>
      </c>
      <c r="R24" s="17">
        <f t="shared" si="8"/>
        <v>8</v>
      </c>
      <c r="S24" s="17" t="str">
        <f t="shared" si="9"/>
        <v>#N/A</v>
      </c>
      <c r="T24" s="17"/>
    </row>
    <row r="25">
      <c r="A25" s="47">
        <v>24.0</v>
      </c>
      <c r="B25" s="48" t="s">
        <v>1512</v>
      </c>
      <c r="C25" s="48" t="s">
        <v>199</v>
      </c>
      <c r="D25" s="49">
        <f>IFERROR(__xludf.DUMMYFUNCTION("GOOGLEFINANCE(""NSE:""&amp;C25,""marketcap"")/10000000"),54817.576037)</f>
        <v>54817.57604</v>
      </c>
      <c r="E25" s="50">
        <f>IFERROR(__xludf.DUMMYFUNCTION("GOOGLEFINANCE(""NSE:""&amp;C25,""volume"")"),233872.0)</f>
        <v>233872</v>
      </c>
      <c r="F25" s="9">
        <f>IFERROR(__xludf.DUMMYFUNCTION("GOOGLEFINANCE(""NSE:""&amp;C25)"),4950.0)</f>
        <v>4950</v>
      </c>
      <c r="G25" s="9">
        <f>IFERROR(__xludf.DUMMYFUNCTION("GOOGLEFINANCE(""NSE:""&amp;C25,""closeyest"")"),4719.2)</f>
        <v>4719.2</v>
      </c>
      <c r="H25" s="51">
        <f>IFERROR(__xludf.DUMMYFUNCTION("INDEX(GOOGLEFINANCE(""NSE:""&amp;C25,dates!$I$1,dates!$C$4),2,2)"),4398.85)</f>
        <v>4398.85</v>
      </c>
      <c r="I25" s="51">
        <f>IFERROR(__xludf.DUMMYFUNCTION("INDEX(GOOGLEFINANCE(""NSE:""&amp;C25,dates!$I$1,dates!$C$5),2,2)"),4281.4)</f>
        <v>4281.4</v>
      </c>
      <c r="J25" s="51">
        <f>IFERROR(__xludf.DUMMYFUNCTION("INDEX(GOOGLEFINANCE(""NSE:""&amp;C25,dates!$I$1,dates!$C$6),2,2)"),4194.95)</f>
        <v>4194.95</v>
      </c>
      <c r="K25" s="16">
        <f t="shared" si="1"/>
        <v>0.04890659434</v>
      </c>
      <c r="L25" s="16">
        <f t="shared" si="2"/>
        <v>0.125294111</v>
      </c>
      <c r="M25" s="16">
        <f t="shared" si="3"/>
        <v>0.1561638716</v>
      </c>
      <c r="N25" s="16">
        <f t="shared" si="4"/>
        <v>0.1799902263</v>
      </c>
      <c r="O25" s="16">
        <f t="shared" si="5"/>
        <v>-0.03086976067</v>
      </c>
      <c r="P25" s="17" t="str">
        <f t="shared" si="6"/>
        <v>#N/A</v>
      </c>
      <c r="Q25" s="17" t="str">
        <f t="shared" si="7"/>
        <v>#N/A</v>
      </c>
      <c r="R25" s="17">
        <f t="shared" si="8"/>
        <v>11</v>
      </c>
      <c r="S25" s="17" t="str">
        <f t="shared" si="9"/>
        <v>#N/A</v>
      </c>
      <c r="T25" s="17"/>
    </row>
    <row r="26">
      <c r="A26" s="47">
        <v>25.0</v>
      </c>
      <c r="B26" s="48" t="s">
        <v>1513</v>
      </c>
      <c r="C26" s="48" t="s">
        <v>175</v>
      </c>
      <c r="D26" s="49">
        <f>IFERROR(__xludf.DUMMYFUNCTION("GOOGLEFINANCE(""NSE:""&amp;C26,""marketcap"")/10000000"),75023.4963578)</f>
        <v>75023.49636</v>
      </c>
      <c r="E26" s="50">
        <f>IFERROR(__xludf.DUMMYFUNCTION("GOOGLEFINANCE(""NSE:""&amp;C26,""volume"")"),1096499.0)</f>
        <v>1096499</v>
      </c>
      <c r="F26" s="9">
        <f>IFERROR(__xludf.DUMMYFUNCTION("GOOGLEFINANCE(""NSE:""&amp;C26)"),4570.0)</f>
        <v>4570</v>
      </c>
      <c r="G26" s="9">
        <f>IFERROR(__xludf.DUMMYFUNCTION("GOOGLEFINANCE(""NSE:""&amp;C26,""closeyest"")"),4523.0)</f>
        <v>4523</v>
      </c>
      <c r="H26" s="51">
        <f>IFERROR(__xludf.DUMMYFUNCTION("INDEX(GOOGLEFINANCE(""NSE:""&amp;C26,dates!$I$1,dates!$C$4),2,2)"),4184.2)</f>
        <v>4184.2</v>
      </c>
      <c r="I26" s="51">
        <f>IFERROR(__xludf.DUMMYFUNCTION("INDEX(GOOGLEFINANCE(""NSE:""&amp;C26,dates!$I$1,dates!$C$5),2,2)"),3935.05)</f>
        <v>3935.05</v>
      </c>
      <c r="J26" s="51">
        <f>IFERROR(__xludf.DUMMYFUNCTION("INDEX(GOOGLEFINANCE(""NSE:""&amp;C26,dates!$I$1,dates!$C$6),2,2)"),3643.05)</f>
        <v>3643.05</v>
      </c>
      <c r="K26" s="16">
        <f t="shared" si="1"/>
        <v>0.01039133319</v>
      </c>
      <c r="L26" s="16">
        <f t="shared" si="2"/>
        <v>0.09220400554</v>
      </c>
      <c r="M26" s="16">
        <f t="shared" si="3"/>
        <v>0.1613575431</v>
      </c>
      <c r="N26" s="16">
        <f t="shared" si="4"/>
        <v>0.2544433922</v>
      </c>
      <c r="O26" s="16">
        <f t="shared" si="5"/>
        <v>-0.06915353756</v>
      </c>
      <c r="P26" s="17" t="str">
        <f t="shared" si="6"/>
        <v>#N/A</v>
      </c>
      <c r="Q26" s="17" t="str">
        <f t="shared" si="7"/>
        <v>#N/A</v>
      </c>
      <c r="R26" s="17">
        <f t="shared" si="8"/>
        <v>5</v>
      </c>
      <c r="S26" s="17" t="str">
        <f t="shared" si="9"/>
        <v>#N/A</v>
      </c>
      <c r="T26" s="17"/>
    </row>
    <row r="27">
      <c r="A27" s="47">
        <v>26.0</v>
      </c>
      <c r="B27" s="48" t="s">
        <v>1514</v>
      </c>
      <c r="C27" s="48" t="s">
        <v>189</v>
      </c>
      <c r="D27" s="49">
        <f>IFERROR(__xludf.DUMMYFUNCTION("GOOGLEFINANCE(""NSE:""&amp;C27,""marketcap"")/10000000"),54981.09914)</f>
        <v>54981.09914</v>
      </c>
      <c r="E27" s="50">
        <f>IFERROR(__xludf.DUMMYFUNCTION("GOOGLEFINANCE(""NSE:""&amp;C27,""volume"")"),500222.0)</f>
        <v>500222</v>
      </c>
      <c r="F27" s="9">
        <f>IFERROR(__xludf.DUMMYFUNCTION("GOOGLEFINANCE(""NSE:""&amp;C27)"),4170.1)</f>
        <v>4170.1</v>
      </c>
      <c r="G27" s="9">
        <f>IFERROR(__xludf.DUMMYFUNCTION("GOOGLEFINANCE(""NSE:""&amp;C27,""closeyest"")"),4109.2)</f>
        <v>4109.2</v>
      </c>
      <c r="H27" s="51">
        <f>IFERROR(__xludf.DUMMYFUNCTION("INDEX(GOOGLEFINANCE(""NSE:""&amp;C27,dates!$I$1,dates!$C$4),2,2)"),4102.8)</f>
        <v>4102.8</v>
      </c>
      <c r="I27" s="51">
        <f>IFERROR(__xludf.DUMMYFUNCTION("INDEX(GOOGLEFINANCE(""NSE:""&amp;C27,dates!$I$1,dates!$C$5),2,2)"),4135.2)</f>
        <v>4135.2</v>
      </c>
      <c r="J27" s="51">
        <f>IFERROR(__xludf.DUMMYFUNCTION("INDEX(GOOGLEFINANCE(""NSE:""&amp;C27,dates!$I$1,dates!$C$6),2,2)"),3812.35)</f>
        <v>3812.35</v>
      </c>
      <c r="K27" s="16">
        <f t="shared" si="1"/>
        <v>0.014820403</v>
      </c>
      <c r="L27" s="16">
        <f t="shared" si="2"/>
        <v>0.0164034318</v>
      </c>
      <c r="M27" s="16">
        <f t="shared" si="3"/>
        <v>0.008439736893</v>
      </c>
      <c r="N27" s="16">
        <f t="shared" si="4"/>
        <v>0.09383975763</v>
      </c>
      <c r="O27" s="16">
        <f t="shared" si="5"/>
        <v>0.00796369491</v>
      </c>
      <c r="P27" s="17" t="str">
        <f t="shared" si="6"/>
        <v>#N/A</v>
      </c>
      <c r="Q27" s="17" t="str">
        <f t="shared" si="7"/>
        <v>#N/A</v>
      </c>
      <c r="R27" s="17">
        <f t="shared" si="8"/>
        <v>39</v>
      </c>
      <c r="S27" s="17" t="str">
        <f t="shared" si="9"/>
        <v>#N/A</v>
      </c>
    </row>
    <row r="28">
      <c r="A28" s="47">
        <v>27.0</v>
      </c>
      <c r="B28" s="48" t="s">
        <v>677</v>
      </c>
      <c r="C28" s="48" t="s">
        <v>303</v>
      </c>
      <c r="D28" s="49">
        <f>IFERROR(__xludf.DUMMYFUNCTION("GOOGLEFINANCE(""NSE:""&amp;C28,""marketcap"")/10000000"),33444.845902)</f>
        <v>33444.8459</v>
      </c>
      <c r="E28" s="50">
        <f>IFERROR(__xludf.DUMMYFUNCTION("GOOGLEFINANCE(""NSE:""&amp;C28,""volume"")"),230208.0)</f>
        <v>230208</v>
      </c>
      <c r="F28" s="9">
        <f>IFERROR(__xludf.DUMMYFUNCTION("GOOGLEFINANCE(""NSE:""&amp;C28)"),4036.15)</f>
        <v>4036.15</v>
      </c>
      <c r="G28" s="9">
        <f>IFERROR(__xludf.DUMMYFUNCTION("GOOGLEFINANCE(""NSE:""&amp;C28,""closeyest"")"),3985.6)</f>
        <v>3985.6</v>
      </c>
      <c r="H28" s="51">
        <f>IFERROR(__xludf.DUMMYFUNCTION("INDEX(GOOGLEFINANCE(""NSE:""&amp;C28,dates!$I$1,dates!$C$4),2,2)"),3981.15)</f>
        <v>3981.15</v>
      </c>
      <c r="I28" s="51">
        <f>IFERROR(__xludf.DUMMYFUNCTION("INDEX(GOOGLEFINANCE(""NSE:""&amp;C28,dates!$I$1,dates!$C$5),2,2)"),4170.45)</f>
        <v>4170.45</v>
      </c>
      <c r="J28" s="51">
        <f>IFERROR(__xludf.DUMMYFUNCTION("INDEX(GOOGLEFINANCE(""NSE:""&amp;C28,dates!$I$1,dates!$C$6),2,2)"),3825.2)</f>
        <v>3825.2</v>
      </c>
      <c r="K28" s="16">
        <f t="shared" si="1"/>
        <v>0.01268315937</v>
      </c>
      <c r="L28" s="16">
        <f t="shared" si="2"/>
        <v>0.01381510368</v>
      </c>
      <c r="M28" s="16">
        <f t="shared" si="3"/>
        <v>-0.03220275989</v>
      </c>
      <c r="N28" s="16">
        <f t="shared" si="4"/>
        <v>0.05514744327</v>
      </c>
      <c r="O28" s="16">
        <f t="shared" si="5"/>
        <v>0.04601786357</v>
      </c>
      <c r="P28" s="17" t="str">
        <f t="shared" si="6"/>
        <v>#N/A</v>
      </c>
      <c r="Q28" s="17" t="str">
        <f t="shared" si="7"/>
        <v>#N/A</v>
      </c>
      <c r="R28" s="17">
        <f t="shared" si="8"/>
        <v>50</v>
      </c>
      <c r="S28" s="17" t="str">
        <f t="shared" si="9"/>
        <v>#N/A</v>
      </c>
    </row>
    <row r="29">
      <c r="A29" s="47">
        <v>28.0</v>
      </c>
      <c r="B29" s="48" t="s">
        <v>1515</v>
      </c>
      <c r="C29" s="48" t="s">
        <v>126</v>
      </c>
      <c r="D29" s="49">
        <f>IFERROR(__xludf.DUMMYFUNCTION("GOOGLEFINANCE(""NSE:""&amp;C29,""marketcap"")/10000000"),97526.3286628)</f>
        <v>97526.32866</v>
      </c>
      <c r="E29" s="50">
        <f>IFERROR(__xludf.DUMMYFUNCTION("GOOGLEFINANCE(""NSE:""&amp;C29,""volume"")"),322858.0)</f>
        <v>322858</v>
      </c>
      <c r="F29" s="9">
        <f>IFERROR(__xludf.DUMMYFUNCTION("GOOGLEFINANCE(""NSE:""&amp;C29)"),4048.95)</f>
        <v>4048.95</v>
      </c>
      <c r="G29" s="9">
        <f>IFERROR(__xludf.DUMMYFUNCTION("GOOGLEFINANCE(""NSE:""&amp;C29,""closeyest"")"),4058.5)</f>
        <v>4058.5</v>
      </c>
      <c r="H29" s="51">
        <f>IFERROR(__xludf.DUMMYFUNCTION("INDEX(GOOGLEFINANCE(""NSE:""&amp;C29,dates!$I$1,dates!$C$4),2,2)"),4051.85)</f>
        <v>4051.85</v>
      </c>
      <c r="I29" s="51">
        <f>IFERROR(__xludf.DUMMYFUNCTION("INDEX(GOOGLEFINANCE(""NSE:""&amp;C29,dates!$I$1,dates!$C$5),2,2)"),4093.85)</f>
        <v>4093.85</v>
      </c>
      <c r="J29" s="51">
        <f>IFERROR(__xludf.DUMMYFUNCTION("INDEX(GOOGLEFINANCE(""NSE:""&amp;C29,dates!$I$1,dates!$C$6),2,2)"),3941.55)</f>
        <v>3941.55</v>
      </c>
      <c r="K29" s="16">
        <f t="shared" si="1"/>
        <v>-0.002353086116</v>
      </c>
      <c r="L29" s="16">
        <f t="shared" si="2"/>
        <v>-0.0007157224478</v>
      </c>
      <c r="M29" s="16">
        <f t="shared" si="3"/>
        <v>-0.01096767102</v>
      </c>
      <c r="N29" s="16">
        <f t="shared" si="4"/>
        <v>0.02724816379</v>
      </c>
      <c r="O29" s="16">
        <f t="shared" si="5"/>
        <v>0.01025194857</v>
      </c>
      <c r="P29" s="17" t="str">
        <f t="shared" si="6"/>
        <v>#N/A</v>
      </c>
      <c r="Q29" s="17" t="str">
        <f t="shared" si="7"/>
        <v>#N/A</v>
      </c>
      <c r="R29" s="17">
        <f t="shared" si="8"/>
        <v>62</v>
      </c>
      <c r="S29" s="17" t="str">
        <f t="shared" si="9"/>
        <v>#N/A</v>
      </c>
      <c r="T29" s="17"/>
    </row>
    <row r="30">
      <c r="A30" s="47">
        <v>29.0</v>
      </c>
      <c r="B30" s="48" t="s">
        <v>1516</v>
      </c>
      <c r="C30" s="48" t="s">
        <v>432</v>
      </c>
      <c r="D30" s="49">
        <f>IFERROR(__xludf.DUMMYFUNCTION("GOOGLEFINANCE(""NSE:""&amp;C30,""marketcap"")/10000000"),19465.81662)</f>
        <v>19465.81662</v>
      </c>
      <c r="E30" s="50">
        <f>IFERROR(__xludf.DUMMYFUNCTION("GOOGLEFINANCE(""NSE:""&amp;C30,""volume"")"),134072.0)</f>
        <v>134072</v>
      </c>
      <c r="F30" s="9">
        <f>IFERROR(__xludf.DUMMYFUNCTION("GOOGLEFINANCE(""NSE:""&amp;C30)"),3930.0)</f>
        <v>3930</v>
      </c>
      <c r="G30" s="9">
        <f>IFERROR(__xludf.DUMMYFUNCTION("GOOGLEFINANCE(""NSE:""&amp;C30,""closeyest"")"),3881.55)</f>
        <v>3881.55</v>
      </c>
      <c r="H30" s="51">
        <f>IFERROR(__xludf.DUMMYFUNCTION("INDEX(GOOGLEFINANCE(""NSE:""&amp;C30,dates!$I$1,dates!$C$4),2,2)"),3860.15)</f>
        <v>3860.15</v>
      </c>
      <c r="I30" s="51">
        <f>IFERROR(__xludf.DUMMYFUNCTION("INDEX(GOOGLEFINANCE(""NSE:""&amp;C30,dates!$I$1,dates!$C$5),2,2)"),4019.85)</f>
        <v>4019.85</v>
      </c>
      <c r="J30" s="51">
        <f>IFERROR(__xludf.DUMMYFUNCTION("INDEX(GOOGLEFINANCE(""NSE:""&amp;C30,dates!$I$1,dates!$C$6),2,2)"),3830.05)</f>
        <v>3830.05</v>
      </c>
      <c r="K30" s="16">
        <f t="shared" si="1"/>
        <v>0.01248212699</v>
      </c>
      <c r="L30" s="16">
        <f t="shared" si="2"/>
        <v>0.01809515174</v>
      </c>
      <c r="M30" s="16">
        <f t="shared" si="3"/>
        <v>-0.02235158028</v>
      </c>
      <c r="N30" s="16">
        <f t="shared" si="4"/>
        <v>0.02609626506</v>
      </c>
      <c r="O30" s="16">
        <f t="shared" si="5"/>
        <v>0.04044673203</v>
      </c>
      <c r="P30" s="17" t="str">
        <f t="shared" si="6"/>
        <v>#N/A</v>
      </c>
      <c r="Q30" s="17" t="str">
        <f t="shared" si="7"/>
        <v>#N/A</v>
      </c>
      <c r="R30" s="17">
        <f t="shared" si="8"/>
        <v>63</v>
      </c>
      <c r="S30" s="17" t="str">
        <f t="shared" si="9"/>
        <v>#N/A</v>
      </c>
      <c r="T30" s="17"/>
    </row>
    <row r="31">
      <c r="A31" s="47">
        <v>30.0</v>
      </c>
      <c r="B31" s="48" t="s">
        <v>1517</v>
      </c>
      <c r="C31" s="48" t="s">
        <v>24</v>
      </c>
      <c r="D31" s="49">
        <f>IFERROR(__xludf.DUMMYFUNCTION("GOOGLEFINANCE(""NSE:""&amp;C31,""marketcap"")/10000000"),1430311.3731375)</f>
        <v>1430311.373</v>
      </c>
      <c r="E31" s="50">
        <f>IFERROR(__xludf.DUMMYFUNCTION("GOOGLEFINANCE(""NSE:""&amp;C31,""volume"")"),2003869.0)</f>
        <v>2003869</v>
      </c>
      <c r="F31" s="9">
        <f>IFERROR(__xludf.DUMMYFUNCTION("GOOGLEFINANCE(""NSE:""&amp;C31)"),3872.0)</f>
        <v>3872</v>
      </c>
      <c r="G31" s="9">
        <f>IFERROR(__xludf.DUMMYFUNCTION("GOOGLEFINANCE(""NSE:""&amp;C31,""closeyest"")"),3862.15)</f>
        <v>3862.15</v>
      </c>
      <c r="H31" s="51">
        <f>IFERROR(__xludf.DUMMYFUNCTION("INDEX(GOOGLEFINANCE(""NSE:""&amp;C31,dates!$I$1,dates!$C$4),2,2)"),3827.85)</f>
        <v>3827.85</v>
      </c>
      <c r="I31" s="51">
        <f>IFERROR(__xludf.DUMMYFUNCTION("INDEX(GOOGLEFINANCE(""NSE:""&amp;C31,dates!$I$1,dates!$C$5),2,2)"),3845.35)</f>
        <v>3845.35</v>
      </c>
      <c r="J31" s="51">
        <f>IFERROR(__xludf.DUMMYFUNCTION("INDEX(GOOGLEFINANCE(""NSE:""&amp;C31,dates!$I$1,dates!$C$6),2,2)"),3720.15)</f>
        <v>3720.15</v>
      </c>
      <c r="K31" s="16">
        <f t="shared" si="1"/>
        <v>0.002550392916</v>
      </c>
      <c r="L31" s="16">
        <f t="shared" si="2"/>
        <v>0.01153388978</v>
      </c>
      <c r="M31" s="16">
        <f t="shared" si="3"/>
        <v>0.006930448464</v>
      </c>
      <c r="N31" s="16">
        <f t="shared" si="4"/>
        <v>0.04081824658</v>
      </c>
      <c r="O31" s="16">
        <f t="shared" si="5"/>
        <v>0.004603441318</v>
      </c>
      <c r="P31" s="17" t="str">
        <f t="shared" si="6"/>
        <v>#N/A</v>
      </c>
      <c r="Q31" s="17" t="str">
        <f t="shared" si="7"/>
        <v>#N/A</v>
      </c>
      <c r="R31" s="17">
        <f t="shared" si="8"/>
        <v>57</v>
      </c>
      <c r="S31" s="17" t="str">
        <f t="shared" si="9"/>
        <v>#N/A</v>
      </c>
    </row>
    <row r="32">
      <c r="A32" s="47">
        <v>31.0</v>
      </c>
      <c r="B32" s="48" t="s">
        <v>1518</v>
      </c>
      <c r="C32" s="48" t="s">
        <v>203</v>
      </c>
      <c r="D32" s="49">
        <f>IFERROR(__xludf.DUMMYFUNCTION("GOOGLEFINANCE(""NSE:""&amp;C32,""marketcap"")/10000000"),47377.6600124)</f>
        <v>47377.66001</v>
      </c>
      <c r="E32" s="50">
        <f>IFERROR(__xludf.DUMMYFUNCTION("GOOGLEFINANCE(""NSE:""&amp;C32,""volume"")"),165195.0)</f>
        <v>165195</v>
      </c>
      <c r="F32" s="9">
        <f>IFERROR(__xludf.DUMMYFUNCTION("GOOGLEFINANCE(""NSE:""&amp;C32)"),3957.0)</f>
        <v>3957</v>
      </c>
      <c r="G32" s="9">
        <f>IFERROR(__xludf.DUMMYFUNCTION("GOOGLEFINANCE(""NSE:""&amp;C32,""closeyest"")"),3894.6)</f>
        <v>3894.6</v>
      </c>
      <c r="H32" s="51">
        <f>IFERROR(__xludf.DUMMYFUNCTION("INDEX(GOOGLEFINANCE(""NSE:""&amp;C32,dates!$I$1,dates!$C$4),2,2)"),3824.95)</f>
        <v>3824.95</v>
      </c>
      <c r="I32" s="51">
        <f>IFERROR(__xludf.DUMMYFUNCTION("INDEX(GOOGLEFINANCE(""NSE:""&amp;C32,dates!$I$1,dates!$C$5),2,2)"),3823.85)</f>
        <v>3823.85</v>
      </c>
      <c r="J32" s="51">
        <f>IFERROR(__xludf.DUMMYFUNCTION("INDEX(GOOGLEFINANCE(""NSE:""&amp;C32,dates!$I$1,dates!$C$6),2,2)"),3887.65)</f>
        <v>3887.65</v>
      </c>
      <c r="K32" s="16">
        <f t="shared" si="1"/>
        <v>0.01602218456</v>
      </c>
      <c r="L32" s="16">
        <f t="shared" si="2"/>
        <v>0.0345233271</v>
      </c>
      <c r="M32" s="16">
        <f t="shared" si="3"/>
        <v>0.03482092655</v>
      </c>
      <c r="N32" s="16">
        <f t="shared" si="4"/>
        <v>0.01783853999</v>
      </c>
      <c r="O32" s="16">
        <f t="shared" si="5"/>
        <v>-0.0002975994508</v>
      </c>
      <c r="P32" s="17" t="str">
        <f t="shared" si="6"/>
        <v>#N/A</v>
      </c>
      <c r="Q32" s="17" t="str">
        <f t="shared" si="7"/>
        <v>#N/A</v>
      </c>
      <c r="R32" s="17">
        <f t="shared" si="8"/>
        <v>72</v>
      </c>
      <c r="S32" s="17" t="str">
        <f t="shared" si="9"/>
        <v>#N/A</v>
      </c>
      <c r="T32" s="17"/>
    </row>
    <row r="33">
      <c r="A33" s="47">
        <v>32.0</v>
      </c>
      <c r="B33" s="48" t="s">
        <v>1519</v>
      </c>
      <c r="C33" s="48" t="s">
        <v>363</v>
      </c>
      <c r="D33" s="49">
        <f>IFERROR(__xludf.DUMMYFUNCTION("GOOGLEFINANCE(""NSE:""&amp;C33,""marketcap"")/10000000"),28112.4024698)</f>
        <v>28112.40247</v>
      </c>
      <c r="E33" s="50">
        <f>IFERROR(__xludf.DUMMYFUNCTION("GOOGLEFINANCE(""NSE:""&amp;C33,""volume"")"),174589.0)</f>
        <v>174589</v>
      </c>
      <c r="F33" s="9">
        <f>IFERROR(__xludf.DUMMYFUNCTION("GOOGLEFINANCE(""NSE:""&amp;C33)"),3768.7)</f>
        <v>3768.7</v>
      </c>
      <c r="G33" s="9">
        <f>IFERROR(__xludf.DUMMYFUNCTION("GOOGLEFINANCE(""NSE:""&amp;C33,""closeyest"")"),3717.05)</f>
        <v>3717.05</v>
      </c>
      <c r="H33" s="51">
        <f>IFERROR(__xludf.DUMMYFUNCTION("INDEX(GOOGLEFINANCE(""NSE:""&amp;C33,dates!$I$1,dates!$C$4),2,2)"),3538.0)</f>
        <v>3538</v>
      </c>
      <c r="I33" s="51">
        <f>IFERROR(__xludf.DUMMYFUNCTION("INDEX(GOOGLEFINANCE(""NSE:""&amp;C33,dates!$I$1,dates!$C$5),2,2)"),3587.7)</f>
        <v>3587.7</v>
      </c>
      <c r="J33" s="51">
        <f>IFERROR(__xludf.DUMMYFUNCTION("INDEX(GOOGLEFINANCE(""NSE:""&amp;C33,dates!$I$1,dates!$C$6),2,2)"),3253.5)</f>
        <v>3253.5</v>
      </c>
      <c r="K33" s="16">
        <f t="shared" si="1"/>
        <v>0.01389542783</v>
      </c>
      <c r="L33" s="16">
        <f t="shared" si="2"/>
        <v>0.06520633126</v>
      </c>
      <c r="M33" s="16">
        <f t="shared" si="3"/>
        <v>0.05045014912</v>
      </c>
      <c r="N33" s="16">
        <f t="shared" si="4"/>
        <v>0.1583525434</v>
      </c>
      <c r="O33" s="16">
        <f t="shared" si="5"/>
        <v>0.01475618214</v>
      </c>
      <c r="P33" s="17" t="str">
        <f t="shared" si="6"/>
        <v>#N/A</v>
      </c>
      <c r="Q33" s="17" t="str">
        <f t="shared" si="7"/>
        <v>#N/A</v>
      </c>
      <c r="R33" s="17">
        <f t="shared" si="8"/>
        <v>19</v>
      </c>
      <c r="S33" s="17" t="str">
        <f t="shared" si="9"/>
        <v>#N/A</v>
      </c>
      <c r="T33" s="17"/>
    </row>
    <row r="34">
      <c r="A34" s="47">
        <v>33.0</v>
      </c>
      <c r="B34" s="48" t="s">
        <v>1520</v>
      </c>
      <c r="C34" s="48" t="s">
        <v>193</v>
      </c>
      <c r="D34" s="49">
        <f>IFERROR(__xludf.DUMMYFUNCTION("GOOGLEFINANCE(""NSE:""&amp;C34,""marketcap"")/10000000"),49568.30466)</f>
        <v>49568.30466</v>
      </c>
      <c r="E34" s="50">
        <f>IFERROR(__xludf.DUMMYFUNCTION("GOOGLEFINANCE(""NSE:""&amp;C34,""volume"")"),214366.0)</f>
        <v>214366</v>
      </c>
      <c r="F34" s="9">
        <f>IFERROR(__xludf.DUMMYFUNCTION("GOOGLEFINANCE(""NSE:""&amp;C34)"),3269.0)</f>
        <v>3269</v>
      </c>
      <c r="G34" s="9">
        <f>IFERROR(__xludf.DUMMYFUNCTION("GOOGLEFINANCE(""NSE:""&amp;C34,""closeyest"")"),3271.65)</f>
        <v>3271.65</v>
      </c>
      <c r="H34" s="51">
        <f>IFERROR(__xludf.DUMMYFUNCTION("INDEX(GOOGLEFINANCE(""NSE:""&amp;C34,dates!$I$1,dates!$C$4),2,2)"),3464.25)</f>
        <v>3464.25</v>
      </c>
      <c r="I34" s="51">
        <f>IFERROR(__xludf.DUMMYFUNCTION("INDEX(GOOGLEFINANCE(""NSE:""&amp;C34,dates!$I$1,dates!$C$5),2,2)"),3447.75)</f>
        <v>3447.75</v>
      </c>
      <c r="J34" s="51">
        <f>IFERROR(__xludf.DUMMYFUNCTION("INDEX(GOOGLEFINANCE(""NSE:""&amp;C34,dates!$I$1,dates!$C$6),2,2)"),3193.3)</f>
        <v>3193.3</v>
      </c>
      <c r="K34" s="16">
        <f t="shared" si="1"/>
        <v>-0.0008099888435</v>
      </c>
      <c r="L34" s="16">
        <f t="shared" si="2"/>
        <v>-0.05636140579</v>
      </c>
      <c r="M34" s="16">
        <f t="shared" si="3"/>
        <v>-0.05184540642</v>
      </c>
      <c r="N34" s="16">
        <f t="shared" si="4"/>
        <v>0.0237058842</v>
      </c>
      <c r="O34" s="16">
        <f t="shared" si="5"/>
        <v>-0.004515999363</v>
      </c>
      <c r="P34" s="17" t="str">
        <f t="shared" si="6"/>
        <v>#N/A</v>
      </c>
      <c r="Q34" s="17" t="str">
        <f t="shared" si="7"/>
        <v>#N/A</v>
      </c>
      <c r="R34" s="17">
        <f t="shared" si="8"/>
        <v>66</v>
      </c>
      <c r="S34" s="17" t="str">
        <f t="shared" si="9"/>
        <v>#N/A</v>
      </c>
      <c r="T34" s="17"/>
    </row>
    <row r="35">
      <c r="A35" s="47">
        <v>34.0</v>
      </c>
      <c r="B35" s="48" t="s">
        <v>1521</v>
      </c>
      <c r="C35" s="48" t="s">
        <v>375</v>
      </c>
      <c r="D35" s="49">
        <f>IFERROR(__xludf.DUMMYFUNCTION("GOOGLEFINANCE(""NSE:""&amp;C35,""marketcap"")/10000000"),24756.744096)</f>
        <v>24756.7441</v>
      </c>
      <c r="E35" s="50">
        <f>IFERROR(__xludf.DUMMYFUNCTION("GOOGLEFINANCE(""NSE:""&amp;C35,""volume"")"),32037.0)</f>
        <v>32037</v>
      </c>
      <c r="F35" s="9">
        <f>IFERROR(__xludf.DUMMYFUNCTION("GOOGLEFINANCE(""NSE:""&amp;C35)"),3204.0)</f>
        <v>3204</v>
      </c>
      <c r="G35" s="9">
        <f>IFERROR(__xludf.DUMMYFUNCTION("GOOGLEFINANCE(""NSE:""&amp;C35,""closeyest"")"),3215.45)</f>
        <v>3215.45</v>
      </c>
      <c r="H35" s="51">
        <f>IFERROR(__xludf.DUMMYFUNCTION("INDEX(GOOGLEFINANCE(""NSE:""&amp;C35,dates!$I$1,dates!$C$4),2,2)"),3379.45)</f>
        <v>3379.45</v>
      </c>
      <c r="I35" s="51">
        <f>IFERROR(__xludf.DUMMYFUNCTION("INDEX(GOOGLEFINANCE(""NSE:""&amp;C35,dates!$I$1,dates!$C$5),2,2)"),3472.95)</f>
        <v>3472.95</v>
      </c>
      <c r="J35" s="51">
        <f>IFERROR(__xludf.DUMMYFUNCTION("INDEX(GOOGLEFINANCE(""NSE:""&amp;C35,dates!$I$1,dates!$C$6),2,2)"),3125.3)</f>
        <v>3125.3</v>
      </c>
      <c r="K35" s="16">
        <f t="shared" si="1"/>
        <v>-0.003560932373</v>
      </c>
      <c r="L35" s="16">
        <f t="shared" si="2"/>
        <v>-0.05191673201</v>
      </c>
      <c r="M35" s="16">
        <f t="shared" si="3"/>
        <v>-0.07744136829</v>
      </c>
      <c r="N35" s="16">
        <f t="shared" si="4"/>
        <v>0.02518158257</v>
      </c>
      <c r="O35" s="16">
        <f t="shared" si="5"/>
        <v>0.02552463628</v>
      </c>
      <c r="P35" s="17" t="str">
        <f t="shared" si="6"/>
        <v>#N/A</v>
      </c>
      <c r="Q35" s="17" t="str">
        <f t="shared" si="7"/>
        <v>#N/A</v>
      </c>
      <c r="R35" s="17">
        <f t="shared" si="8"/>
        <v>64</v>
      </c>
      <c r="S35" s="17" t="str">
        <f t="shared" si="9"/>
        <v>#N/A</v>
      </c>
      <c r="T35" s="17"/>
    </row>
    <row r="36">
      <c r="A36" s="47">
        <v>35.0</v>
      </c>
      <c r="B36" s="48" t="s">
        <v>1522</v>
      </c>
      <c r="C36" s="48" t="s">
        <v>48</v>
      </c>
      <c r="D36" s="49">
        <f>IFERROR(__xludf.DUMMYFUNCTION("GOOGLEFINANCE(""NSE:""&amp;C36,""marketcap"")/10000000"),318708.7923473)</f>
        <v>318708.7923</v>
      </c>
      <c r="E36" s="50">
        <f>IFERROR(__xludf.DUMMYFUNCTION("GOOGLEFINANCE(""NSE:""&amp;C36,""volume"")"),694716.0)</f>
        <v>694716</v>
      </c>
      <c r="F36" s="9">
        <f>IFERROR(__xludf.DUMMYFUNCTION("GOOGLEFINANCE(""NSE:""&amp;C36)"),3326.0)</f>
        <v>3326</v>
      </c>
      <c r="G36" s="9">
        <f>IFERROR(__xludf.DUMMYFUNCTION("GOOGLEFINANCE(""NSE:""&amp;C36,""closeyest"")"),3317.5)</f>
        <v>3317.5</v>
      </c>
      <c r="H36" s="51">
        <f>IFERROR(__xludf.DUMMYFUNCTION("INDEX(GOOGLEFINANCE(""NSE:""&amp;C36,dates!$I$1,dates!$C$4),2,2)"),3303.05)</f>
        <v>3303.05</v>
      </c>
      <c r="I36" s="51">
        <f>IFERROR(__xludf.DUMMYFUNCTION("INDEX(GOOGLEFINANCE(""NSE:""&amp;C36,dates!$I$1,dates!$C$5),2,2)"),3367.05)</f>
        <v>3367.05</v>
      </c>
      <c r="J36" s="51">
        <f>IFERROR(__xludf.DUMMYFUNCTION("INDEX(GOOGLEFINANCE(""NSE:""&amp;C36,dates!$I$1,dates!$C$6),2,2)"),3036.8)</f>
        <v>3036.8</v>
      </c>
      <c r="K36" s="16">
        <f t="shared" si="1"/>
        <v>0.002562170309</v>
      </c>
      <c r="L36" s="16">
        <f t="shared" si="2"/>
        <v>0.006948123704</v>
      </c>
      <c r="M36" s="16">
        <f t="shared" si="3"/>
        <v>-0.01219168115</v>
      </c>
      <c r="N36" s="16">
        <f t="shared" si="4"/>
        <v>0.09523182297</v>
      </c>
      <c r="O36" s="16">
        <f t="shared" si="5"/>
        <v>0.01913980485</v>
      </c>
      <c r="P36" s="17" t="str">
        <f t="shared" si="6"/>
        <v>#N/A</v>
      </c>
      <c r="Q36" s="17" t="str">
        <f t="shared" si="7"/>
        <v>#N/A</v>
      </c>
      <c r="R36" s="17">
        <f t="shared" si="8"/>
        <v>38</v>
      </c>
      <c r="S36" s="17" t="str">
        <f t="shared" si="9"/>
        <v>#N/A</v>
      </c>
      <c r="T36" s="17"/>
    </row>
    <row r="37">
      <c r="A37" s="47">
        <v>36.0</v>
      </c>
      <c r="B37" s="48" t="s">
        <v>1523</v>
      </c>
      <c r="C37" s="48" t="s">
        <v>185</v>
      </c>
      <c r="D37" s="49">
        <f>IFERROR(__xludf.DUMMYFUNCTION("GOOGLEFINANCE(""NSE:""&amp;C37,""marketcap"")/10000000"),62743.892)</f>
        <v>62743.892</v>
      </c>
      <c r="E37" s="50">
        <f>IFERROR(__xludf.DUMMYFUNCTION("GOOGLEFINANCE(""NSE:""&amp;C37,""volume"")"),853124.0)</f>
        <v>853124</v>
      </c>
      <c r="F37" s="9">
        <f>IFERROR(__xludf.DUMMYFUNCTION("GOOGLEFINANCE(""NSE:""&amp;C37)"),3350.0)</f>
        <v>3350</v>
      </c>
      <c r="G37" s="9">
        <f>IFERROR(__xludf.DUMMYFUNCTION("GOOGLEFINANCE(""NSE:""&amp;C37,""closeyest"")"),3251.05)</f>
        <v>3251.05</v>
      </c>
      <c r="H37" s="51">
        <f>IFERROR(__xludf.DUMMYFUNCTION("INDEX(GOOGLEFINANCE(""NSE:""&amp;C37,dates!$I$1,dates!$C$4),2,2)"),3194.1)</f>
        <v>3194.1</v>
      </c>
      <c r="I37" s="51" t="str">
        <f>IFERROR(__xludf.DUMMYFUNCTION("INDEX(GOOGLEFINANCE(""NSE:""&amp;C37,dates!$I$1,dates!$C$5),2,2)"),"#N/A")</f>
        <v>#N/A</v>
      </c>
      <c r="J37" s="51">
        <f>IFERROR(__xludf.DUMMYFUNCTION("INDEX(GOOGLEFINANCE(""NSE:""&amp;C37,dates!$I$1,dates!$C$6),2,2)"),2894.8)</f>
        <v>2894.8</v>
      </c>
      <c r="K37" s="16">
        <f t="shared" si="1"/>
        <v>0.03043632057</v>
      </c>
      <c r="L37" s="16">
        <f t="shared" si="2"/>
        <v>0.04880874112</v>
      </c>
      <c r="M37" s="16" t="str">
        <f t="shared" si="3"/>
        <v>#N/A</v>
      </c>
      <c r="N37" s="16">
        <f t="shared" si="4"/>
        <v>0.1572474782</v>
      </c>
      <c r="O37" s="16" t="str">
        <f t="shared" si="5"/>
        <v>#N/A</v>
      </c>
      <c r="P37" s="17" t="str">
        <f t="shared" si="6"/>
        <v>#N/A</v>
      </c>
      <c r="Q37" s="17" t="str">
        <f t="shared" si="7"/>
        <v>#N/A</v>
      </c>
      <c r="R37" s="17">
        <f t="shared" si="8"/>
        <v>21</v>
      </c>
      <c r="S37" s="17" t="str">
        <f t="shared" si="9"/>
        <v>#N/A</v>
      </c>
      <c r="T37" s="17"/>
    </row>
    <row r="38">
      <c r="A38" s="47">
        <v>37.0</v>
      </c>
      <c r="B38" s="48" t="s">
        <v>1524</v>
      </c>
      <c r="C38" s="48" t="s">
        <v>496</v>
      </c>
      <c r="D38" s="49">
        <f>IFERROR(__xludf.DUMMYFUNCTION("GOOGLEFINANCE(""NSE:""&amp;C38,""marketcap"")/10000000"),14831.385)</f>
        <v>14831.385</v>
      </c>
      <c r="E38" s="50">
        <f>IFERROR(__xludf.DUMMYFUNCTION("GOOGLEFINANCE(""NSE:""&amp;C38,""volume"")"),53267.0)</f>
        <v>53267</v>
      </c>
      <c r="F38" s="9">
        <f>IFERROR(__xludf.DUMMYFUNCTION("GOOGLEFINANCE(""NSE:""&amp;C38)"),3000.0)</f>
        <v>3000</v>
      </c>
      <c r="G38" s="9">
        <f>IFERROR(__xludf.DUMMYFUNCTION("GOOGLEFINANCE(""NSE:""&amp;C38,""closeyest"")"),2997.35)</f>
        <v>2997.35</v>
      </c>
      <c r="H38" s="51">
        <f>IFERROR(__xludf.DUMMYFUNCTION("INDEX(GOOGLEFINANCE(""NSE:""&amp;C38,dates!$I$1,dates!$C$4),2,2)"),3032.1)</f>
        <v>3032.1</v>
      </c>
      <c r="I38" s="51">
        <f>IFERROR(__xludf.DUMMYFUNCTION("INDEX(GOOGLEFINANCE(""NSE:""&amp;C38,dates!$I$1,dates!$C$5),2,2)"),3195.85)</f>
        <v>3195.85</v>
      </c>
      <c r="J38" s="51">
        <f>IFERROR(__xludf.DUMMYFUNCTION("INDEX(GOOGLEFINANCE(""NSE:""&amp;C38,dates!$I$1,dates!$C$6),2,2)"),2977.05)</f>
        <v>2977.05</v>
      </c>
      <c r="K38" s="16">
        <f t="shared" si="1"/>
        <v>0.000884114301</v>
      </c>
      <c r="L38" s="16">
        <f t="shared" si="2"/>
        <v>-0.01058672207</v>
      </c>
      <c r="M38" s="16">
        <f t="shared" si="3"/>
        <v>-0.06128260087</v>
      </c>
      <c r="N38" s="16">
        <f t="shared" si="4"/>
        <v>0.007708973648</v>
      </c>
      <c r="O38" s="16">
        <f t="shared" si="5"/>
        <v>0.0506958788</v>
      </c>
      <c r="P38" s="17" t="str">
        <f t="shared" si="6"/>
        <v>#N/A</v>
      </c>
      <c r="Q38" s="17" t="str">
        <f t="shared" si="7"/>
        <v>#N/A</v>
      </c>
      <c r="R38" s="17">
        <f t="shared" si="8"/>
        <v>80</v>
      </c>
      <c r="S38" s="17" t="str">
        <f t="shared" si="9"/>
        <v>#N/A</v>
      </c>
    </row>
    <row r="39">
      <c r="A39" s="47">
        <v>38.0</v>
      </c>
      <c r="B39" s="48" t="s">
        <v>1525</v>
      </c>
      <c r="C39" s="48" t="s">
        <v>187</v>
      </c>
      <c r="D39" s="49">
        <f>IFERROR(__xludf.DUMMYFUNCTION("GOOGLEFINANCE(""NSE:""&amp;C39,""marketcap"")/10000000"),52592.0557703)</f>
        <v>52592.05577</v>
      </c>
      <c r="E39" s="50">
        <f>IFERROR(__xludf.DUMMYFUNCTION("GOOGLEFINANCE(""NSE:""&amp;C39,""volume"")"),77637.0)</f>
        <v>77637</v>
      </c>
      <c r="F39" s="9">
        <f>IFERROR(__xludf.DUMMYFUNCTION("GOOGLEFINANCE(""NSE:""&amp;C39)"),3100.65)</f>
        <v>3100.65</v>
      </c>
      <c r="G39" s="9">
        <f>IFERROR(__xludf.DUMMYFUNCTION("GOOGLEFINANCE(""NSE:""&amp;C39,""closeyest"")"),3085.5)</f>
        <v>3085.5</v>
      </c>
      <c r="H39" s="51">
        <f>IFERROR(__xludf.DUMMYFUNCTION("INDEX(GOOGLEFINANCE(""NSE:""&amp;C39,dates!$I$1,dates!$C$4),2,2)"),3097.2)</f>
        <v>3097.2</v>
      </c>
      <c r="I39" s="51">
        <f>IFERROR(__xludf.DUMMYFUNCTION("INDEX(GOOGLEFINANCE(""NSE:""&amp;C39,dates!$I$1,dates!$C$5),2,2)"),3126.05)</f>
        <v>3126.05</v>
      </c>
      <c r="J39" s="51">
        <f>IFERROR(__xludf.DUMMYFUNCTION("INDEX(GOOGLEFINANCE(""NSE:""&amp;C39,dates!$I$1,dates!$C$6),2,2)"),3046.9)</f>
        <v>3046.9</v>
      </c>
      <c r="K39" s="16">
        <f t="shared" si="1"/>
        <v>0.004910063199</v>
      </c>
      <c r="L39" s="16">
        <f t="shared" si="2"/>
        <v>0.001113909337</v>
      </c>
      <c r="M39" s="16">
        <f t="shared" si="3"/>
        <v>-0.008125269909</v>
      </c>
      <c r="N39" s="16">
        <f t="shared" si="4"/>
        <v>0.0176408809</v>
      </c>
      <c r="O39" s="16">
        <f t="shared" si="5"/>
        <v>0.009239179247</v>
      </c>
      <c r="P39" s="17" t="str">
        <f t="shared" si="6"/>
        <v>#N/A</v>
      </c>
      <c r="Q39" s="17" t="str">
        <f t="shared" si="7"/>
        <v>#N/A</v>
      </c>
      <c r="R39" s="17">
        <f t="shared" si="8"/>
        <v>73</v>
      </c>
      <c r="S39" s="17" t="str">
        <f t="shared" si="9"/>
        <v>#N/A</v>
      </c>
    </row>
    <row r="40">
      <c r="A40" s="47">
        <v>39.0</v>
      </c>
      <c r="B40" s="48" t="s">
        <v>1526</v>
      </c>
      <c r="C40" s="48" t="s">
        <v>32</v>
      </c>
      <c r="D40" s="49">
        <f>IFERROR(__xludf.DUMMYFUNCTION("GOOGLEFINANCE(""NSE:""&amp;C40,""marketcap"")/10000000"),509516.0668263)</f>
        <v>509516.0668</v>
      </c>
      <c r="E40" s="50">
        <f>IFERROR(__xludf.DUMMYFUNCTION("GOOGLEFINANCE(""NSE:""&amp;C40,""volume"")"),3720965.0)</f>
        <v>3720965</v>
      </c>
      <c r="F40" s="9">
        <f>IFERROR(__xludf.DUMMYFUNCTION("GOOGLEFINANCE(""NSE:""&amp;C40)"),2825.15)</f>
        <v>2825.15</v>
      </c>
      <c r="G40" s="9">
        <f>IFERROR(__xludf.DUMMYFUNCTION("GOOGLEFINANCE(""NSE:""&amp;C40,""closeyest"")"),2734.7)</f>
        <v>2734.7</v>
      </c>
      <c r="H40" s="51">
        <f>IFERROR(__xludf.DUMMYFUNCTION("INDEX(GOOGLEFINANCE(""NSE:""&amp;C40,dates!$I$1,dates!$C$4),2,2)"),2825.65)</f>
        <v>2825.65</v>
      </c>
      <c r="I40" s="51">
        <f>IFERROR(__xludf.DUMMYFUNCTION("INDEX(GOOGLEFINANCE(""NSE:""&amp;C40,dates!$I$1,dates!$C$5),2,2)"),2849.8)</f>
        <v>2849.8</v>
      </c>
      <c r="J40" s="51">
        <f>IFERROR(__xludf.DUMMYFUNCTION("INDEX(GOOGLEFINANCE(""NSE:""&amp;C40,dates!$I$1,dates!$C$6),2,2)"),2718.2)</f>
        <v>2718.2</v>
      </c>
      <c r="K40" s="16">
        <f t="shared" si="1"/>
        <v>0.03307492595</v>
      </c>
      <c r="L40" s="16">
        <f t="shared" si="2"/>
        <v>-0.0001769504362</v>
      </c>
      <c r="M40" s="16">
        <f t="shared" si="3"/>
        <v>-0.008649729806</v>
      </c>
      <c r="N40" s="16">
        <f t="shared" si="4"/>
        <v>0.03934589066</v>
      </c>
      <c r="O40" s="16">
        <f t="shared" si="5"/>
        <v>0.008472779369</v>
      </c>
      <c r="P40" s="17" t="str">
        <f t="shared" si="6"/>
        <v>#N/A</v>
      </c>
      <c r="Q40" s="17" t="str">
        <f t="shared" si="7"/>
        <v>#N/A</v>
      </c>
      <c r="R40" s="17">
        <f t="shared" si="8"/>
        <v>58</v>
      </c>
      <c r="S40" s="17" t="str">
        <f t="shared" si="9"/>
        <v>#N/A</v>
      </c>
      <c r="T40" s="17"/>
    </row>
    <row r="41">
      <c r="A41" s="47">
        <v>40.0</v>
      </c>
      <c r="B41" s="48" t="s">
        <v>1527</v>
      </c>
      <c r="C41" s="48" t="s">
        <v>30</v>
      </c>
      <c r="D41" s="49">
        <f>IFERROR(__xludf.DUMMYFUNCTION("GOOGLEFINANCE(""NSE:""&amp;C41,""marketcap"")/10000000"),653713.9090734)</f>
        <v>653713.9091</v>
      </c>
      <c r="E41" s="50">
        <f>IFERROR(__xludf.DUMMYFUNCTION("GOOGLEFINANCE(""NSE:""&amp;C41,""volume"")"),1054473.0)</f>
        <v>1054473</v>
      </c>
      <c r="F41" s="9">
        <f>IFERROR(__xludf.DUMMYFUNCTION("GOOGLEFINANCE(""NSE:""&amp;C41)"),2782.0)</f>
        <v>2782</v>
      </c>
      <c r="G41" s="9">
        <f>IFERROR(__xludf.DUMMYFUNCTION("GOOGLEFINANCE(""NSE:""&amp;C41,""closeyest"")"),2784.5)</f>
        <v>2784.5</v>
      </c>
      <c r="H41" s="51">
        <f>IFERROR(__xludf.DUMMYFUNCTION("INDEX(GOOGLEFINANCE(""NSE:""&amp;C41,dates!$I$1,dates!$C$4),2,2)"),2722.25)</f>
        <v>2722.25</v>
      </c>
      <c r="I41" s="51">
        <f>IFERROR(__xludf.DUMMYFUNCTION("INDEX(GOOGLEFINANCE(""NSE:""&amp;C41,dates!$I$1,dates!$C$5),2,2)"),2786.35)</f>
        <v>2786.35</v>
      </c>
      <c r="J41" s="51">
        <f>IFERROR(__xludf.DUMMYFUNCTION("INDEX(GOOGLEFINANCE(""NSE:""&amp;C41,dates!$I$1,dates!$C$6),2,2)"),2677.95)</f>
        <v>2677.95</v>
      </c>
      <c r="K41" s="16">
        <f t="shared" si="1"/>
        <v>-0.000897827258</v>
      </c>
      <c r="L41" s="16">
        <f t="shared" si="2"/>
        <v>0.02194875562</v>
      </c>
      <c r="M41" s="16">
        <f t="shared" si="3"/>
        <v>-0.001561182192</v>
      </c>
      <c r="N41" s="16">
        <f t="shared" si="4"/>
        <v>0.03885434754</v>
      </c>
      <c r="O41" s="16">
        <f t="shared" si="5"/>
        <v>0.02350993782</v>
      </c>
      <c r="P41" s="17" t="str">
        <f t="shared" si="6"/>
        <v>#N/A</v>
      </c>
      <c r="Q41" s="17" t="str">
        <f t="shared" si="7"/>
        <v>#N/A</v>
      </c>
      <c r="R41" s="17">
        <f t="shared" si="8"/>
        <v>59</v>
      </c>
      <c r="S41" s="17" t="str">
        <f t="shared" si="9"/>
        <v>#N/A</v>
      </c>
      <c r="T41" s="17"/>
    </row>
    <row r="42">
      <c r="A42" s="47">
        <v>41.0</v>
      </c>
      <c r="B42" s="48" t="s">
        <v>1528</v>
      </c>
      <c r="C42" s="48" t="s">
        <v>422</v>
      </c>
      <c r="D42" s="49">
        <f>IFERROR(__xludf.DUMMYFUNCTION("GOOGLEFINANCE(""NSE:""&amp;C42,""marketcap"")/10000000"),23914.9366273)</f>
        <v>23914.93663</v>
      </c>
      <c r="E42" s="50">
        <f>IFERROR(__xludf.DUMMYFUNCTION("GOOGLEFINANCE(""NSE:""&amp;C42,""volume"")"),604263.0)</f>
        <v>604263</v>
      </c>
      <c r="F42" s="9">
        <f>IFERROR(__xludf.DUMMYFUNCTION("GOOGLEFINANCE(""NSE:""&amp;C42)"),2805.8)</f>
        <v>2805.8</v>
      </c>
      <c r="G42" s="9">
        <f>IFERROR(__xludf.DUMMYFUNCTION("GOOGLEFINANCE(""NSE:""&amp;C42,""closeyest"")"),2832.0)</f>
        <v>2832</v>
      </c>
      <c r="H42" s="51">
        <f>IFERROR(__xludf.DUMMYFUNCTION("INDEX(GOOGLEFINANCE(""NSE:""&amp;C42,dates!$I$1,dates!$C$4),2,2)"),2659.1)</f>
        <v>2659.1</v>
      </c>
      <c r="I42" s="51">
        <f>IFERROR(__xludf.DUMMYFUNCTION("INDEX(GOOGLEFINANCE(""NSE:""&amp;C42,dates!$I$1,dates!$C$5),2,2)"),2649.0)</f>
        <v>2649</v>
      </c>
      <c r="J42" s="51">
        <f>IFERROR(__xludf.DUMMYFUNCTION("INDEX(GOOGLEFINANCE(""NSE:""&amp;C42,dates!$I$1,dates!$C$6),2,2)"),2385.95)</f>
        <v>2385.95</v>
      </c>
      <c r="K42" s="16">
        <f t="shared" si="1"/>
        <v>-0.009251412429</v>
      </c>
      <c r="L42" s="16">
        <f t="shared" si="2"/>
        <v>0.05516904216</v>
      </c>
      <c r="M42" s="16">
        <f t="shared" si="3"/>
        <v>0.05919214798</v>
      </c>
      <c r="N42" s="16">
        <f t="shared" si="4"/>
        <v>0.1759676439</v>
      </c>
      <c r="O42" s="16">
        <f t="shared" si="5"/>
        <v>-0.004023105823</v>
      </c>
      <c r="P42" s="17" t="str">
        <f t="shared" si="6"/>
        <v>#N/A</v>
      </c>
      <c r="Q42" s="17" t="str">
        <f t="shared" si="7"/>
        <v>#N/A</v>
      </c>
      <c r="R42" s="17">
        <f t="shared" si="8"/>
        <v>12</v>
      </c>
      <c r="S42" s="17" t="str">
        <f t="shared" si="9"/>
        <v>#N/A</v>
      </c>
    </row>
    <row r="43">
      <c r="A43" s="47">
        <v>42.0</v>
      </c>
      <c r="B43" s="48" t="s">
        <v>1529</v>
      </c>
      <c r="C43" s="48" t="s">
        <v>217</v>
      </c>
      <c r="D43" s="49">
        <f>IFERROR(__xludf.DUMMYFUNCTION("GOOGLEFINANCE(""NSE:""&amp;C43,""marketcap"")/10000000"),51150.7371305)</f>
        <v>51150.73713</v>
      </c>
      <c r="E43" s="50">
        <f>IFERROR(__xludf.DUMMYFUNCTION("GOOGLEFINANCE(""NSE:""&amp;C43,""volume"")"),390853.0)</f>
        <v>390853</v>
      </c>
      <c r="F43" s="9">
        <f>IFERROR(__xludf.DUMMYFUNCTION("GOOGLEFINANCE(""NSE:""&amp;C43)"),2645.95)</f>
        <v>2645.95</v>
      </c>
      <c r="G43" s="9">
        <f>IFERROR(__xludf.DUMMYFUNCTION("GOOGLEFINANCE(""NSE:""&amp;C43,""closeyest"")"),2692.2)</f>
        <v>2692.2</v>
      </c>
      <c r="H43" s="51">
        <f>IFERROR(__xludf.DUMMYFUNCTION("INDEX(GOOGLEFINANCE(""NSE:""&amp;C43,dates!$I$1,dates!$C$4),2,2)"),2490.1)</f>
        <v>2490.1</v>
      </c>
      <c r="I43" s="51">
        <f>IFERROR(__xludf.DUMMYFUNCTION("INDEX(GOOGLEFINANCE(""NSE:""&amp;C43,dates!$I$1,dates!$C$5),2,2)"),2448.6)</f>
        <v>2448.6</v>
      </c>
      <c r="J43" s="51">
        <f>IFERROR(__xludf.DUMMYFUNCTION("INDEX(GOOGLEFINANCE(""NSE:""&amp;C43,dates!$I$1,dates!$C$6),2,2)"),2290.85)</f>
        <v>2290.85</v>
      </c>
      <c r="K43" s="16">
        <f t="shared" si="1"/>
        <v>-0.0171792586</v>
      </c>
      <c r="L43" s="16">
        <f t="shared" si="2"/>
        <v>0.06258784788</v>
      </c>
      <c r="M43" s="16">
        <f t="shared" si="3"/>
        <v>0.08059707588</v>
      </c>
      <c r="N43" s="16">
        <f t="shared" si="4"/>
        <v>0.1550079665</v>
      </c>
      <c r="O43" s="16">
        <f t="shared" si="5"/>
        <v>-0.018009228</v>
      </c>
      <c r="P43" s="17" t="str">
        <f t="shared" si="6"/>
        <v>#N/A</v>
      </c>
      <c r="Q43" s="17" t="str">
        <f t="shared" si="7"/>
        <v>#N/A</v>
      </c>
      <c r="R43" s="17">
        <f t="shared" si="8"/>
        <v>23</v>
      </c>
      <c r="S43" s="17" t="str">
        <f t="shared" si="9"/>
        <v>#N/A</v>
      </c>
      <c r="T43" s="17"/>
    </row>
    <row r="44">
      <c r="A44" s="47">
        <v>43.0</v>
      </c>
      <c r="B44" s="48" t="s">
        <v>1530</v>
      </c>
      <c r="C44" s="48" t="s">
        <v>823</v>
      </c>
      <c r="D44" s="49">
        <f>IFERROR(__xludf.DUMMYFUNCTION("GOOGLEFINANCE(""NSE:""&amp;C44,""marketcap"")/10000000"),14375.889)</f>
        <v>14375.889</v>
      </c>
      <c r="E44" s="50">
        <f>IFERROR(__xludf.DUMMYFUNCTION("GOOGLEFINANCE(""NSE:""&amp;C44,""volume"")"),92218.0)</f>
        <v>92218</v>
      </c>
      <c r="F44" s="9">
        <f>IFERROR(__xludf.DUMMYFUNCTION("GOOGLEFINANCE(""NSE:""&amp;C44)"),2178.0)</f>
        <v>2178</v>
      </c>
      <c r="G44" s="9">
        <f>IFERROR(__xludf.DUMMYFUNCTION("GOOGLEFINANCE(""NSE:""&amp;C44,""closeyest"")"),2193.1)</f>
        <v>2193.1</v>
      </c>
      <c r="H44" s="51">
        <f>IFERROR(__xludf.DUMMYFUNCTION("INDEX(GOOGLEFINANCE(""NSE:""&amp;C44,dates!$I$1,dates!$C$4),2,2)"),2394.6)</f>
        <v>2394.6</v>
      </c>
      <c r="I44" s="51">
        <f>IFERROR(__xludf.DUMMYFUNCTION("INDEX(GOOGLEFINANCE(""NSE:""&amp;C44,dates!$I$1,dates!$C$5),2,2)"),2474.25)</f>
        <v>2474.25</v>
      </c>
      <c r="J44" s="51">
        <f>IFERROR(__xludf.DUMMYFUNCTION("INDEX(GOOGLEFINANCE(""NSE:""&amp;C44,dates!$I$1,dates!$C$6),2,2)"),2057.9)</f>
        <v>2057.9</v>
      </c>
      <c r="K44" s="16">
        <f t="shared" si="1"/>
        <v>-0.006885230952</v>
      </c>
      <c r="L44" s="16">
        <f t="shared" si="2"/>
        <v>-0.09045352042</v>
      </c>
      <c r="M44" s="16">
        <f t="shared" si="3"/>
        <v>-0.1197332525</v>
      </c>
      <c r="N44" s="16">
        <f t="shared" si="4"/>
        <v>0.05836046455</v>
      </c>
      <c r="O44" s="16">
        <f t="shared" si="5"/>
        <v>0.02927973208</v>
      </c>
      <c r="P44" s="17" t="str">
        <f t="shared" si="6"/>
        <v>#N/A</v>
      </c>
      <c r="Q44" s="17" t="str">
        <f t="shared" si="7"/>
        <v>#N/A</v>
      </c>
      <c r="R44" s="17">
        <f t="shared" si="8"/>
        <v>49</v>
      </c>
      <c r="S44" s="17" t="str">
        <f t="shared" si="9"/>
        <v>#N/A</v>
      </c>
    </row>
    <row r="45">
      <c r="A45" s="47">
        <v>44.0</v>
      </c>
      <c r="B45" s="48" t="s">
        <v>1531</v>
      </c>
      <c r="C45" s="48" t="s">
        <v>313</v>
      </c>
      <c r="D45" s="49">
        <f>IFERROR(__xludf.DUMMYFUNCTION("GOOGLEFINANCE(""NSE:""&amp;C45,""marketcap"")/10000000"),33661.8456799)</f>
        <v>33661.84568</v>
      </c>
      <c r="E45" s="50">
        <f>IFERROR(__xludf.DUMMYFUNCTION("GOOGLEFINANCE(""NSE:""&amp;C45,""volume"")"),766910.0)</f>
        <v>766910</v>
      </c>
      <c r="F45" s="9">
        <f>IFERROR(__xludf.DUMMYFUNCTION("GOOGLEFINANCE(""NSE:""&amp;C45)"),2470.6)</f>
        <v>2470.6</v>
      </c>
      <c r="G45" s="9">
        <f>IFERROR(__xludf.DUMMYFUNCTION("GOOGLEFINANCE(""NSE:""&amp;C45,""closeyest"")"),2416.85)</f>
        <v>2416.85</v>
      </c>
      <c r="H45" s="51">
        <f>IFERROR(__xludf.DUMMYFUNCTION("INDEX(GOOGLEFINANCE(""NSE:""&amp;C45,dates!$I$1,dates!$C$4),2,2)"),2416.25)</f>
        <v>2416.25</v>
      </c>
      <c r="I45" s="51">
        <f>IFERROR(__xludf.DUMMYFUNCTION("INDEX(GOOGLEFINANCE(""NSE:""&amp;C45,dates!$I$1,dates!$C$5),2,2)"),2427.6)</f>
        <v>2427.6</v>
      </c>
      <c r="J45" s="51">
        <f>IFERROR(__xludf.DUMMYFUNCTION("INDEX(GOOGLEFINANCE(""NSE:""&amp;C45,dates!$I$1,dates!$C$6),2,2)"),2130.95)</f>
        <v>2130.95</v>
      </c>
      <c r="K45" s="16">
        <f t="shared" si="1"/>
        <v>0.02223969216</v>
      </c>
      <c r="L45" s="16">
        <f t="shared" si="2"/>
        <v>0.02249353337</v>
      </c>
      <c r="M45" s="16">
        <f t="shared" si="3"/>
        <v>0.01771296754</v>
      </c>
      <c r="N45" s="16">
        <f t="shared" si="4"/>
        <v>0.1593890049</v>
      </c>
      <c r="O45" s="16">
        <f t="shared" si="5"/>
        <v>0.004780565828</v>
      </c>
      <c r="P45" s="17" t="str">
        <f t="shared" si="6"/>
        <v>#N/A</v>
      </c>
      <c r="Q45" s="17" t="str">
        <f t="shared" si="7"/>
        <v>#N/A</v>
      </c>
      <c r="R45" s="17">
        <f t="shared" si="8"/>
        <v>18</v>
      </c>
      <c r="S45" s="17" t="str">
        <f t="shared" si="9"/>
        <v>#N/A</v>
      </c>
      <c r="T45" s="17"/>
    </row>
    <row r="46">
      <c r="A46" s="47">
        <v>45.0</v>
      </c>
      <c r="B46" s="48" t="s">
        <v>1532</v>
      </c>
      <c r="C46" s="48" t="s">
        <v>215</v>
      </c>
      <c r="D46" s="49">
        <f>IFERROR(__xludf.DUMMYFUNCTION("GOOGLEFINANCE(""NSE:""&amp;C46,""marketcap"")/10000000"),44148.77072)</f>
        <v>44148.77072</v>
      </c>
      <c r="E46" s="50">
        <f>IFERROR(__xludf.DUMMYFUNCTION("GOOGLEFINANCE(""NSE:""&amp;C46,""volume"")"),380958.0)</f>
        <v>380958</v>
      </c>
      <c r="F46" s="9">
        <f>IFERROR(__xludf.DUMMYFUNCTION("GOOGLEFINANCE(""NSE:""&amp;C46)"),2351.0)</f>
        <v>2351</v>
      </c>
      <c r="G46" s="9">
        <f>IFERROR(__xludf.DUMMYFUNCTION("GOOGLEFINANCE(""NSE:""&amp;C46,""closeyest"")"),2365.55)</f>
        <v>2365.55</v>
      </c>
      <c r="H46" s="51">
        <f>IFERROR(__xludf.DUMMYFUNCTION("INDEX(GOOGLEFINANCE(""NSE:""&amp;C46,dates!$I$1,dates!$C$4),2,2)"),2394.85)</f>
        <v>2394.85</v>
      </c>
      <c r="I46" s="51">
        <f>IFERROR(__xludf.DUMMYFUNCTION("INDEX(GOOGLEFINANCE(""NSE:""&amp;C46,dates!$I$1,dates!$C$5),2,2)"),2471.4)</f>
        <v>2471.4</v>
      </c>
      <c r="J46" s="51">
        <f>IFERROR(__xludf.DUMMYFUNCTION("INDEX(GOOGLEFINANCE(""NSE:""&amp;C46,dates!$I$1,dates!$C$6),2,2)"),2348.1)</f>
        <v>2348.1</v>
      </c>
      <c r="K46" s="16">
        <f t="shared" si="1"/>
        <v>-0.006150789457</v>
      </c>
      <c r="L46" s="16">
        <f t="shared" si="2"/>
        <v>-0.01831012381</v>
      </c>
      <c r="M46" s="16">
        <f t="shared" si="3"/>
        <v>-0.04871732621</v>
      </c>
      <c r="N46" s="16">
        <f t="shared" si="4"/>
        <v>0.001235041097</v>
      </c>
      <c r="O46" s="16">
        <f t="shared" si="5"/>
        <v>0.0304072024</v>
      </c>
      <c r="P46" s="17" t="str">
        <f t="shared" si="6"/>
        <v>#N/A</v>
      </c>
      <c r="Q46" s="17" t="str">
        <f t="shared" si="7"/>
        <v>#N/A</v>
      </c>
      <c r="R46" s="17">
        <f t="shared" si="8"/>
        <v>83</v>
      </c>
      <c r="S46" s="17" t="str">
        <f t="shared" si="9"/>
        <v>#N/A</v>
      </c>
    </row>
    <row r="47">
      <c r="A47" s="47">
        <v>46.0</v>
      </c>
      <c r="B47" s="48" t="s">
        <v>1533</v>
      </c>
      <c r="C47" s="48" t="s">
        <v>9</v>
      </c>
      <c r="D47" s="49">
        <f>IFERROR(__xludf.DUMMYFUNCTION("GOOGLEFINANCE(""NSE:""&amp;C47,""marketcap"")/10000000"),1655705.3186651)</f>
        <v>1655705.319</v>
      </c>
      <c r="E47" s="50">
        <f>IFERROR(__xludf.DUMMYFUNCTION("GOOGLEFINANCE(""NSE:""&amp;C47,""volume"")"),7267883.0)</f>
        <v>7267883</v>
      </c>
      <c r="F47" s="9">
        <f>IFERROR(__xludf.DUMMYFUNCTION("GOOGLEFINANCE(""NSE:""&amp;C47)"),2488.1)</f>
        <v>2488.1</v>
      </c>
      <c r="G47" s="9">
        <f>IFERROR(__xludf.DUMMYFUNCTION("GOOGLEFINANCE(""NSE:""&amp;C47,""closeyest"")"),2430.5)</f>
        <v>2430.5</v>
      </c>
      <c r="H47" s="51">
        <f>IFERROR(__xludf.DUMMYFUNCTION("INDEX(GOOGLEFINANCE(""NSE:""&amp;C47,dates!$I$1,dates!$C$4),2,2)"),2390.55)</f>
        <v>2390.55</v>
      </c>
      <c r="I47" s="51">
        <f>IFERROR(__xludf.DUMMYFUNCTION("INDEX(GOOGLEFINANCE(""NSE:""&amp;C47,dates!$I$1,dates!$C$5),2,2)"),2371.55)</f>
        <v>2371.55</v>
      </c>
      <c r="J47" s="51">
        <f>IFERROR(__xludf.DUMMYFUNCTION("INDEX(GOOGLEFINANCE(""NSE:""&amp;C47,dates!$I$1,dates!$C$6),2,2)"),2227.4)</f>
        <v>2227.4</v>
      </c>
      <c r="K47" s="16">
        <f t="shared" si="1"/>
        <v>0.0236988274</v>
      </c>
      <c r="L47" s="16">
        <f t="shared" si="2"/>
        <v>0.04080650896</v>
      </c>
      <c r="M47" s="16">
        <f t="shared" si="3"/>
        <v>0.0491450739</v>
      </c>
      <c r="N47" s="16">
        <f t="shared" si="4"/>
        <v>0.1170422915</v>
      </c>
      <c r="O47" s="16">
        <f t="shared" si="5"/>
        <v>-0.008338564934</v>
      </c>
      <c r="P47" s="17" t="str">
        <f t="shared" si="6"/>
        <v>#N/A</v>
      </c>
      <c r="Q47" s="17" t="str">
        <f t="shared" si="7"/>
        <v>#N/A</v>
      </c>
      <c r="R47" s="17">
        <f t="shared" si="8"/>
        <v>33</v>
      </c>
      <c r="S47" s="17" t="str">
        <f t="shared" si="9"/>
        <v>#N/A</v>
      </c>
      <c r="T47" s="17"/>
    </row>
    <row r="48">
      <c r="A48" s="47">
        <v>47.0</v>
      </c>
      <c r="B48" s="48" t="s">
        <v>1534</v>
      </c>
      <c r="C48" s="48" t="s">
        <v>97</v>
      </c>
      <c r="D48" s="49">
        <f>IFERROR(__xludf.DUMMYFUNCTION("GOOGLEFINANCE(""NSE:""&amp;C48,""marketcap"")/10000000"),123532.09154)</f>
        <v>123532.0915</v>
      </c>
      <c r="E48" s="50">
        <f>IFERROR(__xludf.DUMMYFUNCTION("GOOGLEFINANCE(""NSE:""&amp;C48,""volume"")"),396212.0)</f>
        <v>396212</v>
      </c>
      <c r="F48" s="9">
        <f>IFERROR(__xludf.DUMMYFUNCTION("GOOGLEFINANCE(""NSE:""&amp;C48)"),2431.0)</f>
        <v>2431</v>
      </c>
      <c r="G48" s="9">
        <f>IFERROR(__xludf.DUMMYFUNCTION("GOOGLEFINANCE(""NSE:""&amp;C48,""closeyest"")"),2418.0)</f>
        <v>2418</v>
      </c>
      <c r="H48" s="51">
        <f>IFERROR(__xludf.DUMMYFUNCTION("INDEX(GOOGLEFINANCE(""NSE:""&amp;C48,dates!$I$1,dates!$C$4),2,2)"),2368.45)</f>
        <v>2368.45</v>
      </c>
      <c r="I48" s="51">
        <f>IFERROR(__xludf.DUMMYFUNCTION("INDEX(GOOGLEFINANCE(""NSE:""&amp;C48,dates!$I$1,dates!$C$5),2,2)"),2397.0)</f>
        <v>2397</v>
      </c>
      <c r="J48" s="51">
        <f>IFERROR(__xludf.DUMMYFUNCTION("INDEX(GOOGLEFINANCE(""NSE:""&amp;C48,dates!$I$1,dates!$C$6),2,2)"),2225.2)</f>
        <v>2225.2</v>
      </c>
      <c r="K48" s="16">
        <f t="shared" si="1"/>
        <v>0.005376344086</v>
      </c>
      <c r="L48" s="16">
        <f t="shared" si="2"/>
        <v>0.02640967722</v>
      </c>
      <c r="M48" s="16">
        <f t="shared" si="3"/>
        <v>0.01418439716</v>
      </c>
      <c r="N48" s="16">
        <f t="shared" si="4"/>
        <v>0.09248606867</v>
      </c>
      <c r="O48" s="16">
        <f t="shared" si="5"/>
        <v>0.01222528005</v>
      </c>
      <c r="P48" s="17" t="str">
        <f t="shared" si="6"/>
        <v>#N/A</v>
      </c>
      <c r="Q48" s="17" t="str">
        <f t="shared" si="7"/>
        <v>#N/A</v>
      </c>
      <c r="R48" s="17">
        <f t="shared" si="8"/>
        <v>40</v>
      </c>
      <c r="S48" s="17" t="str">
        <f t="shared" si="9"/>
        <v>#N/A</v>
      </c>
      <c r="T48" s="17"/>
    </row>
    <row r="49">
      <c r="A49" s="47">
        <v>48.0</v>
      </c>
      <c r="B49" s="48" t="s">
        <v>1535</v>
      </c>
      <c r="C49" s="48" t="s">
        <v>815</v>
      </c>
      <c r="D49" s="49">
        <f>IFERROR(__xludf.DUMMYFUNCTION("GOOGLEFINANCE(""NSE:""&amp;C49,""marketcap"")/10000000"),14996.667168)</f>
        <v>14996.66717</v>
      </c>
      <c r="E49" s="50">
        <f>IFERROR(__xludf.DUMMYFUNCTION("GOOGLEFINANCE(""NSE:""&amp;C49,""volume"")"),23977.0)</f>
        <v>23977</v>
      </c>
      <c r="F49" s="9">
        <f>IFERROR(__xludf.DUMMYFUNCTION("GOOGLEFINANCE(""NSE:""&amp;C49)"),2345.2)</f>
        <v>2345.2</v>
      </c>
      <c r="G49" s="9">
        <f>IFERROR(__xludf.DUMMYFUNCTION("GOOGLEFINANCE(""NSE:""&amp;C49,""closeyest"")"),2369.85)</f>
        <v>2369.85</v>
      </c>
      <c r="H49" s="51">
        <f>IFERROR(__xludf.DUMMYFUNCTION("INDEX(GOOGLEFINANCE(""NSE:""&amp;C49,dates!$I$1,dates!$C$4),2,2)"),2406.3)</f>
        <v>2406.3</v>
      </c>
      <c r="I49" s="51">
        <f>IFERROR(__xludf.DUMMYFUNCTION("INDEX(GOOGLEFINANCE(""NSE:""&amp;C49,dates!$I$1,dates!$C$5),2,2)"),2402.35)</f>
        <v>2402.35</v>
      </c>
      <c r="J49" s="51">
        <f>IFERROR(__xludf.DUMMYFUNCTION("INDEX(GOOGLEFINANCE(""NSE:""&amp;C49,dates!$I$1,dates!$C$6),2,2)"),2310.5)</f>
        <v>2310.5</v>
      </c>
      <c r="K49" s="16">
        <f t="shared" si="1"/>
        <v>-0.0104015022</v>
      </c>
      <c r="L49" s="16">
        <f t="shared" si="2"/>
        <v>-0.02539168017</v>
      </c>
      <c r="M49" s="16">
        <f t="shared" si="3"/>
        <v>-0.0237892064</v>
      </c>
      <c r="N49" s="16">
        <f t="shared" si="4"/>
        <v>0.01501839429</v>
      </c>
      <c r="O49" s="16">
        <f t="shared" si="5"/>
        <v>-0.001602473771</v>
      </c>
      <c r="P49" s="17" t="str">
        <f t="shared" si="6"/>
        <v>#N/A</v>
      </c>
      <c r="Q49" s="17" t="str">
        <f t="shared" si="7"/>
        <v>#N/A</v>
      </c>
      <c r="R49" s="17">
        <f t="shared" si="8"/>
        <v>75</v>
      </c>
      <c r="S49" s="17" t="str">
        <f t="shared" si="9"/>
        <v>#N/A</v>
      </c>
    </row>
    <row r="50">
      <c r="A50" s="47">
        <v>49.0</v>
      </c>
      <c r="B50" s="48" t="s">
        <v>1536</v>
      </c>
      <c r="C50" s="48" t="s">
        <v>991</v>
      </c>
      <c r="D50" s="49">
        <f>IFERROR(__xludf.DUMMYFUNCTION("GOOGLEFINANCE(""NSE:""&amp;C50,""marketcap"")/10000000"),7801.235329)</f>
        <v>7801.235329</v>
      </c>
      <c r="E50" s="50">
        <f>IFERROR(__xludf.DUMMYFUNCTION("GOOGLEFINANCE(""NSE:""&amp;C50,""volume"")"),81871.0)</f>
        <v>81871</v>
      </c>
      <c r="F50" s="9">
        <f>IFERROR(__xludf.DUMMYFUNCTION("GOOGLEFINANCE(""NSE:""&amp;C50)"),2290.0)</f>
        <v>2290</v>
      </c>
      <c r="G50" s="9">
        <f>IFERROR(__xludf.DUMMYFUNCTION("GOOGLEFINANCE(""NSE:""&amp;C50,""closeyest"")"),2287.85)</f>
        <v>2287.85</v>
      </c>
      <c r="H50" s="51" t="str">
        <f>IFERROR(__xludf.DUMMYFUNCTION("INDEX(GOOGLEFINANCE(""NSE:""&amp;C50,dates!$I$1,dates!$C$4),2,2)"),"#N/A")</f>
        <v>#N/A</v>
      </c>
      <c r="I50" s="51">
        <f>IFERROR(__xludf.DUMMYFUNCTION("INDEX(GOOGLEFINANCE(""NSE:""&amp;C50,dates!$I$1,dates!$C$5),2,2)"),2193.85)</f>
        <v>2193.85</v>
      </c>
      <c r="J50" s="51">
        <f>IFERROR(__xludf.DUMMYFUNCTION("INDEX(GOOGLEFINANCE(""NSE:""&amp;C50,dates!$I$1,dates!$C$6),2,2)"),2257.7)</f>
        <v>2257.7</v>
      </c>
      <c r="K50" s="16">
        <f t="shared" si="1"/>
        <v>0.000939746924</v>
      </c>
      <c r="L50" s="16" t="str">
        <f t="shared" si="2"/>
        <v>#N/A</v>
      </c>
      <c r="M50" s="16">
        <f t="shared" si="3"/>
        <v>0.04382706201</v>
      </c>
      <c r="N50" s="16">
        <f t="shared" si="4"/>
        <v>0.01430659521</v>
      </c>
      <c r="O50" s="16" t="str">
        <f t="shared" si="5"/>
        <v>#N/A</v>
      </c>
      <c r="P50" s="17" t="str">
        <f t="shared" si="6"/>
        <v>#N/A</v>
      </c>
      <c r="Q50" s="17" t="str">
        <f t="shared" si="7"/>
        <v>#N/A</v>
      </c>
      <c r="R50" s="17">
        <f t="shared" si="8"/>
        <v>77</v>
      </c>
      <c r="S50" s="17" t="str">
        <f t="shared" si="9"/>
        <v>#N/A</v>
      </c>
    </row>
    <row r="51">
      <c r="A51" s="47">
        <v>50.0</v>
      </c>
      <c r="B51" s="48" t="s">
        <v>1537</v>
      </c>
      <c r="C51" s="48" t="s">
        <v>339</v>
      </c>
      <c r="D51" s="49">
        <f>IFERROR(__xludf.DUMMYFUNCTION("GOOGLEFINANCE(""NSE:""&amp;C51,""marketcap"")/10000000"),28581.03)</f>
        <v>28581.03</v>
      </c>
      <c r="E51" s="50">
        <f>IFERROR(__xludf.DUMMYFUNCTION("GOOGLEFINANCE(""NSE:""&amp;C51,""volume"")"),45738.0)</f>
        <v>45738</v>
      </c>
      <c r="F51" s="9">
        <f>IFERROR(__xludf.DUMMYFUNCTION("GOOGLEFINANCE(""NSE:""&amp;C51)"),2250.0)</f>
        <v>2250</v>
      </c>
      <c r="G51" s="9">
        <f>IFERROR(__xludf.DUMMYFUNCTION("GOOGLEFINANCE(""NSE:""&amp;C51,""closeyest"")"),2230.1)</f>
        <v>2230.1</v>
      </c>
      <c r="H51" s="51">
        <f>IFERROR(__xludf.DUMMYFUNCTION("INDEX(GOOGLEFINANCE(""NSE:""&amp;C51,dates!$I$1,dates!$C$4),2,2)"),2248.65)</f>
        <v>2248.65</v>
      </c>
      <c r="I51" s="51">
        <f>IFERROR(__xludf.DUMMYFUNCTION("INDEX(GOOGLEFINANCE(""NSE:""&amp;C51,dates!$I$1,dates!$C$5),2,2)"),2140.25)</f>
        <v>2140.25</v>
      </c>
      <c r="J51" s="51">
        <f>IFERROR(__xludf.DUMMYFUNCTION("INDEX(GOOGLEFINANCE(""NSE:""&amp;C51,dates!$I$1,dates!$C$6),2,2)"),2090.0)</f>
        <v>2090</v>
      </c>
      <c r="K51" s="16">
        <f t="shared" si="1"/>
        <v>0.008923366665</v>
      </c>
      <c r="L51" s="16">
        <f t="shared" si="2"/>
        <v>0.0006003602161</v>
      </c>
      <c r="M51" s="16">
        <f t="shared" si="3"/>
        <v>0.05127905619</v>
      </c>
      <c r="N51" s="16">
        <f t="shared" si="4"/>
        <v>0.07655502392</v>
      </c>
      <c r="O51" s="16">
        <f t="shared" si="5"/>
        <v>-0.05067869597</v>
      </c>
      <c r="P51" s="17" t="str">
        <f t="shared" si="6"/>
        <v>#N/A</v>
      </c>
      <c r="Q51" s="17" t="str">
        <f t="shared" si="7"/>
        <v>#N/A</v>
      </c>
      <c r="R51" s="17">
        <f t="shared" si="8"/>
        <v>42</v>
      </c>
      <c r="S51" s="17" t="str">
        <f t="shared" si="9"/>
        <v>#N/A</v>
      </c>
      <c r="T51" s="17"/>
    </row>
    <row r="52">
      <c r="A52" s="47">
        <v>51.0</v>
      </c>
      <c r="B52" s="48" t="s">
        <v>1538</v>
      </c>
      <c r="C52" s="48" t="s">
        <v>136</v>
      </c>
      <c r="D52" s="49">
        <f>IFERROR(__xludf.DUMMYFUNCTION("GOOGLEFINANCE(""NSE:""&amp;C52,""marketcap"")/10000000"),77100.0233)</f>
        <v>77100.0233</v>
      </c>
      <c r="E52" s="50">
        <f>IFERROR(__xludf.DUMMYFUNCTION("GOOGLEFINANCE(""NSE:""&amp;C52,""volume"")"),127369.0)</f>
        <v>127369</v>
      </c>
      <c r="F52" s="9">
        <f>IFERROR(__xludf.DUMMYFUNCTION("GOOGLEFINANCE(""NSE:""&amp;C52)"),2165.0)</f>
        <v>2165</v>
      </c>
      <c r="G52" s="9">
        <f>IFERROR(__xludf.DUMMYFUNCTION("GOOGLEFINANCE(""NSE:""&amp;C52,""closeyest"")"),2161.95)</f>
        <v>2161.95</v>
      </c>
      <c r="H52" s="51">
        <f>IFERROR(__xludf.DUMMYFUNCTION("INDEX(GOOGLEFINANCE(""NSE:""&amp;C52,dates!$I$1,dates!$C$4),2,2)"),2180.55)</f>
        <v>2180.55</v>
      </c>
      <c r="I52" s="51">
        <f>IFERROR(__xludf.DUMMYFUNCTION("INDEX(GOOGLEFINANCE(""NSE:""&amp;C52,dates!$I$1,dates!$C$5),2,2)"),2208.55)</f>
        <v>2208.55</v>
      </c>
      <c r="J52" s="51">
        <f>IFERROR(__xludf.DUMMYFUNCTION("INDEX(GOOGLEFINANCE(""NSE:""&amp;C52,dates!$I$1,dates!$C$6),2,2)"),2222.2)</f>
        <v>2222.2</v>
      </c>
      <c r="K52" s="16">
        <f t="shared" si="1"/>
        <v>0.001410763431</v>
      </c>
      <c r="L52" s="16">
        <f t="shared" si="2"/>
        <v>-0.00713122836</v>
      </c>
      <c r="M52" s="16">
        <f t="shared" si="3"/>
        <v>-0.01971882004</v>
      </c>
      <c r="N52" s="16">
        <f t="shared" si="4"/>
        <v>-0.0257402574</v>
      </c>
      <c r="O52" s="16">
        <f t="shared" si="5"/>
        <v>0.01258759168</v>
      </c>
      <c r="P52" s="17" t="str">
        <f t="shared" si="6"/>
        <v>#N/A</v>
      </c>
      <c r="Q52" s="17" t="str">
        <f t="shared" si="7"/>
        <v>#N/A</v>
      </c>
      <c r="R52" s="17">
        <f t="shared" si="8"/>
        <v>88</v>
      </c>
      <c r="S52" s="17" t="str">
        <f t="shared" si="9"/>
        <v>#N/A</v>
      </c>
      <c r="T52" s="17"/>
    </row>
    <row r="53">
      <c r="A53" s="47">
        <v>52.0</v>
      </c>
      <c r="B53" s="48" t="s">
        <v>1539</v>
      </c>
      <c r="C53" s="48" t="s">
        <v>912</v>
      </c>
      <c r="D53" s="49">
        <f>IFERROR(__xludf.DUMMYFUNCTION("GOOGLEFINANCE(""NSE:""&amp;C53,""marketcap"")/10000000"),10200.724583)</f>
        <v>10200.72458</v>
      </c>
      <c r="E53" s="50">
        <f>IFERROR(__xludf.DUMMYFUNCTION("GOOGLEFINANCE(""NSE:""&amp;C53,""volume"")"),70746.0)</f>
        <v>70746</v>
      </c>
      <c r="F53" s="9">
        <f>IFERROR(__xludf.DUMMYFUNCTION("GOOGLEFINANCE(""NSE:""&amp;C53)"),2183.0)</f>
        <v>2183</v>
      </c>
      <c r="G53" s="9">
        <f>IFERROR(__xludf.DUMMYFUNCTION("GOOGLEFINANCE(""NSE:""&amp;C53,""closeyest"")"),2175.35)</f>
        <v>2175.35</v>
      </c>
      <c r="H53" s="51">
        <f>IFERROR(__xludf.DUMMYFUNCTION("INDEX(GOOGLEFINANCE(""NSE:""&amp;C53,dates!$I$1,dates!$C$4),2,2)"),2193.9)</f>
        <v>2193.9</v>
      </c>
      <c r="I53" s="51">
        <f>IFERROR(__xludf.DUMMYFUNCTION("INDEX(GOOGLEFINANCE(""NSE:""&amp;C53,dates!$I$1,dates!$C$5),2,2)"),2160.05)</f>
        <v>2160.05</v>
      </c>
      <c r="J53" s="51">
        <f>IFERROR(__xludf.DUMMYFUNCTION("INDEX(GOOGLEFINANCE(""NSE:""&amp;C53,dates!$I$1,dates!$C$6),2,2)"),2169.85)</f>
        <v>2169.85</v>
      </c>
      <c r="K53" s="16">
        <f t="shared" si="1"/>
        <v>0.003516675478</v>
      </c>
      <c r="L53" s="16">
        <f t="shared" si="2"/>
        <v>-0.004968321254</v>
      </c>
      <c r="M53" s="16">
        <f t="shared" si="3"/>
        <v>0.01062475406</v>
      </c>
      <c r="N53" s="16">
        <f t="shared" si="4"/>
        <v>0.006060326751</v>
      </c>
      <c r="O53" s="16">
        <f t="shared" si="5"/>
        <v>-0.01559307531</v>
      </c>
      <c r="P53" s="17" t="str">
        <f t="shared" si="6"/>
        <v>#N/A</v>
      </c>
      <c r="Q53" s="17" t="str">
        <f t="shared" si="7"/>
        <v>#N/A</v>
      </c>
      <c r="R53" s="17">
        <f t="shared" si="8"/>
        <v>81</v>
      </c>
      <c r="S53" s="17" t="str">
        <f t="shared" si="9"/>
        <v>#N/A</v>
      </c>
      <c r="T53" s="17"/>
    </row>
    <row r="54">
      <c r="A54" s="47">
        <v>53.0</v>
      </c>
      <c r="B54" s="48" t="s">
        <v>1540</v>
      </c>
      <c r="C54" s="48" t="s">
        <v>71</v>
      </c>
      <c r="D54" s="49">
        <f>IFERROR(__xludf.DUMMYFUNCTION("GOOGLEFINANCE(""NSE:""&amp;C54,""marketcap"")/10000000"),186763.36944)</f>
        <v>186763.3694</v>
      </c>
      <c r="E54" s="50">
        <f>IFERROR(__xludf.DUMMYFUNCTION("GOOGLEFINANCE(""NSE:""&amp;C54,""volume"")"),711634.0)</f>
        <v>711634</v>
      </c>
      <c r="F54" s="9">
        <f>IFERROR(__xludf.DUMMYFUNCTION("GOOGLEFINANCE(""NSE:""&amp;C54)"),2106.0)</f>
        <v>2106</v>
      </c>
      <c r="G54" s="9">
        <f>IFERROR(__xludf.DUMMYFUNCTION("GOOGLEFINANCE(""NSE:""&amp;C54,""closeyest"")"),2081.05)</f>
        <v>2081.05</v>
      </c>
      <c r="H54" s="51">
        <f>IFERROR(__xludf.DUMMYFUNCTION("INDEX(GOOGLEFINANCE(""NSE:""&amp;C54,dates!$I$1,dates!$C$4),2,2)"),2095.6)</f>
        <v>2095.6</v>
      </c>
      <c r="I54" s="51">
        <f>IFERROR(__xludf.DUMMYFUNCTION("INDEX(GOOGLEFINANCE(""NSE:""&amp;C54,dates!$I$1,dates!$C$5),2,2)"),2030.65)</f>
        <v>2030.65</v>
      </c>
      <c r="J54" s="51">
        <f>IFERROR(__xludf.DUMMYFUNCTION("INDEX(GOOGLEFINANCE(""NSE:""&amp;C54,dates!$I$1,dates!$C$6),2,2)"),1822.55)</f>
        <v>1822.55</v>
      </c>
      <c r="K54" s="16">
        <f t="shared" si="1"/>
        <v>0.0119891401</v>
      </c>
      <c r="L54" s="16">
        <f t="shared" si="2"/>
        <v>0.004962779156</v>
      </c>
      <c r="M54" s="16">
        <f t="shared" si="3"/>
        <v>0.03710634526</v>
      </c>
      <c r="N54" s="16">
        <f t="shared" si="4"/>
        <v>0.1555238539</v>
      </c>
      <c r="O54" s="16">
        <f t="shared" si="5"/>
        <v>-0.0321435661</v>
      </c>
      <c r="P54" s="17" t="str">
        <f t="shared" si="6"/>
        <v>#N/A</v>
      </c>
      <c r="Q54" s="17" t="str">
        <f t="shared" si="7"/>
        <v>#N/A</v>
      </c>
      <c r="R54" s="17">
        <f t="shared" si="8"/>
        <v>22</v>
      </c>
      <c r="S54" s="17" t="str">
        <f t="shared" si="9"/>
        <v>#N/A</v>
      </c>
      <c r="T54" s="17"/>
    </row>
    <row r="55">
      <c r="A55" s="47">
        <v>54.0</v>
      </c>
      <c r="B55" s="48" t="s">
        <v>1541</v>
      </c>
      <c r="C55" s="48" t="s">
        <v>450</v>
      </c>
      <c r="D55" s="49">
        <f>IFERROR(__xludf.DUMMYFUNCTION("GOOGLEFINANCE(""NSE:""&amp;C55,""marketcap"")/10000000"),19052.850177)</f>
        <v>19052.85018</v>
      </c>
      <c r="E55" s="50">
        <f>IFERROR(__xludf.DUMMYFUNCTION("GOOGLEFINANCE(""NSE:""&amp;C55,""volume"")"),90650.0)</f>
        <v>90650</v>
      </c>
      <c r="F55" s="9">
        <f>IFERROR(__xludf.DUMMYFUNCTION("GOOGLEFINANCE(""NSE:""&amp;C55)"),2020.0)</f>
        <v>2020</v>
      </c>
      <c r="G55" s="9">
        <f>IFERROR(__xludf.DUMMYFUNCTION("GOOGLEFINANCE(""NSE:""&amp;C55,""closeyest"")"),2025.8)</f>
        <v>2025.8</v>
      </c>
      <c r="H55" s="51">
        <f>IFERROR(__xludf.DUMMYFUNCTION("INDEX(GOOGLEFINANCE(""NSE:""&amp;C55,dates!$I$1,dates!$C$4),2,2)"),2097.75)</f>
        <v>2097.75</v>
      </c>
      <c r="I55" s="51">
        <f>IFERROR(__xludf.DUMMYFUNCTION("INDEX(GOOGLEFINANCE(""NSE:""&amp;C55,dates!$I$1,dates!$C$5),2,2)"),2095.85)</f>
        <v>2095.85</v>
      </c>
      <c r="J55" s="51">
        <f>IFERROR(__xludf.DUMMYFUNCTION("INDEX(GOOGLEFINANCE(""NSE:""&amp;C55,dates!$I$1,dates!$C$6),2,2)"),1932.9)</f>
        <v>1932.9</v>
      </c>
      <c r="K55" s="16">
        <f t="shared" si="1"/>
        <v>-0.002863066443</v>
      </c>
      <c r="L55" s="16">
        <f t="shared" si="2"/>
        <v>-0.03706352044</v>
      </c>
      <c r="M55" s="16">
        <f t="shared" si="3"/>
        <v>-0.03619056707</v>
      </c>
      <c r="N55" s="16">
        <f t="shared" si="4"/>
        <v>0.0450618242</v>
      </c>
      <c r="O55" s="16">
        <f t="shared" si="5"/>
        <v>-0.0008729533655</v>
      </c>
      <c r="P55" s="17" t="str">
        <f t="shared" si="6"/>
        <v>#N/A</v>
      </c>
      <c r="Q55" s="17" t="str">
        <f t="shared" si="7"/>
        <v>#N/A</v>
      </c>
      <c r="R55" s="17">
        <f t="shared" si="8"/>
        <v>54</v>
      </c>
      <c r="S55" s="17" t="str">
        <f t="shared" si="9"/>
        <v>#N/A</v>
      </c>
    </row>
    <row r="56">
      <c r="A56" s="47">
        <v>55.0</v>
      </c>
      <c r="B56" s="48" t="s">
        <v>1542</v>
      </c>
      <c r="C56" s="48" t="s">
        <v>155</v>
      </c>
      <c r="D56" s="49">
        <f>IFERROR(__xludf.DUMMYFUNCTION("GOOGLEFINANCE(""NSE:""&amp;C56,""marketcap"")/10000000"),85313.8492781)</f>
        <v>85313.84928</v>
      </c>
      <c r="E56" s="50">
        <f>IFERROR(__xludf.DUMMYFUNCTION("GOOGLEFINANCE(""NSE:""&amp;C56,""volume"")"),1442660.0)</f>
        <v>1442660</v>
      </c>
      <c r="F56" s="9">
        <f>IFERROR(__xludf.DUMMYFUNCTION("GOOGLEFINANCE(""NSE:""&amp;C56)"),2215.1)</f>
        <v>2215.1</v>
      </c>
      <c r="G56" s="9">
        <f>IFERROR(__xludf.DUMMYFUNCTION("GOOGLEFINANCE(""NSE:""&amp;C56,""closeyest"")"),2188.3)</f>
        <v>2188.3</v>
      </c>
      <c r="H56" s="51">
        <f>IFERROR(__xludf.DUMMYFUNCTION("INDEX(GOOGLEFINANCE(""NSE:""&amp;C56,dates!$I$1,dates!$C$4),2,2)"),2196.05)</f>
        <v>2196.05</v>
      </c>
      <c r="I56" s="51">
        <f>IFERROR(__xludf.DUMMYFUNCTION("INDEX(GOOGLEFINANCE(""NSE:""&amp;C56,dates!$I$1,dates!$C$5),2,2)"),1897.7)</f>
        <v>1897.7</v>
      </c>
      <c r="J56" s="51">
        <f>IFERROR(__xludf.DUMMYFUNCTION("INDEX(GOOGLEFINANCE(""NSE:""&amp;C56,dates!$I$1,dates!$C$6),2,2)"),1776.85)</f>
        <v>1776.85</v>
      </c>
      <c r="K56" s="16">
        <f t="shared" si="1"/>
        <v>0.01224694969</v>
      </c>
      <c r="L56" s="16">
        <f t="shared" si="2"/>
        <v>0.008674665877</v>
      </c>
      <c r="M56" s="16">
        <f t="shared" si="3"/>
        <v>0.1672550983</v>
      </c>
      <c r="N56" s="16">
        <f t="shared" si="4"/>
        <v>0.2466443425</v>
      </c>
      <c r="O56" s="16">
        <f t="shared" si="5"/>
        <v>-0.1585804324</v>
      </c>
      <c r="P56" s="17" t="str">
        <f t="shared" si="6"/>
        <v>#N/A</v>
      </c>
      <c r="Q56" s="17" t="str">
        <f t="shared" si="7"/>
        <v>#N/A</v>
      </c>
      <c r="R56" s="17">
        <f t="shared" si="8"/>
        <v>6</v>
      </c>
      <c r="S56" s="17" t="str">
        <f t="shared" si="9"/>
        <v>#N/A</v>
      </c>
      <c r="T56" s="17"/>
    </row>
    <row r="57">
      <c r="A57" s="47">
        <v>56.0</v>
      </c>
      <c r="B57" s="48" t="s">
        <v>1543</v>
      </c>
      <c r="C57" s="48" t="s">
        <v>481</v>
      </c>
      <c r="D57" s="49">
        <f>IFERROR(__xludf.DUMMYFUNCTION("GOOGLEFINANCE(""NSE:""&amp;C57,""marketcap"")/10000000"),18098.014)</f>
        <v>18098.014</v>
      </c>
      <c r="E57" s="50">
        <f>IFERROR(__xludf.DUMMYFUNCTION("GOOGLEFINANCE(""NSE:""&amp;C57,""volume"")"),43918.0)</f>
        <v>43918</v>
      </c>
      <c r="F57" s="9">
        <f>IFERROR(__xludf.DUMMYFUNCTION("GOOGLEFINANCE(""NSE:""&amp;C57)"),2000.0)</f>
        <v>2000</v>
      </c>
      <c r="G57" s="9">
        <f>IFERROR(__xludf.DUMMYFUNCTION("GOOGLEFINANCE(""NSE:""&amp;C57,""closeyest"")"),1978.35)</f>
        <v>1978.35</v>
      </c>
      <c r="H57" s="51">
        <f>IFERROR(__xludf.DUMMYFUNCTION("INDEX(GOOGLEFINANCE(""NSE:""&amp;C57,dates!$I$1,dates!$C$4),2,2)"),1979.1)</f>
        <v>1979.1</v>
      </c>
      <c r="I57" s="51">
        <f>IFERROR(__xludf.DUMMYFUNCTION("INDEX(GOOGLEFINANCE(""NSE:""&amp;C57,dates!$I$1,dates!$C$5),2,2)"),1805.75)</f>
        <v>1805.75</v>
      </c>
      <c r="J57" s="51">
        <f>IFERROR(__xludf.DUMMYFUNCTION("INDEX(GOOGLEFINANCE(""NSE:""&amp;C57,dates!$I$1,dates!$C$6),2,2)"),1724.25)</f>
        <v>1724.25</v>
      </c>
      <c r="K57" s="16">
        <f t="shared" si="1"/>
        <v>0.01094346299</v>
      </c>
      <c r="L57" s="16">
        <f t="shared" si="2"/>
        <v>0.01056035572</v>
      </c>
      <c r="M57" s="16">
        <f t="shared" si="3"/>
        <v>0.1075730306</v>
      </c>
      <c r="N57" s="16">
        <f t="shared" si="4"/>
        <v>0.1599246049</v>
      </c>
      <c r="O57" s="16">
        <f t="shared" si="5"/>
        <v>-0.09701267488</v>
      </c>
      <c r="P57" s="17" t="str">
        <f t="shared" si="6"/>
        <v>#N/A</v>
      </c>
      <c r="Q57" s="17" t="str">
        <f t="shared" si="7"/>
        <v>#N/A</v>
      </c>
      <c r="R57" s="17">
        <f t="shared" si="8"/>
        <v>17</v>
      </c>
      <c r="S57" s="17" t="str">
        <f t="shared" si="9"/>
        <v>#N/A</v>
      </c>
    </row>
    <row r="58">
      <c r="A58" s="47">
        <v>57.0</v>
      </c>
      <c r="B58" s="48" t="s">
        <v>1544</v>
      </c>
      <c r="C58" s="48" t="s">
        <v>77</v>
      </c>
      <c r="D58" s="49">
        <f>IFERROR(__xludf.DUMMYFUNCTION("GOOGLEFINANCE(""NSE:""&amp;C58,""marketcap"")/10000000"),170558.9560656)</f>
        <v>170558.9561</v>
      </c>
      <c r="E58" s="50">
        <f>IFERROR(__xludf.DUMMYFUNCTION("GOOGLEFINANCE(""NSE:""&amp;C58,""volume"")"),725520.0)</f>
        <v>725520</v>
      </c>
      <c r="F58" s="9">
        <f>IFERROR(__xludf.DUMMYFUNCTION("GOOGLEFINANCE(""NSE:""&amp;C58)"),1539.2)</f>
        <v>1539.2</v>
      </c>
      <c r="G58" s="9">
        <f>IFERROR(__xludf.DUMMYFUNCTION("GOOGLEFINANCE(""NSE:""&amp;C58,""closeyest"")"),1560.8)</f>
        <v>1560.8</v>
      </c>
      <c r="H58" s="51">
        <f>IFERROR(__xludf.DUMMYFUNCTION("INDEX(GOOGLEFINANCE(""NSE:""&amp;C58,dates!$I$1,dates!$C$4),2,2)"),1820.35)</f>
        <v>1820.35</v>
      </c>
      <c r="I58" s="51">
        <f>IFERROR(__xludf.DUMMYFUNCTION("INDEX(GOOGLEFINANCE(""NSE:""&amp;C58,dates!$I$1,dates!$C$5),2,2)"),1871.4)</f>
        <v>1871.4</v>
      </c>
      <c r="J58" s="51">
        <f>IFERROR(__xludf.DUMMYFUNCTION("INDEX(GOOGLEFINANCE(""NSE:""&amp;C58,dates!$I$1,dates!$C$6),2,2)"),1433.7)</f>
        <v>1433.7</v>
      </c>
      <c r="K58" s="16">
        <f t="shared" si="1"/>
        <v>-0.01383905689</v>
      </c>
      <c r="L58" s="16">
        <f t="shared" si="2"/>
        <v>-0.1544483204</v>
      </c>
      <c r="M58" s="16">
        <f t="shared" si="3"/>
        <v>-0.1775141605</v>
      </c>
      <c r="N58" s="16">
        <f t="shared" si="4"/>
        <v>0.07358582688</v>
      </c>
      <c r="O58" s="16">
        <f t="shared" si="5"/>
        <v>0.02306584014</v>
      </c>
      <c r="P58" s="17" t="str">
        <f t="shared" si="6"/>
        <v>#N/A</v>
      </c>
      <c r="Q58" s="17" t="str">
        <f t="shared" si="7"/>
        <v>#N/A</v>
      </c>
      <c r="R58" s="17">
        <f t="shared" si="8"/>
        <v>44</v>
      </c>
      <c r="S58" s="17" t="str">
        <f t="shared" si="9"/>
        <v>#N/A</v>
      </c>
    </row>
    <row r="59">
      <c r="A59" s="47">
        <v>58.0</v>
      </c>
      <c r="B59" s="48" t="s">
        <v>1545</v>
      </c>
      <c r="C59" s="48" t="s">
        <v>243</v>
      </c>
      <c r="D59" s="49">
        <f>IFERROR(__xludf.DUMMYFUNCTION("GOOGLEFINANCE(""NSE:""&amp;C59,""marketcap"")/10000000"),40320.7761097)</f>
        <v>40320.77611</v>
      </c>
      <c r="E59" s="50">
        <f>IFERROR(__xludf.DUMMYFUNCTION("GOOGLEFINANCE(""NSE:""&amp;C59,""volume"")"),119769.0)</f>
        <v>119769</v>
      </c>
      <c r="F59" s="9">
        <f>IFERROR(__xludf.DUMMYFUNCTION("GOOGLEFINANCE(""NSE:""&amp;C59)"),1890.0)</f>
        <v>1890</v>
      </c>
      <c r="G59" s="9">
        <f>IFERROR(__xludf.DUMMYFUNCTION("GOOGLEFINANCE(""NSE:""&amp;C59,""closeyest"")"),1869.15)</f>
        <v>1869.15</v>
      </c>
      <c r="H59" s="51">
        <f>IFERROR(__xludf.DUMMYFUNCTION("INDEX(GOOGLEFINANCE(""NSE:""&amp;C59,dates!$I$1,dates!$C$4),2,2)"),1843.2)</f>
        <v>1843.2</v>
      </c>
      <c r="I59" s="51">
        <f>IFERROR(__xludf.DUMMYFUNCTION("INDEX(GOOGLEFINANCE(""NSE:""&amp;C59,dates!$I$1,dates!$C$5),2,2)"),1861.0)</f>
        <v>1861</v>
      </c>
      <c r="J59" s="51">
        <f>IFERROR(__xludf.DUMMYFUNCTION("INDEX(GOOGLEFINANCE(""NSE:""&amp;C59,dates!$I$1,dates!$C$6),2,2)"),1850.05)</f>
        <v>1850.05</v>
      </c>
      <c r="K59" s="16">
        <f t="shared" si="1"/>
        <v>0.01115480299</v>
      </c>
      <c r="L59" s="16">
        <f t="shared" si="2"/>
        <v>0.025390625</v>
      </c>
      <c r="M59" s="16">
        <f t="shared" si="3"/>
        <v>0.01558301988</v>
      </c>
      <c r="N59" s="16">
        <f t="shared" si="4"/>
        <v>0.02159401097</v>
      </c>
      <c r="O59" s="16">
        <f t="shared" si="5"/>
        <v>0.009807605118</v>
      </c>
      <c r="P59" s="17" t="str">
        <f t="shared" si="6"/>
        <v>#N/A</v>
      </c>
      <c r="Q59" s="17" t="str">
        <f t="shared" si="7"/>
        <v>#N/A</v>
      </c>
      <c r="R59" s="17">
        <f t="shared" si="8"/>
        <v>68</v>
      </c>
      <c r="S59" s="17" t="str">
        <f t="shared" si="9"/>
        <v>#N/A</v>
      </c>
      <c r="T59" s="17"/>
    </row>
    <row r="60">
      <c r="A60" s="47">
        <v>59.0</v>
      </c>
      <c r="B60" s="48" t="s">
        <v>1546</v>
      </c>
      <c r="C60" s="48" t="s">
        <v>42</v>
      </c>
      <c r="D60" s="49">
        <f>IFERROR(__xludf.DUMMYFUNCTION("GOOGLEFINANCE(""NSE:""&amp;C60,""marketcap"")/10000000"),401938.0815719)</f>
        <v>401938.0816</v>
      </c>
      <c r="E60" s="50">
        <f>IFERROR(__xludf.DUMMYFUNCTION("GOOGLEFINANCE(""NSE:""&amp;C60,""volume"")"),2989107.0)</f>
        <v>2989107</v>
      </c>
      <c r="F60" s="9">
        <f>IFERROR(__xludf.DUMMYFUNCTION("GOOGLEFINANCE(""NSE:""&amp;C60)"),2024.05)</f>
        <v>2024.05</v>
      </c>
      <c r="G60" s="9">
        <f>IFERROR(__xludf.DUMMYFUNCTION("GOOGLEFINANCE(""NSE:""&amp;C60,""closeyest"")"),1985.55)</f>
        <v>1985.55</v>
      </c>
      <c r="H60" s="51">
        <f>IFERROR(__xludf.DUMMYFUNCTION("INDEX(GOOGLEFINANCE(""NSE:""&amp;C60,dates!$I$1,dates!$C$4),2,2)"),2007.95)</f>
        <v>2007.95</v>
      </c>
      <c r="I60" s="51">
        <f>IFERROR(__xludf.DUMMYFUNCTION("INDEX(GOOGLEFINANCE(""NSE:""&amp;C60,dates!$I$1,dates!$C$5),2,2)"),1840.05)</f>
        <v>1840.05</v>
      </c>
      <c r="J60" s="51">
        <f>IFERROR(__xludf.DUMMYFUNCTION("INDEX(GOOGLEFINANCE(""NSE:""&amp;C60,dates!$I$1,dates!$C$6),2,2)"),1713.55)</f>
        <v>1713.55</v>
      </c>
      <c r="K60" s="16">
        <f t="shared" si="1"/>
        <v>0.01939009342</v>
      </c>
      <c r="L60" s="16">
        <f t="shared" si="2"/>
        <v>0.008018127941</v>
      </c>
      <c r="M60" s="16">
        <f t="shared" si="3"/>
        <v>0.09999728268</v>
      </c>
      <c r="N60" s="16">
        <f t="shared" si="4"/>
        <v>0.1812027662</v>
      </c>
      <c r="O60" s="16">
        <f t="shared" si="5"/>
        <v>-0.09197915474</v>
      </c>
      <c r="P60" s="17" t="str">
        <f t="shared" si="6"/>
        <v>#N/A</v>
      </c>
      <c r="Q60" s="17" t="str">
        <f t="shared" si="7"/>
        <v>#N/A</v>
      </c>
      <c r="R60" s="17">
        <f t="shared" si="8"/>
        <v>10</v>
      </c>
      <c r="S60" s="17" t="str">
        <f t="shared" si="9"/>
        <v>#N/A</v>
      </c>
      <c r="T60" s="17"/>
    </row>
    <row r="61">
      <c r="A61" s="47">
        <v>60.0</v>
      </c>
      <c r="B61" s="48" t="s">
        <v>1547</v>
      </c>
      <c r="C61" s="48" t="s">
        <v>397</v>
      </c>
      <c r="D61" s="49">
        <f>IFERROR(__xludf.DUMMYFUNCTION("GOOGLEFINANCE(""NSE:""&amp;C61,""marketcap"")/10000000"),23125.4820419)</f>
        <v>23125.48204</v>
      </c>
      <c r="E61" s="50">
        <f>IFERROR(__xludf.DUMMYFUNCTION("GOOGLEFINANCE(""NSE:""&amp;C61,""volume"")"),464840.0)</f>
        <v>464840</v>
      </c>
      <c r="F61" s="9">
        <f>IFERROR(__xludf.DUMMYFUNCTION("GOOGLEFINANCE(""NSE:""&amp;C61)"),1796.05)</f>
        <v>1796.05</v>
      </c>
      <c r="G61" s="9">
        <f>IFERROR(__xludf.DUMMYFUNCTION("GOOGLEFINANCE(""NSE:""&amp;C61,""closeyest"")"),1798.85)</f>
        <v>1798.85</v>
      </c>
      <c r="H61" s="51">
        <f>IFERROR(__xludf.DUMMYFUNCTION("INDEX(GOOGLEFINANCE(""NSE:""&amp;C61,dates!$I$1,dates!$C$4),2,2)"),1784.55)</f>
        <v>1784.55</v>
      </c>
      <c r="I61" s="51">
        <f>IFERROR(__xludf.DUMMYFUNCTION("INDEX(GOOGLEFINANCE(""NSE:""&amp;C61,dates!$I$1,dates!$C$5),2,2)"),1768.9)</f>
        <v>1768.9</v>
      </c>
      <c r="J61" s="51">
        <f>IFERROR(__xludf.DUMMYFUNCTION("INDEX(GOOGLEFINANCE(""NSE:""&amp;C61,dates!$I$1,dates!$C$6),2,2)"),1722.95)</f>
        <v>1722.95</v>
      </c>
      <c r="K61" s="16">
        <f t="shared" si="1"/>
        <v>-0.001556550018</v>
      </c>
      <c r="L61" s="16">
        <f t="shared" si="2"/>
        <v>0.006444201619</v>
      </c>
      <c r="M61" s="16">
        <f t="shared" si="3"/>
        <v>0.01534852168</v>
      </c>
      <c r="N61" s="16">
        <f t="shared" si="4"/>
        <v>0.04242723236</v>
      </c>
      <c r="O61" s="16">
        <f t="shared" si="5"/>
        <v>-0.008904320061</v>
      </c>
      <c r="P61" s="17" t="str">
        <f t="shared" si="6"/>
        <v>#N/A</v>
      </c>
      <c r="Q61" s="17" t="str">
        <f t="shared" si="7"/>
        <v>#N/A</v>
      </c>
      <c r="R61" s="17">
        <f t="shared" si="8"/>
        <v>56</v>
      </c>
      <c r="S61" s="17" t="str">
        <f t="shared" si="9"/>
        <v>#N/A</v>
      </c>
    </row>
    <row r="62">
      <c r="A62" s="47">
        <v>61.0</v>
      </c>
      <c r="B62" s="48" t="s">
        <v>1548</v>
      </c>
      <c r="C62" s="48" t="s">
        <v>1115</v>
      </c>
      <c r="D62" s="49">
        <f>IFERROR(__xludf.DUMMYFUNCTION("GOOGLEFINANCE(""NSE:""&amp;C62,""marketcap"")/10000000"),5481.0644143)</f>
        <v>5481.064414</v>
      </c>
      <c r="E62" s="50">
        <f>IFERROR(__xludf.DUMMYFUNCTION("GOOGLEFINANCE(""NSE:""&amp;C62,""volume"")"),312760.0)</f>
        <v>312760</v>
      </c>
      <c r="F62" s="9">
        <f>IFERROR(__xludf.DUMMYFUNCTION("GOOGLEFINANCE(""NSE:""&amp;C62)"),1752.0)</f>
        <v>1752</v>
      </c>
      <c r="G62" s="9">
        <f>IFERROR(__xludf.DUMMYFUNCTION("GOOGLEFINANCE(""NSE:""&amp;C62,""closeyest"")"),1726.75)</f>
        <v>1726.75</v>
      </c>
      <c r="H62" s="51">
        <f>IFERROR(__xludf.DUMMYFUNCTION("INDEX(GOOGLEFINANCE(""NSE:""&amp;C62,dates!$I$1,dates!$C$4),2,2)"),1743.4)</f>
        <v>1743.4</v>
      </c>
      <c r="I62" s="51">
        <f>IFERROR(__xludf.DUMMYFUNCTION("INDEX(GOOGLEFINANCE(""NSE:""&amp;C62,dates!$I$1,dates!$C$5),2,2)"),1747.15)</f>
        <v>1747.15</v>
      </c>
      <c r="J62" s="51">
        <f>IFERROR(__xludf.DUMMYFUNCTION("INDEX(GOOGLEFINANCE(""NSE:""&amp;C62,dates!$I$1,dates!$C$6),2,2)"),1479.8)</f>
        <v>1479.8</v>
      </c>
      <c r="K62" s="16">
        <f t="shared" si="1"/>
        <v>0.01462284639</v>
      </c>
      <c r="L62" s="16">
        <f t="shared" si="2"/>
        <v>0.004932889756</v>
      </c>
      <c r="M62" s="16">
        <f t="shared" si="3"/>
        <v>0.002775949403</v>
      </c>
      <c r="N62" s="16">
        <f t="shared" si="4"/>
        <v>0.1839437762</v>
      </c>
      <c r="O62" s="16">
        <f t="shared" si="5"/>
        <v>0.002156940352</v>
      </c>
      <c r="P62" s="17" t="str">
        <f t="shared" si="6"/>
        <v>#N/A</v>
      </c>
      <c r="Q62" s="17" t="str">
        <f t="shared" si="7"/>
        <v>#N/A</v>
      </c>
      <c r="R62" s="17">
        <f t="shared" si="8"/>
        <v>9</v>
      </c>
      <c r="S62" s="17" t="str">
        <f t="shared" si="9"/>
        <v>#N/A</v>
      </c>
    </row>
    <row r="63">
      <c r="A63" s="47">
        <v>62.0</v>
      </c>
      <c r="B63" s="48" t="s">
        <v>1549</v>
      </c>
      <c r="C63" s="48" t="s">
        <v>57</v>
      </c>
      <c r="D63" s="49">
        <f>IFERROR(__xludf.DUMMYFUNCTION("GOOGLEFINANCE(""NSE:""&amp;C63,""marketcap"")/10000000"),249029.265)</f>
        <v>249029.265</v>
      </c>
      <c r="E63" s="50">
        <f>IFERROR(__xludf.DUMMYFUNCTION("GOOGLEFINANCE(""NSE:""&amp;C63,""volume"")"),3702946.0)</f>
        <v>3702946</v>
      </c>
      <c r="F63" s="9">
        <f>IFERROR(__xludf.DUMMYFUNCTION("GOOGLEFINANCE(""NSE:""&amp;C63)"),1774.55)</f>
        <v>1774.55</v>
      </c>
      <c r="G63" s="9">
        <f>IFERROR(__xludf.DUMMYFUNCTION("GOOGLEFINANCE(""NSE:""&amp;C63,""closeyest"")"),1710.9)</f>
        <v>1710.9</v>
      </c>
      <c r="H63" s="51">
        <f>IFERROR(__xludf.DUMMYFUNCTION("INDEX(GOOGLEFINANCE(""NSE:""&amp;C63,dates!$I$1,dates!$C$4),2,2)"),1716.2)</f>
        <v>1716.2</v>
      </c>
      <c r="I63" s="51">
        <f>IFERROR(__xludf.DUMMYFUNCTION("INDEX(GOOGLEFINANCE(""NSE:""&amp;C63,dates!$I$1,dates!$C$5),2,2)"),1671.7)</f>
        <v>1671.7</v>
      </c>
      <c r="J63" s="51">
        <f>IFERROR(__xludf.DUMMYFUNCTION("INDEX(GOOGLEFINANCE(""NSE:""&amp;C63,dates!$I$1,dates!$C$6),2,2)"),1638.1)</f>
        <v>1638.1</v>
      </c>
      <c r="K63" s="16">
        <f t="shared" si="1"/>
        <v>0.03720264188</v>
      </c>
      <c r="L63" s="16">
        <f t="shared" si="2"/>
        <v>0.03399953385</v>
      </c>
      <c r="M63" s="16">
        <f t="shared" si="3"/>
        <v>0.06152419693</v>
      </c>
      <c r="N63" s="16">
        <f t="shared" si="4"/>
        <v>0.08329772297</v>
      </c>
      <c r="O63" s="16">
        <f t="shared" si="5"/>
        <v>-0.02752466307</v>
      </c>
      <c r="P63" s="17" t="str">
        <f t="shared" si="6"/>
        <v>#N/A</v>
      </c>
      <c r="Q63" s="17" t="str">
        <f t="shared" si="7"/>
        <v>#N/A</v>
      </c>
      <c r="R63" s="17">
        <f t="shared" si="8"/>
        <v>41</v>
      </c>
      <c r="S63" s="17" t="str">
        <f t="shared" si="9"/>
        <v>#N/A</v>
      </c>
      <c r="T63" s="17"/>
    </row>
    <row r="64">
      <c r="A64" s="47">
        <v>63.0</v>
      </c>
      <c r="B64" s="48" t="s">
        <v>1550</v>
      </c>
      <c r="C64" s="48" t="s">
        <v>205</v>
      </c>
      <c r="D64" s="49">
        <f>IFERROR(__xludf.DUMMYFUNCTION("GOOGLEFINANCE(""NSE:""&amp;C64,""marketcap"")/10000000"),46357.1508675)</f>
        <v>46357.15087</v>
      </c>
      <c r="E64" s="50">
        <f>IFERROR(__xludf.DUMMYFUNCTION("GOOGLEFINANCE(""NSE:""&amp;C64,""volume"")"),664900.0)</f>
        <v>664900</v>
      </c>
      <c r="F64" s="9">
        <f>IFERROR(__xludf.DUMMYFUNCTION("GOOGLEFINANCE(""NSE:""&amp;C64)"),1703.4)</f>
        <v>1703.4</v>
      </c>
      <c r="G64" s="9">
        <f>IFERROR(__xludf.DUMMYFUNCTION("GOOGLEFINANCE(""NSE:""&amp;C64,""closeyest"")"),1720.4)</f>
        <v>1720.4</v>
      </c>
      <c r="H64" s="51">
        <f>IFERROR(__xludf.DUMMYFUNCTION("INDEX(GOOGLEFINANCE(""NSE:""&amp;C64,dates!$I$1,dates!$C$4),2,2)"),1732.55)</f>
        <v>1732.55</v>
      </c>
      <c r="I64" s="51">
        <f>IFERROR(__xludf.DUMMYFUNCTION("INDEX(GOOGLEFINANCE(""NSE:""&amp;C64,dates!$I$1,dates!$C$5),2,2)"),1723.3)</f>
        <v>1723.3</v>
      </c>
      <c r="J64" s="51">
        <f>IFERROR(__xludf.DUMMYFUNCTION("INDEX(GOOGLEFINANCE(""NSE:""&amp;C64,dates!$I$1,dates!$C$6),2,2)"),1655.6)</f>
        <v>1655.6</v>
      </c>
      <c r="K64" s="16">
        <f t="shared" si="1"/>
        <v>-0.009881422925</v>
      </c>
      <c r="L64" s="16">
        <f t="shared" si="2"/>
        <v>-0.01682491126</v>
      </c>
      <c r="M64" s="16">
        <f t="shared" si="3"/>
        <v>-0.01154761214</v>
      </c>
      <c r="N64" s="16">
        <f t="shared" si="4"/>
        <v>0.02887170814</v>
      </c>
      <c r="O64" s="16">
        <f t="shared" si="5"/>
        <v>-0.005277299118</v>
      </c>
      <c r="P64" s="17" t="str">
        <f t="shared" si="6"/>
        <v>#N/A</v>
      </c>
      <c r="Q64" s="17" t="str">
        <f t="shared" si="7"/>
        <v>#N/A</v>
      </c>
      <c r="R64" s="17">
        <f t="shared" si="8"/>
        <v>61</v>
      </c>
      <c r="S64" s="17" t="str">
        <f t="shared" si="9"/>
        <v>#N/A</v>
      </c>
    </row>
    <row r="65">
      <c r="A65" s="47">
        <v>64.0</v>
      </c>
      <c r="B65" s="48" t="s">
        <v>1551</v>
      </c>
      <c r="C65" s="48" t="s">
        <v>28</v>
      </c>
      <c r="D65" s="49">
        <f>IFERROR(__xludf.DUMMYFUNCTION("GOOGLEFINANCE(""NSE:""&amp;C65,""marketcap"")/10000000"),10066.141614)</f>
        <v>10066.14161</v>
      </c>
      <c r="E65" s="50">
        <f>IFERROR(__xludf.DUMMYFUNCTION("GOOGLEFINANCE(""NSE:""&amp;C65,""volume"")"),3826090.0)</f>
        <v>3826090</v>
      </c>
      <c r="F65" s="9">
        <f>IFERROR(__xludf.DUMMYFUNCTION("GOOGLEFINANCE(""NSE:""&amp;C65)"),1742.1)</f>
        <v>1742.1</v>
      </c>
      <c r="G65" s="9">
        <f>IFERROR(__xludf.DUMMYFUNCTION("GOOGLEFINANCE(""NSE:""&amp;C65,""closeyest"")"),1716.9)</f>
        <v>1716.9</v>
      </c>
      <c r="H65" s="51">
        <f>IFERROR(__xludf.DUMMYFUNCTION("INDEX(GOOGLEFINANCE(""NSE:""&amp;C65,dates!$I$1,dates!$C$4),2,2)"),1691.3)</f>
        <v>1691.3</v>
      </c>
      <c r="I65" s="51">
        <f>IFERROR(__xludf.DUMMYFUNCTION("INDEX(GOOGLEFINANCE(""NSE:""&amp;C65,dates!$I$1,dates!$C$5),2,2)"),1691.9)</f>
        <v>1691.9</v>
      </c>
      <c r="J65" s="51">
        <f>IFERROR(__xludf.DUMMYFUNCTION("INDEX(GOOGLEFINANCE(""NSE:""&amp;C65,dates!$I$1,dates!$C$6),2,2)"),1708.8)</f>
        <v>1708.8</v>
      </c>
      <c r="K65" s="16">
        <f t="shared" si="1"/>
        <v>0.01467761663</v>
      </c>
      <c r="L65" s="16">
        <f t="shared" si="2"/>
        <v>0.03003606693</v>
      </c>
      <c r="M65" s="16">
        <f t="shared" si="3"/>
        <v>0.02967078433</v>
      </c>
      <c r="N65" s="16">
        <f t="shared" si="4"/>
        <v>0.01948735955</v>
      </c>
      <c r="O65" s="16">
        <f t="shared" si="5"/>
        <v>0.0003652826054</v>
      </c>
      <c r="P65" s="17" t="str">
        <f t="shared" si="6"/>
        <v>#N/A</v>
      </c>
      <c r="Q65" s="17" t="str">
        <f t="shared" si="7"/>
        <v>#N/A</v>
      </c>
      <c r="R65" s="17">
        <f t="shared" si="8"/>
        <v>70</v>
      </c>
      <c r="S65" s="17" t="str">
        <f t="shared" si="9"/>
        <v>#N/A</v>
      </c>
      <c r="T65" s="17"/>
    </row>
    <row r="66">
      <c r="A66" s="47">
        <v>65.0</v>
      </c>
      <c r="B66" s="48" t="s">
        <v>1552</v>
      </c>
      <c r="C66" s="48" t="s">
        <v>842</v>
      </c>
      <c r="D66" s="49">
        <f>IFERROR(__xludf.DUMMYFUNCTION("GOOGLEFINANCE(""NSE:""&amp;C66,""marketcap"")/10000000"),13227.8403827)</f>
        <v>13227.84038</v>
      </c>
      <c r="E66" s="50">
        <f>IFERROR(__xludf.DUMMYFUNCTION("GOOGLEFINANCE(""NSE:""&amp;C66,""volume"")"),44612.0)</f>
        <v>44612</v>
      </c>
      <c r="F66" s="9">
        <f>IFERROR(__xludf.DUMMYFUNCTION("GOOGLEFINANCE(""NSE:""&amp;C66)"),1765.2)</f>
        <v>1765.2</v>
      </c>
      <c r="G66" s="9">
        <f>IFERROR(__xludf.DUMMYFUNCTION("GOOGLEFINANCE(""NSE:""&amp;C66,""closeyest"")"),1776.75)</f>
        <v>1776.75</v>
      </c>
      <c r="H66" s="51">
        <f>IFERROR(__xludf.DUMMYFUNCTION("INDEX(GOOGLEFINANCE(""NSE:""&amp;C66,dates!$I$1,dates!$C$4),2,2)"),1682.8)</f>
        <v>1682.8</v>
      </c>
      <c r="I66" s="51">
        <f>IFERROR(__xludf.DUMMYFUNCTION("INDEX(GOOGLEFINANCE(""NSE:""&amp;C66,dates!$I$1,dates!$C$5),2,2)"),1724.7)</f>
        <v>1724.7</v>
      </c>
      <c r="J66" s="51">
        <f>IFERROR(__xludf.DUMMYFUNCTION("INDEX(GOOGLEFINANCE(""NSE:""&amp;C66,dates!$I$1,dates!$C$6),2,2)"),1665.9)</f>
        <v>1665.9</v>
      </c>
      <c r="K66" s="16">
        <f t="shared" si="1"/>
        <v>-0.006500633179</v>
      </c>
      <c r="L66" s="16">
        <f t="shared" si="2"/>
        <v>0.04896600903</v>
      </c>
      <c r="M66" s="16">
        <f t="shared" si="3"/>
        <v>0.02348234476</v>
      </c>
      <c r="N66" s="16">
        <f t="shared" si="4"/>
        <v>0.05960741941</v>
      </c>
      <c r="O66" s="16">
        <f t="shared" si="5"/>
        <v>0.02548366428</v>
      </c>
      <c r="P66" s="17" t="str">
        <f t="shared" si="6"/>
        <v>#N/A</v>
      </c>
      <c r="Q66" s="17" t="str">
        <f t="shared" si="7"/>
        <v>#N/A</v>
      </c>
      <c r="R66" s="17">
        <f t="shared" si="8"/>
        <v>48</v>
      </c>
      <c r="S66" s="17" t="str">
        <f t="shared" si="9"/>
        <v>#N/A</v>
      </c>
    </row>
    <row r="67">
      <c r="A67" s="47">
        <v>66.0</v>
      </c>
      <c r="B67" s="48" t="s">
        <v>1553</v>
      </c>
      <c r="C67" s="48" t="s">
        <v>231</v>
      </c>
      <c r="D67" s="49">
        <f>IFERROR(__xludf.DUMMYFUNCTION("GOOGLEFINANCE(""NSE:""&amp;C67,""marketcap"")/10000000"),60988.0081963)</f>
        <v>60988.0082</v>
      </c>
      <c r="E67" s="50">
        <f>IFERROR(__xludf.DUMMYFUNCTION("GOOGLEFINANCE(""NSE:""&amp;C67,""volume"")"),1.1219241E7)</f>
        <v>11219241</v>
      </c>
      <c r="F67" s="9">
        <f>IFERROR(__xludf.DUMMYFUNCTION("GOOGLEFINANCE(""NSE:""&amp;C67)"),2182.05)</f>
        <v>2182.05</v>
      </c>
      <c r="G67" s="9">
        <f>IFERROR(__xludf.DUMMYFUNCTION("GOOGLEFINANCE(""NSE:""&amp;C67,""closeyest"")"),1951.1)</f>
        <v>1951.1</v>
      </c>
      <c r="H67" s="51">
        <f>IFERROR(__xludf.DUMMYFUNCTION("INDEX(GOOGLEFINANCE(""NSE:""&amp;C67,dates!$I$1,dates!$C$4),2,2)"),1629.55)</f>
        <v>1629.55</v>
      </c>
      <c r="I67" s="51">
        <f>IFERROR(__xludf.DUMMYFUNCTION("INDEX(GOOGLEFINANCE(""NSE:""&amp;C67,dates!$I$1,dates!$C$5),2,2)"),1605.9)</f>
        <v>1605.9</v>
      </c>
      <c r="J67" s="51">
        <f>IFERROR(__xludf.DUMMYFUNCTION("INDEX(GOOGLEFINANCE(""NSE:""&amp;C67,dates!$I$1,dates!$C$6),2,2)"),1473.7)</f>
        <v>1473.7</v>
      </c>
      <c r="K67" s="16">
        <f t="shared" si="1"/>
        <v>0.1183691251</v>
      </c>
      <c r="L67" s="16">
        <f t="shared" si="2"/>
        <v>0.3390506582</v>
      </c>
      <c r="M67" s="16">
        <f t="shared" si="3"/>
        <v>0.3587707827</v>
      </c>
      <c r="N67" s="16">
        <f t="shared" si="4"/>
        <v>0.4806609215</v>
      </c>
      <c r="O67" s="16">
        <f t="shared" si="5"/>
        <v>-0.01972012458</v>
      </c>
      <c r="P67" s="17" t="str">
        <f t="shared" si="6"/>
        <v>#N/A</v>
      </c>
      <c r="Q67" s="17" t="str">
        <f t="shared" si="7"/>
        <v>#N/A</v>
      </c>
      <c r="R67" s="17">
        <f t="shared" si="8"/>
        <v>1</v>
      </c>
      <c r="S67" s="17" t="str">
        <f t="shared" si="9"/>
        <v>#N/A</v>
      </c>
      <c r="T67" s="17"/>
    </row>
    <row r="68">
      <c r="A68" s="47">
        <v>67.0</v>
      </c>
      <c r="B68" s="48" t="s">
        <v>1554</v>
      </c>
      <c r="C68" s="48" t="s">
        <v>263</v>
      </c>
      <c r="D68" s="49">
        <f>IFERROR(__xludf.DUMMYFUNCTION("GOOGLEFINANCE(""NSE:""&amp;C68,""marketcap"")/10000000"),43826.1747619)</f>
        <v>43826.17476</v>
      </c>
      <c r="E68" s="50">
        <f>IFERROR(__xludf.DUMMYFUNCTION("GOOGLEFINANCE(""NSE:""&amp;C68,""volume"")"),1255536.0)</f>
        <v>1255536</v>
      </c>
      <c r="F68" s="9">
        <f>IFERROR(__xludf.DUMMYFUNCTION("GOOGLEFINANCE(""NSE:""&amp;C68)"),1654.4)</f>
        <v>1654.4</v>
      </c>
      <c r="G68" s="9">
        <f>IFERROR(__xludf.DUMMYFUNCTION("GOOGLEFINANCE(""NSE:""&amp;C68,""closeyest"")"),1638.95)</f>
        <v>1638.95</v>
      </c>
      <c r="H68" s="51">
        <f>IFERROR(__xludf.DUMMYFUNCTION("INDEX(GOOGLEFINANCE(""NSE:""&amp;C68,dates!$I$1,dates!$C$4),2,2)"),1594.65)</f>
        <v>1594.65</v>
      </c>
      <c r="I68" s="51">
        <f>IFERROR(__xludf.DUMMYFUNCTION("INDEX(GOOGLEFINANCE(""NSE:""&amp;C68,dates!$I$1,dates!$C$5),2,2)"),1599.1)</f>
        <v>1599.1</v>
      </c>
      <c r="J68" s="51">
        <f>IFERROR(__xludf.DUMMYFUNCTION("INDEX(GOOGLEFINANCE(""NSE:""&amp;C68,dates!$I$1,dates!$C$6),2,2)"),1448.6)</f>
        <v>1448.6</v>
      </c>
      <c r="K68" s="16">
        <f t="shared" si="1"/>
        <v>0.009426767137</v>
      </c>
      <c r="L68" s="16">
        <f t="shared" si="2"/>
        <v>0.03746903709</v>
      </c>
      <c r="M68" s="16">
        <f t="shared" si="3"/>
        <v>0.03458195235</v>
      </c>
      <c r="N68" s="16">
        <f t="shared" si="4"/>
        <v>0.1420682038</v>
      </c>
      <c r="O68" s="16">
        <f t="shared" si="5"/>
        <v>0.002887084745</v>
      </c>
      <c r="P68" s="17" t="str">
        <f t="shared" si="6"/>
        <v>#N/A</v>
      </c>
      <c r="Q68" s="17" t="str">
        <f t="shared" si="7"/>
        <v>#N/A</v>
      </c>
      <c r="R68" s="17">
        <f t="shared" si="8"/>
        <v>24</v>
      </c>
      <c r="S68" s="17" t="str">
        <f t="shared" si="9"/>
        <v>#N/A</v>
      </c>
      <c r="T68" s="17"/>
    </row>
    <row r="69">
      <c r="A69" s="47">
        <v>68.0</v>
      </c>
      <c r="B69" s="48" t="s">
        <v>1555</v>
      </c>
      <c r="C69" s="48" t="s">
        <v>124</v>
      </c>
      <c r="D69" s="49">
        <f>IFERROR(__xludf.DUMMYFUNCTION("GOOGLEFINANCE(""NSE:""&amp;C69,""marketcap"")/10000000"),105601.13722)</f>
        <v>105601.1372</v>
      </c>
      <c r="E69" s="50">
        <f>IFERROR(__xludf.DUMMYFUNCTION("GOOGLEFINANCE(""NSE:""&amp;C69,""volume"")"),1213696.0)</f>
        <v>1213696</v>
      </c>
      <c r="F69" s="9">
        <f>IFERROR(__xludf.DUMMYFUNCTION("GOOGLEFINANCE(""NSE:""&amp;C69)"),1608.05)</f>
        <v>1608.05</v>
      </c>
      <c r="G69" s="9">
        <f>IFERROR(__xludf.DUMMYFUNCTION("GOOGLEFINANCE(""NSE:""&amp;C69,""closeyest"")"),1574.65)</f>
        <v>1574.65</v>
      </c>
      <c r="H69" s="51">
        <f>IFERROR(__xludf.DUMMYFUNCTION("INDEX(GOOGLEFINANCE(""NSE:""&amp;C69,dates!$I$1,dates!$C$4),2,2)"),1568.8)</f>
        <v>1568.8</v>
      </c>
      <c r="I69" s="51">
        <f>IFERROR(__xludf.DUMMYFUNCTION("INDEX(GOOGLEFINANCE(""NSE:""&amp;C69,dates!$I$1,dates!$C$5),2,2)"),1606.35)</f>
        <v>1606.35</v>
      </c>
      <c r="J69" s="51">
        <f>IFERROR(__xludf.DUMMYFUNCTION("INDEX(GOOGLEFINANCE(""NSE:""&amp;C69,dates!$I$1,dates!$C$6),2,2)"),1458.3)</f>
        <v>1458.3</v>
      </c>
      <c r="K69" s="16">
        <f t="shared" si="1"/>
        <v>0.02121106278</v>
      </c>
      <c r="L69" s="16">
        <f t="shared" si="2"/>
        <v>0.0250191229</v>
      </c>
      <c r="M69" s="16">
        <f t="shared" si="3"/>
        <v>0.001058299872</v>
      </c>
      <c r="N69" s="16">
        <f t="shared" si="4"/>
        <v>0.1026880614</v>
      </c>
      <c r="O69" s="16">
        <f t="shared" si="5"/>
        <v>0.02396082302</v>
      </c>
      <c r="P69" s="17" t="str">
        <f t="shared" si="6"/>
        <v>#N/A</v>
      </c>
      <c r="Q69" s="17" t="str">
        <f t="shared" si="7"/>
        <v>#N/A</v>
      </c>
      <c r="R69" s="17">
        <f t="shared" si="8"/>
        <v>37</v>
      </c>
      <c r="S69" s="17" t="str">
        <f t="shared" si="9"/>
        <v>#N/A</v>
      </c>
    </row>
    <row r="70">
      <c r="A70" s="47">
        <v>69.0</v>
      </c>
      <c r="B70" s="48" t="s">
        <v>1556</v>
      </c>
      <c r="C70" s="48" t="s">
        <v>26</v>
      </c>
      <c r="D70" s="49">
        <f>IFERROR(__xludf.DUMMYFUNCTION("GOOGLEFINANCE(""NSE:""&amp;C70,""marketcap"")/10000000"),11908.7788472)</f>
        <v>11908.77885</v>
      </c>
      <c r="E70" s="50">
        <f>IFERROR(__xludf.DUMMYFUNCTION("GOOGLEFINANCE(""NSE:""&amp;C70,""volume"")"),6832152.0)</f>
        <v>6832152</v>
      </c>
      <c r="F70" s="9">
        <f>IFERROR(__xludf.DUMMYFUNCTION("GOOGLEFINANCE(""NSE:""&amp;C70)"),1571.6)</f>
        <v>1571.6</v>
      </c>
      <c r="G70" s="9">
        <f>IFERROR(__xludf.DUMMYFUNCTION("GOOGLEFINANCE(""NSE:""&amp;C70,""closeyest"")"),1533.7)</f>
        <v>1533.7</v>
      </c>
      <c r="H70" s="51">
        <f>IFERROR(__xludf.DUMMYFUNCTION("INDEX(GOOGLEFINANCE(""NSE:""&amp;C70,dates!$I$1,dates!$C$4),2,2)"),1582.15)</f>
        <v>1582.15</v>
      </c>
      <c r="I70" s="51">
        <f>IFERROR(__xludf.DUMMYFUNCTION("INDEX(GOOGLEFINANCE(""NSE:""&amp;C70,dates!$I$1,dates!$C$5),2,2)"),1555.55)</f>
        <v>1555.55</v>
      </c>
      <c r="J70" s="51">
        <f>IFERROR(__xludf.DUMMYFUNCTION("INDEX(GOOGLEFINANCE(""NSE:""&amp;C70,dates!$I$1,dates!$C$6),2,2)"),1548.45)</f>
        <v>1548.45</v>
      </c>
      <c r="K70" s="16">
        <f t="shared" si="1"/>
        <v>0.02471148204</v>
      </c>
      <c r="L70" s="16">
        <f t="shared" si="2"/>
        <v>-0.006668141453</v>
      </c>
      <c r="M70" s="16">
        <f t="shared" si="3"/>
        <v>0.01031789399</v>
      </c>
      <c r="N70" s="16">
        <f t="shared" si="4"/>
        <v>0.01495043431</v>
      </c>
      <c r="O70" s="16">
        <f t="shared" si="5"/>
        <v>-0.01698603545</v>
      </c>
      <c r="P70" s="17" t="str">
        <f t="shared" si="6"/>
        <v>#N/A</v>
      </c>
      <c r="Q70" s="17" t="str">
        <f t="shared" si="7"/>
        <v>#N/A</v>
      </c>
      <c r="R70" s="17">
        <f t="shared" si="8"/>
        <v>76</v>
      </c>
      <c r="S70" s="17" t="str">
        <f t="shared" si="9"/>
        <v>#N/A</v>
      </c>
      <c r="T70" s="17"/>
    </row>
    <row r="71">
      <c r="A71" s="47">
        <v>70.0</v>
      </c>
      <c r="B71" s="48" t="s">
        <v>1557</v>
      </c>
      <c r="C71" s="48" t="s">
        <v>173</v>
      </c>
      <c r="D71" s="49">
        <f>IFERROR(__xludf.DUMMYFUNCTION("GOOGLEFINANCE(""NSE:""&amp;C71,""marketcap"")/10000000"),61106.6161064)</f>
        <v>61106.61611</v>
      </c>
      <c r="E71" s="50">
        <f>IFERROR(__xludf.DUMMYFUNCTION("GOOGLEFINANCE(""NSE:""&amp;C71,""volume"")"),804207.0)</f>
        <v>804207</v>
      </c>
      <c r="F71" s="9">
        <f>IFERROR(__xludf.DUMMYFUNCTION("GOOGLEFINANCE(""NSE:""&amp;C71)"),1522.2)</f>
        <v>1522.2</v>
      </c>
      <c r="G71" s="9">
        <f>IFERROR(__xludf.DUMMYFUNCTION("GOOGLEFINANCE(""NSE:""&amp;C71,""closeyest"")"),1543.5)</f>
        <v>1543.5</v>
      </c>
      <c r="H71" s="51">
        <f>IFERROR(__xludf.DUMMYFUNCTION("INDEX(GOOGLEFINANCE(""NSE:""&amp;C71,dates!$I$1,dates!$C$4),2,2)"),1513.5)</f>
        <v>1513.5</v>
      </c>
      <c r="I71" s="51">
        <f>IFERROR(__xludf.DUMMYFUNCTION("INDEX(GOOGLEFINANCE(""NSE:""&amp;C71,dates!$I$1,dates!$C$5),2,2)"),1544.55)</f>
        <v>1544.55</v>
      </c>
      <c r="J71" s="51">
        <f>IFERROR(__xludf.DUMMYFUNCTION("INDEX(GOOGLEFINANCE(""NSE:""&amp;C71,dates!$I$1,dates!$C$6),2,2)"),1491.7)</f>
        <v>1491.7</v>
      </c>
      <c r="K71" s="16">
        <f t="shared" si="1"/>
        <v>-0.01379980564</v>
      </c>
      <c r="L71" s="16">
        <f t="shared" si="2"/>
        <v>0.00574826561</v>
      </c>
      <c r="M71" s="16">
        <f t="shared" si="3"/>
        <v>-0.01447023405</v>
      </c>
      <c r="N71" s="16">
        <f t="shared" si="4"/>
        <v>0.02044647047</v>
      </c>
      <c r="O71" s="16">
        <f t="shared" si="5"/>
        <v>0.02021849966</v>
      </c>
      <c r="P71" s="17" t="str">
        <f t="shared" si="6"/>
        <v>#N/A</v>
      </c>
      <c r="Q71" s="17" t="str">
        <f t="shared" si="7"/>
        <v>#N/A</v>
      </c>
      <c r="R71" s="17">
        <f t="shared" si="8"/>
        <v>69</v>
      </c>
      <c r="S71" s="17" t="str">
        <f t="shared" si="9"/>
        <v>#N/A</v>
      </c>
      <c r="T71" s="17"/>
    </row>
    <row r="72">
      <c r="A72" s="47">
        <v>71.0</v>
      </c>
      <c r="B72" s="48" t="s">
        <v>1558</v>
      </c>
      <c r="C72" s="48" t="s">
        <v>475</v>
      </c>
      <c r="D72" s="49">
        <f>IFERROR(__xludf.DUMMYFUNCTION("GOOGLEFINANCE(""NSE:""&amp;C72,""marketcap"")/10000000"),15766.072)</f>
        <v>15766.072</v>
      </c>
      <c r="E72" s="50">
        <f>IFERROR(__xludf.DUMMYFUNCTION("GOOGLEFINANCE(""NSE:""&amp;C72,""volume"")"),118671.0)</f>
        <v>118671</v>
      </c>
      <c r="F72" s="9">
        <f>IFERROR(__xludf.DUMMYFUNCTION("GOOGLEFINANCE(""NSE:""&amp;C72)"),1400.0)</f>
        <v>1400</v>
      </c>
      <c r="G72" s="9">
        <f>IFERROR(__xludf.DUMMYFUNCTION("GOOGLEFINANCE(""NSE:""&amp;C72,""closeyest"")"),1406.7)</f>
        <v>1406.7</v>
      </c>
      <c r="H72" s="51">
        <f>IFERROR(__xludf.DUMMYFUNCTION("INDEX(GOOGLEFINANCE(""NSE:""&amp;C72,dates!$I$1,dates!$C$4),2,2)"),1476.45)</f>
        <v>1476.45</v>
      </c>
      <c r="I72" s="51">
        <f>IFERROR(__xludf.DUMMYFUNCTION("INDEX(GOOGLEFINANCE(""NSE:""&amp;C72,dates!$I$1,dates!$C$5),2,2)"),1430.95)</f>
        <v>1430.95</v>
      </c>
      <c r="J72" s="51">
        <f>IFERROR(__xludf.DUMMYFUNCTION("INDEX(GOOGLEFINANCE(""NSE:""&amp;C72,dates!$I$1,dates!$C$6),2,2)"),1373.5)</f>
        <v>1373.5</v>
      </c>
      <c r="K72" s="16">
        <f t="shared" si="1"/>
        <v>-0.00476292031</v>
      </c>
      <c r="L72" s="16">
        <f t="shared" si="2"/>
        <v>-0.05177960649</v>
      </c>
      <c r="M72" s="16">
        <f t="shared" si="3"/>
        <v>-0.02162898774</v>
      </c>
      <c r="N72" s="16">
        <f t="shared" si="4"/>
        <v>0.01929377503</v>
      </c>
      <c r="O72" s="16">
        <f t="shared" si="5"/>
        <v>-0.03015061875</v>
      </c>
      <c r="P72" s="17" t="str">
        <f t="shared" si="6"/>
        <v>#N/A</v>
      </c>
      <c r="Q72" s="17" t="str">
        <f t="shared" si="7"/>
        <v>#N/A</v>
      </c>
      <c r="R72" s="17">
        <f t="shared" si="8"/>
        <v>71</v>
      </c>
      <c r="S72" s="17" t="str">
        <f t="shared" si="9"/>
        <v>#N/A</v>
      </c>
    </row>
    <row r="73">
      <c r="A73" s="47">
        <v>72.0</v>
      </c>
      <c r="B73" s="48" t="s">
        <v>1559</v>
      </c>
      <c r="C73" s="48" t="s">
        <v>811</v>
      </c>
      <c r="D73" s="49">
        <f>IFERROR(__xludf.DUMMYFUNCTION("GOOGLEFINANCE(""NSE:""&amp;C73,""marketcap"")/10000000"),15718.3647636)</f>
        <v>15718.36476</v>
      </c>
      <c r="E73" s="50">
        <f>IFERROR(__xludf.DUMMYFUNCTION("GOOGLEFINANCE(""NSE:""&amp;C73,""volume"")"),61672.0)</f>
        <v>61672</v>
      </c>
      <c r="F73" s="9">
        <f>IFERROR(__xludf.DUMMYFUNCTION("GOOGLEFINANCE(""NSE:""&amp;C73)"),1424.0)</f>
        <v>1424</v>
      </c>
      <c r="G73" s="9">
        <f>IFERROR(__xludf.DUMMYFUNCTION("GOOGLEFINANCE(""NSE:""&amp;C73,""closeyest"")"),1374.95)</f>
        <v>1374.95</v>
      </c>
      <c r="H73" s="51">
        <f>IFERROR(__xludf.DUMMYFUNCTION("INDEX(GOOGLEFINANCE(""NSE:""&amp;C73,dates!$I$1,dates!$C$4),2,2)"),1450.5)</f>
        <v>1450.5</v>
      </c>
      <c r="I73" s="51">
        <f>IFERROR(__xludf.DUMMYFUNCTION("INDEX(GOOGLEFINANCE(""NSE:""&amp;C73,dates!$I$1,dates!$C$5),2,2)"),1484.4)</f>
        <v>1484.4</v>
      </c>
      <c r="J73" s="51">
        <f>IFERROR(__xludf.DUMMYFUNCTION("INDEX(GOOGLEFINANCE(""NSE:""&amp;C73,dates!$I$1,dates!$C$6),2,2)"),1260.55)</f>
        <v>1260.55</v>
      </c>
      <c r="K73" s="16">
        <f t="shared" si="1"/>
        <v>0.03567402451</v>
      </c>
      <c r="L73" s="16">
        <f t="shared" si="2"/>
        <v>-0.01826956222</v>
      </c>
      <c r="M73" s="16">
        <f t="shared" si="3"/>
        <v>-0.04068984101</v>
      </c>
      <c r="N73" s="16">
        <f t="shared" si="4"/>
        <v>0.1296656221</v>
      </c>
      <c r="O73" s="16">
        <f t="shared" si="5"/>
        <v>0.02242027879</v>
      </c>
      <c r="P73" s="17" t="str">
        <f t="shared" si="6"/>
        <v>#N/A</v>
      </c>
      <c r="Q73" s="17" t="str">
        <f t="shared" si="7"/>
        <v>#N/A</v>
      </c>
      <c r="R73" s="17">
        <f t="shared" si="8"/>
        <v>30</v>
      </c>
      <c r="S73" s="17" t="str">
        <f t="shared" si="9"/>
        <v>#N/A</v>
      </c>
      <c r="T73" s="17"/>
    </row>
    <row r="74">
      <c r="A74" s="47">
        <v>73.0</v>
      </c>
      <c r="B74" s="48" t="s">
        <v>1560</v>
      </c>
      <c r="C74" s="48" t="s">
        <v>140</v>
      </c>
      <c r="D74" s="49">
        <f>IFERROR(__xludf.DUMMYFUNCTION("GOOGLEFINANCE(""NSE:""&amp;C74,""marketcap"")/10000000"),89867.5281432)</f>
        <v>89867.52814</v>
      </c>
      <c r="E74" s="50">
        <f>IFERROR(__xludf.DUMMYFUNCTION("GOOGLEFINANCE(""NSE:""&amp;C74,""volume"")"),1137902.0)</f>
        <v>1137902</v>
      </c>
      <c r="F74" s="9">
        <f>IFERROR(__xludf.DUMMYFUNCTION("GOOGLEFINANCE(""NSE:""&amp;C74)"),1435.65)</f>
        <v>1435.65</v>
      </c>
      <c r="G74" s="9">
        <f>IFERROR(__xludf.DUMMYFUNCTION("GOOGLEFINANCE(""NSE:""&amp;C74,""closeyest"")"),1420.45)</f>
        <v>1420.45</v>
      </c>
      <c r="H74" s="51">
        <f>IFERROR(__xludf.DUMMYFUNCTION("INDEX(GOOGLEFINANCE(""NSE:""&amp;C74,dates!$I$1,dates!$C$4),2,2)"),1471.9)</f>
        <v>1471.9</v>
      </c>
      <c r="I74" s="51">
        <f>IFERROR(__xludf.DUMMYFUNCTION("INDEX(GOOGLEFINANCE(""NSE:""&amp;C74,dates!$I$1,dates!$C$5),2,2)"),1450.1)</f>
        <v>1450.1</v>
      </c>
      <c r="J74" s="51">
        <f>IFERROR(__xludf.DUMMYFUNCTION("INDEX(GOOGLEFINANCE(""NSE:""&amp;C74,dates!$I$1,dates!$C$6),2,2)"),1235.0)</f>
        <v>1235</v>
      </c>
      <c r="K74" s="16">
        <f t="shared" si="1"/>
        <v>0.01070083424</v>
      </c>
      <c r="L74" s="16">
        <f t="shared" si="2"/>
        <v>-0.0246280318</v>
      </c>
      <c r="M74" s="16">
        <f t="shared" si="3"/>
        <v>-0.009964830012</v>
      </c>
      <c r="N74" s="16">
        <f t="shared" si="4"/>
        <v>0.1624696356</v>
      </c>
      <c r="O74" s="16">
        <f t="shared" si="5"/>
        <v>-0.01466320178</v>
      </c>
      <c r="P74" s="17" t="str">
        <f t="shared" si="6"/>
        <v>#N/A</v>
      </c>
      <c r="Q74" s="17" t="str">
        <f t="shared" si="7"/>
        <v>#N/A</v>
      </c>
      <c r="R74" s="17">
        <f t="shared" si="8"/>
        <v>16</v>
      </c>
      <c r="S74" s="17" t="str">
        <f t="shared" si="9"/>
        <v>#N/A</v>
      </c>
      <c r="T74" s="17"/>
    </row>
    <row r="75">
      <c r="A75" s="47">
        <v>74.0</v>
      </c>
      <c r="B75" s="48" t="s">
        <v>1561</v>
      </c>
      <c r="C75" s="48" t="s">
        <v>381</v>
      </c>
      <c r="D75" s="49">
        <f>IFERROR(__xludf.DUMMYFUNCTION("GOOGLEFINANCE(""NSE:""&amp;C75,""marketcap"")/10000000"),29747.7354)</f>
        <v>29747.7354</v>
      </c>
      <c r="E75" s="50">
        <f>IFERROR(__xludf.DUMMYFUNCTION("GOOGLEFINANCE(""NSE:""&amp;C75,""volume"")"),34341.0)</f>
        <v>34341</v>
      </c>
      <c r="F75" s="9">
        <f>IFERROR(__xludf.DUMMYFUNCTION("GOOGLEFINANCE(""NSE:""&amp;C75)"),1380.0)</f>
        <v>1380</v>
      </c>
      <c r="G75" s="9">
        <f>IFERROR(__xludf.DUMMYFUNCTION("GOOGLEFINANCE(""NSE:""&amp;C75,""closeyest"")"),1405.9)</f>
        <v>1405.9</v>
      </c>
      <c r="H75" s="51">
        <f>IFERROR(__xludf.DUMMYFUNCTION("INDEX(GOOGLEFINANCE(""NSE:""&amp;C75,dates!$I$1,dates!$C$4),2,2)"),1403.4)</f>
        <v>1403.4</v>
      </c>
      <c r="I75" s="51">
        <f>IFERROR(__xludf.DUMMYFUNCTION("INDEX(GOOGLEFINANCE(""NSE:""&amp;C75,dates!$I$1,dates!$C$5),2,2)"),1264.95)</f>
        <v>1264.95</v>
      </c>
      <c r="J75" s="51">
        <f>IFERROR(__xludf.DUMMYFUNCTION("INDEX(GOOGLEFINANCE(""NSE:""&amp;C75,dates!$I$1,dates!$C$6),2,2)"),1045.4)</f>
        <v>1045.4</v>
      </c>
      <c r="K75" s="16">
        <f t="shared" si="1"/>
        <v>-0.0184223629</v>
      </c>
      <c r="L75" s="16">
        <f t="shared" si="2"/>
        <v>-0.01667379222</v>
      </c>
      <c r="M75" s="16">
        <f t="shared" si="3"/>
        <v>0.09095221155</v>
      </c>
      <c r="N75" s="16">
        <f t="shared" si="4"/>
        <v>0.3200688732</v>
      </c>
      <c r="O75" s="16">
        <f t="shared" si="5"/>
        <v>-0.1076260038</v>
      </c>
      <c r="P75" s="17" t="str">
        <f t="shared" si="6"/>
        <v>#N/A</v>
      </c>
      <c r="Q75" s="17" t="str">
        <f t="shared" si="7"/>
        <v>#N/A</v>
      </c>
      <c r="R75" s="17">
        <f t="shared" si="8"/>
        <v>2</v>
      </c>
      <c r="S75" s="17" t="str">
        <f t="shared" si="9"/>
        <v>#N/A</v>
      </c>
      <c r="T75" s="17"/>
    </row>
    <row r="76">
      <c r="A76" s="47">
        <v>75.0</v>
      </c>
      <c r="B76" s="48" t="s">
        <v>1562</v>
      </c>
      <c r="C76" s="48" t="s">
        <v>87</v>
      </c>
      <c r="D76" s="49">
        <f>IFERROR(__xludf.DUMMYFUNCTION("GOOGLEFINANCE(""NSE:""&amp;C76,""marketcap"")/10000000"),147670.63738)</f>
        <v>147670.6374</v>
      </c>
      <c r="E76" s="50">
        <f>IFERROR(__xludf.DUMMYFUNCTION("GOOGLEFINANCE(""NSE:""&amp;C76,""volume"")"),2015302.0)</f>
        <v>2015302</v>
      </c>
      <c r="F76" s="9">
        <f>IFERROR(__xludf.DUMMYFUNCTION("GOOGLEFINANCE(""NSE:""&amp;C76)"),1523.0)</f>
        <v>1523</v>
      </c>
      <c r="G76" s="9">
        <f>IFERROR(__xludf.DUMMYFUNCTION("GOOGLEFINANCE(""NSE:""&amp;C76,""closeyest"")"),1513.6)</f>
        <v>1513.6</v>
      </c>
      <c r="H76" s="51">
        <f>IFERROR(__xludf.DUMMYFUNCTION("INDEX(GOOGLEFINANCE(""NSE:""&amp;C76,dates!$I$1,dates!$C$4),2,2)"),1451.55)</f>
        <v>1451.55</v>
      </c>
      <c r="I76" s="51">
        <f>IFERROR(__xludf.DUMMYFUNCTION("INDEX(GOOGLEFINANCE(""NSE:""&amp;C76,dates!$I$1,dates!$C$5),2,2)"),1429.5)</f>
        <v>1429.5</v>
      </c>
      <c r="J76" s="51">
        <f>IFERROR(__xludf.DUMMYFUNCTION("INDEX(GOOGLEFINANCE(""NSE:""&amp;C76,dates!$I$1,dates!$C$6),2,2)"),1445.4)</f>
        <v>1445.4</v>
      </c>
      <c r="K76" s="16">
        <f t="shared" si="1"/>
        <v>0.006210359408</v>
      </c>
      <c r="L76" s="16">
        <f t="shared" si="2"/>
        <v>0.04922324412</v>
      </c>
      <c r="M76" s="16">
        <f t="shared" si="3"/>
        <v>0.06540748513</v>
      </c>
      <c r="N76" s="16">
        <f t="shared" si="4"/>
        <v>0.05368756054</v>
      </c>
      <c r="O76" s="16">
        <f t="shared" si="5"/>
        <v>-0.01618424102</v>
      </c>
      <c r="P76" s="17" t="str">
        <f t="shared" si="6"/>
        <v>#N/A</v>
      </c>
      <c r="Q76" s="17" t="str">
        <f t="shared" si="7"/>
        <v>#N/A</v>
      </c>
      <c r="R76" s="17">
        <f t="shared" si="8"/>
        <v>51</v>
      </c>
      <c r="S76" s="17" t="str">
        <f t="shared" si="9"/>
        <v>#N/A</v>
      </c>
    </row>
    <row r="77">
      <c r="A77" s="47">
        <v>76.0</v>
      </c>
      <c r="B77" s="48" t="s">
        <v>1563</v>
      </c>
      <c r="C77" s="48" t="s">
        <v>452</v>
      </c>
      <c r="D77" s="49">
        <f>IFERROR(__xludf.DUMMYFUNCTION("GOOGLEFINANCE(""NSE:""&amp;C77,""marketcap"")/10000000"),19461.5104356)</f>
        <v>19461.51044</v>
      </c>
      <c r="E77" s="50">
        <f>IFERROR(__xludf.DUMMYFUNCTION("GOOGLEFINANCE(""NSE:""&amp;C77,""volume"")"),2597565.0)</f>
        <v>2597565</v>
      </c>
      <c r="F77" s="9">
        <f>IFERROR(__xludf.DUMMYFUNCTION("GOOGLEFINANCE(""NSE:""&amp;C77)"),1507.0)</f>
        <v>1507</v>
      </c>
      <c r="G77" s="9">
        <f>IFERROR(__xludf.DUMMYFUNCTION("GOOGLEFINANCE(""NSE:""&amp;C77,""closeyest"")"),1520.15)</f>
        <v>1520.15</v>
      </c>
      <c r="H77" s="51">
        <f>IFERROR(__xludf.DUMMYFUNCTION("INDEX(GOOGLEFINANCE(""NSE:""&amp;C77,dates!$I$1,dates!$C$4),2,2)"),1452.55)</f>
        <v>1452.55</v>
      </c>
      <c r="I77" s="51">
        <f>IFERROR(__xludf.DUMMYFUNCTION("INDEX(GOOGLEFINANCE(""NSE:""&amp;C77,dates!$I$1,dates!$C$5),2,2)"),1378.85)</f>
        <v>1378.85</v>
      </c>
      <c r="J77" s="51">
        <f>IFERROR(__xludf.DUMMYFUNCTION("INDEX(GOOGLEFINANCE(""NSE:""&amp;C77,dates!$I$1,dates!$C$6),2,2)"),1347.5)</f>
        <v>1347.5</v>
      </c>
      <c r="K77" s="16">
        <f t="shared" si="1"/>
        <v>-0.008650462125</v>
      </c>
      <c r="L77" s="16">
        <f t="shared" si="2"/>
        <v>0.03748580083</v>
      </c>
      <c r="M77" s="16">
        <f t="shared" si="3"/>
        <v>0.09293976865</v>
      </c>
      <c r="N77" s="16">
        <f t="shared" si="4"/>
        <v>0.1183673469</v>
      </c>
      <c r="O77" s="16">
        <f t="shared" si="5"/>
        <v>-0.05545396781</v>
      </c>
      <c r="P77" s="17" t="str">
        <f t="shared" si="6"/>
        <v>#N/A</v>
      </c>
      <c r="Q77" s="17" t="str">
        <f t="shared" si="7"/>
        <v>#N/A</v>
      </c>
      <c r="R77" s="17">
        <f t="shared" si="8"/>
        <v>32</v>
      </c>
      <c r="S77" s="17" t="str">
        <f t="shared" si="9"/>
        <v>#N/A</v>
      </c>
    </row>
    <row r="78">
      <c r="A78" s="47">
        <v>77.0</v>
      </c>
      <c r="B78" s="48" t="s">
        <v>1564</v>
      </c>
      <c r="C78" s="48" t="s">
        <v>799</v>
      </c>
      <c r="D78" s="49">
        <f>IFERROR(__xludf.DUMMYFUNCTION("GOOGLEFINANCE(""NSE:""&amp;C78,""marketcap"")/10000000"),17579.76797)</f>
        <v>17579.76797</v>
      </c>
      <c r="E78" s="50">
        <f>IFERROR(__xludf.DUMMYFUNCTION("GOOGLEFINANCE(""NSE:""&amp;C78,""volume"")"),202552.0)</f>
        <v>202552</v>
      </c>
      <c r="F78" s="9">
        <f>IFERROR(__xludf.DUMMYFUNCTION("GOOGLEFINANCE(""NSE:""&amp;C78)"),1533.5)</f>
        <v>1533.5</v>
      </c>
      <c r="G78" s="9">
        <f>IFERROR(__xludf.DUMMYFUNCTION("GOOGLEFINANCE(""NSE:""&amp;C78,""closeyest"")"),1513.45)</f>
        <v>1513.45</v>
      </c>
      <c r="H78" s="51">
        <f>IFERROR(__xludf.DUMMYFUNCTION("INDEX(GOOGLEFINANCE(""NSE:""&amp;C78,dates!$I$1,dates!$C$4),2,2)"),1490.8)</f>
        <v>1490.8</v>
      </c>
      <c r="I78" s="51">
        <f>IFERROR(__xludf.DUMMYFUNCTION("INDEX(GOOGLEFINANCE(""NSE:""&amp;C78,dates!$I$1,dates!$C$5),2,2)"),1323.9)</f>
        <v>1323.9</v>
      </c>
      <c r="J78" s="51">
        <f>IFERROR(__xludf.DUMMYFUNCTION("INDEX(GOOGLEFINANCE(""NSE:""&amp;C78,dates!$I$1,dates!$C$6),2,2)"),1180.1)</f>
        <v>1180.1</v>
      </c>
      <c r="K78" s="16">
        <f t="shared" si="1"/>
        <v>0.01324787737</v>
      </c>
      <c r="L78" s="16">
        <f t="shared" si="2"/>
        <v>0.02864233968</v>
      </c>
      <c r="M78" s="16">
        <f t="shared" si="3"/>
        <v>0.1583201148</v>
      </c>
      <c r="N78" s="16">
        <f t="shared" si="4"/>
        <v>0.2994661469</v>
      </c>
      <c r="O78" s="16">
        <f t="shared" si="5"/>
        <v>-0.1296777751</v>
      </c>
      <c r="P78" s="17" t="str">
        <f t="shared" si="6"/>
        <v>#N/A</v>
      </c>
      <c r="Q78" s="17" t="str">
        <f t="shared" si="7"/>
        <v>#N/A</v>
      </c>
      <c r="R78" s="17">
        <f t="shared" si="8"/>
        <v>3</v>
      </c>
      <c r="S78" s="17" t="str">
        <f t="shared" si="9"/>
        <v>#N/A</v>
      </c>
      <c r="T78" s="17"/>
    </row>
    <row r="79">
      <c r="A79" s="47">
        <v>78.0</v>
      </c>
      <c r="B79" s="48" t="s">
        <v>1565</v>
      </c>
      <c r="C79" s="48" t="s">
        <v>67</v>
      </c>
      <c r="D79" s="49">
        <f>IFERROR(__xludf.DUMMYFUNCTION("GOOGLEFINANCE(""NSE:""&amp;C79,""marketcap"")/10000000"),158771.5852178)</f>
        <v>158771.5852</v>
      </c>
      <c r="E79" s="50">
        <f>IFERROR(__xludf.DUMMYFUNCTION("GOOGLEFINANCE(""NSE:""&amp;C79,""volume"")"),9946251.0)</f>
        <v>9946251</v>
      </c>
      <c r="F79" s="9">
        <f>IFERROR(__xludf.DUMMYFUNCTION("GOOGLEFINANCE(""NSE:""&amp;C79)"),1315.5)</f>
        <v>1315.5</v>
      </c>
      <c r="G79" s="9">
        <f>IFERROR(__xludf.DUMMYFUNCTION("GOOGLEFINANCE(""NSE:""&amp;C79,""closeyest"")"),1305.8)</f>
        <v>1305.8</v>
      </c>
      <c r="H79" s="51">
        <f>IFERROR(__xludf.DUMMYFUNCTION("INDEX(GOOGLEFINANCE(""NSE:""&amp;C79,dates!$I$1,dates!$C$4),2,2)"),1385.9)</f>
        <v>1385.9</v>
      </c>
      <c r="I79" s="51">
        <f>IFERROR(__xludf.DUMMYFUNCTION("INDEX(GOOGLEFINANCE(""NSE:""&amp;C79,dates!$I$1,dates!$C$5),2,2)"),1463.45)</f>
        <v>1463.45</v>
      </c>
      <c r="J79" s="51">
        <f>IFERROR(__xludf.DUMMYFUNCTION("INDEX(GOOGLEFINANCE(""NSE:""&amp;C79,dates!$I$1,dates!$C$6),2,2)"),1384.15)</f>
        <v>1384.15</v>
      </c>
      <c r="K79" s="16">
        <f t="shared" si="1"/>
        <v>0.007428396385</v>
      </c>
      <c r="L79" s="16">
        <f t="shared" si="2"/>
        <v>-0.05079731582</v>
      </c>
      <c r="M79" s="16">
        <f t="shared" si="3"/>
        <v>-0.1010967235</v>
      </c>
      <c r="N79" s="16">
        <f t="shared" si="4"/>
        <v>-0.04959722573</v>
      </c>
      <c r="O79" s="16">
        <f t="shared" si="5"/>
        <v>0.05029940767</v>
      </c>
      <c r="P79" s="17" t="str">
        <f t="shared" si="6"/>
        <v>#N/A</v>
      </c>
      <c r="Q79" s="17" t="str">
        <f t="shared" si="7"/>
        <v>#N/A</v>
      </c>
      <c r="R79" s="17">
        <f t="shared" si="8"/>
        <v>89</v>
      </c>
      <c r="S79" s="17" t="str">
        <f t="shared" si="9"/>
        <v>#N/A</v>
      </c>
    </row>
    <row r="80">
      <c r="A80" s="47">
        <v>79.0</v>
      </c>
      <c r="B80" s="48" t="s">
        <v>1566</v>
      </c>
      <c r="C80" s="48" t="s">
        <v>46</v>
      </c>
      <c r="D80" s="49">
        <f>IFERROR(__xludf.DUMMYFUNCTION("GOOGLEFINANCE(""NSE:""&amp;C80,""marketcap"")/10000000"),360499.7683995)</f>
        <v>360499.7684</v>
      </c>
      <c r="E80" s="50">
        <f>IFERROR(__xludf.DUMMYFUNCTION("GOOGLEFINANCE(""NSE:""&amp;C80,""volume"")"),3037295.0)</f>
        <v>3037295</v>
      </c>
      <c r="F80" s="9">
        <f>IFERROR(__xludf.DUMMYFUNCTION("GOOGLEFINANCE(""NSE:""&amp;C80)"),1327.0)</f>
        <v>1327</v>
      </c>
      <c r="G80" s="9">
        <f>IFERROR(__xludf.DUMMYFUNCTION("GOOGLEFINANCE(""NSE:""&amp;C80,""closeyest"")"),1315.5)</f>
        <v>1315.5</v>
      </c>
      <c r="H80" s="51">
        <f>IFERROR(__xludf.DUMMYFUNCTION("INDEX(GOOGLEFINANCE(""NSE:""&amp;C80,dates!$I$1,dates!$C$4),2,2)"),1263.3)</f>
        <v>1263.3</v>
      </c>
      <c r="I80" s="51">
        <f>IFERROR(__xludf.DUMMYFUNCTION("INDEX(GOOGLEFINANCE(""NSE:""&amp;C80,dates!$I$1,dates!$C$5),2,2)"),1208.4)</f>
        <v>1208.4</v>
      </c>
      <c r="J80" s="51">
        <f>IFERROR(__xludf.DUMMYFUNCTION("INDEX(GOOGLEFINANCE(""NSE:""&amp;C80,dates!$I$1,dates!$C$6),2,2)"),1162.95)</f>
        <v>1162.95</v>
      </c>
      <c r="K80" s="16">
        <f t="shared" si="1"/>
        <v>0.008741923223</v>
      </c>
      <c r="L80" s="16">
        <f t="shared" si="2"/>
        <v>0.05042349402</v>
      </c>
      <c r="M80" s="16">
        <f t="shared" si="3"/>
        <v>0.09814630917</v>
      </c>
      <c r="N80" s="16">
        <f t="shared" si="4"/>
        <v>0.1410636743</v>
      </c>
      <c r="O80" s="16">
        <f t="shared" si="5"/>
        <v>-0.04772281515</v>
      </c>
      <c r="P80" s="17" t="str">
        <f t="shared" si="6"/>
        <v>#N/A</v>
      </c>
      <c r="Q80" s="17" t="str">
        <f t="shared" si="7"/>
        <v>#N/A</v>
      </c>
      <c r="R80" s="17">
        <f t="shared" si="8"/>
        <v>25</v>
      </c>
      <c r="S80" s="17" t="str">
        <f t="shared" si="9"/>
        <v>#N/A</v>
      </c>
    </row>
    <row r="81">
      <c r="A81" s="47">
        <v>80.0</v>
      </c>
      <c r="B81" s="48" t="s">
        <v>1567</v>
      </c>
      <c r="C81" s="48" t="s">
        <v>305</v>
      </c>
      <c r="D81" s="49">
        <f>IFERROR(__xludf.DUMMYFUNCTION("GOOGLEFINANCE(""NSE:""&amp;C81,""marketcap"")/10000000"),41272.9022466)</f>
        <v>41272.90225</v>
      </c>
      <c r="E81" s="50">
        <f>IFERROR(__xludf.DUMMYFUNCTION("GOOGLEFINANCE(""NSE:""&amp;C81,""volume"")"),625566.0)</f>
        <v>625566</v>
      </c>
      <c r="F81" s="9">
        <f>IFERROR(__xludf.DUMMYFUNCTION("GOOGLEFINANCE(""NSE:""&amp;C81)"),1247.35)</f>
        <v>1247.35</v>
      </c>
      <c r="G81" s="9">
        <f>IFERROR(__xludf.DUMMYFUNCTION("GOOGLEFINANCE(""NSE:""&amp;C81,""closeyest"")"),1238.6)</f>
        <v>1238.6</v>
      </c>
      <c r="H81" s="51">
        <f>IFERROR(__xludf.DUMMYFUNCTION("INDEX(GOOGLEFINANCE(""NSE:""&amp;C81,dates!$I$1,dates!$C$4),2,2)"),1254.15)</f>
        <v>1254.15</v>
      </c>
      <c r="I81" s="51">
        <f>IFERROR(__xludf.DUMMYFUNCTION("INDEX(GOOGLEFINANCE(""NSE:""&amp;C81,dates!$I$1,dates!$C$5),2,2)"),1213.05)</f>
        <v>1213.05</v>
      </c>
      <c r="J81" s="51">
        <f>IFERROR(__xludf.DUMMYFUNCTION("INDEX(GOOGLEFINANCE(""NSE:""&amp;C81,dates!$I$1,dates!$C$6),2,2)"),985.35)</f>
        <v>985.35</v>
      </c>
      <c r="K81" s="16">
        <f t="shared" si="1"/>
        <v>0.00706442758</v>
      </c>
      <c r="L81" s="16">
        <f t="shared" si="2"/>
        <v>-0.005421998963</v>
      </c>
      <c r="M81" s="16">
        <f t="shared" si="3"/>
        <v>0.02827583364</v>
      </c>
      <c r="N81" s="16">
        <f t="shared" si="4"/>
        <v>0.2658953671</v>
      </c>
      <c r="O81" s="16">
        <f t="shared" si="5"/>
        <v>-0.03369783261</v>
      </c>
      <c r="P81" s="17" t="str">
        <f t="shared" si="6"/>
        <v>#N/A</v>
      </c>
      <c r="Q81" s="17" t="str">
        <f t="shared" si="7"/>
        <v>#N/A</v>
      </c>
      <c r="R81" s="17">
        <f t="shared" si="8"/>
        <v>4</v>
      </c>
      <c r="S81" s="17" t="str">
        <f t="shared" si="9"/>
        <v>#N/A</v>
      </c>
      <c r="T81" s="17"/>
    </row>
    <row r="82">
      <c r="A82" s="47">
        <v>81.0</v>
      </c>
      <c r="B82" s="48" t="s">
        <v>1568</v>
      </c>
      <c r="C82" s="48" t="s">
        <v>327</v>
      </c>
      <c r="D82" s="49">
        <f>IFERROR(__xludf.DUMMYFUNCTION("GOOGLEFINANCE(""NSE:""&amp;C82,""marketcap"")/10000000"),29129.8245)</f>
        <v>29129.8245</v>
      </c>
      <c r="E82" s="50">
        <f>IFERROR(__xludf.DUMMYFUNCTION("GOOGLEFINANCE(""NSE:""&amp;C82,""volume"")"),287911.0)</f>
        <v>287911</v>
      </c>
      <c r="F82" s="9">
        <f>IFERROR(__xludf.DUMMYFUNCTION("GOOGLEFINANCE(""NSE:""&amp;C82)"),1172.5)</f>
        <v>1172.5</v>
      </c>
      <c r="G82" s="9">
        <f>IFERROR(__xludf.DUMMYFUNCTION("GOOGLEFINANCE(""NSE:""&amp;C82,""closeyest"")"),1161.0)</f>
        <v>1161</v>
      </c>
      <c r="H82" s="51">
        <f>IFERROR(__xludf.DUMMYFUNCTION("INDEX(GOOGLEFINANCE(""NSE:""&amp;C82,dates!$I$1,dates!$C$4),2,2)"),1171.75)</f>
        <v>1171.75</v>
      </c>
      <c r="I82" s="51">
        <f>IFERROR(__xludf.DUMMYFUNCTION("INDEX(GOOGLEFINANCE(""NSE:""&amp;C82,dates!$I$1,dates!$C$5),2,2)"),1196.85)</f>
        <v>1196.85</v>
      </c>
      <c r="J82" s="51">
        <f>IFERROR(__xludf.DUMMYFUNCTION("INDEX(GOOGLEFINANCE(""NSE:""&amp;C82,dates!$I$1,dates!$C$6),2,2)"),1159.85)</f>
        <v>1159.85</v>
      </c>
      <c r="K82" s="16">
        <f t="shared" si="1"/>
        <v>0.009905254091</v>
      </c>
      <c r="L82" s="16">
        <f t="shared" si="2"/>
        <v>0.0006400682739</v>
      </c>
      <c r="M82" s="16">
        <f t="shared" si="3"/>
        <v>-0.02034507248</v>
      </c>
      <c r="N82" s="16">
        <f t="shared" si="4"/>
        <v>0.01090658275</v>
      </c>
      <c r="O82" s="16">
        <f t="shared" si="5"/>
        <v>0.02098514076</v>
      </c>
      <c r="P82" s="17" t="str">
        <f t="shared" si="6"/>
        <v>#N/A</v>
      </c>
      <c r="Q82" s="17" t="str">
        <f t="shared" si="7"/>
        <v>#N/A</v>
      </c>
      <c r="R82" s="17">
        <f t="shared" si="8"/>
        <v>78</v>
      </c>
      <c r="S82" s="17" t="str">
        <f t="shared" si="9"/>
        <v>#N/A</v>
      </c>
      <c r="T82" s="17"/>
    </row>
    <row r="83">
      <c r="A83" s="47">
        <v>82.0</v>
      </c>
      <c r="B83" s="48" t="s">
        <v>1569</v>
      </c>
      <c r="C83" s="48" t="s">
        <v>448</v>
      </c>
      <c r="D83" s="49">
        <f>IFERROR(__xludf.DUMMYFUNCTION("GOOGLEFINANCE(""NSE:""&amp;C83,""marketcap"")/10000000"),18598.9555033)</f>
        <v>18598.9555</v>
      </c>
      <c r="E83" s="50">
        <f>IFERROR(__xludf.DUMMYFUNCTION("GOOGLEFINANCE(""NSE:""&amp;C83,""volume"")"),215289.0)</f>
        <v>215289</v>
      </c>
      <c r="F83" s="9">
        <f>IFERROR(__xludf.DUMMYFUNCTION("GOOGLEFINANCE(""NSE:""&amp;C83)"),1168.0)</f>
        <v>1168</v>
      </c>
      <c r="G83" s="9">
        <f>IFERROR(__xludf.DUMMYFUNCTION("GOOGLEFINANCE(""NSE:""&amp;C83,""closeyest"")"),1178.95)</f>
        <v>1178.95</v>
      </c>
      <c r="H83" s="51">
        <f>IFERROR(__xludf.DUMMYFUNCTION("INDEX(GOOGLEFINANCE(""NSE:""&amp;C83,dates!$I$1,dates!$C$4),2,2)"),1155.0)</f>
        <v>1155</v>
      </c>
      <c r="I83" s="51">
        <f>IFERROR(__xludf.DUMMYFUNCTION("INDEX(GOOGLEFINANCE(""NSE:""&amp;C83,dates!$I$1,dates!$C$5),2,2)"),1172.7)</f>
        <v>1172.7</v>
      </c>
      <c r="J83" s="51">
        <f>IFERROR(__xludf.DUMMYFUNCTION("INDEX(GOOGLEFINANCE(""NSE:""&amp;C83,dates!$I$1,dates!$C$6),2,2)"),1185.05)</f>
        <v>1185.05</v>
      </c>
      <c r="K83" s="16">
        <f t="shared" si="1"/>
        <v>-0.009287925697</v>
      </c>
      <c r="L83" s="16">
        <f t="shared" si="2"/>
        <v>0.01125541126</v>
      </c>
      <c r="M83" s="16">
        <f t="shared" si="3"/>
        <v>-0.004007845144</v>
      </c>
      <c r="N83" s="16">
        <f t="shared" si="4"/>
        <v>-0.01438757858</v>
      </c>
      <c r="O83" s="16">
        <f t="shared" si="5"/>
        <v>0.0152632564</v>
      </c>
      <c r="P83" s="17" t="str">
        <f t="shared" si="6"/>
        <v>#N/A</v>
      </c>
      <c r="Q83" s="17" t="str">
        <f t="shared" si="7"/>
        <v>#N/A</v>
      </c>
      <c r="R83" s="17">
        <f t="shared" si="8"/>
        <v>87</v>
      </c>
      <c r="S83" s="17" t="str">
        <f t="shared" si="9"/>
        <v>#N/A</v>
      </c>
      <c r="T83" s="17"/>
    </row>
    <row r="84">
      <c r="A84" s="47">
        <v>83.0</v>
      </c>
      <c r="B84" s="48" t="s">
        <v>1570</v>
      </c>
      <c r="C84" s="48" t="s">
        <v>100</v>
      </c>
      <c r="D84" s="49">
        <f>IFERROR(__xludf.DUMMYFUNCTION("GOOGLEFINANCE(""NSE:""&amp;C84,""marketcap"")/10000000"),108185.0494)</f>
        <v>108185.0494</v>
      </c>
      <c r="E84" s="50">
        <f>IFERROR(__xludf.DUMMYFUNCTION("GOOGLEFINANCE(""NSE:""&amp;C84,""volume"")"),854695.0)</f>
        <v>854695</v>
      </c>
      <c r="F84" s="9">
        <f>IFERROR(__xludf.DUMMYFUNCTION("GOOGLEFINANCE(""NSE:""&amp;C84)"),1058.0)</f>
        <v>1058</v>
      </c>
      <c r="G84" s="9">
        <f>IFERROR(__xludf.DUMMYFUNCTION("GOOGLEFINANCE(""NSE:""&amp;C84,""closeyest"")"),1054.45)</f>
        <v>1054.45</v>
      </c>
      <c r="H84" s="51">
        <f>IFERROR(__xludf.DUMMYFUNCTION("INDEX(GOOGLEFINANCE(""NSE:""&amp;C84,dates!$I$1,dates!$C$4),2,2)"),1090.6)</f>
        <v>1090.6</v>
      </c>
      <c r="I84" s="51">
        <f>IFERROR(__xludf.DUMMYFUNCTION("INDEX(GOOGLEFINANCE(""NSE:""&amp;C84,dates!$I$1,dates!$C$5),2,2)"),1121.25)</f>
        <v>1121.25</v>
      </c>
      <c r="J84" s="51">
        <f>IFERROR(__xludf.DUMMYFUNCTION("INDEX(GOOGLEFINANCE(""NSE:""&amp;C84,dates!$I$1,dates!$C$6),2,2)"),1054.05)</f>
        <v>1054.05</v>
      </c>
      <c r="K84" s="16">
        <f t="shared" si="1"/>
        <v>0.003366684053</v>
      </c>
      <c r="L84" s="16">
        <f t="shared" si="2"/>
        <v>-0.02989180268</v>
      </c>
      <c r="M84" s="16">
        <f t="shared" si="3"/>
        <v>-0.05641025641</v>
      </c>
      <c r="N84" s="16">
        <f t="shared" si="4"/>
        <v>0.003747450311</v>
      </c>
      <c r="O84" s="16">
        <f t="shared" si="5"/>
        <v>0.02651845373</v>
      </c>
      <c r="P84" s="17" t="str">
        <f t="shared" si="6"/>
        <v>#N/A</v>
      </c>
      <c r="Q84" s="17" t="str">
        <f t="shared" si="7"/>
        <v>#N/A</v>
      </c>
      <c r="R84" s="17">
        <f t="shared" si="8"/>
        <v>82</v>
      </c>
      <c r="S84" s="17" t="str">
        <f t="shared" si="9"/>
        <v>#N/A</v>
      </c>
    </row>
    <row r="85">
      <c r="A85" s="47">
        <v>84.0</v>
      </c>
      <c r="B85" s="48" t="s">
        <v>1571</v>
      </c>
      <c r="C85" s="48" t="s">
        <v>273</v>
      </c>
      <c r="D85" s="49">
        <f>IFERROR(__xludf.DUMMYFUNCTION("GOOGLEFINANCE(""NSE:""&amp;C85,""marketcap"")/10000000"),36029.97468)</f>
        <v>36029.97468</v>
      </c>
      <c r="E85" s="50">
        <f>IFERROR(__xludf.DUMMYFUNCTION("GOOGLEFINANCE(""NSE:""&amp;C85,""volume"")"),730906.0)</f>
        <v>730906</v>
      </c>
      <c r="F85" s="9">
        <f>IFERROR(__xludf.DUMMYFUNCTION("GOOGLEFINANCE(""NSE:""&amp;C85)"),1044.0)</f>
        <v>1044</v>
      </c>
      <c r="G85" s="9">
        <f>IFERROR(__xludf.DUMMYFUNCTION("GOOGLEFINANCE(""NSE:""&amp;C85,""closeyest"")"),1039.2)</f>
        <v>1039.2</v>
      </c>
      <c r="H85" s="51">
        <f>IFERROR(__xludf.DUMMYFUNCTION("INDEX(GOOGLEFINANCE(""NSE:""&amp;C85,dates!$I$1,dates!$C$4),2,2)"),1081.7)</f>
        <v>1081.7</v>
      </c>
      <c r="I85" s="51">
        <f>IFERROR(__xludf.DUMMYFUNCTION("INDEX(GOOGLEFINANCE(""NSE:""&amp;C85,dates!$I$1,dates!$C$5),2,2)"),1094.9)</f>
        <v>1094.9</v>
      </c>
      <c r="J85" s="51">
        <f>IFERROR(__xludf.DUMMYFUNCTION("INDEX(GOOGLEFINANCE(""NSE:""&amp;C85,dates!$I$1,dates!$C$6),2,2)"),1019.8)</f>
        <v>1019.8</v>
      </c>
      <c r="K85" s="16">
        <f t="shared" si="1"/>
        <v>0.004618937644</v>
      </c>
      <c r="L85" s="16">
        <f t="shared" si="2"/>
        <v>-0.03485254692</v>
      </c>
      <c r="M85" s="16">
        <f t="shared" si="3"/>
        <v>-0.04648826377</v>
      </c>
      <c r="N85" s="16">
        <f t="shared" si="4"/>
        <v>0.02373014317</v>
      </c>
      <c r="O85" s="16">
        <f t="shared" si="5"/>
        <v>0.01163571685</v>
      </c>
      <c r="P85" s="17" t="str">
        <f t="shared" si="6"/>
        <v>#N/A</v>
      </c>
      <c r="Q85" s="17" t="str">
        <f t="shared" si="7"/>
        <v>#N/A</v>
      </c>
      <c r="R85" s="17">
        <f t="shared" si="8"/>
        <v>65</v>
      </c>
      <c r="S85" s="17" t="str">
        <f t="shared" si="9"/>
        <v>#N/A</v>
      </c>
    </row>
    <row r="86">
      <c r="A86" s="47">
        <v>85.0</v>
      </c>
      <c r="B86" s="48" t="s">
        <v>1572</v>
      </c>
      <c r="C86" s="48" t="s">
        <v>862</v>
      </c>
      <c r="D86" s="49">
        <f>IFERROR(__xludf.DUMMYFUNCTION("GOOGLEFINANCE(""NSE:""&amp;C86,""marketcap"")/10000000"),11764.9414641)</f>
        <v>11764.94146</v>
      </c>
      <c r="E86" s="50">
        <f>IFERROR(__xludf.DUMMYFUNCTION("GOOGLEFINANCE(""NSE:""&amp;C86,""volume"")"),186984.0)</f>
        <v>186984</v>
      </c>
      <c r="F86" s="9">
        <f>IFERROR(__xludf.DUMMYFUNCTION("GOOGLEFINANCE(""NSE:""&amp;C86)"),1063.0)</f>
        <v>1063</v>
      </c>
      <c r="G86" s="9">
        <f>IFERROR(__xludf.DUMMYFUNCTION("GOOGLEFINANCE(""NSE:""&amp;C86,""closeyest"")"),1090.9)</f>
        <v>1090.9</v>
      </c>
      <c r="H86" s="51">
        <f>IFERROR(__xludf.DUMMYFUNCTION("INDEX(GOOGLEFINANCE(""NSE:""&amp;C86,dates!$I$1,dates!$C$4),2,2)"),1113.7)</f>
        <v>1113.7</v>
      </c>
      <c r="I86" s="51">
        <f>IFERROR(__xludf.DUMMYFUNCTION("INDEX(GOOGLEFINANCE(""NSE:""&amp;C86,dates!$I$1,dates!$C$5),2,2)"),1049.95)</f>
        <v>1049.95</v>
      </c>
      <c r="J86" s="51">
        <f>IFERROR(__xludf.DUMMYFUNCTION("INDEX(GOOGLEFINANCE(""NSE:""&amp;C86,dates!$I$1,dates!$C$6),2,2)"),945.25)</f>
        <v>945.25</v>
      </c>
      <c r="K86" s="16">
        <f t="shared" si="1"/>
        <v>-0.02557521313</v>
      </c>
      <c r="L86" s="16">
        <f t="shared" si="2"/>
        <v>-0.04552392924</v>
      </c>
      <c r="M86" s="16">
        <f t="shared" si="3"/>
        <v>0.01242916329</v>
      </c>
      <c r="N86" s="16">
        <f t="shared" si="4"/>
        <v>0.1245702195</v>
      </c>
      <c r="O86" s="16">
        <f t="shared" si="5"/>
        <v>-0.05795309254</v>
      </c>
      <c r="P86" s="17" t="str">
        <f t="shared" si="6"/>
        <v>#N/A</v>
      </c>
      <c r="Q86" s="17" t="str">
        <f t="shared" si="7"/>
        <v>#N/A</v>
      </c>
      <c r="R86" s="17">
        <f t="shared" si="8"/>
        <v>31</v>
      </c>
      <c r="S86" s="17" t="str">
        <f t="shared" si="9"/>
        <v>#N/A</v>
      </c>
    </row>
    <row r="87">
      <c r="A87" s="47">
        <v>86.0</v>
      </c>
      <c r="B87" s="48" t="s">
        <v>1573</v>
      </c>
      <c r="C87" s="48" t="s">
        <v>333</v>
      </c>
      <c r="D87" s="49">
        <f>IFERROR(__xludf.DUMMYFUNCTION("GOOGLEFINANCE(""NSE:""&amp;C87,""marketcap"")/10000000"),28550.2126464)</f>
        <v>28550.21265</v>
      </c>
      <c r="E87" s="50">
        <f>IFERROR(__xludf.DUMMYFUNCTION("GOOGLEFINANCE(""NSE:""&amp;C87,""volume"")"),454649.0)</f>
        <v>454649</v>
      </c>
      <c r="F87" s="9">
        <f>IFERROR(__xludf.DUMMYFUNCTION("GOOGLEFINANCE(""NSE:""&amp;C87)"),1029.95)</f>
        <v>1029.95</v>
      </c>
      <c r="G87" s="9">
        <f>IFERROR(__xludf.DUMMYFUNCTION("GOOGLEFINANCE(""NSE:""&amp;C87,""closeyest"")"),1022.2)</f>
        <v>1022.2</v>
      </c>
      <c r="H87" s="51">
        <f>IFERROR(__xludf.DUMMYFUNCTION("INDEX(GOOGLEFINANCE(""NSE:""&amp;C87,dates!$I$1,dates!$C$4),2,2)"),1007.7)</f>
        <v>1007.7</v>
      </c>
      <c r="I87" s="51">
        <f>IFERROR(__xludf.DUMMYFUNCTION("INDEX(GOOGLEFINANCE(""NSE:""&amp;C87,dates!$I$1,dates!$C$5),2,2)"),1044.15)</f>
        <v>1044.15</v>
      </c>
      <c r="J87" s="51">
        <f>IFERROR(__xludf.DUMMYFUNCTION("INDEX(GOOGLEFINANCE(""NSE:""&amp;C87,dates!$I$1,dates!$C$6),2,2)"),980.0)</f>
        <v>980</v>
      </c>
      <c r="K87" s="16">
        <f t="shared" si="1"/>
        <v>0.007581686558</v>
      </c>
      <c r="L87" s="16">
        <f t="shared" si="2"/>
        <v>0.02207998412</v>
      </c>
      <c r="M87" s="16">
        <f t="shared" si="3"/>
        <v>-0.0135995786</v>
      </c>
      <c r="N87" s="16">
        <f t="shared" si="4"/>
        <v>0.05096938776</v>
      </c>
      <c r="O87" s="16">
        <f t="shared" si="5"/>
        <v>0.03567956273</v>
      </c>
      <c r="P87" s="17" t="str">
        <f t="shared" si="6"/>
        <v>#N/A</v>
      </c>
      <c r="Q87" s="17" t="str">
        <f t="shared" si="7"/>
        <v>#N/A</v>
      </c>
      <c r="R87" s="17">
        <f t="shared" si="8"/>
        <v>52</v>
      </c>
      <c r="S87" s="17" t="str">
        <f t="shared" si="9"/>
        <v>#N/A</v>
      </c>
    </row>
    <row r="88">
      <c r="A88" s="47">
        <v>87.0</v>
      </c>
      <c r="B88" s="48" t="s">
        <v>1574</v>
      </c>
      <c r="C88" s="48" t="s">
        <v>283</v>
      </c>
      <c r="D88" s="49">
        <f>IFERROR(__xludf.DUMMYFUNCTION("GOOGLEFINANCE(""NSE:""&amp;C88,""marketcap"")/10000000"),35913.5653691)</f>
        <v>35913.56537</v>
      </c>
      <c r="E88" s="50">
        <f>IFERROR(__xludf.DUMMYFUNCTION("GOOGLEFINANCE(""NSE:""&amp;C88,""volume"")"),1207650.0)</f>
        <v>1207650</v>
      </c>
      <c r="F88" s="9">
        <f>IFERROR(__xludf.DUMMYFUNCTION("GOOGLEFINANCE(""NSE:""&amp;C88)"),1010.0)</f>
        <v>1010</v>
      </c>
      <c r="G88" s="9">
        <f>IFERROR(__xludf.DUMMYFUNCTION("GOOGLEFINANCE(""NSE:""&amp;C88,""closeyest"")"),983.7)</f>
        <v>983.7</v>
      </c>
      <c r="H88" s="51">
        <f>IFERROR(__xludf.DUMMYFUNCTION("INDEX(GOOGLEFINANCE(""NSE:""&amp;C88,dates!$I$1,dates!$C$4),2,2)"),982.45)</f>
        <v>982.45</v>
      </c>
      <c r="I88" s="51">
        <f>IFERROR(__xludf.DUMMYFUNCTION("INDEX(GOOGLEFINANCE(""NSE:""&amp;C88,dates!$I$1,dates!$C$5),2,2)"),1006.1)</f>
        <v>1006.1</v>
      </c>
      <c r="J88" s="51">
        <f>IFERROR(__xludf.DUMMYFUNCTION("INDEX(GOOGLEFINANCE(""NSE:""&amp;C88,dates!$I$1,dates!$C$6),2,2)"),948.5)</f>
        <v>948.5</v>
      </c>
      <c r="K88" s="16">
        <f t="shared" si="1"/>
        <v>0.02673579343</v>
      </c>
      <c r="L88" s="16">
        <f t="shared" si="2"/>
        <v>0.02804213955</v>
      </c>
      <c r="M88" s="16">
        <f t="shared" si="3"/>
        <v>0.003876354239</v>
      </c>
      <c r="N88" s="16">
        <f t="shared" si="4"/>
        <v>0.06483921982</v>
      </c>
      <c r="O88" s="16">
        <f t="shared" si="5"/>
        <v>0.02416578531</v>
      </c>
      <c r="P88" s="17" t="str">
        <f t="shared" si="6"/>
        <v>#N/A</v>
      </c>
      <c r="Q88" s="17" t="str">
        <f t="shared" si="7"/>
        <v>#N/A</v>
      </c>
      <c r="R88" s="17">
        <f t="shared" si="8"/>
        <v>45</v>
      </c>
      <c r="S88" s="17" t="str">
        <f t="shared" si="9"/>
        <v>#N/A</v>
      </c>
    </row>
    <row r="89">
      <c r="A89" s="47">
        <v>88.0</v>
      </c>
      <c r="B89" s="48" t="s">
        <v>1575</v>
      </c>
      <c r="C89" s="48" t="s">
        <v>151</v>
      </c>
      <c r="D89" s="49">
        <f>IFERROR(__xludf.DUMMYFUNCTION("GOOGLEFINANCE(""NSE:""&amp;C89,""marketcap"")/10000000"),78092.1762537)</f>
        <v>78092.17625</v>
      </c>
      <c r="E89" s="50">
        <f>IFERROR(__xludf.DUMMYFUNCTION("GOOGLEFINANCE(""NSE:""&amp;C89,""volume"")"),1297533.0)</f>
        <v>1297533</v>
      </c>
      <c r="F89" s="9">
        <f>IFERROR(__xludf.DUMMYFUNCTION("GOOGLEFINANCE(""NSE:""&amp;C89)"),969.0)</f>
        <v>969</v>
      </c>
      <c r="G89" s="9">
        <f>IFERROR(__xludf.DUMMYFUNCTION("GOOGLEFINANCE(""NSE:""&amp;C89,""closeyest"")"),963.5)</f>
        <v>963.5</v>
      </c>
      <c r="H89" s="51">
        <f>IFERROR(__xludf.DUMMYFUNCTION("INDEX(GOOGLEFINANCE(""NSE:""&amp;C89,dates!$I$1,dates!$C$4),2,2)"),954.05)</f>
        <v>954.05</v>
      </c>
      <c r="I89" s="51">
        <f>IFERROR(__xludf.DUMMYFUNCTION("INDEX(GOOGLEFINANCE(""NSE:""&amp;C89,dates!$I$1,dates!$C$5),2,2)"),950.45)</f>
        <v>950.45</v>
      </c>
      <c r="J89" s="51">
        <f>IFERROR(__xludf.DUMMYFUNCTION("INDEX(GOOGLEFINANCE(""NSE:""&amp;C89,dates!$I$1,dates!$C$6),2,2)"),923.9)</f>
        <v>923.9</v>
      </c>
      <c r="K89" s="16">
        <f t="shared" si="1"/>
        <v>0.005708354956</v>
      </c>
      <c r="L89" s="16">
        <f t="shared" si="2"/>
        <v>0.01567003826</v>
      </c>
      <c r="M89" s="16">
        <f t="shared" si="3"/>
        <v>0.01951707086</v>
      </c>
      <c r="N89" s="16">
        <f t="shared" si="4"/>
        <v>0.0488148068</v>
      </c>
      <c r="O89" s="16">
        <f t="shared" si="5"/>
        <v>-0.003847032603</v>
      </c>
      <c r="P89" s="17" t="str">
        <f t="shared" si="6"/>
        <v>#N/A</v>
      </c>
      <c r="Q89" s="17" t="str">
        <f t="shared" si="7"/>
        <v>#N/A</v>
      </c>
      <c r="R89" s="17">
        <f t="shared" si="8"/>
        <v>53</v>
      </c>
      <c r="S89" s="17" t="str">
        <f t="shared" si="9"/>
        <v>#N/A</v>
      </c>
      <c r="T89" s="17"/>
    </row>
    <row r="90">
      <c r="A90" s="47">
        <v>89.0</v>
      </c>
      <c r="B90" s="48" t="s">
        <v>1576</v>
      </c>
      <c r="C90" s="48" t="s">
        <v>297</v>
      </c>
      <c r="D90" s="49">
        <f>IFERROR(__xludf.DUMMYFUNCTION("GOOGLEFINANCE(""NSE:""&amp;C90,""marketcap"")/10000000"),33308.6791549)</f>
        <v>33308.67915</v>
      </c>
      <c r="E90" s="50">
        <f>IFERROR(__xludf.DUMMYFUNCTION("GOOGLEFINANCE(""NSE:""&amp;C90,""volume"")"),592897.0)</f>
        <v>592897</v>
      </c>
      <c r="F90" s="9">
        <f>IFERROR(__xludf.DUMMYFUNCTION("GOOGLEFINANCE(""NSE:""&amp;C90)"),918.85)</f>
        <v>918.85</v>
      </c>
      <c r="G90" s="9">
        <f>IFERROR(__xludf.DUMMYFUNCTION("GOOGLEFINANCE(""NSE:""&amp;C90,""closeyest"")"),915.3)</f>
        <v>915.3</v>
      </c>
      <c r="H90" s="51">
        <f>IFERROR(__xludf.DUMMYFUNCTION("INDEX(GOOGLEFINANCE(""NSE:""&amp;C90,dates!$I$1,dates!$C$4),2,2)"),926.05)</f>
        <v>926.05</v>
      </c>
      <c r="I90" s="51">
        <f>IFERROR(__xludf.DUMMYFUNCTION("INDEX(GOOGLEFINANCE(""NSE:""&amp;C90,dates!$I$1,dates!$C$5),2,2)"),928.95)</f>
        <v>928.95</v>
      </c>
      <c r="J90" s="51">
        <f>IFERROR(__xludf.DUMMYFUNCTION("INDEX(GOOGLEFINANCE(""NSE:""&amp;C90,dates!$I$1,dates!$C$6),2,2)"),926.5)</f>
        <v>926.5</v>
      </c>
      <c r="K90" s="16">
        <f t="shared" si="1"/>
        <v>0.003878509778</v>
      </c>
      <c r="L90" s="16">
        <f t="shared" si="2"/>
        <v>-0.007774958156</v>
      </c>
      <c r="M90" s="16">
        <f t="shared" si="3"/>
        <v>-0.01087249045</v>
      </c>
      <c r="N90" s="16">
        <f t="shared" si="4"/>
        <v>-0.008256880734</v>
      </c>
      <c r="O90" s="16">
        <f t="shared" si="5"/>
        <v>0.003097532291</v>
      </c>
      <c r="P90" s="17" t="str">
        <f t="shared" si="6"/>
        <v>#N/A</v>
      </c>
      <c r="Q90" s="17" t="str">
        <f t="shared" si="7"/>
        <v>#N/A</v>
      </c>
      <c r="R90" s="17">
        <f t="shared" si="8"/>
        <v>85</v>
      </c>
      <c r="S90" s="17" t="str">
        <f t="shared" si="9"/>
        <v>#N/A</v>
      </c>
      <c r="T90" s="17"/>
    </row>
    <row r="91">
      <c r="A91" s="47">
        <v>90.0</v>
      </c>
      <c r="B91" s="48" t="s">
        <v>1577</v>
      </c>
      <c r="C91" s="48" t="s">
        <v>471</v>
      </c>
      <c r="D91" s="49">
        <f>IFERROR(__xludf.DUMMYFUNCTION("GOOGLEFINANCE(""NSE:""&amp;C91,""marketcap"")/10000000"),19331.8128)</f>
        <v>19331.8128</v>
      </c>
      <c r="E91" s="50">
        <f>IFERROR(__xludf.DUMMYFUNCTION("GOOGLEFINANCE(""NSE:""&amp;C91,""volume"")"),135076.0)</f>
        <v>135076</v>
      </c>
      <c r="F91" s="9">
        <f>IFERROR(__xludf.DUMMYFUNCTION("GOOGLEFINANCE(""NSE:""&amp;C91)"),920.0)</f>
        <v>920</v>
      </c>
      <c r="G91" s="9">
        <f>IFERROR(__xludf.DUMMYFUNCTION("GOOGLEFINANCE(""NSE:""&amp;C91,""closeyest"")"),922.8)</f>
        <v>922.8</v>
      </c>
      <c r="H91" s="51">
        <f>IFERROR(__xludf.DUMMYFUNCTION("INDEX(GOOGLEFINANCE(""NSE:""&amp;C91,dates!$I$1,dates!$C$4),2,2)"),903.35)</f>
        <v>903.35</v>
      </c>
      <c r="I91" s="51">
        <f>IFERROR(__xludf.DUMMYFUNCTION("INDEX(GOOGLEFINANCE(""NSE:""&amp;C91,dates!$I$1,dates!$C$5),2,2)"),884.1)</f>
        <v>884.1</v>
      </c>
      <c r="J91" s="51">
        <f>IFERROR(__xludf.DUMMYFUNCTION("INDEX(GOOGLEFINANCE(""NSE:""&amp;C91,dates!$I$1,dates!$C$6),2,2)"),775.05)</f>
        <v>775.05</v>
      </c>
      <c r="K91" s="16">
        <f t="shared" si="1"/>
        <v>-0.003034243606</v>
      </c>
      <c r="L91" s="16">
        <f t="shared" si="2"/>
        <v>0.01843139425</v>
      </c>
      <c r="M91" s="16">
        <f t="shared" si="3"/>
        <v>0.04060626626</v>
      </c>
      <c r="N91" s="16">
        <f t="shared" si="4"/>
        <v>0.1870201922</v>
      </c>
      <c r="O91" s="16">
        <f t="shared" si="5"/>
        <v>-0.022174872</v>
      </c>
      <c r="P91" s="17" t="str">
        <f t="shared" si="6"/>
        <v>#N/A</v>
      </c>
      <c r="Q91" s="17" t="str">
        <f t="shared" si="7"/>
        <v>#N/A</v>
      </c>
      <c r="R91" s="17" t="str">
        <f t="shared" si="8"/>
        <v>#N/A</v>
      </c>
      <c r="S91" s="17" t="str">
        <f t="shared" si="9"/>
        <v>#N/A</v>
      </c>
      <c r="T91" s="17"/>
    </row>
    <row r="92">
      <c r="A92" s="47">
        <v>91.0</v>
      </c>
      <c r="B92" s="48" t="s">
        <v>1578</v>
      </c>
      <c r="C92" s="48" t="s">
        <v>866</v>
      </c>
      <c r="D92" s="49">
        <f>IFERROR(__xludf.DUMMYFUNCTION("GOOGLEFINANCE(""NSE:""&amp;C92,""marketcap"")/10000000"),12030.5508622)</f>
        <v>12030.55086</v>
      </c>
      <c r="E92" s="50">
        <f>IFERROR(__xludf.DUMMYFUNCTION("GOOGLEFINANCE(""NSE:""&amp;C92,""volume"")"),998824.0)</f>
        <v>998824</v>
      </c>
      <c r="F92" s="9">
        <f>IFERROR(__xludf.DUMMYFUNCTION("GOOGLEFINANCE(""NSE:""&amp;C92)"),897.0)</f>
        <v>897</v>
      </c>
      <c r="G92" s="9">
        <f>IFERROR(__xludf.DUMMYFUNCTION("GOOGLEFINANCE(""NSE:""&amp;C92,""closeyest"")"),888.3)</f>
        <v>888.3</v>
      </c>
      <c r="H92" s="51">
        <f>IFERROR(__xludf.DUMMYFUNCTION("INDEX(GOOGLEFINANCE(""NSE:""&amp;C92,dates!$I$1,dates!$C$4),2,2)"),924.85)</f>
        <v>924.85</v>
      </c>
      <c r="I92" s="51">
        <f>IFERROR(__xludf.DUMMYFUNCTION("INDEX(GOOGLEFINANCE(""NSE:""&amp;C92,dates!$I$1,dates!$C$5),2,2)"),897.6)</f>
        <v>897.6</v>
      </c>
      <c r="J92" s="51">
        <f>IFERROR(__xludf.DUMMYFUNCTION("INDEX(GOOGLEFINANCE(""NSE:""&amp;C92,dates!$I$1,dates!$C$6),2,2)"),865.4)</f>
        <v>865.4</v>
      </c>
      <c r="K92" s="16">
        <f t="shared" si="1"/>
        <v>0.009793988517</v>
      </c>
      <c r="L92" s="16">
        <f t="shared" si="2"/>
        <v>-0.0301129913</v>
      </c>
      <c r="M92" s="16">
        <f t="shared" si="3"/>
        <v>-0.0006684491979</v>
      </c>
      <c r="N92" s="16">
        <f t="shared" si="4"/>
        <v>0.0365149064</v>
      </c>
      <c r="O92" s="16">
        <f t="shared" si="5"/>
        <v>-0.0294445421</v>
      </c>
      <c r="P92" s="17" t="str">
        <f t="shared" si="6"/>
        <v>#N/A</v>
      </c>
      <c r="Q92" s="17" t="str">
        <f t="shared" si="7"/>
        <v>#N/A</v>
      </c>
      <c r="R92" s="17" t="str">
        <f t="shared" si="8"/>
        <v>#N/A</v>
      </c>
      <c r="S92" s="17" t="str">
        <f t="shared" si="9"/>
        <v>#N/A</v>
      </c>
      <c r="T92" s="17"/>
    </row>
    <row r="93">
      <c r="A93" s="47">
        <v>92.0</v>
      </c>
      <c r="B93" s="48" t="s">
        <v>1579</v>
      </c>
      <c r="C93" s="48" t="s">
        <v>138</v>
      </c>
      <c r="D93" s="49">
        <f>IFERROR(__xludf.DUMMYFUNCTION("GOOGLEFINANCE(""NSE:""&amp;C93,""marketcap"")/10000000"),78327.6196645)</f>
        <v>78327.61966</v>
      </c>
      <c r="E93" s="50">
        <f>IFERROR(__xludf.DUMMYFUNCTION("GOOGLEFINANCE(""NSE:""&amp;C93,""volume"")"),1464265.0)</f>
        <v>1464265</v>
      </c>
      <c r="F93" s="9">
        <f>IFERROR(__xludf.DUMMYFUNCTION("GOOGLEFINANCE(""NSE:""&amp;C93)"),850.0)</f>
        <v>850</v>
      </c>
      <c r="G93" s="9">
        <f>IFERROR(__xludf.DUMMYFUNCTION("GOOGLEFINANCE(""NSE:""&amp;C93,""closeyest"")"),854.15)</f>
        <v>854.15</v>
      </c>
      <c r="H93" s="51">
        <f>IFERROR(__xludf.DUMMYFUNCTION("INDEX(GOOGLEFINANCE(""NSE:""&amp;C93,dates!$I$1,dates!$C$4),2,2)"),874.15)</f>
        <v>874.15</v>
      </c>
      <c r="I93" s="51">
        <f>IFERROR(__xludf.DUMMYFUNCTION("INDEX(GOOGLEFINANCE(""NSE:""&amp;C93,dates!$I$1,dates!$C$5),2,2)"),882.1)</f>
        <v>882.1</v>
      </c>
      <c r="J93" s="51">
        <f>IFERROR(__xludf.DUMMYFUNCTION("INDEX(GOOGLEFINANCE(""NSE:""&amp;C93,dates!$I$1,dates!$C$6),2,2)"),847.95)</f>
        <v>847.95</v>
      </c>
      <c r="K93" s="16">
        <f t="shared" si="1"/>
        <v>-0.004858631388</v>
      </c>
      <c r="L93" s="16">
        <f t="shared" si="2"/>
        <v>-0.0276268375</v>
      </c>
      <c r="M93" s="16">
        <f t="shared" si="3"/>
        <v>-0.03639043192</v>
      </c>
      <c r="N93" s="16">
        <f t="shared" si="4"/>
        <v>0.002417595377</v>
      </c>
      <c r="O93" s="16">
        <f t="shared" si="5"/>
        <v>0.008763594425</v>
      </c>
      <c r="P93" s="17" t="str">
        <f t="shared" si="6"/>
        <v>#N/A</v>
      </c>
      <c r="Q93" s="17" t="str">
        <f t="shared" si="7"/>
        <v>#N/A</v>
      </c>
      <c r="R93" s="17" t="str">
        <f t="shared" si="8"/>
        <v>#N/A</v>
      </c>
      <c r="S93" s="17" t="str">
        <f t="shared" si="9"/>
        <v>#N/A</v>
      </c>
      <c r="T93" s="17"/>
    </row>
    <row r="94">
      <c r="A94" s="47">
        <v>93.0</v>
      </c>
      <c r="B94" s="48" t="s">
        <v>1580</v>
      </c>
      <c r="C94" s="48" t="s">
        <v>405</v>
      </c>
      <c r="D94" s="49">
        <f>IFERROR(__xludf.DUMMYFUNCTION("GOOGLEFINANCE(""NSE:""&amp;C94,""marketcap"")/10000000"),21572.3980331)</f>
        <v>21572.39803</v>
      </c>
      <c r="E94" s="50">
        <f>IFERROR(__xludf.DUMMYFUNCTION("GOOGLEFINANCE(""NSE:""&amp;C94,""volume"")"),3624791.0)</f>
        <v>3624791</v>
      </c>
      <c r="F94" s="9">
        <f>IFERROR(__xludf.DUMMYFUNCTION("GOOGLEFINANCE(""NSE:""&amp;C94)"),847.0)</f>
        <v>847</v>
      </c>
      <c r="G94" s="9">
        <f>IFERROR(__xludf.DUMMYFUNCTION("GOOGLEFINANCE(""NSE:""&amp;C94,""closeyest"")"),825.3)</f>
        <v>825.3</v>
      </c>
      <c r="H94" s="51">
        <f>IFERROR(__xludf.DUMMYFUNCTION("INDEX(GOOGLEFINANCE(""NSE:""&amp;C94,dates!$I$1,dates!$C$4),2,2)"),844.5)</f>
        <v>844.5</v>
      </c>
      <c r="I94" s="51">
        <f>IFERROR(__xludf.DUMMYFUNCTION("INDEX(GOOGLEFINANCE(""NSE:""&amp;C94,dates!$I$1,dates!$C$5),2,2)"),837.3)</f>
        <v>837.3</v>
      </c>
      <c r="J94" s="51">
        <f>IFERROR(__xludf.DUMMYFUNCTION("INDEX(GOOGLEFINANCE(""NSE:""&amp;C94,dates!$I$1,dates!$C$6),2,2)"),829.0)</f>
        <v>829</v>
      </c>
      <c r="K94" s="16">
        <f t="shared" si="1"/>
        <v>0.02629346904</v>
      </c>
      <c r="L94" s="16">
        <f t="shared" si="2"/>
        <v>0.002960331557</v>
      </c>
      <c r="M94" s="16">
        <f t="shared" si="3"/>
        <v>0.01158485609</v>
      </c>
      <c r="N94" s="16">
        <f t="shared" si="4"/>
        <v>0.02171290712</v>
      </c>
      <c r="O94" s="16">
        <f t="shared" si="5"/>
        <v>-0.008624524528</v>
      </c>
      <c r="P94" s="17" t="str">
        <f t="shared" si="6"/>
        <v>#N/A</v>
      </c>
      <c r="Q94" s="17" t="str">
        <f t="shared" si="7"/>
        <v>#N/A</v>
      </c>
      <c r="R94" s="17" t="str">
        <f t="shared" si="8"/>
        <v>#N/A</v>
      </c>
      <c r="S94" s="17" t="str">
        <f t="shared" si="9"/>
        <v>#N/A</v>
      </c>
      <c r="T94" s="17"/>
    </row>
    <row r="95">
      <c r="A95" s="47">
        <v>94.0</v>
      </c>
      <c r="B95" s="48" t="s">
        <v>1581</v>
      </c>
      <c r="C95" s="48" t="s">
        <v>927</v>
      </c>
      <c r="D95" s="49">
        <f>IFERROR(__xludf.DUMMYFUNCTION("GOOGLEFINANCE(""NSE:""&amp;C95,""marketcap"")/10000000"),9648.6298448)</f>
        <v>9648.629845</v>
      </c>
      <c r="E95" s="50">
        <f>IFERROR(__xludf.DUMMYFUNCTION("GOOGLEFINANCE(""NSE:""&amp;C95,""volume"")"),421526.0)</f>
        <v>421526</v>
      </c>
      <c r="F95" s="9">
        <f>IFERROR(__xludf.DUMMYFUNCTION("GOOGLEFINANCE(""NSE:""&amp;C95)"),929.0)</f>
        <v>929</v>
      </c>
      <c r="G95" s="9">
        <f>IFERROR(__xludf.DUMMYFUNCTION("GOOGLEFINANCE(""NSE:""&amp;C95,""closeyest"")"),929.9)</f>
        <v>929.9</v>
      </c>
      <c r="H95" s="51">
        <f>IFERROR(__xludf.DUMMYFUNCTION("INDEX(GOOGLEFINANCE(""NSE:""&amp;C95,dates!$I$1,dates!$C$4),2,2)"),875.8)</f>
        <v>875.8</v>
      </c>
      <c r="I95" s="51">
        <f>IFERROR(__xludf.DUMMYFUNCTION("INDEX(GOOGLEFINANCE(""NSE:""&amp;C95,dates!$I$1,dates!$C$5),2,2)"),854.9)</f>
        <v>854.9</v>
      </c>
      <c r="J95" s="51">
        <f>IFERROR(__xludf.DUMMYFUNCTION("INDEX(GOOGLEFINANCE(""NSE:""&amp;C95,dates!$I$1,dates!$C$6),2,2)"),858.5)</f>
        <v>858.5</v>
      </c>
      <c r="K95" s="16">
        <f t="shared" si="1"/>
        <v>-0.0009678460049</v>
      </c>
      <c r="L95" s="16">
        <f t="shared" si="2"/>
        <v>0.06074446221</v>
      </c>
      <c r="M95" s="16">
        <f t="shared" si="3"/>
        <v>0.0866768043</v>
      </c>
      <c r="N95" s="16">
        <f t="shared" si="4"/>
        <v>0.0821199767</v>
      </c>
      <c r="O95" s="16">
        <f t="shared" si="5"/>
        <v>-0.0259323421</v>
      </c>
      <c r="P95" s="17" t="str">
        <f t="shared" si="6"/>
        <v>#N/A</v>
      </c>
      <c r="Q95" s="17" t="str">
        <f t="shared" si="7"/>
        <v>#N/A</v>
      </c>
      <c r="R95" s="17" t="str">
        <f t="shared" si="8"/>
        <v>#N/A</v>
      </c>
      <c r="S95" s="17" t="str">
        <f t="shared" si="9"/>
        <v>#N/A</v>
      </c>
      <c r="T95" s="17"/>
    </row>
    <row r="96">
      <c r="A96" s="47">
        <v>95.0</v>
      </c>
      <c r="B96" s="48" t="s">
        <v>1582</v>
      </c>
      <c r="C96" s="48" t="s">
        <v>1001</v>
      </c>
      <c r="D96" s="49">
        <f>IFERROR(__xludf.DUMMYFUNCTION("GOOGLEFINANCE(""NSE:""&amp;C96,""marketcap"")/10000000"),8118.5195246)</f>
        <v>8118.519525</v>
      </c>
      <c r="E96" s="50">
        <f>IFERROR(__xludf.DUMMYFUNCTION("GOOGLEFINANCE(""NSE:""&amp;C96,""volume"")"),1453327.0)</f>
        <v>1453327</v>
      </c>
      <c r="F96" s="9">
        <f>IFERROR(__xludf.DUMMYFUNCTION("GOOGLEFINANCE(""NSE:""&amp;C96)"),901.2)</f>
        <v>901.2</v>
      </c>
      <c r="G96" s="9">
        <f>IFERROR(__xludf.DUMMYFUNCTION("GOOGLEFINANCE(""NSE:""&amp;C96,""closeyest"")"),850.2)</f>
        <v>850.2</v>
      </c>
      <c r="H96" s="51">
        <f>IFERROR(__xludf.DUMMYFUNCTION("INDEX(GOOGLEFINANCE(""NSE:""&amp;C96,dates!$I$1,dates!$C$4),2,2)"),844.15)</f>
        <v>844.15</v>
      </c>
      <c r="I96" s="51">
        <f>IFERROR(__xludf.DUMMYFUNCTION("INDEX(GOOGLEFINANCE(""NSE:""&amp;C96,dates!$I$1,dates!$C$5),2,2)"),805.0)</f>
        <v>805</v>
      </c>
      <c r="J96" s="51">
        <f>IFERROR(__xludf.DUMMYFUNCTION("INDEX(GOOGLEFINANCE(""NSE:""&amp;C96,dates!$I$1,dates!$C$6),2,2)"),739.5)</f>
        <v>739.5</v>
      </c>
      <c r="K96" s="16">
        <f t="shared" si="1"/>
        <v>0.05998588567</v>
      </c>
      <c r="L96" s="16">
        <f t="shared" si="2"/>
        <v>0.06758277557</v>
      </c>
      <c r="M96" s="16">
        <f t="shared" si="3"/>
        <v>0.1195031056</v>
      </c>
      <c r="N96" s="16">
        <f t="shared" si="4"/>
        <v>0.2186612576</v>
      </c>
      <c r="O96" s="16">
        <f t="shared" si="5"/>
        <v>-0.05192033002</v>
      </c>
      <c r="P96" s="17" t="str">
        <f t="shared" si="6"/>
        <v>#N/A</v>
      </c>
      <c r="Q96" s="17" t="str">
        <f t="shared" si="7"/>
        <v>#N/A</v>
      </c>
      <c r="R96" s="17" t="str">
        <f t="shared" si="8"/>
        <v>#N/A</v>
      </c>
      <c r="S96" s="17" t="str">
        <f t="shared" si="9"/>
        <v>#N/A</v>
      </c>
      <c r="T96" s="17"/>
    </row>
    <row r="97">
      <c r="A97" s="47">
        <v>96.0</v>
      </c>
      <c r="B97" s="48" t="s">
        <v>1583</v>
      </c>
      <c r="C97" s="48" t="s">
        <v>143</v>
      </c>
      <c r="D97" s="49">
        <f>IFERROR(__xludf.DUMMYFUNCTION("GOOGLEFINANCE(""NSE:""&amp;C97,""marketcap"")/10000000"),79840.44078)</f>
        <v>79840.44078</v>
      </c>
      <c r="E97" s="50">
        <f>IFERROR(__xludf.DUMMYFUNCTION("GOOGLEFINANCE(""NSE:""&amp;C97,""volume"")"),556587.0)</f>
        <v>556587</v>
      </c>
      <c r="F97" s="9">
        <f>IFERROR(__xludf.DUMMYFUNCTION("GOOGLEFINANCE(""NSE:""&amp;C97)"),822.0)</f>
        <v>822</v>
      </c>
      <c r="G97" s="9">
        <f>IFERROR(__xludf.DUMMYFUNCTION("GOOGLEFINANCE(""NSE:""&amp;C97,""closeyest"")"),812.0)</f>
        <v>812</v>
      </c>
      <c r="H97" s="51">
        <f>IFERROR(__xludf.DUMMYFUNCTION("INDEX(GOOGLEFINANCE(""NSE:""&amp;C97,dates!$I$1,dates!$C$4),2,2)"),818.75)</f>
        <v>818.75</v>
      </c>
      <c r="I97" s="51">
        <f>IFERROR(__xludf.DUMMYFUNCTION("INDEX(GOOGLEFINANCE(""NSE:""&amp;C97,dates!$I$1,dates!$C$5),2,2)"),839.3)</f>
        <v>839.3</v>
      </c>
      <c r="J97" s="51">
        <f>IFERROR(__xludf.DUMMYFUNCTION("INDEX(GOOGLEFINANCE(""NSE:""&amp;C97,dates!$I$1,dates!$C$6),2,2)"),785.85)</f>
        <v>785.85</v>
      </c>
      <c r="K97" s="16">
        <f t="shared" si="1"/>
        <v>0.01231527094</v>
      </c>
      <c r="L97" s="16">
        <f t="shared" si="2"/>
        <v>0.003969465649</v>
      </c>
      <c r="M97" s="16">
        <f t="shared" si="3"/>
        <v>-0.02061241511</v>
      </c>
      <c r="N97" s="16">
        <f t="shared" si="4"/>
        <v>0.04600114526</v>
      </c>
      <c r="O97" s="16">
        <f t="shared" si="5"/>
        <v>0.02458188076</v>
      </c>
      <c r="P97" s="17" t="str">
        <f t="shared" si="6"/>
        <v>#N/A</v>
      </c>
      <c r="Q97" s="17" t="str">
        <f t="shared" si="7"/>
        <v>#N/A</v>
      </c>
      <c r="R97" s="17" t="str">
        <f t="shared" si="8"/>
        <v>#N/A</v>
      </c>
      <c r="S97" s="17" t="str">
        <f t="shared" si="9"/>
        <v>#N/A</v>
      </c>
      <c r="T97" s="17"/>
    </row>
    <row r="98">
      <c r="A98" s="47">
        <v>97.0</v>
      </c>
      <c r="B98" s="48" t="s">
        <v>1584</v>
      </c>
      <c r="C98" s="48" t="s">
        <v>55</v>
      </c>
      <c r="D98" s="49">
        <f>IFERROR(__xludf.DUMMYFUNCTION("GOOGLEFINANCE(""NSE:""&amp;C98,""marketcap"")/10000000"),249162.2785767)</f>
        <v>249162.2786</v>
      </c>
      <c r="E98" s="50">
        <f>IFERROR(__xludf.DUMMYFUNCTION("GOOGLEFINANCE(""NSE:""&amp;C98,""volume"")"),9043492.0)</f>
        <v>9043492</v>
      </c>
      <c r="F98" s="9">
        <f>IFERROR(__xludf.DUMMYFUNCTION("GOOGLEFINANCE(""NSE:""&amp;C98)"),813.0)</f>
        <v>813</v>
      </c>
      <c r="G98" s="9">
        <f>IFERROR(__xludf.DUMMYFUNCTION("GOOGLEFINANCE(""NSE:""&amp;C98,""closeyest"")"),788.35)</f>
        <v>788.35</v>
      </c>
      <c r="H98" s="51">
        <f>IFERROR(__xludf.DUMMYFUNCTION("INDEX(GOOGLEFINANCE(""NSE:""&amp;C98,dates!$I$1,dates!$C$4),2,2)"),807.35)</f>
        <v>807.35</v>
      </c>
      <c r="I98" s="51">
        <f>IFERROR(__xludf.DUMMYFUNCTION("INDEX(GOOGLEFINANCE(""NSE:""&amp;C98,dates!$I$1,dates!$C$5),2,2)"),788.35)</f>
        <v>788.35</v>
      </c>
      <c r="J98" s="51">
        <f>IFERROR(__xludf.DUMMYFUNCTION("INDEX(GOOGLEFINANCE(""NSE:""&amp;C98,dates!$I$1,dates!$C$6),2,2)"),752.4)</f>
        <v>752.4</v>
      </c>
      <c r="K98" s="16">
        <f t="shared" si="1"/>
        <v>0.03126783789</v>
      </c>
      <c r="L98" s="16">
        <f t="shared" si="2"/>
        <v>0.006998204001</v>
      </c>
      <c r="M98" s="16">
        <f t="shared" si="3"/>
        <v>0.03126783789</v>
      </c>
      <c r="N98" s="16">
        <f t="shared" si="4"/>
        <v>0.08054226475</v>
      </c>
      <c r="O98" s="16">
        <f t="shared" si="5"/>
        <v>-0.02426963389</v>
      </c>
      <c r="P98" s="17" t="str">
        <f t="shared" si="6"/>
        <v>#N/A</v>
      </c>
      <c r="Q98" s="17" t="str">
        <f t="shared" si="7"/>
        <v>#N/A</v>
      </c>
      <c r="R98" s="17" t="str">
        <f t="shared" si="8"/>
        <v>#N/A</v>
      </c>
      <c r="S98" s="17" t="str">
        <f t="shared" si="9"/>
        <v>#N/A</v>
      </c>
      <c r="T98" s="17"/>
    </row>
    <row r="99">
      <c r="A99" s="47">
        <v>98.0</v>
      </c>
      <c r="B99" s="48" t="s">
        <v>1585</v>
      </c>
      <c r="C99" s="48" t="s">
        <v>65</v>
      </c>
      <c r="D99" s="49">
        <f>IFERROR(__xludf.DUMMYFUNCTION("GOOGLEFINANCE(""NSE:""&amp;C99,""marketcap"")/10000000"),184508.8615)</f>
        <v>184508.8615</v>
      </c>
      <c r="E99" s="50">
        <f>IFERROR(__xludf.DUMMYFUNCTION("GOOGLEFINANCE(""NSE:""&amp;C99,""volume"")"),2109768.0)</f>
        <v>2109768</v>
      </c>
      <c r="F99" s="9">
        <f>IFERROR(__xludf.DUMMYFUNCTION("GOOGLEFINANCE(""NSE:""&amp;C99)"),769.0)</f>
        <v>769</v>
      </c>
      <c r="G99" s="9">
        <f>IFERROR(__xludf.DUMMYFUNCTION("GOOGLEFINANCE(""NSE:""&amp;C99,""closeyest"")"),770.1)</f>
        <v>770.1</v>
      </c>
      <c r="H99" s="51">
        <f>IFERROR(__xludf.DUMMYFUNCTION("INDEX(GOOGLEFINANCE(""NSE:""&amp;C99,dates!$I$1,dates!$C$4),2,2)"),769.9)</f>
        <v>769.9</v>
      </c>
      <c r="I99" s="51">
        <f>IFERROR(__xludf.DUMMYFUNCTION("INDEX(GOOGLEFINANCE(""NSE:""&amp;C99,dates!$I$1,dates!$C$5),2,2)"),780.3)</f>
        <v>780.3</v>
      </c>
      <c r="J99" s="51">
        <f>IFERROR(__xludf.DUMMYFUNCTION("INDEX(GOOGLEFINANCE(""NSE:""&amp;C99,dates!$I$1,dates!$C$6),2,2)"),771.8)</f>
        <v>771.8</v>
      </c>
      <c r="K99" s="16">
        <f t="shared" si="1"/>
        <v>-0.001428385924</v>
      </c>
      <c r="L99" s="16">
        <f t="shared" si="2"/>
        <v>-0.001168982985</v>
      </c>
      <c r="M99" s="16">
        <f t="shared" si="3"/>
        <v>-0.01448160964</v>
      </c>
      <c r="N99" s="16">
        <f t="shared" si="4"/>
        <v>-0.003627882871</v>
      </c>
      <c r="O99" s="16">
        <f t="shared" si="5"/>
        <v>0.01331262665</v>
      </c>
      <c r="P99" s="17" t="str">
        <f t="shared" si="6"/>
        <v>#N/A</v>
      </c>
      <c r="Q99" s="17" t="str">
        <f t="shared" si="7"/>
        <v>#N/A</v>
      </c>
      <c r="R99" s="17" t="str">
        <f t="shared" si="8"/>
        <v>#N/A</v>
      </c>
      <c r="S99" s="17" t="str">
        <f t="shared" si="9"/>
        <v>#N/A</v>
      </c>
      <c r="T99" s="17"/>
    </row>
    <row r="100">
      <c r="A100" s="47">
        <v>99.0</v>
      </c>
      <c r="B100" s="48" t="s">
        <v>1586</v>
      </c>
      <c r="C100" s="48" t="s">
        <v>367</v>
      </c>
      <c r="D100" s="49">
        <f>IFERROR(__xludf.DUMMYFUNCTION("GOOGLEFINANCE(""NSE:""&amp;C100,""marketcap"")/10000000"),30838.1822138)</f>
        <v>30838.18221</v>
      </c>
      <c r="E100" s="50">
        <f>IFERROR(__xludf.DUMMYFUNCTION("GOOGLEFINANCE(""NSE:""&amp;C100,""volume"")"),7669511.0)</f>
        <v>7669511</v>
      </c>
      <c r="F100" s="9">
        <f>IFERROR(__xludf.DUMMYFUNCTION("GOOGLEFINANCE(""NSE:""&amp;C100)"),849.0)</f>
        <v>849</v>
      </c>
      <c r="G100" s="9">
        <f>IFERROR(__xludf.DUMMYFUNCTION("GOOGLEFINANCE(""NSE:""&amp;C100,""closeyest"")"),750.7)</f>
        <v>750.7</v>
      </c>
      <c r="H100" s="51" t="str">
        <f>IFERROR(__xludf.DUMMYFUNCTION("INDEX(GOOGLEFINANCE(""NSE:""&amp;C100,dates!$I$1,dates!$C$4),2,2)"),"#N/A")</f>
        <v>#N/A</v>
      </c>
      <c r="I100" s="51">
        <f>IFERROR(__xludf.DUMMYFUNCTION("INDEX(GOOGLEFINANCE(""NSE:""&amp;C100,dates!$I$1,dates!$C$5),2,2)"),758.8)</f>
        <v>758.8</v>
      </c>
      <c r="J100" s="51">
        <f>IFERROR(__xludf.DUMMYFUNCTION("INDEX(GOOGLEFINANCE(""NSE:""&amp;C100,dates!$I$1,dates!$C$6),2,2)"),678.3)</f>
        <v>678.3</v>
      </c>
      <c r="K100" s="16">
        <f t="shared" si="1"/>
        <v>0.1309444518</v>
      </c>
      <c r="L100" s="16" t="str">
        <f t="shared" si="2"/>
        <v>#N/A</v>
      </c>
      <c r="M100" s="16">
        <f t="shared" si="3"/>
        <v>0.118871903</v>
      </c>
      <c r="N100" s="16">
        <f t="shared" si="4"/>
        <v>0.2516585582</v>
      </c>
      <c r="O100" s="16" t="str">
        <f t="shared" si="5"/>
        <v>#N/A</v>
      </c>
      <c r="P100" s="17" t="str">
        <f t="shared" si="6"/>
        <v>#N/A</v>
      </c>
      <c r="Q100" s="17" t="str">
        <f t="shared" si="7"/>
        <v>#N/A</v>
      </c>
      <c r="R100" s="17" t="str">
        <f t="shared" si="8"/>
        <v>#N/A</v>
      </c>
      <c r="S100" s="17" t="str">
        <f t="shared" si="9"/>
        <v>#N/A</v>
      </c>
    </row>
    <row r="101">
      <c r="A101" s="47">
        <v>100.0</v>
      </c>
      <c r="B101" s="48" t="s">
        <v>1587</v>
      </c>
      <c r="C101" s="48" t="s">
        <v>235</v>
      </c>
      <c r="D101" s="49">
        <f>IFERROR(__xludf.DUMMYFUNCTION("GOOGLEFINANCE(""NSE:""&amp;C101,""marketcap"")/10000000"),43360.3212483)</f>
        <v>43360.32125</v>
      </c>
      <c r="E101" s="50">
        <f>IFERROR(__xludf.DUMMYFUNCTION("GOOGLEFINANCE(""NSE:""&amp;C101,""volume"")"),2233951.0)</f>
        <v>2233951</v>
      </c>
      <c r="F101" s="9">
        <f>IFERROR(__xludf.DUMMYFUNCTION("GOOGLEFINANCE(""NSE:""&amp;C101)"),711.9)</f>
        <v>711.9</v>
      </c>
      <c r="G101" s="9">
        <f>IFERROR(__xludf.DUMMYFUNCTION("GOOGLEFINANCE(""NSE:""&amp;C101,""closeyest"")"),696.8)</f>
        <v>696.8</v>
      </c>
      <c r="H101" s="51">
        <f>IFERROR(__xludf.DUMMYFUNCTION("INDEX(GOOGLEFINANCE(""NSE:""&amp;C101,dates!$I$1,dates!$C$4),2,2)"),723.65)</f>
        <v>723.65</v>
      </c>
      <c r="I101" s="51">
        <f>IFERROR(__xludf.DUMMYFUNCTION("INDEX(GOOGLEFINANCE(""NSE:""&amp;C101,dates!$I$1,dates!$C$5),2,2)"),740.55)</f>
        <v>740.55</v>
      </c>
      <c r="J101" s="51">
        <f>IFERROR(__xludf.DUMMYFUNCTION("INDEX(GOOGLEFINANCE(""NSE:""&amp;C101,dates!$I$1,dates!$C$6),2,2)"),653.35)</f>
        <v>653.35</v>
      </c>
      <c r="K101" s="16">
        <f t="shared" si="1"/>
        <v>0.02167049369</v>
      </c>
      <c r="L101" s="16">
        <f t="shared" si="2"/>
        <v>-0.01623713121</v>
      </c>
      <c r="M101" s="16">
        <f t="shared" si="3"/>
        <v>-0.03868746202</v>
      </c>
      <c r="N101" s="16">
        <f t="shared" si="4"/>
        <v>0.08961506084</v>
      </c>
      <c r="O101" s="16">
        <f t="shared" si="5"/>
        <v>0.02245033081</v>
      </c>
      <c r="P101" s="17" t="str">
        <f t="shared" si="6"/>
        <v>#N/A</v>
      </c>
      <c r="Q101" s="17" t="str">
        <f t="shared" si="7"/>
        <v>#N/A</v>
      </c>
      <c r="R101" s="17" t="str">
        <f t="shared" si="8"/>
        <v>#N/A</v>
      </c>
      <c r="S101" s="17" t="str">
        <f t="shared" si="9"/>
        <v>#N/A</v>
      </c>
      <c r="T101" s="17"/>
    </row>
    <row r="102">
      <c r="A102" s="47">
        <v>101.0</v>
      </c>
      <c r="B102" s="48" t="s">
        <v>1588</v>
      </c>
      <c r="C102" s="48" t="s">
        <v>34</v>
      </c>
      <c r="D102" s="49">
        <f>IFERROR(__xludf.DUMMYFUNCTION("GOOGLEFINANCE(""NSE:""&amp;C102,""marketcap"")/10000000"),6827.2247571)</f>
        <v>6827.224757</v>
      </c>
      <c r="E102" s="50">
        <f>IFERROR(__xludf.DUMMYFUNCTION("GOOGLEFINANCE(""NSE:""&amp;C102,""volume"")"),1.0412491E7)</f>
        <v>10412491</v>
      </c>
      <c r="F102" s="9">
        <f>IFERROR(__xludf.DUMMYFUNCTION("GOOGLEFINANCE(""NSE:""&amp;C102)"),717.0)</f>
        <v>717</v>
      </c>
      <c r="G102" s="9">
        <f>IFERROR(__xludf.DUMMYFUNCTION("GOOGLEFINANCE(""NSE:""&amp;C102,""closeyest"")"),703.35)</f>
        <v>703.35</v>
      </c>
      <c r="H102" s="51">
        <f>IFERROR(__xludf.DUMMYFUNCTION("INDEX(GOOGLEFINANCE(""NSE:""&amp;C102,dates!$I$1,dates!$C$4),2,2)"),720.15)</f>
        <v>720.15</v>
      </c>
      <c r="I102" s="51">
        <f>IFERROR(__xludf.DUMMYFUNCTION("INDEX(GOOGLEFINANCE(""NSE:""&amp;C102,dates!$I$1,dates!$C$5),2,2)"),707.4)</f>
        <v>707.4</v>
      </c>
      <c r="J102" s="51">
        <f>IFERROR(__xludf.DUMMYFUNCTION("INDEX(GOOGLEFINANCE(""NSE:""&amp;C102,dates!$I$1,dates!$C$6),2,2)"),699.75)</f>
        <v>699.75</v>
      </c>
      <c r="K102" s="16">
        <f t="shared" si="1"/>
        <v>0.01940712305</v>
      </c>
      <c r="L102" s="16">
        <f t="shared" si="2"/>
        <v>-0.004374088732</v>
      </c>
      <c r="M102" s="16">
        <f t="shared" si="3"/>
        <v>0.01357082273</v>
      </c>
      <c r="N102" s="16">
        <f t="shared" si="4"/>
        <v>0.02465166131</v>
      </c>
      <c r="O102" s="16">
        <f t="shared" si="5"/>
        <v>-0.01794491146</v>
      </c>
      <c r="P102" s="17" t="str">
        <f t="shared" si="6"/>
        <v>#N/A</v>
      </c>
      <c r="Q102" s="17" t="str">
        <f t="shared" si="7"/>
        <v>#N/A</v>
      </c>
      <c r="R102" s="17" t="str">
        <f t="shared" si="8"/>
        <v>#N/A</v>
      </c>
      <c r="S102" s="17" t="str">
        <f t="shared" si="9"/>
        <v>#N/A</v>
      </c>
      <c r="T102" s="17"/>
    </row>
    <row r="103">
      <c r="A103" s="47">
        <v>102.0</v>
      </c>
      <c r="B103" s="48" t="s">
        <v>1589</v>
      </c>
      <c r="C103" s="48" t="s">
        <v>44</v>
      </c>
      <c r="D103" s="49">
        <f>IFERROR(__xludf.DUMMYFUNCTION("GOOGLEFINANCE(""NSE:""&amp;C103,""marketcap"")/10000000"),398540.9631592)</f>
        <v>398540.9632</v>
      </c>
      <c r="E103" s="50">
        <f>IFERROR(__xludf.DUMMYFUNCTION("GOOGLEFINANCE(""NSE:""&amp;C103,""volume"")"),2.6009026E7)</f>
        <v>26009026</v>
      </c>
      <c r="F103" s="9">
        <f>IFERROR(__xludf.DUMMYFUNCTION("GOOGLEFINANCE(""NSE:""&amp;C103)"),726.95)</f>
        <v>726.95</v>
      </c>
      <c r="G103" s="9">
        <f>IFERROR(__xludf.DUMMYFUNCTION("GOOGLEFINANCE(""NSE:""&amp;C103,""closeyest"")"),726.75)</f>
        <v>726.75</v>
      </c>
      <c r="H103" s="51">
        <f>IFERROR(__xludf.DUMMYFUNCTION("INDEX(GOOGLEFINANCE(""NSE:""&amp;C103,dates!$I$1,dates!$C$4),2,2)"),728.15)</f>
        <v>728.15</v>
      </c>
      <c r="I103" s="51">
        <f>IFERROR(__xludf.DUMMYFUNCTION("INDEX(GOOGLEFINANCE(""NSE:""&amp;C103,dates!$I$1,dates!$C$5),2,2)"),693.3)</f>
        <v>693.3</v>
      </c>
      <c r="J103" s="51">
        <f>IFERROR(__xludf.DUMMYFUNCTION("INDEX(GOOGLEFINANCE(""NSE:""&amp;C103,dates!$I$1,dates!$C$6),2,2)"),595.15)</f>
        <v>595.15</v>
      </c>
      <c r="K103" s="16">
        <f t="shared" si="1"/>
        <v>0.0002751977984</v>
      </c>
      <c r="L103" s="16">
        <f t="shared" si="2"/>
        <v>-0.001648012085</v>
      </c>
      <c r="M103" s="16">
        <f t="shared" si="3"/>
        <v>0.04853598731</v>
      </c>
      <c r="N103" s="16">
        <f t="shared" si="4"/>
        <v>0.2214567756</v>
      </c>
      <c r="O103" s="16">
        <f t="shared" si="5"/>
        <v>-0.05018399939</v>
      </c>
      <c r="P103" s="17" t="str">
        <f t="shared" si="6"/>
        <v>#N/A</v>
      </c>
      <c r="Q103" s="17" t="str">
        <f t="shared" si="7"/>
        <v>#N/A</v>
      </c>
      <c r="R103" s="17" t="str">
        <f t="shared" si="8"/>
        <v>#N/A</v>
      </c>
      <c r="S103" s="17" t="str">
        <f t="shared" si="9"/>
        <v>#N/A</v>
      </c>
    </row>
    <row r="104">
      <c r="A104" s="47">
        <v>103.0</v>
      </c>
      <c r="B104" s="48" t="s">
        <v>1590</v>
      </c>
      <c r="C104" s="48" t="s">
        <v>128</v>
      </c>
      <c r="D104" s="49">
        <f>IFERROR(__xludf.DUMMYFUNCTION("GOOGLEFINANCE(""NSE:""&amp;C104,""marketcap"")/10000000"),98148.9419784)</f>
        <v>98148.94198</v>
      </c>
      <c r="E104" s="50">
        <f>IFERROR(__xludf.DUMMYFUNCTION("GOOGLEFINANCE(""NSE:""&amp;C104,""volume"")"),724882.0)</f>
        <v>724882</v>
      </c>
      <c r="F104" s="9">
        <f>IFERROR(__xludf.DUMMYFUNCTION("GOOGLEFINANCE(""NSE:""&amp;C104)"),684.7)</f>
        <v>684.7</v>
      </c>
      <c r="G104" s="9">
        <f>IFERROR(__xludf.DUMMYFUNCTION("GOOGLEFINANCE(""NSE:""&amp;C104,""closeyest"")"),687.85)</f>
        <v>687.85</v>
      </c>
      <c r="H104" s="51">
        <f>IFERROR(__xludf.DUMMYFUNCTION("INDEX(GOOGLEFINANCE(""NSE:""&amp;C104,dates!$I$1,dates!$C$4),2,2)"),703.55)</f>
        <v>703.55</v>
      </c>
      <c r="I104" s="51">
        <f>IFERROR(__xludf.DUMMYFUNCTION("INDEX(GOOGLEFINANCE(""NSE:""&amp;C104,dates!$I$1,dates!$C$5),2,2)"),693.4)</f>
        <v>693.4</v>
      </c>
      <c r="J104" s="51">
        <f>IFERROR(__xludf.DUMMYFUNCTION("INDEX(GOOGLEFINANCE(""NSE:""&amp;C104,dates!$I$1,dates!$C$6),2,2)"),656.15)</f>
        <v>656.15</v>
      </c>
      <c r="K104" s="16">
        <f t="shared" si="1"/>
        <v>-0.004579486807</v>
      </c>
      <c r="L104" s="16">
        <f t="shared" si="2"/>
        <v>-0.02679269419</v>
      </c>
      <c r="M104" s="16">
        <f t="shared" si="3"/>
        <v>-0.01254687049</v>
      </c>
      <c r="N104" s="16">
        <f t="shared" si="4"/>
        <v>0.04351139221</v>
      </c>
      <c r="O104" s="16">
        <f t="shared" si="5"/>
        <v>-0.0142458237</v>
      </c>
      <c r="P104" s="17" t="str">
        <f t="shared" si="6"/>
        <v>#N/A</v>
      </c>
      <c r="Q104" s="17" t="str">
        <f t="shared" si="7"/>
        <v>#N/A</v>
      </c>
      <c r="R104" s="17" t="str">
        <f t="shared" si="8"/>
        <v>#N/A</v>
      </c>
      <c r="S104" s="17" t="str">
        <f t="shared" si="9"/>
        <v>#N/A</v>
      </c>
      <c r="T104" s="17"/>
    </row>
    <row r="105">
      <c r="A105" s="47">
        <v>104.0</v>
      </c>
      <c r="B105" s="48" t="s">
        <v>1591</v>
      </c>
      <c r="C105" s="48" t="s">
        <v>40</v>
      </c>
      <c r="D105" s="49">
        <f>IFERROR(__xludf.DUMMYFUNCTION("GOOGLEFINANCE(""NSE:""&amp;C105,""marketcap"")/10000000"),5092.4768245)</f>
        <v>5092.476825</v>
      </c>
      <c r="E105" s="50">
        <f>IFERROR(__xludf.DUMMYFUNCTION("GOOGLEFINANCE(""NSE:""&amp;C105,""volume"")"),3231293.0)</f>
        <v>3231293</v>
      </c>
      <c r="F105" s="9">
        <f>IFERROR(__xludf.DUMMYFUNCTION("GOOGLEFINANCE(""NSE:""&amp;C105)"),674.0)</f>
        <v>674</v>
      </c>
      <c r="G105" s="9">
        <f>IFERROR(__xludf.DUMMYFUNCTION("GOOGLEFINANCE(""NSE:""&amp;C105,""closeyest"")"),668.15)</f>
        <v>668.15</v>
      </c>
      <c r="H105" s="51">
        <f>IFERROR(__xludf.DUMMYFUNCTION("INDEX(GOOGLEFINANCE(""NSE:""&amp;C105,dates!$I$1,dates!$C$4),2,2)"),665.25)</f>
        <v>665.25</v>
      </c>
      <c r="I105" s="51">
        <f>IFERROR(__xludf.DUMMYFUNCTION("INDEX(GOOGLEFINANCE(""NSE:""&amp;C105,dates!$I$1,dates!$C$5),2,2)"),670.75)</f>
        <v>670.75</v>
      </c>
      <c r="J105" s="51">
        <f>IFERROR(__xludf.DUMMYFUNCTION("INDEX(GOOGLEFINANCE(""NSE:""&amp;C105,dates!$I$1,dates!$C$6),2,2)"),634.95)</f>
        <v>634.95</v>
      </c>
      <c r="K105" s="16">
        <f t="shared" si="1"/>
        <v>0.00875551897</v>
      </c>
      <c r="L105" s="16">
        <f t="shared" si="2"/>
        <v>0.01315295002</v>
      </c>
      <c r="M105" s="16">
        <f t="shared" si="3"/>
        <v>0.0048453224</v>
      </c>
      <c r="N105" s="16">
        <f t="shared" si="4"/>
        <v>0.06150090558</v>
      </c>
      <c r="O105" s="16">
        <f t="shared" si="5"/>
        <v>0.008307627618</v>
      </c>
      <c r="P105" s="17" t="str">
        <f t="shared" si="6"/>
        <v>#N/A</v>
      </c>
      <c r="Q105" s="17" t="str">
        <f t="shared" si="7"/>
        <v>#N/A</v>
      </c>
      <c r="R105" s="17" t="str">
        <f t="shared" si="8"/>
        <v>#N/A</v>
      </c>
      <c r="S105" s="17" t="str">
        <f t="shared" si="9"/>
        <v>#N/A</v>
      </c>
    </row>
    <row r="106">
      <c r="A106" s="47">
        <v>105.0</v>
      </c>
      <c r="B106" s="48" t="s">
        <v>1592</v>
      </c>
      <c r="C106" s="48" t="s">
        <v>369</v>
      </c>
      <c r="D106" s="49">
        <f>IFERROR(__xludf.DUMMYFUNCTION("GOOGLEFINANCE(""NSE:""&amp;C106,""marketcap"")/10000000"),26175.8442521)</f>
        <v>26175.84425</v>
      </c>
      <c r="E106" s="50">
        <f>IFERROR(__xludf.DUMMYFUNCTION("GOOGLEFINANCE(""NSE:""&amp;C106,""volume"")"),427248.0)</f>
        <v>427248</v>
      </c>
      <c r="F106" s="9">
        <f>IFERROR(__xludf.DUMMYFUNCTION("GOOGLEFINANCE(""NSE:""&amp;C106)"),659.05)</f>
        <v>659.05</v>
      </c>
      <c r="G106" s="9">
        <f>IFERROR(__xludf.DUMMYFUNCTION("GOOGLEFINANCE(""NSE:""&amp;C106,""closeyest"")"),662.4)</f>
        <v>662.4</v>
      </c>
      <c r="H106" s="51">
        <f>IFERROR(__xludf.DUMMYFUNCTION("INDEX(GOOGLEFINANCE(""NSE:""&amp;C106,dates!$I$1,dates!$C$4),2,2)"),646.9)</f>
        <v>646.9</v>
      </c>
      <c r="I106" s="51">
        <f>IFERROR(__xludf.DUMMYFUNCTION("INDEX(GOOGLEFINANCE(""NSE:""&amp;C106,dates!$I$1,dates!$C$5),2,2)"),668.8)</f>
        <v>668.8</v>
      </c>
      <c r="J106" s="51">
        <f>IFERROR(__xludf.DUMMYFUNCTION("INDEX(GOOGLEFINANCE(""NSE:""&amp;C106,dates!$I$1,dates!$C$6),2,2)"),617.75)</f>
        <v>617.75</v>
      </c>
      <c r="K106" s="16">
        <f t="shared" si="1"/>
        <v>-0.00505736715</v>
      </c>
      <c r="L106" s="16">
        <f t="shared" si="2"/>
        <v>0.01878188283</v>
      </c>
      <c r="M106" s="16">
        <f t="shared" si="3"/>
        <v>-0.01457834928</v>
      </c>
      <c r="N106" s="16">
        <f t="shared" si="4"/>
        <v>0.06685552408</v>
      </c>
      <c r="O106" s="16">
        <f t="shared" si="5"/>
        <v>0.03336023211</v>
      </c>
      <c r="P106" s="17" t="str">
        <f t="shared" si="6"/>
        <v>#N/A</v>
      </c>
      <c r="Q106" s="17" t="str">
        <f t="shared" si="7"/>
        <v>#N/A</v>
      </c>
      <c r="R106" s="17" t="str">
        <f t="shared" si="8"/>
        <v>#N/A</v>
      </c>
      <c r="S106" s="17" t="str">
        <f t="shared" si="9"/>
        <v>#N/A</v>
      </c>
    </row>
    <row r="107">
      <c r="A107" s="47">
        <v>106.0</v>
      </c>
      <c r="B107" s="48" t="s">
        <v>1593</v>
      </c>
      <c r="C107" s="48" t="s">
        <v>104</v>
      </c>
      <c r="D107" s="49">
        <f>IFERROR(__xludf.DUMMYFUNCTION("GOOGLEFINANCE(""NSE:""&amp;C107,""marketcap"")/10000000"),114583.4424)</f>
        <v>114583.4424</v>
      </c>
      <c r="E107" s="50">
        <f>IFERROR(__xludf.DUMMYFUNCTION("GOOGLEFINANCE(""NSE:""&amp;C107,""volume"")"),1480529.0)</f>
        <v>1480529</v>
      </c>
      <c r="F107" s="9">
        <f>IFERROR(__xludf.DUMMYFUNCTION("GOOGLEFINANCE(""NSE:""&amp;C107)"),649.0)</f>
        <v>649</v>
      </c>
      <c r="G107" s="9">
        <f>IFERROR(__xludf.DUMMYFUNCTION("GOOGLEFINANCE(""NSE:""&amp;C107,""closeyest"")"),648.4)</f>
        <v>648.4</v>
      </c>
      <c r="H107" s="51">
        <f>IFERROR(__xludf.DUMMYFUNCTION("INDEX(GOOGLEFINANCE(""NSE:""&amp;C107,dates!$I$1,dates!$C$4),2,2)"),653.95)</f>
        <v>653.95</v>
      </c>
      <c r="I107" s="51">
        <f>IFERROR(__xludf.DUMMYFUNCTION("INDEX(GOOGLEFINANCE(""NSE:""&amp;C107,dates!$I$1,dates!$C$5),2,2)"),640.2)</f>
        <v>640.2</v>
      </c>
      <c r="J107" s="51">
        <f>IFERROR(__xludf.DUMMYFUNCTION("INDEX(GOOGLEFINANCE(""NSE:""&amp;C107,dates!$I$1,dates!$C$6),2,2)"),608.75)</f>
        <v>608.75</v>
      </c>
      <c r="K107" s="16">
        <f t="shared" si="1"/>
        <v>0.0009253547193</v>
      </c>
      <c r="L107" s="16">
        <f t="shared" si="2"/>
        <v>-0.007569386039</v>
      </c>
      <c r="M107" s="16">
        <f t="shared" si="3"/>
        <v>0.01374570447</v>
      </c>
      <c r="N107" s="16">
        <f t="shared" si="4"/>
        <v>0.06611909651</v>
      </c>
      <c r="O107" s="16">
        <f t="shared" si="5"/>
        <v>-0.02131509051</v>
      </c>
      <c r="P107" s="17" t="str">
        <f t="shared" si="6"/>
        <v>#N/A</v>
      </c>
      <c r="Q107" s="17" t="str">
        <f t="shared" si="7"/>
        <v>#N/A</v>
      </c>
      <c r="R107" s="17" t="str">
        <f t="shared" si="8"/>
        <v>#N/A</v>
      </c>
      <c r="S107" s="17" t="str">
        <f t="shared" si="9"/>
        <v>#N/A</v>
      </c>
      <c r="T107" s="17"/>
    </row>
    <row r="108">
      <c r="A108" s="47">
        <v>107.0</v>
      </c>
      <c r="B108" s="48" t="s">
        <v>1594</v>
      </c>
      <c r="C108" s="48" t="s">
        <v>951</v>
      </c>
      <c r="D108" s="49">
        <f>IFERROR(__xludf.DUMMYFUNCTION("GOOGLEFINANCE(""NSE:""&amp;C108,""marketcap"")/10000000"),9063.58199)</f>
        <v>9063.58199</v>
      </c>
      <c r="E108" s="50">
        <f>IFERROR(__xludf.DUMMYFUNCTION("GOOGLEFINANCE(""NSE:""&amp;C108,""volume"")"),4587858.0)</f>
        <v>4587858</v>
      </c>
      <c r="F108" s="9">
        <f>IFERROR(__xludf.DUMMYFUNCTION("GOOGLEFINANCE(""NSE:""&amp;C108)"),678.65)</f>
        <v>678.65</v>
      </c>
      <c r="G108" s="9">
        <f>IFERROR(__xludf.DUMMYFUNCTION("GOOGLEFINANCE(""NSE:""&amp;C108,""closeyest"")"),653.6)</f>
        <v>653.6</v>
      </c>
      <c r="H108" s="51">
        <f>IFERROR(__xludf.DUMMYFUNCTION("INDEX(GOOGLEFINANCE(""NSE:""&amp;C108,dates!$I$1,dates!$C$4),2,2)"),608.0)</f>
        <v>608</v>
      </c>
      <c r="I108" s="51">
        <f>IFERROR(__xludf.DUMMYFUNCTION("INDEX(GOOGLEFINANCE(""NSE:""&amp;C108,dates!$I$1,dates!$C$5),2,2)"),631.75)</f>
        <v>631.75</v>
      </c>
      <c r="J108" s="51">
        <f>IFERROR(__xludf.DUMMYFUNCTION("INDEX(GOOGLEFINANCE(""NSE:""&amp;C108,dates!$I$1,dates!$C$6),2,2)"),525.25)</f>
        <v>525.25</v>
      </c>
      <c r="K108" s="16">
        <f t="shared" si="1"/>
        <v>0.03832619339</v>
      </c>
      <c r="L108" s="16">
        <f t="shared" si="2"/>
        <v>0.1162006579</v>
      </c>
      <c r="M108" s="16">
        <f t="shared" si="3"/>
        <v>0.07423822715</v>
      </c>
      <c r="N108" s="16">
        <f t="shared" si="4"/>
        <v>0.2920514041</v>
      </c>
      <c r="O108" s="16">
        <f t="shared" si="5"/>
        <v>0.04196243075</v>
      </c>
      <c r="P108" s="17" t="str">
        <f t="shared" si="6"/>
        <v>#N/A</v>
      </c>
      <c r="Q108" s="17" t="str">
        <f t="shared" si="7"/>
        <v>#N/A</v>
      </c>
      <c r="R108" s="17" t="str">
        <f t="shared" si="8"/>
        <v>#N/A</v>
      </c>
      <c r="S108" s="17" t="str">
        <f t="shared" si="9"/>
        <v>#N/A</v>
      </c>
      <c r="T108" s="17"/>
    </row>
    <row r="109">
      <c r="A109" s="47">
        <v>108.0</v>
      </c>
      <c r="B109" s="48" t="s">
        <v>1595</v>
      </c>
      <c r="C109" s="48" t="s">
        <v>210</v>
      </c>
      <c r="D109" s="49">
        <f>IFERROR(__xludf.DUMMYFUNCTION("GOOGLEFINANCE(""NSE:""&amp;C109,""marketcap"")/10000000"),48069.21668)</f>
        <v>48069.21668</v>
      </c>
      <c r="E109" s="50">
        <f>IFERROR(__xludf.DUMMYFUNCTION("GOOGLEFINANCE(""NSE:""&amp;C109,""volume"")"),3186741.0)</f>
        <v>3186741</v>
      </c>
      <c r="F109" s="9">
        <f>IFERROR(__xludf.DUMMYFUNCTION("GOOGLEFINANCE(""NSE:""&amp;C109)"),585.3)</f>
        <v>585.3</v>
      </c>
      <c r="G109" s="9">
        <f>IFERROR(__xludf.DUMMYFUNCTION("GOOGLEFINANCE(""NSE:""&amp;C109,""closeyest"")"),571.05)</f>
        <v>571.05</v>
      </c>
      <c r="H109" s="51">
        <f>IFERROR(__xludf.DUMMYFUNCTION("INDEX(GOOGLEFINANCE(""NSE:""&amp;C109,dates!$I$1,dates!$C$4),2,2)"),606.85)</f>
        <v>606.85</v>
      </c>
      <c r="I109" s="51">
        <f>IFERROR(__xludf.DUMMYFUNCTION("INDEX(GOOGLEFINANCE(""NSE:""&amp;C109,dates!$I$1,dates!$C$5),2,2)"),584.4)</f>
        <v>584.4</v>
      </c>
      <c r="J109" s="51">
        <f>IFERROR(__xludf.DUMMYFUNCTION("INDEX(GOOGLEFINANCE(""NSE:""&amp;C109,dates!$I$1,dates!$C$6),2,2)"),524.8)</f>
        <v>524.8</v>
      </c>
      <c r="K109" s="16">
        <f t="shared" si="1"/>
        <v>0.02495403205</v>
      </c>
      <c r="L109" s="16">
        <f t="shared" si="2"/>
        <v>-0.0355112466</v>
      </c>
      <c r="M109" s="16">
        <f t="shared" si="3"/>
        <v>0.001540041068</v>
      </c>
      <c r="N109" s="16">
        <f t="shared" si="4"/>
        <v>0.1152820122</v>
      </c>
      <c r="O109" s="16">
        <f t="shared" si="5"/>
        <v>-0.03705128767</v>
      </c>
      <c r="P109" s="17" t="str">
        <f t="shared" si="6"/>
        <v>#N/A</v>
      </c>
      <c r="Q109" s="17" t="str">
        <f t="shared" si="7"/>
        <v>#N/A</v>
      </c>
      <c r="R109" s="17" t="str">
        <f t="shared" si="8"/>
        <v>#N/A</v>
      </c>
      <c r="S109" s="17" t="str">
        <f t="shared" si="9"/>
        <v>#N/A</v>
      </c>
      <c r="T109" s="17"/>
    </row>
    <row r="110">
      <c r="A110" s="47">
        <v>109.0</v>
      </c>
      <c r="B110" s="48" t="s">
        <v>1596</v>
      </c>
      <c r="C110" s="48" t="s">
        <v>267</v>
      </c>
      <c r="D110" s="49">
        <f>IFERROR(__xludf.DUMMYFUNCTION("GOOGLEFINANCE(""NSE:""&amp;C110,""marketcap"")/10000000"),37621.5384759)</f>
        <v>37621.53848</v>
      </c>
      <c r="E110" s="50">
        <f>IFERROR(__xludf.DUMMYFUNCTION("GOOGLEFINANCE(""NSE:""&amp;C110,""volume"")"),1857323.0)</f>
        <v>1857323</v>
      </c>
      <c r="F110" s="9">
        <f>IFERROR(__xludf.DUMMYFUNCTION("GOOGLEFINANCE(""NSE:""&amp;C110)"),537.7)</f>
        <v>537.7</v>
      </c>
      <c r="G110" s="9">
        <f>IFERROR(__xludf.DUMMYFUNCTION("GOOGLEFINANCE(""NSE:""&amp;C110,""closeyest"")"),537.65)</f>
        <v>537.65</v>
      </c>
      <c r="H110" s="51">
        <f>IFERROR(__xludf.DUMMYFUNCTION("INDEX(GOOGLEFINANCE(""NSE:""&amp;C110,dates!$I$1,dates!$C$4),2,2)"),561.35)</f>
        <v>561.35</v>
      </c>
      <c r="I110" s="51">
        <f>IFERROR(__xludf.DUMMYFUNCTION("INDEX(GOOGLEFINANCE(""NSE:""&amp;C110,dates!$I$1,dates!$C$5),2,2)"),591.45)</f>
        <v>591.45</v>
      </c>
      <c r="J110" s="51">
        <f>IFERROR(__xludf.DUMMYFUNCTION("INDEX(GOOGLEFINANCE(""NSE:""&amp;C110,dates!$I$1,dates!$C$6),2,2)"),524.8)</f>
        <v>524.8</v>
      </c>
      <c r="K110" s="16">
        <f t="shared" si="1"/>
        <v>0.00009299730308</v>
      </c>
      <c r="L110" s="16">
        <f t="shared" si="2"/>
        <v>-0.04213057807</v>
      </c>
      <c r="M110" s="16">
        <f t="shared" si="3"/>
        <v>-0.09087834982</v>
      </c>
      <c r="N110" s="16">
        <f t="shared" si="4"/>
        <v>0.02458079268</v>
      </c>
      <c r="O110" s="16">
        <f t="shared" si="5"/>
        <v>0.04874777175</v>
      </c>
      <c r="P110" s="17" t="str">
        <f t="shared" si="6"/>
        <v>#N/A</v>
      </c>
      <c r="Q110" s="17" t="str">
        <f t="shared" si="7"/>
        <v>#N/A</v>
      </c>
      <c r="R110" s="17" t="str">
        <f t="shared" si="8"/>
        <v>#N/A</v>
      </c>
      <c r="S110" s="17" t="str">
        <f t="shared" si="9"/>
        <v>#N/A</v>
      </c>
    </row>
    <row r="111">
      <c r="A111" s="47">
        <v>110.0</v>
      </c>
      <c r="B111" s="48" t="s">
        <v>1597</v>
      </c>
      <c r="C111" s="48" t="s">
        <v>163</v>
      </c>
      <c r="D111" s="49">
        <f>IFERROR(__xludf.DUMMYFUNCTION("GOOGLEFINANCE(""NSE:""&amp;C111,""marketcap"")/10000000"),73150.3349663)</f>
        <v>73150.33497</v>
      </c>
      <c r="E111" s="50">
        <f>IFERROR(__xludf.DUMMYFUNCTION("GOOGLEFINANCE(""NSE:""&amp;C111,""volume"")"),2581525.0)</f>
        <v>2581525</v>
      </c>
      <c r="F111" s="9">
        <f>IFERROR(__xludf.DUMMYFUNCTION("GOOGLEFINANCE(""NSE:""&amp;C111)"),568.75)</f>
        <v>568.75</v>
      </c>
      <c r="G111" s="9">
        <f>IFERROR(__xludf.DUMMYFUNCTION("GOOGLEFINANCE(""NSE:""&amp;C111,""closeyest"")"),565.2)</f>
        <v>565.2</v>
      </c>
      <c r="H111" s="51">
        <f>IFERROR(__xludf.DUMMYFUNCTION("INDEX(GOOGLEFINANCE(""NSE:""&amp;C111,dates!$I$1,dates!$C$4),2,2)"),560.1)</f>
        <v>560.1</v>
      </c>
      <c r="I111" s="51">
        <f>IFERROR(__xludf.DUMMYFUNCTION("INDEX(GOOGLEFINANCE(""NSE:""&amp;C111,dates!$I$1,dates!$C$5),2,2)"),575.6)</f>
        <v>575.6</v>
      </c>
      <c r="J111" s="51">
        <f>IFERROR(__xludf.DUMMYFUNCTION("INDEX(GOOGLEFINANCE(""NSE:""&amp;C111,dates!$I$1,dates!$C$6),2,2)"),524.95)</f>
        <v>524.95</v>
      </c>
      <c r="K111" s="16">
        <f t="shared" si="1"/>
        <v>0.006280962491</v>
      </c>
      <c r="L111" s="16">
        <f t="shared" si="2"/>
        <v>0.01544367077</v>
      </c>
      <c r="M111" s="16">
        <f t="shared" si="3"/>
        <v>-0.01190062543</v>
      </c>
      <c r="N111" s="16">
        <f t="shared" si="4"/>
        <v>0.08343651776</v>
      </c>
      <c r="O111" s="16">
        <f t="shared" si="5"/>
        <v>0.02734429621</v>
      </c>
      <c r="P111" s="17" t="str">
        <f t="shared" si="6"/>
        <v>#N/A</v>
      </c>
      <c r="Q111" s="17" t="str">
        <f t="shared" si="7"/>
        <v>#N/A</v>
      </c>
      <c r="R111" s="17" t="str">
        <f t="shared" si="8"/>
        <v>#N/A</v>
      </c>
      <c r="S111" s="17" t="str">
        <f t="shared" si="9"/>
        <v>#N/A</v>
      </c>
      <c r="T111" s="17"/>
    </row>
    <row r="112">
      <c r="A112" s="47">
        <v>111.0</v>
      </c>
      <c r="B112" s="48" t="s">
        <v>891</v>
      </c>
      <c r="C112" s="48" t="s">
        <v>892</v>
      </c>
      <c r="D112" s="49">
        <f>IFERROR(__xludf.DUMMYFUNCTION("GOOGLEFINANCE(""NSE:""&amp;C112,""marketcap"")/10000000"),11332.977154)</f>
        <v>11332.97715</v>
      </c>
      <c r="E112" s="50">
        <f>IFERROR(__xludf.DUMMYFUNCTION("GOOGLEFINANCE(""NSE:""&amp;C112,""volume"")"),670016.0)</f>
        <v>670016</v>
      </c>
      <c r="F112" s="9">
        <f>IFERROR(__xludf.DUMMYFUNCTION("GOOGLEFINANCE(""NSE:""&amp;C112)"),554.1)</f>
        <v>554.1</v>
      </c>
      <c r="G112" s="9">
        <f>IFERROR(__xludf.DUMMYFUNCTION("GOOGLEFINANCE(""NSE:""&amp;C112,""closeyest"")"),530.8)</f>
        <v>530.8</v>
      </c>
      <c r="H112" s="51">
        <f>IFERROR(__xludf.DUMMYFUNCTION("INDEX(GOOGLEFINANCE(""NSE:""&amp;C112,dates!$I$1,dates!$C$4),2,2)"),532.8)</f>
        <v>532.8</v>
      </c>
      <c r="I112" s="51">
        <f>IFERROR(__xludf.DUMMYFUNCTION("INDEX(GOOGLEFINANCE(""NSE:""&amp;C112,dates!$I$1,dates!$C$5),2,2)"),526.5)</f>
        <v>526.5</v>
      </c>
      <c r="J112" s="51">
        <f>IFERROR(__xludf.DUMMYFUNCTION("INDEX(GOOGLEFINANCE(""NSE:""&amp;C112,dates!$I$1,dates!$C$6),2,2)"),511.75)</f>
        <v>511.75</v>
      </c>
      <c r="K112" s="16">
        <f t="shared" si="1"/>
        <v>0.04389600603</v>
      </c>
      <c r="L112" s="16">
        <f t="shared" si="2"/>
        <v>0.03997747748</v>
      </c>
      <c r="M112" s="16">
        <f t="shared" si="3"/>
        <v>0.05242165242</v>
      </c>
      <c r="N112" s="16">
        <f t="shared" si="4"/>
        <v>0.08275525159</v>
      </c>
      <c r="O112" s="16">
        <f t="shared" si="5"/>
        <v>-0.01244417494</v>
      </c>
      <c r="P112" s="17" t="str">
        <f t="shared" si="6"/>
        <v>#N/A</v>
      </c>
      <c r="Q112" s="17" t="str">
        <f t="shared" si="7"/>
        <v>#N/A</v>
      </c>
      <c r="R112" s="17" t="str">
        <f t="shared" si="8"/>
        <v>#N/A</v>
      </c>
      <c r="S112" s="17" t="str">
        <f t="shared" si="9"/>
        <v>#N/A</v>
      </c>
    </row>
    <row r="113">
      <c r="A113" s="47">
        <v>112.0</v>
      </c>
      <c r="B113" s="48" t="s">
        <v>1598</v>
      </c>
      <c r="C113" s="48" t="s">
        <v>389</v>
      </c>
      <c r="D113" s="49">
        <f>IFERROR(__xludf.DUMMYFUNCTION("GOOGLEFINANCE(""NSE:""&amp;C113,""marketcap"")/10000000"),23756.8828943)</f>
        <v>23756.88289</v>
      </c>
      <c r="E113" s="50">
        <f>IFERROR(__xludf.DUMMYFUNCTION("GOOGLEFINANCE(""NSE:""&amp;C113,""volume"")"),1553788.0)</f>
        <v>1553788</v>
      </c>
      <c r="F113" s="9">
        <f>IFERROR(__xludf.DUMMYFUNCTION("GOOGLEFINANCE(""NSE:""&amp;C113)"),495.15)</f>
        <v>495.15</v>
      </c>
      <c r="G113" s="9">
        <f>IFERROR(__xludf.DUMMYFUNCTION("GOOGLEFINANCE(""NSE:""&amp;C113,""closeyest"")"),492.95)</f>
        <v>492.95</v>
      </c>
      <c r="H113" s="51">
        <f>IFERROR(__xludf.DUMMYFUNCTION("INDEX(GOOGLEFINANCE(""NSE:""&amp;C113,dates!$I$1,dates!$C$4),2,2)"),481.9)</f>
        <v>481.9</v>
      </c>
      <c r="I113" s="51">
        <f>IFERROR(__xludf.DUMMYFUNCTION("INDEX(GOOGLEFINANCE(""NSE:""&amp;C113,dates!$I$1,dates!$C$5),2,2)"),480.75)</f>
        <v>480.75</v>
      </c>
      <c r="J113" s="51">
        <f>IFERROR(__xludf.DUMMYFUNCTION("INDEX(GOOGLEFINANCE(""NSE:""&amp;C113,dates!$I$1,dates!$C$6),2,2)"),488.15)</f>
        <v>488.15</v>
      </c>
      <c r="K113" s="16">
        <f t="shared" si="1"/>
        <v>0.004462927275</v>
      </c>
      <c r="L113" s="16">
        <f t="shared" si="2"/>
        <v>0.02749533098</v>
      </c>
      <c r="M113" s="16">
        <f t="shared" si="3"/>
        <v>0.02995319813</v>
      </c>
      <c r="N113" s="16">
        <f t="shared" si="4"/>
        <v>0.01433985455</v>
      </c>
      <c r="O113" s="16">
        <f t="shared" si="5"/>
        <v>-0.002457867146</v>
      </c>
      <c r="P113" s="17" t="str">
        <f t="shared" si="6"/>
        <v>#N/A</v>
      </c>
      <c r="Q113" s="17" t="str">
        <f t="shared" si="7"/>
        <v>#N/A</v>
      </c>
      <c r="R113" s="17" t="str">
        <f t="shared" si="8"/>
        <v>#N/A</v>
      </c>
      <c r="S113" s="17" t="str">
        <f t="shared" si="9"/>
        <v>#N/A</v>
      </c>
      <c r="T113" s="17"/>
    </row>
    <row r="114">
      <c r="A114" s="47">
        <v>113.0</v>
      </c>
      <c r="B114" s="48" t="s">
        <v>1599</v>
      </c>
      <c r="C114" s="48" t="s">
        <v>325</v>
      </c>
      <c r="D114" s="49">
        <f>IFERROR(__xludf.DUMMYFUNCTION("GOOGLEFINANCE(""NSE:""&amp;C114,""marketcap"")/10000000"),30458.511675)</f>
        <v>30458.51168</v>
      </c>
      <c r="E114" s="50">
        <f>IFERROR(__xludf.DUMMYFUNCTION("GOOGLEFINANCE(""NSE:""&amp;C114,""volume"")"),1843034.0)</f>
        <v>1843034</v>
      </c>
      <c r="F114" s="9">
        <f>IFERROR(__xludf.DUMMYFUNCTION("GOOGLEFINANCE(""NSE:""&amp;C114)"),485.35)</f>
        <v>485.35</v>
      </c>
      <c r="G114" s="9">
        <f>IFERROR(__xludf.DUMMYFUNCTION("GOOGLEFINANCE(""NSE:""&amp;C114,""closeyest"")"),466.65)</f>
        <v>466.65</v>
      </c>
      <c r="H114" s="51">
        <f>IFERROR(__xludf.DUMMYFUNCTION("INDEX(GOOGLEFINANCE(""NSE:""&amp;C114,dates!$I$1,dates!$C$4),2,2)"),486.1)</f>
        <v>486.1</v>
      </c>
      <c r="I114" s="51">
        <f>IFERROR(__xludf.DUMMYFUNCTION("INDEX(GOOGLEFINANCE(""NSE:""&amp;C114,dates!$I$1,dates!$C$5),2,2)"),486.3)</f>
        <v>486.3</v>
      </c>
      <c r="J114" s="51">
        <f>IFERROR(__xludf.DUMMYFUNCTION("INDEX(GOOGLEFINANCE(""NSE:""&amp;C114,dates!$I$1,dates!$C$6),2,2)"),459.9)</f>
        <v>459.9</v>
      </c>
      <c r="K114" s="16">
        <f t="shared" si="1"/>
        <v>0.04007285974</v>
      </c>
      <c r="L114" s="16">
        <f t="shared" si="2"/>
        <v>-0.001542892409</v>
      </c>
      <c r="M114" s="16">
        <f t="shared" si="3"/>
        <v>-0.00195352663</v>
      </c>
      <c r="N114" s="16">
        <f t="shared" si="4"/>
        <v>0.05533811698</v>
      </c>
      <c r="O114" s="16">
        <f t="shared" si="5"/>
        <v>0.0004106342207</v>
      </c>
      <c r="P114" s="17" t="str">
        <f t="shared" si="6"/>
        <v>#N/A</v>
      </c>
      <c r="Q114" s="17" t="str">
        <f t="shared" si="7"/>
        <v>#N/A</v>
      </c>
      <c r="R114" s="17" t="str">
        <f t="shared" si="8"/>
        <v>#N/A</v>
      </c>
      <c r="S114" s="17" t="str">
        <f t="shared" si="9"/>
        <v>#N/A</v>
      </c>
      <c r="T114" s="17"/>
    </row>
    <row r="115">
      <c r="A115" s="47">
        <v>114.0</v>
      </c>
      <c r="B115" s="48" t="s">
        <v>1600</v>
      </c>
      <c r="C115" s="48" t="s">
        <v>118</v>
      </c>
      <c r="D115" s="49">
        <f>IFERROR(__xludf.DUMMYFUNCTION("GOOGLEFINANCE(""NSE:""&amp;C115,""marketcap"")/10000000"),108210.7423078)</f>
        <v>108210.7423</v>
      </c>
      <c r="E115" s="50">
        <f>IFERROR(__xludf.DUMMYFUNCTION("GOOGLEFINANCE(""NSE:""&amp;C115,""volume"")"),1.2757667E7)</f>
        <v>12757667</v>
      </c>
      <c r="F115" s="9">
        <f>IFERROR(__xludf.DUMMYFUNCTION("GOOGLEFINANCE(""NSE:""&amp;C115)"),483.8)</f>
        <v>483.8</v>
      </c>
      <c r="G115" s="9">
        <f>IFERROR(__xludf.DUMMYFUNCTION("GOOGLEFINANCE(""NSE:""&amp;C115,""closeyest"")"),463.0)</f>
        <v>463</v>
      </c>
      <c r="H115" s="51">
        <f>IFERROR(__xludf.DUMMYFUNCTION("INDEX(GOOGLEFINANCE(""NSE:""&amp;C115,dates!$I$1,dates!$C$4),2,2)"),473.05)</f>
        <v>473.05</v>
      </c>
      <c r="I115" s="51">
        <f>IFERROR(__xludf.DUMMYFUNCTION("INDEX(GOOGLEFINANCE(""NSE:""&amp;C115,dates!$I$1,dates!$C$5),2,2)"),478.35)</f>
        <v>478.35</v>
      </c>
      <c r="J115" s="51">
        <f>IFERROR(__xludf.DUMMYFUNCTION("INDEX(GOOGLEFINANCE(""NSE:""&amp;C115,dates!$I$1,dates!$C$6),2,2)"),437.9)</f>
        <v>437.9</v>
      </c>
      <c r="K115" s="16">
        <f t="shared" si="1"/>
        <v>0.04492440605</v>
      </c>
      <c r="L115" s="16">
        <f t="shared" si="2"/>
        <v>0.02272487052</v>
      </c>
      <c r="M115" s="16">
        <f t="shared" si="3"/>
        <v>0.01139333124</v>
      </c>
      <c r="N115" s="16">
        <f t="shared" si="4"/>
        <v>0.1048184517</v>
      </c>
      <c r="O115" s="16">
        <f t="shared" si="5"/>
        <v>0.01133153928</v>
      </c>
      <c r="P115" s="17" t="str">
        <f t="shared" si="6"/>
        <v>#N/A</v>
      </c>
      <c r="Q115" s="17" t="str">
        <f t="shared" si="7"/>
        <v>#N/A</v>
      </c>
      <c r="R115" s="17" t="str">
        <f t="shared" si="8"/>
        <v>#N/A</v>
      </c>
      <c r="S115" s="17" t="str">
        <f t="shared" si="9"/>
        <v>#N/A</v>
      </c>
    </row>
    <row r="116">
      <c r="A116" s="47">
        <v>115.0</v>
      </c>
      <c r="B116" s="48" t="s">
        <v>1601</v>
      </c>
      <c r="C116" s="48" t="s">
        <v>38</v>
      </c>
      <c r="D116" s="49">
        <f>IFERROR(__xludf.DUMMYFUNCTION("GOOGLEFINANCE(""NSE:""&amp;C116,""marketcap"")/10000000"),401291.3530894)</f>
        <v>401291.3531</v>
      </c>
      <c r="E116" s="50">
        <f>IFERROR(__xludf.DUMMYFUNCTION("GOOGLEFINANCE(""NSE:""&amp;C116,""volume"")"),2.051677E7)</f>
        <v>20516770</v>
      </c>
      <c r="F116" s="9">
        <f>IFERROR(__xludf.DUMMYFUNCTION("GOOGLEFINANCE(""NSE:""&amp;C116)"),450.0)</f>
        <v>450</v>
      </c>
      <c r="G116" s="9">
        <f>IFERROR(__xludf.DUMMYFUNCTION("GOOGLEFINANCE(""NSE:""&amp;C116,""closeyest"")"),438.85)</f>
        <v>438.85</v>
      </c>
      <c r="H116" s="51">
        <f>IFERROR(__xludf.DUMMYFUNCTION("INDEX(GOOGLEFINANCE(""NSE:""&amp;C116,dates!$I$1,dates!$C$4),2,2)"),454.1)</f>
        <v>454.1</v>
      </c>
      <c r="I116" s="51">
        <f>IFERROR(__xludf.DUMMYFUNCTION("INDEX(GOOGLEFINANCE(""NSE:""&amp;C116,dates!$I$1,dates!$C$5),2,2)"),432.85)</f>
        <v>432.85</v>
      </c>
      <c r="J116" s="51">
        <f>IFERROR(__xludf.DUMMYFUNCTION("INDEX(GOOGLEFINANCE(""NSE:""&amp;C116,dates!$I$1,dates!$C$6),2,2)"),412.45)</f>
        <v>412.45</v>
      </c>
      <c r="K116" s="16">
        <f t="shared" si="1"/>
        <v>0.02540731457</v>
      </c>
      <c r="L116" s="16">
        <f t="shared" si="2"/>
        <v>-0.009028848271</v>
      </c>
      <c r="M116" s="16">
        <f t="shared" si="3"/>
        <v>0.03962111586</v>
      </c>
      <c r="N116" s="16">
        <f t="shared" si="4"/>
        <v>0.09104133834</v>
      </c>
      <c r="O116" s="16">
        <f t="shared" si="5"/>
        <v>-0.04864996413</v>
      </c>
      <c r="P116" s="17" t="str">
        <f t="shared" si="6"/>
        <v>#N/A</v>
      </c>
      <c r="Q116" s="17" t="str">
        <f t="shared" si="7"/>
        <v>#N/A</v>
      </c>
      <c r="R116" s="17" t="str">
        <f t="shared" si="8"/>
        <v>#N/A</v>
      </c>
      <c r="S116" s="17" t="str">
        <f t="shared" si="9"/>
        <v>#N/A</v>
      </c>
      <c r="T116" s="17"/>
    </row>
    <row r="117">
      <c r="A117" s="47">
        <v>116.0</v>
      </c>
      <c r="B117" s="48" t="s">
        <v>1602</v>
      </c>
      <c r="C117" s="48" t="s">
        <v>993</v>
      </c>
      <c r="D117" s="49">
        <f>IFERROR(__xludf.DUMMYFUNCTION("GOOGLEFINANCE(""NSE:""&amp;C117,""marketcap"")/10000000"),7671.1860164)</f>
        <v>7671.186016</v>
      </c>
      <c r="E117" s="50">
        <f>IFERROR(__xludf.DUMMYFUNCTION("GOOGLEFINANCE(""NSE:""&amp;C117,""volume"")"),198907.0)</f>
        <v>198907</v>
      </c>
      <c r="F117" s="9">
        <f>IFERROR(__xludf.DUMMYFUNCTION("GOOGLEFINANCE(""NSE:""&amp;C117)"),433.15)</f>
        <v>433.15</v>
      </c>
      <c r="G117" s="9">
        <f>IFERROR(__xludf.DUMMYFUNCTION("GOOGLEFINANCE(""NSE:""&amp;C117,""closeyest"")"),442.5)</f>
        <v>442.5</v>
      </c>
      <c r="H117" s="51">
        <f>IFERROR(__xludf.DUMMYFUNCTION("INDEX(GOOGLEFINANCE(""NSE:""&amp;C117,dates!$I$1,dates!$C$4),2,2)"),433.8)</f>
        <v>433.8</v>
      </c>
      <c r="I117" s="51">
        <f>IFERROR(__xludf.DUMMYFUNCTION("INDEX(GOOGLEFINANCE(""NSE:""&amp;C117,dates!$I$1,dates!$C$5),2,2)"),426.8)</f>
        <v>426.8</v>
      </c>
      <c r="J117" s="51">
        <f>IFERROR(__xludf.DUMMYFUNCTION("INDEX(GOOGLEFINANCE(""NSE:""&amp;C117,dates!$I$1,dates!$C$6),2,2)"),408.15)</f>
        <v>408.15</v>
      </c>
      <c r="K117" s="16">
        <f t="shared" si="1"/>
        <v>-0.0211299435</v>
      </c>
      <c r="L117" s="16">
        <f t="shared" si="2"/>
        <v>-0.001498386353</v>
      </c>
      <c r="M117" s="16">
        <f t="shared" si="3"/>
        <v>0.01487816307</v>
      </c>
      <c r="N117" s="16">
        <f t="shared" si="4"/>
        <v>0.06125199069</v>
      </c>
      <c r="O117" s="16">
        <f t="shared" si="5"/>
        <v>-0.01637654943</v>
      </c>
      <c r="P117" s="17" t="str">
        <f t="shared" si="6"/>
        <v>#N/A</v>
      </c>
      <c r="Q117" s="17" t="str">
        <f t="shared" si="7"/>
        <v>#N/A</v>
      </c>
      <c r="R117" s="17" t="str">
        <f t="shared" si="8"/>
        <v>#N/A</v>
      </c>
      <c r="S117" s="17" t="str">
        <f t="shared" si="9"/>
        <v>#N/A</v>
      </c>
      <c r="T117" s="17"/>
    </row>
    <row r="118">
      <c r="A118" s="47">
        <v>117.0</v>
      </c>
      <c r="B118" s="48" t="s">
        <v>1603</v>
      </c>
      <c r="C118" s="48" t="s">
        <v>134</v>
      </c>
      <c r="D118" s="49">
        <f>IFERROR(__xludf.DUMMYFUNCTION("GOOGLEFINANCE(""NSE:""&amp;C118,""marketcap"")/10000000"),83307.262703)</f>
        <v>83307.2627</v>
      </c>
      <c r="E118" s="50">
        <f>IFERROR(__xludf.DUMMYFUNCTION("GOOGLEFINANCE(""NSE:""&amp;C118,""volume"")"),2177190.0)</f>
        <v>2177190</v>
      </c>
      <c r="F118" s="9">
        <f>IFERROR(__xludf.DUMMYFUNCTION("GOOGLEFINANCE(""NSE:""&amp;C118)"),418.55)</f>
        <v>418.55</v>
      </c>
      <c r="G118" s="9">
        <f>IFERROR(__xludf.DUMMYFUNCTION("GOOGLEFINANCE(""NSE:""&amp;C118,""closeyest"")"),419.5)</f>
        <v>419.5</v>
      </c>
      <c r="H118" s="51">
        <f>IFERROR(__xludf.DUMMYFUNCTION("INDEX(GOOGLEFINANCE(""NSE:""&amp;C118,dates!$I$1,dates!$C$4),2,2)"),419.8)</f>
        <v>419.8</v>
      </c>
      <c r="I118" s="51">
        <f>IFERROR(__xludf.DUMMYFUNCTION("INDEX(GOOGLEFINANCE(""NSE:""&amp;C118,dates!$I$1,dates!$C$5),2,2)"),436.25)</f>
        <v>436.25</v>
      </c>
      <c r="J118" s="51">
        <f>IFERROR(__xludf.DUMMYFUNCTION("INDEX(GOOGLEFINANCE(""NSE:""&amp;C118,dates!$I$1,dates!$C$6),2,2)"),410.05)</f>
        <v>410.05</v>
      </c>
      <c r="K118" s="16">
        <f t="shared" si="1"/>
        <v>-0.002264600715</v>
      </c>
      <c r="L118" s="16">
        <f t="shared" si="2"/>
        <v>-0.002977608385</v>
      </c>
      <c r="M118" s="16">
        <f t="shared" si="3"/>
        <v>-0.0405730659</v>
      </c>
      <c r="N118" s="16">
        <f t="shared" si="4"/>
        <v>0.02072917937</v>
      </c>
      <c r="O118" s="16">
        <f t="shared" si="5"/>
        <v>0.03759545752</v>
      </c>
      <c r="P118" s="17" t="str">
        <f t="shared" si="6"/>
        <v>#N/A</v>
      </c>
      <c r="Q118" s="17" t="str">
        <f t="shared" si="7"/>
        <v>#N/A</v>
      </c>
      <c r="R118" s="17" t="str">
        <f t="shared" si="8"/>
        <v>#N/A</v>
      </c>
      <c r="S118" s="17" t="str">
        <f t="shared" si="9"/>
        <v>#N/A</v>
      </c>
    </row>
    <row r="119">
      <c r="A119" s="47">
        <v>118.0</v>
      </c>
      <c r="B119" s="48" t="s">
        <v>1604</v>
      </c>
      <c r="C119" s="48" t="s">
        <v>858</v>
      </c>
      <c r="D119" s="49">
        <f>IFERROR(__xludf.DUMMYFUNCTION("GOOGLEFINANCE(""NSE:""&amp;C119,""marketcap"")/10000000"),12184.7116735)</f>
        <v>12184.71167</v>
      </c>
      <c r="E119" s="50">
        <f>IFERROR(__xludf.DUMMYFUNCTION("GOOGLEFINANCE(""NSE:""&amp;C119,""volume"")"),3689406.0)</f>
        <v>3689406</v>
      </c>
      <c r="F119" s="9">
        <f>IFERROR(__xludf.DUMMYFUNCTION("GOOGLEFINANCE(""NSE:""&amp;C119)"),438.1)</f>
        <v>438.1</v>
      </c>
      <c r="G119" s="9">
        <f>IFERROR(__xludf.DUMMYFUNCTION("GOOGLEFINANCE(""NSE:""&amp;C119,""closeyest"")"),434.85)</f>
        <v>434.85</v>
      </c>
      <c r="H119" s="51">
        <f>IFERROR(__xludf.DUMMYFUNCTION("INDEX(GOOGLEFINANCE(""NSE:""&amp;C119,dates!$I$1,dates!$C$4),2,2)"),420.45)</f>
        <v>420.45</v>
      </c>
      <c r="I119" s="51">
        <f>IFERROR(__xludf.DUMMYFUNCTION("INDEX(GOOGLEFINANCE(""NSE:""&amp;C119,dates!$I$1,dates!$C$5),2,2)"),408.75)</f>
        <v>408.75</v>
      </c>
      <c r="J119" s="51">
        <f>IFERROR(__xludf.DUMMYFUNCTION("INDEX(GOOGLEFINANCE(""NSE:""&amp;C119,dates!$I$1,dates!$C$6),2,2)"),407.0)</f>
        <v>407</v>
      </c>
      <c r="K119" s="16">
        <f t="shared" si="1"/>
        <v>0.007473841555</v>
      </c>
      <c r="L119" s="16">
        <f t="shared" si="2"/>
        <v>0.0419788322</v>
      </c>
      <c r="M119" s="16">
        <f t="shared" si="3"/>
        <v>0.07180428135</v>
      </c>
      <c r="N119" s="16">
        <f t="shared" si="4"/>
        <v>0.07641277641</v>
      </c>
      <c r="O119" s="16">
        <f t="shared" si="5"/>
        <v>-0.02982544914</v>
      </c>
      <c r="P119" s="17" t="str">
        <f t="shared" si="6"/>
        <v>#N/A</v>
      </c>
      <c r="Q119" s="17" t="str">
        <f t="shared" si="7"/>
        <v>#N/A</v>
      </c>
      <c r="R119" s="17" t="str">
        <f t="shared" si="8"/>
        <v>#N/A</v>
      </c>
      <c r="S119" s="17" t="str">
        <f t="shared" si="9"/>
        <v>#N/A</v>
      </c>
    </row>
    <row r="120">
      <c r="A120" s="47">
        <v>119.0</v>
      </c>
      <c r="B120" s="48" t="s">
        <v>1605</v>
      </c>
      <c r="C120" s="48" t="s">
        <v>935</v>
      </c>
      <c r="D120" s="49">
        <f>IFERROR(__xludf.DUMMYFUNCTION("GOOGLEFINANCE(""NSE:""&amp;C120,""marketcap"")/10000000"),9671.75509)</f>
        <v>9671.75509</v>
      </c>
      <c r="E120" s="50">
        <f>IFERROR(__xludf.DUMMYFUNCTION("GOOGLEFINANCE(""NSE:""&amp;C120,""volume"")"),3422675.0)</f>
        <v>3422675</v>
      </c>
      <c r="F120" s="9">
        <f>IFERROR(__xludf.DUMMYFUNCTION("GOOGLEFINANCE(""NSE:""&amp;C120)"),421.0)</f>
        <v>421</v>
      </c>
      <c r="G120" s="9">
        <f>IFERROR(__xludf.DUMMYFUNCTION("GOOGLEFINANCE(""NSE:""&amp;C120,""closeyest"")"),407.15)</f>
        <v>407.15</v>
      </c>
      <c r="H120" s="51">
        <f>IFERROR(__xludf.DUMMYFUNCTION("INDEX(GOOGLEFINANCE(""NSE:""&amp;C120,dates!$I$1,dates!$C$4),2,2)"),374.8)</f>
        <v>374.8</v>
      </c>
      <c r="I120" s="51">
        <f>IFERROR(__xludf.DUMMYFUNCTION("INDEX(GOOGLEFINANCE(""NSE:""&amp;C120,dates!$I$1,dates!$C$5),2,2)"),400.75)</f>
        <v>400.75</v>
      </c>
      <c r="J120" s="51">
        <f>IFERROR(__xludf.DUMMYFUNCTION("INDEX(GOOGLEFINANCE(""NSE:""&amp;C120,dates!$I$1,dates!$C$6),2,2)"),301.0)</f>
        <v>301</v>
      </c>
      <c r="K120" s="16">
        <f t="shared" si="1"/>
        <v>0.03401694707</v>
      </c>
      <c r="L120" s="16">
        <f t="shared" si="2"/>
        <v>0.1232657417</v>
      </c>
      <c r="M120" s="16">
        <f t="shared" si="3"/>
        <v>0.05053025577</v>
      </c>
      <c r="N120" s="16">
        <f t="shared" si="4"/>
        <v>0.3986710963</v>
      </c>
      <c r="O120" s="16">
        <f t="shared" si="5"/>
        <v>0.07273548596</v>
      </c>
      <c r="P120" s="17" t="str">
        <f t="shared" si="6"/>
        <v>#N/A</v>
      </c>
      <c r="Q120" s="17" t="str">
        <f t="shared" si="7"/>
        <v>#N/A</v>
      </c>
      <c r="R120" s="17" t="str">
        <f t="shared" si="8"/>
        <v>#N/A</v>
      </c>
      <c r="S120" s="17" t="str">
        <f t="shared" si="9"/>
        <v>#N/A</v>
      </c>
    </row>
    <row r="121">
      <c r="A121" s="47">
        <v>120.0</v>
      </c>
      <c r="B121" s="48" t="s">
        <v>1606</v>
      </c>
      <c r="C121" s="48" t="s">
        <v>939</v>
      </c>
      <c r="D121" s="49">
        <f>IFERROR(__xludf.DUMMYFUNCTION("GOOGLEFINANCE(""NSE:""&amp;C121,""marketcap"")/10000000"),9119.9657972)</f>
        <v>9119.965797</v>
      </c>
      <c r="E121" s="50">
        <f>IFERROR(__xludf.DUMMYFUNCTION("GOOGLEFINANCE(""NSE:""&amp;C121,""volume"")"),253398.0)</f>
        <v>253398</v>
      </c>
      <c r="F121" s="9">
        <f>IFERROR(__xludf.DUMMYFUNCTION("GOOGLEFINANCE(""NSE:""&amp;C121)"),353.6)</f>
        <v>353.6</v>
      </c>
      <c r="G121" s="9">
        <f>IFERROR(__xludf.DUMMYFUNCTION("GOOGLEFINANCE(""NSE:""&amp;C121,""closeyest"")"),359.55)</f>
        <v>359.55</v>
      </c>
      <c r="H121" s="51">
        <f>IFERROR(__xludf.DUMMYFUNCTION("INDEX(GOOGLEFINANCE(""NSE:""&amp;C121,dates!$I$1,dates!$C$4),2,2)"),372.65)</f>
        <v>372.65</v>
      </c>
      <c r="I121" s="51">
        <f>IFERROR(__xludf.DUMMYFUNCTION("INDEX(GOOGLEFINANCE(""NSE:""&amp;C121,dates!$I$1,dates!$C$5),2,2)"),362.25)</f>
        <v>362.25</v>
      </c>
      <c r="J121" s="51">
        <f>IFERROR(__xludf.DUMMYFUNCTION("INDEX(GOOGLEFINANCE(""NSE:""&amp;C121,dates!$I$1,dates!$C$6),2,2)"),304.45)</f>
        <v>304.45</v>
      </c>
      <c r="K121" s="16">
        <f t="shared" si="1"/>
        <v>-0.01654846336</v>
      </c>
      <c r="L121" s="16">
        <f t="shared" si="2"/>
        <v>-0.05112035422</v>
      </c>
      <c r="M121" s="16">
        <f t="shared" si="3"/>
        <v>-0.02387853692</v>
      </c>
      <c r="N121" s="16">
        <f t="shared" si="4"/>
        <v>0.1614386599</v>
      </c>
      <c r="O121" s="16">
        <f t="shared" si="5"/>
        <v>-0.0272418173</v>
      </c>
      <c r="P121" s="17" t="str">
        <f t="shared" si="6"/>
        <v>#N/A</v>
      </c>
      <c r="Q121" s="17" t="str">
        <f t="shared" si="7"/>
        <v>#N/A</v>
      </c>
      <c r="R121" s="17" t="str">
        <f t="shared" si="8"/>
        <v>#N/A</v>
      </c>
      <c r="S121" s="17" t="str">
        <f t="shared" si="9"/>
        <v>#N/A</v>
      </c>
      <c r="T121" s="17"/>
    </row>
    <row r="122">
      <c r="A122" s="47">
        <v>121.0</v>
      </c>
      <c r="B122" s="48" t="s">
        <v>1607</v>
      </c>
      <c r="C122" s="48" t="s">
        <v>141</v>
      </c>
      <c r="D122" s="49">
        <f>IFERROR(__xludf.DUMMYFUNCTION("GOOGLEFINANCE(""NSE:""&amp;C122,""marketcap"")/10000000"),99480.0957361)</f>
        <v>99480.09574</v>
      </c>
      <c r="E122" s="50">
        <f>IFERROR(__xludf.DUMMYFUNCTION("GOOGLEFINANCE(""NSE:""&amp;C122,""volume"")"),7.6461998E7)</f>
        <v>76461998</v>
      </c>
      <c r="F122" s="9">
        <f>IFERROR(__xludf.DUMMYFUNCTION("GOOGLEFINANCE(""NSE:""&amp;C122)"),402.9)</f>
        <v>402.9</v>
      </c>
      <c r="G122" s="9">
        <f>IFERROR(__xludf.DUMMYFUNCTION("GOOGLEFINANCE(""NSE:""&amp;C122,""closeyest"")"),369.05)</f>
        <v>369.05</v>
      </c>
      <c r="H122" s="51">
        <f>IFERROR(__xludf.DUMMYFUNCTION("INDEX(GOOGLEFINANCE(""NSE:""&amp;C122,dates!$I$1,dates!$C$4),2,2)"),334.75)</f>
        <v>334.75</v>
      </c>
      <c r="I122" s="51">
        <f>IFERROR(__xludf.DUMMYFUNCTION("INDEX(GOOGLEFINANCE(""NSE:""&amp;C122,dates!$I$1,dates!$C$5),2,2)"),339.65)</f>
        <v>339.65</v>
      </c>
      <c r="J122" s="51">
        <f>IFERROR(__xludf.DUMMYFUNCTION("INDEX(GOOGLEFINANCE(""NSE:""&amp;C122,dates!$I$1,dates!$C$6),2,2)"),311.8)</f>
        <v>311.8</v>
      </c>
      <c r="K122" s="16">
        <f t="shared" si="1"/>
        <v>0.09172198889</v>
      </c>
      <c r="L122" s="16">
        <f t="shared" si="2"/>
        <v>0.2035847647</v>
      </c>
      <c r="M122" s="16">
        <f t="shared" si="3"/>
        <v>0.18622111</v>
      </c>
      <c r="N122" s="16">
        <f t="shared" si="4"/>
        <v>0.2921744708</v>
      </c>
      <c r="O122" s="16">
        <f t="shared" si="5"/>
        <v>0.01736365478</v>
      </c>
      <c r="P122" s="17" t="str">
        <f t="shared" si="6"/>
        <v>#N/A</v>
      </c>
      <c r="Q122" s="17" t="str">
        <f t="shared" si="7"/>
        <v>#N/A</v>
      </c>
      <c r="R122" s="17" t="str">
        <f t="shared" si="8"/>
        <v>#N/A</v>
      </c>
      <c r="S122" s="17" t="str">
        <f t="shared" si="9"/>
        <v>#N/A</v>
      </c>
      <c r="T122" s="17"/>
    </row>
    <row r="123">
      <c r="A123" s="47">
        <v>122.0</v>
      </c>
      <c r="B123" s="48" t="s">
        <v>1608</v>
      </c>
      <c r="C123" s="48" t="s">
        <v>229</v>
      </c>
      <c r="D123" s="49">
        <f>IFERROR(__xludf.DUMMYFUNCTION("GOOGLEFINANCE(""NSE:""&amp;C123,""marketcap"")/10000000"),57193.5893556)</f>
        <v>57193.58936</v>
      </c>
      <c r="E123" s="50">
        <f>IFERROR(__xludf.DUMMYFUNCTION("GOOGLEFINANCE(""NSE:""&amp;C123,""volume"")"),1117244.0)</f>
        <v>1117244</v>
      </c>
      <c r="F123" s="9">
        <f>IFERROR(__xludf.DUMMYFUNCTION("GOOGLEFINANCE(""NSE:""&amp;C123)"),349.0)</f>
        <v>349</v>
      </c>
      <c r="G123" s="9">
        <f>IFERROR(__xludf.DUMMYFUNCTION("GOOGLEFINANCE(""NSE:""&amp;C123,""closeyest"")"),339.7)</f>
        <v>339.7</v>
      </c>
      <c r="H123" s="51">
        <f>IFERROR(__xludf.DUMMYFUNCTION("INDEX(GOOGLEFINANCE(""NSE:""&amp;C123,dates!$I$1,dates!$C$4),2,2)"),323.45)</f>
        <v>323.45</v>
      </c>
      <c r="I123" s="51">
        <f>IFERROR(__xludf.DUMMYFUNCTION("INDEX(GOOGLEFINANCE(""NSE:""&amp;C123,dates!$I$1,dates!$C$5),2,2)"),293.15)</f>
        <v>293.15</v>
      </c>
      <c r="J123" s="51">
        <f>IFERROR(__xludf.DUMMYFUNCTION("INDEX(GOOGLEFINANCE(""NSE:""&amp;C123,dates!$I$1,dates!$C$6),2,2)"),249.2)</f>
        <v>249.2</v>
      </c>
      <c r="K123" s="16">
        <f t="shared" si="1"/>
        <v>0.02737709744</v>
      </c>
      <c r="L123" s="16">
        <f t="shared" si="2"/>
        <v>0.07899211625</v>
      </c>
      <c r="M123" s="16">
        <f t="shared" si="3"/>
        <v>0.1905168003</v>
      </c>
      <c r="N123" s="16">
        <f t="shared" si="4"/>
        <v>0.4004815409</v>
      </c>
      <c r="O123" s="16">
        <f t="shared" si="5"/>
        <v>-0.111524684</v>
      </c>
      <c r="P123" s="17" t="str">
        <f t="shared" si="6"/>
        <v>#N/A</v>
      </c>
      <c r="Q123" s="17" t="str">
        <f t="shared" si="7"/>
        <v>#N/A</v>
      </c>
      <c r="R123" s="17" t="str">
        <f t="shared" si="8"/>
        <v>#N/A</v>
      </c>
      <c r="S123" s="17" t="str">
        <f t="shared" si="9"/>
        <v>#N/A</v>
      </c>
      <c r="T123" s="17"/>
    </row>
    <row r="124">
      <c r="A124" s="47">
        <v>123.0</v>
      </c>
      <c r="B124" s="48" t="s">
        <v>1609</v>
      </c>
      <c r="C124" s="48" t="s">
        <v>1141</v>
      </c>
      <c r="D124" s="49">
        <f>IFERROR(__xludf.DUMMYFUNCTION("GOOGLEFINANCE(""NSE:""&amp;C124,""marketcap"")/10000000"),4906.5234525)</f>
        <v>4906.523453</v>
      </c>
      <c r="E124" s="50">
        <f>IFERROR(__xludf.DUMMYFUNCTION("GOOGLEFINANCE(""NSE:""&amp;C124,""volume"")"),907704.0)</f>
        <v>907704</v>
      </c>
      <c r="F124" s="9">
        <f>IFERROR(__xludf.DUMMYFUNCTION("GOOGLEFINANCE(""NSE:""&amp;C124)"),293.8)</f>
        <v>293.8</v>
      </c>
      <c r="G124" s="9">
        <f>IFERROR(__xludf.DUMMYFUNCTION("GOOGLEFINANCE(""NSE:""&amp;C124,""closeyest"")"),298.1)</f>
        <v>298.1</v>
      </c>
      <c r="H124" s="51">
        <f>IFERROR(__xludf.DUMMYFUNCTION("INDEX(GOOGLEFINANCE(""NSE:""&amp;C124,dates!$I$1,dates!$C$4),2,2)"),296.8)</f>
        <v>296.8</v>
      </c>
      <c r="I124" s="51">
        <f>IFERROR(__xludf.DUMMYFUNCTION("INDEX(GOOGLEFINANCE(""NSE:""&amp;C124,dates!$I$1,dates!$C$5),2,2)"),290.55)</f>
        <v>290.55</v>
      </c>
      <c r="J124" s="51">
        <f>IFERROR(__xludf.DUMMYFUNCTION("INDEX(GOOGLEFINANCE(""NSE:""&amp;C124,dates!$I$1,dates!$C$6),2,2)"),277.55)</f>
        <v>277.55</v>
      </c>
      <c r="K124" s="16">
        <f t="shared" si="1"/>
        <v>-0.0144246897</v>
      </c>
      <c r="L124" s="16">
        <f t="shared" si="2"/>
        <v>-0.01010781671</v>
      </c>
      <c r="M124" s="16">
        <f t="shared" si="3"/>
        <v>0.01118568233</v>
      </c>
      <c r="N124" s="16">
        <f t="shared" si="4"/>
        <v>0.05854800937</v>
      </c>
      <c r="O124" s="16">
        <f t="shared" si="5"/>
        <v>-0.02129349904</v>
      </c>
      <c r="P124" s="17" t="str">
        <f t="shared" si="6"/>
        <v>#N/A</v>
      </c>
      <c r="Q124" s="17" t="str">
        <f t="shared" si="7"/>
        <v>#N/A</v>
      </c>
      <c r="R124" s="17" t="str">
        <f t="shared" si="8"/>
        <v>#N/A</v>
      </c>
      <c r="S124" s="17" t="str">
        <f t="shared" si="9"/>
        <v>#N/A</v>
      </c>
      <c r="T124" s="17"/>
    </row>
    <row r="125">
      <c r="A125" s="47">
        <v>124.0</v>
      </c>
      <c r="B125" s="48" t="s">
        <v>1610</v>
      </c>
      <c r="C125" s="48" t="s">
        <v>1047</v>
      </c>
      <c r="D125" s="49">
        <f>IFERROR(__xludf.DUMMYFUNCTION("GOOGLEFINANCE(""NSE:""&amp;C125,""marketcap"")/10000000"),6711.159985)</f>
        <v>6711.159985</v>
      </c>
      <c r="E125" s="50">
        <f>IFERROR(__xludf.DUMMYFUNCTION("GOOGLEFINANCE(""NSE:""&amp;C125,""volume"")"),357670.0)</f>
        <v>357670</v>
      </c>
      <c r="F125" s="9">
        <f>IFERROR(__xludf.DUMMYFUNCTION("GOOGLEFINANCE(""NSE:""&amp;C125)"),284.45)</f>
        <v>284.45</v>
      </c>
      <c r="G125" s="9">
        <f>IFERROR(__xludf.DUMMYFUNCTION("GOOGLEFINANCE(""NSE:""&amp;C125,""closeyest"")"),280.6)</f>
        <v>280.6</v>
      </c>
      <c r="H125" s="51">
        <f>IFERROR(__xludf.DUMMYFUNCTION("INDEX(GOOGLEFINANCE(""NSE:""&amp;C125,dates!$I$1,dates!$C$4),2,2)"),297.2)</f>
        <v>297.2</v>
      </c>
      <c r="I125" s="51">
        <f>IFERROR(__xludf.DUMMYFUNCTION("INDEX(GOOGLEFINANCE(""NSE:""&amp;C125,dates!$I$1,dates!$C$5),2,2)"),295.8)</f>
        <v>295.8</v>
      </c>
      <c r="J125" s="51">
        <f>IFERROR(__xludf.DUMMYFUNCTION("INDEX(GOOGLEFINANCE(""NSE:""&amp;C125,dates!$I$1,dates!$C$6),2,2)"),274.85)</f>
        <v>274.85</v>
      </c>
      <c r="K125" s="16">
        <f t="shared" si="1"/>
        <v>0.01372059872</v>
      </c>
      <c r="L125" s="16">
        <f t="shared" si="2"/>
        <v>-0.04290040377</v>
      </c>
      <c r="M125" s="16">
        <f t="shared" si="3"/>
        <v>-0.03837052062</v>
      </c>
      <c r="N125" s="16">
        <f t="shared" si="4"/>
        <v>0.03492814262</v>
      </c>
      <c r="O125" s="16">
        <f t="shared" si="5"/>
        <v>-0.004529883146</v>
      </c>
      <c r="P125" s="17" t="str">
        <f t="shared" si="6"/>
        <v>#N/A</v>
      </c>
      <c r="Q125" s="17" t="str">
        <f t="shared" si="7"/>
        <v>#N/A</v>
      </c>
      <c r="R125" s="17" t="str">
        <f t="shared" si="8"/>
        <v>#N/A</v>
      </c>
      <c r="S125" s="17" t="str">
        <f t="shared" si="9"/>
        <v>#N/A</v>
      </c>
      <c r="T125" s="17"/>
    </row>
    <row r="126">
      <c r="A126" s="47">
        <v>125.0</v>
      </c>
      <c r="B126" s="48" t="s">
        <v>1611</v>
      </c>
      <c r="C126" s="48" t="s">
        <v>1095</v>
      </c>
      <c r="D126" s="49">
        <f>IFERROR(__xludf.DUMMYFUNCTION("GOOGLEFINANCE(""NSE:""&amp;C126,""marketcap"")/10000000"),5839.8198636)</f>
        <v>5839.819864</v>
      </c>
      <c r="E126" s="50">
        <f>IFERROR(__xludf.DUMMYFUNCTION("GOOGLEFINANCE(""NSE:""&amp;C126,""volume"")"),124098.0)</f>
        <v>124098</v>
      </c>
      <c r="F126" s="9">
        <f>IFERROR(__xludf.DUMMYFUNCTION("GOOGLEFINANCE(""NSE:""&amp;C126)"),257.7)</f>
        <v>257.7</v>
      </c>
      <c r="G126" s="9">
        <f>IFERROR(__xludf.DUMMYFUNCTION("GOOGLEFINANCE(""NSE:""&amp;C126,""closeyest"")"),256.65)</f>
        <v>256.65</v>
      </c>
      <c r="H126" s="51">
        <f>IFERROR(__xludf.DUMMYFUNCTION("INDEX(GOOGLEFINANCE(""NSE:""&amp;C126,dates!$I$1,dates!$C$4),2,2)"),265.7)</f>
        <v>265.7</v>
      </c>
      <c r="I126" s="51">
        <f>IFERROR(__xludf.DUMMYFUNCTION("INDEX(GOOGLEFINANCE(""NSE:""&amp;C126,dates!$I$1,dates!$C$5),2,2)"),263.95)</f>
        <v>263.95</v>
      </c>
      <c r="J126" s="51">
        <f>IFERROR(__xludf.DUMMYFUNCTION("INDEX(GOOGLEFINANCE(""NSE:""&amp;C126,dates!$I$1,dates!$C$6),2,2)"),255.7)</f>
        <v>255.7</v>
      </c>
      <c r="K126" s="16">
        <f t="shared" si="1"/>
        <v>0.004091174752</v>
      </c>
      <c r="L126" s="16">
        <f t="shared" si="2"/>
        <v>-0.03010914565</v>
      </c>
      <c r="M126" s="16">
        <f t="shared" si="3"/>
        <v>-0.02367872703</v>
      </c>
      <c r="N126" s="16">
        <f t="shared" si="4"/>
        <v>0.007821666015</v>
      </c>
      <c r="O126" s="16">
        <f t="shared" si="5"/>
        <v>-0.006430418621</v>
      </c>
      <c r="P126" s="17" t="str">
        <f t="shared" si="6"/>
        <v>#N/A</v>
      </c>
      <c r="Q126" s="17" t="str">
        <f t="shared" si="7"/>
        <v>#N/A</v>
      </c>
      <c r="R126" s="17" t="str">
        <f t="shared" si="8"/>
        <v>#N/A</v>
      </c>
      <c r="S126" s="17" t="str">
        <f t="shared" si="9"/>
        <v>#N/A</v>
      </c>
      <c r="T126" s="17"/>
    </row>
    <row r="127">
      <c r="A127" s="47">
        <v>126.0</v>
      </c>
      <c r="B127" s="48" t="s">
        <v>1612</v>
      </c>
      <c r="C127" s="48" t="s">
        <v>1135</v>
      </c>
      <c r="D127" s="49">
        <f>IFERROR(__xludf.DUMMYFUNCTION("GOOGLEFINANCE(""NSE:""&amp;C127,""marketcap"")/10000000"),5107.61209)</f>
        <v>5107.61209</v>
      </c>
      <c r="E127" s="50">
        <f>IFERROR(__xludf.DUMMYFUNCTION("GOOGLEFINANCE(""NSE:""&amp;C127,""volume"")"),359972.0)</f>
        <v>359972</v>
      </c>
      <c r="F127" s="9">
        <f>IFERROR(__xludf.DUMMYFUNCTION("GOOGLEFINANCE(""NSE:""&amp;C127)"),259.6)</f>
        <v>259.6</v>
      </c>
      <c r="G127" s="9">
        <f>IFERROR(__xludf.DUMMYFUNCTION("GOOGLEFINANCE(""NSE:""&amp;C127,""closeyest"")"),263.45)</f>
        <v>263.45</v>
      </c>
      <c r="H127" s="51">
        <f>IFERROR(__xludf.DUMMYFUNCTION("INDEX(GOOGLEFINANCE(""NSE:""&amp;C127,dates!$I$1,dates!$C$4),2,2)"),268.85)</f>
        <v>268.85</v>
      </c>
      <c r="I127" s="51">
        <f>IFERROR(__xludf.DUMMYFUNCTION("INDEX(GOOGLEFINANCE(""NSE:""&amp;C127,dates!$I$1,dates!$C$5),2,2)"),276.3)</f>
        <v>276.3</v>
      </c>
      <c r="J127" s="51">
        <f>IFERROR(__xludf.DUMMYFUNCTION("INDEX(GOOGLEFINANCE(""NSE:""&amp;C127,dates!$I$1,dates!$C$6),2,2)"),228.0)</f>
        <v>228</v>
      </c>
      <c r="K127" s="16">
        <f t="shared" si="1"/>
        <v>-0.01461377871</v>
      </c>
      <c r="L127" s="16">
        <f t="shared" si="2"/>
        <v>-0.03440580249</v>
      </c>
      <c r="M127" s="16">
        <f t="shared" si="3"/>
        <v>-0.06044154904</v>
      </c>
      <c r="N127" s="16">
        <f t="shared" si="4"/>
        <v>0.1385964912</v>
      </c>
      <c r="O127" s="16">
        <f t="shared" si="5"/>
        <v>0.02603574655</v>
      </c>
      <c r="P127" s="17" t="str">
        <f t="shared" si="6"/>
        <v>#N/A</v>
      </c>
      <c r="Q127" s="17" t="str">
        <f t="shared" si="7"/>
        <v>#N/A</v>
      </c>
      <c r="R127" s="17" t="str">
        <f t="shared" si="8"/>
        <v>#N/A</v>
      </c>
      <c r="S127" s="17" t="str">
        <f t="shared" si="9"/>
        <v>#N/A</v>
      </c>
      <c r="T127" s="17"/>
    </row>
    <row r="128">
      <c r="A128" s="47">
        <v>127.0</v>
      </c>
      <c r="B128" s="48" t="s">
        <v>1613</v>
      </c>
      <c r="C128" s="48" t="s">
        <v>214</v>
      </c>
      <c r="D128" s="49">
        <f>IFERROR(__xludf.DUMMYFUNCTION("GOOGLEFINANCE(""NSE:""&amp;C128,""marketcap"")/10000000"),50498.0412214)</f>
        <v>50498.04122</v>
      </c>
      <c r="E128" s="50">
        <f>IFERROR(__xludf.DUMMYFUNCTION("GOOGLEFINANCE(""NSE:""&amp;C128,""volume"")"),6459882.0)</f>
        <v>6459882</v>
      </c>
      <c r="F128" s="9">
        <f>IFERROR(__xludf.DUMMYFUNCTION("GOOGLEFINANCE(""NSE:""&amp;C128)"),207.4)</f>
        <v>207.4</v>
      </c>
      <c r="G128" s="9">
        <f>IFERROR(__xludf.DUMMYFUNCTION("GOOGLEFINANCE(""NSE:""&amp;C128,""closeyest"")"),205.95)</f>
        <v>205.95</v>
      </c>
      <c r="H128" s="51">
        <f>IFERROR(__xludf.DUMMYFUNCTION("INDEX(GOOGLEFINANCE(""NSE:""&amp;C128,dates!$I$1,dates!$C$4),2,2)"),205.3)</f>
        <v>205.3</v>
      </c>
      <c r="I128" s="51">
        <f>IFERROR(__xludf.DUMMYFUNCTION("INDEX(GOOGLEFINANCE(""NSE:""&amp;C128,dates!$I$1,dates!$C$5),2,2)"),196.5)</f>
        <v>196.5</v>
      </c>
      <c r="J128" s="51">
        <f>IFERROR(__xludf.DUMMYFUNCTION("INDEX(GOOGLEFINANCE(""NSE:""&amp;C128,dates!$I$1,dates!$C$6),2,2)"),185.3)</f>
        <v>185.3</v>
      </c>
      <c r="K128" s="16">
        <f t="shared" si="1"/>
        <v>0.007040543821</v>
      </c>
      <c r="L128" s="16">
        <f t="shared" si="2"/>
        <v>0.01022893327</v>
      </c>
      <c r="M128" s="16">
        <f t="shared" si="3"/>
        <v>0.05547073791</v>
      </c>
      <c r="N128" s="16">
        <f t="shared" si="4"/>
        <v>0.119266055</v>
      </c>
      <c r="O128" s="16">
        <f t="shared" si="5"/>
        <v>-0.04524180465</v>
      </c>
      <c r="P128" s="17" t="str">
        <f t="shared" si="6"/>
        <v>#N/A</v>
      </c>
      <c r="Q128" s="17" t="str">
        <f t="shared" si="7"/>
        <v>#N/A</v>
      </c>
      <c r="R128" s="17" t="str">
        <f t="shared" si="8"/>
        <v>#N/A</v>
      </c>
      <c r="S128" s="17" t="str">
        <f t="shared" si="9"/>
        <v>#N/A</v>
      </c>
    </row>
    <row r="129">
      <c r="A129" s="47">
        <v>128.0</v>
      </c>
      <c r="B129" s="48" t="s">
        <v>1614</v>
      </c>
      <c r="C129" s="48" t="s">
        <v>860</v>
      </c>
      <c r="D129" s="49">
        <f>IFERROR(__xludf.DUMMYFUNCTION("GOOGLEFINANCE(""NSE:""&amp;C129,""marketcap"")/10000000"),11952.5239867)</f>
        <v>11952.52399</v>
      </c>
      <c r="E129" s="50">
        <f>IFERROR(__xludf.DUMMYFUNCTION("GOOGLEFINANCE(""NSE:""&amp;C129,""volume"")"),720916.0)</f>
        <v>720916</v>
      </c>
      <c r="F129" s="9">
        <f>IFERROR(__xludf.DUMMYFUNCTION("GOOGLEFINANCE(""NSE:""&amp;C129)"),193.3)</f>
        <v>193.3</v>
      </c>
      <c r="G129" s="9">
        <f>IFERROR(__xludf.DUMMYFUNCTION("GOOGLEFINANCE(""NSE:""&amp;C129,""closeyest"")"),194.7)</f>
        <v>194.7</v>
      </c>
      <c r="H129" s="51">
        <f>IFERROR(__xludf.DUMMYFUNCTION("INDEX(GOOGLEFINANCE(""NSE:""&amp;C129,dates!$I$1,dates!$C$4),2,2)"),189.4)</f>
        <v>189.4</v>
      </c>
      <c r="I129" s="51">
        <f>IFERROR(__xludf.DUMMYFUNCTION("INDEX(GOOGLEFINANCE(""NSE:""&amp;C129,dates!$I$1,dates!$C$5),2,2)"),181.95)</f>
        <v>181.95</v>
      </c>
      <c r="J129" s="51">
        <f>IFERROR(__xludf.DUMMYFUNCTION("INDEX(GOOGLEFINANCE(""NSE:""&amp;C129,dates!$I$1,dates!$C$6),2,2)"),168.75)</f>
        <v>168.75</v>
      </c>
      <c r="K129" s="16">
        <f t="shared" si="1"/>
        <v>-0.007190549563</v>
      </c>
      <c r="L129" s="16">
        <f t="shared" si="2"/>
        <v>0.02059134108</v>
      </c>
      <c r="M129" s="16">
        <f t="shared" si="3"/>
        <v>0.06237977466</v>
      </c>
      <c r="N129" s="16">
        <f t="shared" si="4"/>
        <v>0.1454814815</v>
      </c>
      <c r="O129" s="16">
        <f t="shared" si="5"/>
        <v>-0.04178843359</v>
      </c>
      <c r="P129" s="17" t="str">
        <f t="shared" si="6"/>
        <v>#N/A</v>
      </c>
      <c r="Q129" s="17" t="str">
        <f t="shared" si="7"/>
        <v>#N/A</v>
      </c>
      <c r="R129" s="17" t="str">
        <f t="shared" si="8"/>
        <v>#N/A</v>
      </c>
      <c r="S129" s="17" t="str">
        <f t="shared" si="9"/>
        <v>#N/A</v>
      </c>
      <c r="T129" s="17"/>
    </row>
    <row r="130">
      <c r="A130" s="47">
        <v>129.0</v>
      </c>
      <c r="B130" s="48" t="s">
        <v>1615</v>
      </c>
      <c r="C130" s="48" t="s">
        <v>93</v>
      </c>
      <c r="D130" s="49">
        <f>IFERROR(__xludf.DUMMYFUNCTION("GOOGLEFINANCE(""NSE:""&amp;C130,""marketcap"")/10000000"),124302.5346912)</f>
        <v>124302.5347</v>
      </c>
      <c r="E130" s="50">
        <f>IFERROR(__xludf.DUMMYFUNCTION("GOOGLEFINANCE(""NSE:""&amp;C130,""volume"")"),7721935.0)</f>
        <v>7721935</v>
      </c>
      <c r="F130" s="9">
        <f>IFERROR(__xludf.DUMMYFUNCTION("GOOGLEFINANCE(""NSE:""&amp;C130)"),178.2)</f>
        <v>178.2</v>
      </c>
      <c r="G130" s="9">
        <f>IFERROR(__xludf.DUMMYFUNCTION("GOOGLEFINANCE(""NSE:""&amp;C130,""closeyest"")"),176.75)</f>
        <v>176.75</v>
      </c>
      <c r="H130" s="51">
        <f>IFERROR(__xludf.DUMMYFUNCTION("INDEX(GOOGLEFINANCE(""NSE:""&amp;C130,dates!$I$1,dates!$C$4),2,2)"),178.8)</f>
        <v>178.8</v>
      </c>
      <c r="I130" s="51">
        <f>IFERROR(__xludf.DUMMYFUNCTION("INDEX(GOOGLEFINANCE(""NSE:""&amp;C130,dates!$I$1,dates!$C$5),2,2)"),173.9)</f>
        <v>173.9</v>
      </c>
      <c r="J130" s="51">
        <f>IFERROR(__xludf.DUMMYFUNCTION("INDEX(GOOGLEFINANCE(""NSE:""&amp;C130,dates!$I$1,dates!$C$6),2,2)"),174.35)</f>
        <v>174.35</v>
      </c>
      <c r="K130" s="16">
        <f t="shared" si="1"/>
        <v>0.008203677511</v>
      </c>
      <c r="L130" s="16">
        <f t="shared" si="2"/>
        <v>-0.003355704698</v>
      </c>
      <c r="M130" s="16">
        <f t="shared" si="3"/>
        <v>0.02472685451</v>
      </c>
      <c r="N130" s="16">
        <f t="shared" si="4"/>
        <v>0.02208201893</v>
      </c>
      <c r="O130" s="16">
        <f t="shared" si="5"/>
        <v>-0.02808255921</v>
      </c>
      <c r="P130" s="17" t="str">
        <f t="shared" si="6"/>
        <v>#N/A</v>
      </c>
      <c r="Q130" s="17" t="str">
        <f t="shared" si="7"/>
        <v>#N/A</v>
      </c>
      <c r="R130" s="17" t="str">
        <f t="shared" si="8"/>
        <v>#N/A</v>
      </c>
      <c r="S130" s="17" t="str">
        <f t="shared" si="9"/>
        <v>#N/A</v>
      </c>
      <c r="T130" s="17"/>
    </row>
    <row r="131">
      <c r="A131" s="47">
        <v>130.0</v>
      </c>
      <c r="B131" s="48" t="s">
        <v>1616</v>
      </c>
      <c r="C131" s="48" t="s">
        <v>977</v>
      </c>
      <c r="D131" s="49">
        <f>IFERROR(__xludf.DUMMYFUNCTION("GOOGLEFINANCE(""NSE:""&amp;C131,""marketcap"")/10000000"),8202.3066574)</f>
        <v>8202.306657</v>
      </c>
      <c r="E131" s="50">
        <f>IFERROR(__xludf.DUMMYFUNCTION("GOOGLEFINANCE(""NSE:""&amp;C131,""volume"")"),1419055.0)</f>
        <v>1419055</v>
      </c>
      <c r="F131" s="9">
        <f>IFERROR(__xludf.DUMMYFUNCTION("GOOGLEFINANCE(""NSE:""&amp;C131)"),162.25)</f>
        <v>162.25</v>
      </c>
      <c r="G131" s="9">
        <f>IFERROR(__xludf.DUMMYFUNCTION("GOOGLEFINANCE(""NSE:""&amp;C131,""closeyest"")"),161.15)</f>
        <v>161.15</v>
      </c>
      <c r="H131" s="51">
        <f>IFERROR(__xludf.DUMMYFUNCTION("INDEX(GOOGLEFINANCE(""NSE:""&amp;C131,dates!$I$1,dates!$C$4),2,2)"),163.8)</f>
        <v>163.8</v>
      </c>
      <c r="I131" s="51">
        <f>IFERROR(__xludf.DUMMYFUNCTION("INDEX(GOOGLEFINANCE(""NSE:""&amp;C131,dates!$I$1,dates!$C$5),2,2)"),163.5)</f>
        <v>163.5</v>
      </c>
      <c r="J131" s="51">
        <f>IFERROR(__xludf.DUMMYFUNCTION("INDEX(GOOGLEFINANCE(""NSE:""&amp;C131,dates!$I$1,dates!$C$6),2,2)"),146.6)</f>
        <v>146.6</v>
      </c>
      <c r="K131" s="16">
        <f t="shared" si="1"/>
        <v>0.006825938567</v>
      </c>
      <c r="L131" s="16">
        <f t="shared" si="2"/>
        <v>-0.009462759463</v>
      </c>
      <c r="M131" s="16">
        <f t="shared" si="3"/>
        <v>-0.007645259939</v>
      </c>
      <c r="N131" s="16">
        <f t="shared" si="4"/>
        <v>0.1067530696</v>
      </c>
      <c r="O131" s="16">
        <f t="shared" si="5"/>
        <v>-0.001817499524</v>
      </c>
      <c r="P131" s="17" t="str">
        <f t="shared" si="6"/>
        <v>#N/A</v>
      </c>
      <c r="Q131" s="17" t="str">
        <f t="shared" si="7"/>
        <v>#N/A</v>
      </c>
      <c r="R131" s="17" t="str">
        <f t="shared" si="8"/>
        <v>#N/A</v>
      </c>
      <c r="S131" s="17" t="str">
        <f t="shared" si="9"/>
        <v>#N/A</v>
      </c>
      <c r="T131" s="17"/>
    </row>
    <row r="132">
      <c r="A132" s="47">
        <v>131.0</v>
      </c>
      <c r="B132" s="48" t="s">
        <v>1617</v>
      </c>
      <c r="C132" s="48" t="s">
        <v>473</v>
      </c>
      <c r="D132" s="49">
        <f>IFERROR(__xludf.DUMMYFUNCTION("GOOGLEFINANCE(""NSE:""&amp;C132,""marketcap"")/10000000"),21865.215963)</f>
        <v>21865.21596</v>
      </c>
      <c r="E132" s="50">
        <f>IFERROR(__xludf.DUMMYFUNCTION("GOOGLEFINANCE(""NSE:""&amp;C132,""volume"")"),2.4600021E7)</f>
        <v>24600021</v>
      </c>
      <c r="F132" s="9">
        <f>IFERROR(__xludf.DUMMYFUNCTION("GOOGLEFINANCE(""NSE:""&amp;C132)"),185.0)</f>
        <v>185</v>
      </c>
      <c r="G132" s="9">
        <f>IFERROR(__xludf.DUMMYFUNCTION("GOOGLEFINANCE(""NSE:""&amp;C132,""closeyest"")"),173.1)</f>
        <v>173.1</v>
      </c>
      <c r="H132" s="51">
        <f>IFERROR(__xludf.DUMMYFUNCTION("INDEX(GOOGLEFINANCE(""NSE:""&amp;C132,dates!$I$1,dates!$C$4),2,2)"),149.05)</f>
        <v>149.05</v>
      </c>
      <c r="I132" s="51">
        <f>IFERROR(__xludf.DUMMYFUNCTION("INDEX(GOOGLEFINANCE(""NSE:""&amp;C132,dates!$I$1,dates!$C$5),2,2)"),154.1)</f>
        <v>154.1</v>
      </c>
      <c r="J132" s="51">
        <f>IFERROR(__xludf.DUMMYFUNCTION("INDEX(GOOGLEFINANCE(""NSE:""&amp;C132,dates!$I$1,dates!$C$6),2,2)"),140.15)</f>
        <v>140.15</v>
      </c>
      <c r="K132" s="16">
        <f t="shared" si="1"/>
        <v>0.06874638937</v>
      </c>
      <c r="L132" s="16">
        <f t="shared" si="2"/>
        <v>0.2411942301</v>
      </c>
      <c r="M132" s="16">
        <f t="shared" si="3"/>
        <v>0.2005191434</v>
      </c>
      <c r="N132" s="16">
        <f t="shared" si="4"/>
        <v>0.3200142704</v>
      </c>
      <c r="O132" s="16">
        <f t="shared" si="5"/>
        <v>0.04067508671</v>
      </c>
      <c r="P132" s="17" t="str">
        <f t="shared" si="6"/>
        <v>#N/A</v>
      </c>
      <c r="Q132" s="17" t="str">
        <f t="shared" si="7"/>
        <v>#N/A</v>
      </c>
      <c r="R132" s="17" t="str">
        <f t="shared" si="8"/>
        <v>#N/A</v>
      </c>
      <c r="S132" s="17" t="str">
        <f t="shared" si="9"/>
        <v>#N/A</v>
      </c>
      <c r="T132" s="17"/>
    </row>
    <row r="133">
      <c r="A133" s="47">
        <v>132.0</v>
      </c>
      <c r="B133" s="48" t="s">
        <v>1618</v>
      </c>
      <c r="C133" s="48" t="s">
        <v>237</v>
      </c>
      <c r="D133" s="49">
        <f>IFERROR(__xludf.DUMMYFUNCTION("GOOGLEFINANCE(""NSE:""&amp;C133,""marketcap"")/10000000"),45901.0427847)</f>
        <v>45901.04278</v>
      </c>
      <c r="E133" s="50">
        <f>IFERROR(__xludf.DUMMYFUNCTION("GOOGLEFINANCE(""NSE:""&amp;C133,""volume"")"),4.2890085E7)</f>
        <v>42890085</v>
      </c>
      <c r="F133" s="9">
        <f>IFERROR(__xludf.DUMMYFUNCTION("GOOGLEFINANCE(""NSE:""&amp;C133)"),144.05)</f>
        <v>144.05</v>
      </c>
      <c r="G133" s="9">
        <f>IFERROR(__xludf.DUMMYFUNCTION("GOOGLEFINANCE(""NSE:""&amp;C133,""closeyest"")"),137.85)</f>
        <v>137.85</v>
      </c>
      <c r="H133" s="51">
        <f>IFERROR(__xludf.DUMMYFUNCTION("INDEX(GOOGLEFINANCE(""NSE:""&amp;C133,dates!$I$1,dates!$C$4),2,2)"),137.9)</f>
        <v>137.9</v>
      </c>
      <c r="I133" s="51">
        <f>IFERROR(__xludf.DUMMYFUNCTION("INDEX(GOOGLEFINANCE(""NSE:""&amp;C133,dates!$I$1,dates!$C$5),2,2)"),131.05)</f>
        <v>131.05</v>
      </c>
      <c r="J133" s="51">
        <f>IFERROR(__xludf.DUMMYFUNCTION("INDEX(GOOGLEFINANCE(""NSE:""&amp;C133,dates!$I$1,dates!$C$6),2,2)"),127.25)</f>
        <v>127.25</v>
      </c>
      <c r="K133" s="16">
        <f t="shared" si="1"/>
        <v>0.04497642365</v>
      </c>
      <c r="L133" s="16">
        <f t="shared" si="2"/>
        <v>0.04459753445</v>
      </c>
      <c r="M133" s="16">
        <f t="shared" si="3"/>
        <v>0.09919877909</v>
      </c>
      <c r="N133" s="16">
        <f t="shared" si="4"/>
        <v>0.1320235756</v>
      </c>
      <c r="O133" s="16">
        <f t="shared" si="5"/>
        <v>-0.05460124465</v>
      </c>
      <c r="P133" s="17" t="str">
        <f t="shared" si="6"/>
        <v>#N/A</v>
      </c>
      <c r="Q133" s="17" t="str">
        <f t="shared" si="7"/>
        <v>#N/A</v>
      </c>
      <c r="R133" s="17" t="str">
        <f t="shared" si="8"/>
        <v>#N/A</v>
      </c>
      <c r="S133" s="17" t="str">
        <f t="shared" si="9"/>
        <v>#N/A</v>
      </c>
      <c r="T133" s="17"/>
    </row>
    <row r="134">
      <c r="A134" s="47">
        <v>133.0</v>
      </c>
      <c r="B134" s="48" t="s">
        <v>1619</v>
      </c>
      <c r="C134" s="48" t="s">
        <v>479</v>
      </c>
      <c r="D134" s="49">
        <f>IFERROR(__xludf.DUMMYFUNCTION("GOOGLEFINANCE(""NSE:""&amp;C134,""marketcap"")/10000000"),16703.9236)</f>
        <v>16703.9236</v>
      </c>
      <c r="E134" s="50">
        <f>IFERROR(__xludf.DUMMYFUNCTION("GOOGLEFINANCE(""NSE:""&amp;C134,""volume"")"),2.4837792E7)</f>
        <v>24837792</v>
      </c>
      <c r="F134" s="9">
        <f>IFERROR(__xludf.DUMMYFUNCTION("GOOGLEFINANCE(""NSE:""&amp;C134)"),90.9)</f>
        <v>90.9</v>
      </c>
      <c r="G134" s="9">
        <f>IFERROR(__xludf.DUMMYFUNCTION("GOOGLEFINANCE(""NSE:""&amp;C134,""closeyest"")"),90.75)</f>
        <v>90.75</v>
      </c>
      <c r="H134" s="51">
        <f>IFERROR(__xludf.DUMMYFUNCTION("INDEX(GOOGLEFINANCE(""NSE:""&amp;C134,dates!$I$1,dates!$C$4),2,2)"),94.15)</f>
        <v>94.15</v>
      </c>
      <c r="I134" s="51">
        <f>IFERROR(__xludf.DUMMYFUNCTION("INDEX(GOOGLEFINANCE(""NSE:""&amp;C134,dates!$I$1,dates!$C$5),2,2)"),100.75)</f>
        <v>100.75</v>
      </c>
      <c r="J134" s="51">
        <f>IFERROR(__xludf.DUMMYFUNCTION("INDEX(GOOGLEFINANCE(""NSE:""&amp;C134,dates!$I$1,dates!$C$6),2,2)"),85.0)</f>
        <v>85</v>
      </c>
      <c r="K134" s="16">
        <f t="shared" si="1"/>
        <v>0.001652892562</v>
      </c>
      <c r="L134" s="16">
        <f t="shared" si="2"/>
        <v>-0.03451938396</v>
      </c>
      <c r="M134" s="16">
        <f t="shared" si="3"/>
        <v>-0.09776674938</v>
      </c>
      <c r="N134" s="16">
        <f t="shared" si="4"/>
        <v>0.06941176471</v>
      </c>
      <c r="O134" s="16">
        <f t="shared" si="5"/>
        <v>0.06324736542</v>
      </c>
      <c r="P134" s="17" t="str">
        <f t="shared" si="6"/>
        <v>#N/A</v>
      </c>
      <c r="Q134" s="17" t="str">
        <f t="shared" si="7"/>
        <v>#N/A</v>
      </c>
      <c r="R134" s="17" t="str">
        <f t="shared" si="8"/>
        <v>#N/A</v>
      </c>
      <c r="S134" s="17" t="str">
        <f t="shared" si="9"/>
        <v>#N/A</v>
      </c>
      <c r="T134" s="17"/>
    </row>
    <row r="135">
      <c r="A135" s="47">
        <v>134.0</v>
      </c>
      <c r="B135" s="48" t="s">
        <v>1620</v>
      </c>
      <c r="C135" s="48" t="s">
        <v>458</v>
      </c>
      <c r="D135" s="49">
        <f>IFERROR(__xludf.DUMMYFUNCTION("GOOGLEFINANCE(""NSE:""&amp;C135,""marketcap"")/10000000"),21699.2263305)</f>
        <v>21699.22633</v>
      </c>
      <c r="E135" s="50">
        <f>IFERROR(__xludf.DUMMYFUNCTION("GOOGLEFINANCE(""NSE:""&amp;C135,""volume"")"),4.4695923E7)</f>
        <v>44695923</v>
      </c>
      <c r="F135" s="9">
        <f>IFERROR(__xludf.DUMMYFUNCTION("GOOGLEFINANCE(""NSE:""&amp;C135)"),36.0)</f>
        <v>36</v>
      </c>
      <c r="G135" s="9">
        <f>IFERROR(__xludf.DUMMYFUNCTION("GOOGLEFINANCE(""NSE:""&amp;C135,""closeyest"")"),36.25)</f>
        <v>36.25</v>
      </c>
      <c r="H135" s="51">
        <f>IFERROR(__xludf.DUMMYFUNCTION("INDEX(GOOGLEFINANCE(""NSE:""&amp;C135,dates!$I$1,dates!$C$4),2,2)"),31.55)</f>
        <v>31.55</v>
      </c>
      <c r="I135" s="51">
        <f>IFERROR(__xludf.DUMMYFUNCTION("INDEX(GOOGLEFINANCE(""NSE:""&amp;C135,dates!$I$1,dates!$C$5),2,2)"),30.0)</f>
        <v>30</v>
      </c>
      <c r="J135" s="51">
        <f>IFERROR(__xludf.DUMMYFUNCTION("INDEX(GOOGLEFINANCE(""NSE:""&amp;C135,dates!$I$1,dates!$C$6),2,2)"),29.15)</f>
        <v>29.15</v>
      </c>
      <c r="K135" s="16">
        <f t="shared" si="1"/>
        <v>-0.006896551724</v>
      </c>
      <c r="L135" s="16">
        <f t="shared" si="2"/>
        <v>0.1410459588</v>
      </c>
      <c r="M135" s="16">
        <f t="shared" si="3"/>
        <v>0.2</v>
      </c>
      <c r="N135" s="16">
        <f t="shared" si="4"/>
        <v>0.2349914237</v>
      </c>
      <c r="O135" s="16">
        <f t="shared" si="5"/>
        <v>-0.0589540412</v>
      </c>
      <c r="P135" s="17" t="str">
        <f t="shared" si="6"/>
        <v>#N/A</v>
      </c>
      <c r="Q135" s="17" t="str">
        <f t="shared" si="7"/>
        <v>#N/A</v>
      </c>
      <c r="R135" s="17" t="str">
        <f t="shared" si="8"/>
        <v>#N/A</v>
      </c>
      <c r="S135" s="17" t="str">
        <f t="shared" si="9"/>
        <v>#N/A</v>
      </c>
      <c r="T135" s="17"/>
    </row>
    <row r="136">
      <c r="A136" s="47">
        <v>135.0</v>
      </c>
      <c r="B136" s="48" t="s">
        <v>1621</v>
      </c>
      <c r="C136" s="48" t="s">
        <v>864</v>
      </c>
      <c r="D136" s="49">
        <f>IFERROR(__xludf.DUMMYFUNCTION("GOOGLEFINANCE(""NSE:""&amp;C136,""marketcap"")/10000000"),12165.1457455)</f>
        <v>12165.14575</v>
      </c>
      <c r="E136" s="50">
        <f>IFERROR(__xludf.DUMMYFUNCTION("GOOGLEFINANCE(""NSE:""&amp;C136,""volume"")"),1.3111647E7)</f>
        <v>13111647</v>
      </c>
      <c r="F136" s="9">
        <f>IFERROR(__xludf.DUMMYFUNCTION("GOOGLEFINANCE(""NSE:""&amp;C136)"),24.45)</f>
        <v>24.45</v>
      </c>
      <c r="G136" s="9">
        <f>IFERROR(__xludf.DUMMYFUNCTION("GOOGLEFINANCE(""NSE:""&amp;C136,""closeyest"")"),23.95)</f>
        <v>23.95</v>
      </c>
      <c r="H136" s="51">
        <f>IFERROR(__xludf.DUMMYFUNCTION("INDEX(GOOGLEFINANCE(""NSE:""&amp;C136,dates!$I$1,dates!$C$4),2,2)"),23.75)</f>
        <v>23.75</v>
      </c>
      <c r="I136" s="51">
        <f>IFERROR(__xludf.DUMMYFUNCTION("INDEX(GOOGLEFINANCE(""NSE:""&amp;C136,dates!$I$1,dates!$C$5),2,2)"),25.25)</f>
        <v>25.25</v>
      </c>
      <c r="J136" s="51">
        <f>IFERROR(__xludf.DUMMYFUNCTION("INDEX(GOOGLEFINANCE(""NSE:""&amp;C136,dates!$I$1,dates!$C$6),2,2)"),20.15)</f>
        <v>20.15</v>
      </c>
      <c r="K136" s="16">
        <f t="shared" si="1"/>
        <v>0.02087682672</v>
      </c>
      <c r="L136" s="16">
        <f t="shared" si="2"/>
        <v>0.02947368421</v>
      </c>
      <c r="M136" s="16">
        <f t="shared" si="3"/>
        <v>-0.03168316832</v>
      </c>
      <c r="N136" s="16">
        <f t="shared" si="4"/>
        <v>0.2133995037</v>
      </c>
      <c r="O136" s="16">
        <f t="shared" si="5"/>
        <v>0.06115685253</v>
      </c>
      <c r="P136" s="17" t="str">
        <f t="shared" si="6"/>
        <v>#N/A</v>
      </c>
      <c r="Q136" s="17" t="str">
        <f t="shared" si="7"/>
        <v>#N/A</v>
      </c>
      <c r="R136" s="17" t="str">
        <f t="shared" si="8"/>
        <v>#N/A</v>
      </c>
      <c r="S136" s="17" t="str">
        <f t="shared" si="9"/>
        <v>#N/A</v>
      </c>
      <c r="T136" s="17"/>
    </row>
    <row r="137">
      <c r="D137" s="52"/>
    </row>
    <row r="138">
      <c r="D138" s="52"/>
    </row>
    <row r="139">
      <c r="D139" s="52"/>
    </row>
    <row r="140">
      <c r="D140" s="52"/>
    </row>
    <row r="141">
      <c r="D141" s="52"/>
    </row>
    <row r="142">
      <c r="D142" s="52"/>
    </row>
    <row r="143">
      <c r="D143" s="52"/>
    </row>
    <row r="144">
      <c r="D144" s="52"/>
    </row>
    <row r="145">
      <c r="D145" s="52"/>
    </row>
    <row r="146">
      <c r="D146" s="52"/>
    </row>
    <row r="147">
      <c r="D147" s="52"/>
    </row>
    <row r="148">
      <c r="D148" s="52"/>
    </row>
    <row r="149">
      <c r="D149" s="52"/>
    </row>
    <row r="150">
      <c r="D150" s="52"/>
    </row>
    <row r="151">
      <c r="D151" s="52"/>
    </row>
    <row r="152">
      <c r="D152" s="52"/>
    </row>
    <row r="153">
      <c r="D153" s="52"/>
    </row>
    <row r="154">
      <c r="D154" s="52"/>
    </row>
    <row r="155">
      <c r="D155" s="52"/>
    </row>
    <row r="156">
      <c r="D156" s="52"/>
    </row>
    <row r="157">
      <c r="D157" s="52"/>
    </row>
    <row r="158">
      <c r="D158" s="52"/>
    </row>
    <row r="159">
      <c r="D159" s="52"/>
    </row>
    <row r="160">
      <c r="D160" s="52"/>
    </row>
    <row r="161">
      <c r="D161" s="52"/>
    </row>
    <row r="162">
      <c r="D162" s="52"/>
    </row>
    <row r="163">
      <c r="D163" s="52"/>
    </row>
    <row r="164">
      <c r="D164" s="52"/>
    </row>
    <row r="165">
      <c r="D165" s="52"/>
    </row>
    <row r="166">
      <c r="D166" s="52"/>
    </row>
    <row r="167">
      <c r="D167" s="52"/>
    </row>
    <row r="168">
      <c r="D168" s="52"/>
    </row>
    <row r="169">
      <c r="D169" s="52"/>
    </row>
    <row r="170">
      <c r="D170" s="52"/>
    </row>
    <row r="171">
      <c r="D171" s="52"/>
    </row>
    <row r="172">
      <c r="D172" s="52"/>
    </row>
    <row r="173">
      <c r="D173" s="52"/>
    </row>
    <row r="174">
      <c r="D174" s="52"/>
    </row>
    <row r="175">
      <c r="D175" s="52"/>
    </row>
    <row r="176">
      <c r="D176" s="52"/>
    </row>
    <row r="177">
      <c r="D177" s="52"/>
    </row>
    <row r="178">
      <c r="D178" s="52"/>
    </row>
    <row r="179">
      <c r="D179" s="52"/>
    </row>
    <row r="180">
      <c r="D180" s="52"/>
    </row>
    <row r="181">
      <c r="D181" s="52"/>
    </row>
    <row r="182">
      <c r="D182" s="52"/>
    </row>
    <row r="183">
      <c r="D183" s="52"/>
    </row>
    <row r="184">
      <c r="D184" s="52"/>
    </row>
    <row r="185">
      <c r="D185" s="52"/>
    </row>
    <row r="186">
      <c r="D186" s="52"/>
    </row>
    <row r="187">
      <c r="D187" s="52"/>
    </row>
    <row r="188">
      <c r="D188" s="52"/>
    </row>
    <row r="189">
      <c r="D189" s="52"/>
    </row>
    <row r="190">
      <c r="D190" s="52"/>
    </row>
    <row r="191">
      <c r="D191" s="52"/>
    </row>
    <row r="192">
      <c r="D192" s="52"/>
    </row>
    <row r="193">
      <c r="D193" s="52"/>
    </row>
    <row r="194">
      <c r="D194" s="52"/>
    </row>
    <row r="195">
      <c r="D195" s="52"/>
    </row>
    <row r="196">
      <c r="D196" s="52"/>
    </row>
    <row r="197">
      <c r="D197" s="52"/>
    </row>
    <row r="198">
      <c r="D198" s="52"/>
    </row>
    <row r="199">
      <c r="D199" s="52"/>
    </row>
    <row r="200">
      <c r="D200" s="52"/>
    </row>
    <row r="201">
      <c r="D201" s="52"/>
    </row>
    <row r="202">
      <c r="D202" s="52"/>
    </row>
    <row r="203">
      <c r="D203" s="52"/>
    </row>
    <row r="204">
      <c r="D204" s="52"/>
    </row>
    <row r="205">
      <c r="D205" s="52"/>
    </row>
    <row r="206">
      <c r="D206" s="52"/>
    </row>
    <row r="207">
      <c r="D207" s="52"/>
    </row>
    <row r="208">
      <c r="D208" s="52"/>
    </row>
    <row r="209">
      <c r="D209" s="52"/>
    </row>
    <row r="210">
      <c r="D210" s="52"/>
    </row>
    <row r="211">
      <c r="D211" s="52"/>
    </row>
    <row r="212">
      <c r="D212" s="52"/>
    </row>
    <row r="213">
      <c r="D213" s="52"/>
    </row>
    <row r="214">
      <c r="D214" s="52"/>
    </row>
    <row r="215">
      <c r="D215" s="52"/>
    </row>
    <row r="216">
      <c r="D216" s="52"/>
    </row>
    <row r="217">
      <c r="D217" s="52"/>
    </row>
    <row r="218">
      <c r="D218" s="52"/>
    </row>
    <row r="219">
      <c r="D219" s="52"/>
    </row>
    <row r="220">
      <c r="D220" s="52"/>
    </row>
    <row r="221">
      <c r="D221" s="52"/>
    </row>
    <row r="222">
      <c r="D222" s="52"/>
    </row>
    <row r="223">
      <c r="D223" s="52"/>
    </row>
    <row r="224">
      <c r="D224" s="52"/>
    </row>
    <row r="225">
      <c r="D225" s="52"/>
    </row>
    <row r="226">
      <c r="D226" s="52"/>
    </row>
    <row r="227">
      <c r="D227" s="52"/>
    </row>
    <row r="228">
      <c r="D228" s="52"/>
    </row>
    <row r="229">
      <c r="D229" s="52"/>
    </row>
    <row r="230">
      <c r="D230" s="52"/>
    </row>
    <row r="231">
      <c r="D231" s="52"/>
    </row>
    <row r="232">
      <c r="D232" s="52"/>
    </row>
    <row r="233">
      <c r="D233" s="52"/>
    </row>
    <row r="234">
      <c r="D234" s="52"/>
    </row>
    <row r="235">
      <c r="D235" s="52"/>
    </row>
    <row r="236">
      <c r="D236" s="52"/>
    </row>
    <row r="237">
      <c r="D237" s="52"/>
    </row>
    <row r="238">
      <c r="D238" s="52"/>
    </row>
    <row r="239">
      <c r="D239" s="52"/>
    </row>
    <row r="240">
      <c r="D240" s="52"/>
    </row>
    <row r="241">
      <c r="D241" s="52"/>
    </row>
    <row r="242">
      <c r="D242" s="52"/>
    </row>
    <row r="243">
      <c r="D243" s="52"/>
    </row>
    <row r="244">
      <c r="D244" s="52"/>
    </row>
    <row r="245">
      <c r="D245" s="52"/>
    </row>
    <row r="246">
      <c r="D246" s="52"/>
    </row>
    <row r="247">
      <c r="D247" s="52"/>
    </row>
    <row r="248">
      <c r="D248" s="52"/>
    </row>
    <row r="249">
      <c r="D249" s="52"/>
    </row>
    <row r="250">
      <c r="D250" s="52"/>
    </row>
    <row r="251">
      <c r="D251" s="52"/>
    </row>
    <row r="252">
      <c r="D252" s="52"/>
    </row>
    <row r="253">
      <c r="D253" s="52"/>
    </row>
    <row r="254">
      <c r="D254" s="52"/>
    </row>
    <row r="255">
      <c r="D255" s="52"/>
    </row>
    <row r="256">
      <c r="D256" s="52"/>
    </row>
    <row r="257">
      <c r="D257" s="52"/>
    </row>
    <row r="258">
      <c r="D258" s="52"/>
    </row>
    <row r="259">
      <c r="D259" s="52"/>
    </row>
    <row r="260">
      <c r="D260" s="52"/>
    </row>
    <row r="261">
      <c r="D261" s="52"/>
    </row>
    <row r="262">
      <c r="D262" s="52"/>
    </row>
    <row r="263">
      <c r="D263" s="52"/>
    </row>
    <row r="264">
      <c r="D264" s="52"/>
    </row>
    <row r="265">
      <c r="D265" s="52"/>
    </row>
    <row r="266">
      <c r="D266" s="52"/>
    </row>
    <row r="267">
      <c r="D267" s="52"/>
    </row>
    <row r="268">
      <c r="D268" s="52"/>
    </row>
    <row r="269">
      <c r="D269" s="52"/>
    </row>
    <row r="270">
      <c r="D270" s="52"/>
    </row>
    <row r="271">
      <c r="D271" s="52"/>
    </row>
    <row r="272">
      <c r="D272" s="52"/>
    </row>
    <row r="273">
      <c r="D273" s="52"/>
    </row>
    <row r="274">
      <c r="D274" s="52"/>
    </row>
    <row r="275">
      <c r="D275" s="52"/>
    </row>
    <row r="276">
      <c r="D276" s="52"/>
    </row>
    <row r="277">
      <c r="D277" s="52"/>
    </row>
    <row r="278">
      <c r="D278" s="52"/>
    </row>
    <row r="279">
      <c r="D279" s="52"/>
    </row>
    <row r="280">
      <c r="D280" s="52"/>
    </row>
    <row r="281">
      <c r="D281" s="52"/>
    </row>
    <row r="282">
      <c r="D282" s="52"/>
    </row>
    <row r="283">
      <c r="D283" s="52"/>
    </row>
    <row r="284">
      <c r="D284" s="52"/>
    </row>
    <row r="285">
      <c r="D285" s="52"/>
    </row>
    <row r="286">
      <c r="D286" s="52"/>
    </row>
    <row r="287">
      <c r="D287" s="52"/>
    </row>
    <row r="288">
      <c r="D288" s="52"/>
    </row>
    <row r="289">
      <c r="D289" s="52"/>
    </row>
    <row r="290">
      <c r="D290" s="52"/>
    </row>
    <row r="291">
      <c r="D291" s="52"/>
    </row>
    <row r="292">
      <c r="D292" s="52"/>
    </row>
    <row r="293">
      <c r="D293" s="52"/>
    </row>
    <row r="294">
      <c r="D294" s="52"/>
    </row>
    <row r="295">
      <c r="D295" s="52"/>
    </row>
    <row r="296">
      <c r="D296" s="52"/>
    </row>
    <row r="297">
      <c r="D297" s="52"/>
    </row>
    <row r="298">
      <c r="D298" s="52"/>
    </row>
    <row r="299">
      <c r="D299" s="52"/>
    </row>
    <row r="300">
      <c r="D300" s="52"/>
    </row>
    <row r="301">
      <c r="D301" s="52"/>
    </row>
    <row r="302">
      <c r="D302" s="52"/>
    </row>
    <row r="303">
      <c r="D303" s="52"/>
    </row>
    <row r="304">
      <c r="D304" s="52"/>
    </row>
    <row r="305">
      <c r="D305" s="52"/>
    </row>
    <row r="306">
      <c r="D306" s="52"/>
    </row>
    <row r="307">
      <c r="D307" s="52"/>
    </row>
    <row r="308">
      <c r="D308" s="52"/>
    </row>
    <row r="309">
      <c r="D309" s="52"/>
    </row>
    <row r="310">
      <c r="D310" s="52"/>
    </row>
    <row r="311">
      <c r="D311" s="52"/>
    </row>
    <row r="312">
      <c r="D312" s="52"/>
    </row>
    <row r="313">
      <c r="D313" s="52"/>
    </row>
    <row r="314">
      <c r="D314" s="52"/>
    </row>
    <row r="315">
      <c r="D315" s="52"/>
    </row>
    <row r="316">
      <c r="D316" s="52"/>
    </row>
    <row r="317">
      <c r="D317" s="52"/>
    </row>
    <row r="318">
      <c r="D318" s="52"/>
    </row>
    <row r="319">
      <c r="D319" s="52"/>
    </row>
    <row r="320">
      <c r="D320" s="52"/>
    </row>
    <row r="321">
      <c r="D321" s="52"/>
    </row>
    <row r="322">
      <c r="D322" s="52"/>
    </row>
    <row r="323">
      <c r="D323" s="52"/>
    </row>
    <row r="324">
      <c r="D324" s="52"/>
    </row>
    <row r="325">
      <c r="D325" s="52"/>
    </row>
    <row r="326">
      <c r="D326" s="52"/>
    </row>
    <row r="327">
      <c r="D327" s="52"/>
    </row>
    <row r="328">
      <c r="D328" s="52"/>
    </row>
    <row r="329">
      <c r="D329" s="52"/>
    </row>
    <row r="330">
      <c r="D330" s="52"/>
    </row>
    <row r="331">
      <c r="D331" s="52"/>
    </row>
    <row r="332">
      <c r="D332" s="52"/>
    </row>
    <row r="333">
      <c r="D333" s="52"/>
    </row>
    <row r="334">
      <c r="D334" s="52"/>
    </row>
    <row r="335">
      <c r="D335" s="52"/>
    </row>
    <row r="336">
      <c r="D336" s="52"/>
    </row>
    <row r="337">
      <c r="D337" s="52"/>
    </row>
    <row r="338">
      <c r="D338" s="52"/>
    </row>
    <row r="339">
      <c r="D339" s="52"/>
    </row>
    <row r="340">
      <c r="D340" s="52"/>
    </row>
    <row r="341">
      <c r="D341" s="52"/>
    </row>
    <row r="342">
      <c r="D342" s="52"/>
    </row>
    <row r="343">
      <c r="D343" s="52"/>
    </row>
    <row r="344">
      <c r="D344" s="52"/>
    </row>
    <row r="345">
      <c r="D345" s="52"/>
    </row>
    <row r="346">
      <c r="D346" s="52"/>
    </row>
    <row r="347">
      <c r="D347" s="52"/>
    </row>
    <row r="348">
      <c r="D348" s="52"/>
    </row>
    <row r="349">
      <c r="D349" s="52"/>
    </row>
    <row r="350">
      <c r="D350" s="52"/>
    </row>
    <row r="351">
      <c r="D351" s="52"/>
    </row>
    <row r="352">
      <c r="D352" s="52"/>
    </row>
    <row r="353">
      <c r="D353" s="52"/>
    </row>
    <row r="354">
      <c r="D354" s="52"/>
    </row>
    <row r="355">
      <c r="D355" s="52"/>
    </row>
    <row r="356">
      <c r="D356" s="52"/>
    </row>
    <row r="357">
      <c r="D357" s="52"/>
    </row>
    <row r="358">
      <c r="D358" s="52"/>
    </row>
    <row r="359">
      <c r="D359" s="52"/>
    </row>
    <row r="360">
      <c r="D360" s="52"/>
    </row>
    <row r="361">
      <c r="D361" s="52"/>
    </row>
    <row r="362">
      <c r="D362" s="52"/>
    </row>
    <row r="363">
      <c r="D363" s="52"/>
    </row>
    <row r="364">
      <c r="D364" s="52"/>
    </row>
    <row r="365">
      <c r="D365" s="52"/>
    </row>
    <row r="366">
      <c r="D366" s="52"/>
    </row>
    <row r="367">
      <c r="D367" s="52"/>
    </row>
    <row r="368">
      <c r="D368" s="52"/>
    </row>
    <row r="369">
      <c r="D369" s="52"/>
    </row>
    <row r="370">
      <c r="D370" s="52"/>
    </row>
    <row r="371">
      <c r="D371" s="52"/>
    </row>
    <row r="372">
      <c r="D372" s="52"/>
    </row>
    <row r="373">
      <c r="D373" s="52"/>
    </row>
    <row r="374">
      <c r="D374" s="52"/>
    </row>
    <row r="375">
      <c r="D375" s="52"/>
    </row>
    <row r="376">
      <c r="D376" s="52"/>
    </row>
    <row r="377">
      <c r="D377" s="52"/>
    </row>
    <row r="378">
      <c r="D378" s="52"/>
    </row>
    <row r="379">
      <c r="D379" s="52"/>
    </row>
    <row r="380">
      <c r="D380" s="52"/>
    </row>
    <row r="381">
      <c r="D381" s="52"/>
    </row>
    <row r="382">
      <c r="D382" s="52"/>
    </row>
    <row r="383">
      <c r="D383" s="52"/>
    </row>
    <row r="384">
      <c r="D384" s="52"/>
    </row>
    <row r="385">
      <c r="D385" s="52"/>
    </row>
    <row r="386">
      <c r="D386" s="52"/>
    </row>
    <row r="387">
      <c r="D387" s="52"/>
    </row>
    <row r="388">
      <c r="D388" s="52"/>
    </row>
    <row r="389">
      <c r="D389" s="52"/>
    </row>
    <row r="390">
      <c r="D390" s="52"/>
    </row>
    <row r="391">
      <c r="D391" s="52"/>
    </row>
    <row r="392">
      <c r="D392" s="52"/>
    </row>
    <row r="393">
      <c r="D393" s="52"/>
    </row>
    <row r="394">
      <c r="D394" s="52"/>
    </row>
    <row r="395">
      <c r="D395" s="52"/>
    </row>
    <row r="396">
      <c r="D396" s="52"/>
    </row>
    <row r="397">
      <c r="D397" s="52"/>
    </row>
    <row r="398">
      <c r="D398" s="52"/>
    </row>
    <row r="399">
      <c r="D399" s="52"/>
    </row>
    <row r="400">
      <c r="D400" s="52"/>
    </row>
    <row r="401">
      <c r="D401" s="52"/>
    </row>
    <row r="402">
      <c r="D402" s="52"/>
    </row>
    <row r="403">
      <c r="D403" s="52"/>
    </row>
    <row r="404">
      <c r="D404" s="52"/>
    </row>
    <row r="405">
      <c r="D405" s="52"/>
    </row>
    <row r="406">
      <c r="D406" s="52"/>
    </row>
    <row r="407">
      <c r="D407" s="52"/>
    </row>
    <row r="408">
      <c r="D408" s="52"/>
    </row>
    <row r="409">
      <c r="D409" s="52"/>
    </row>
    <row r="410">
      <c r="D410" s="52"/>
    </row>
    <row r="411">
      <c r="D411" s="52"/>
    </row>
    <row r="412">
      <c r="D412" s="52"/>
    </row>
    <row r="413">
      <c r="D413" s="52"/>
    </row>
    <row r="414">
      <c r="D414" s="52"/>
    </row>
    <row r="415">
      <c r="D415" s="52"/>
    </row>
    <row r="416">
      <c r="D416" s="52"/>
    </row>
    <row r="417">
      <c r="D417" s="52"/>
    </row>
    <row r="418">
      <c r="D418" s="52"/>
    </row>
    <row r="419">
      <c r="D419" s="52"/>
    </row>
    <row r="420">
      <c r="D420" s="52"/>
    </row>
    <row r="421">
      <c r="D421" s="52"/>
    </row>
    <row r="422">
      <c r="D422" s="52"/>
    </row>
    <row r="423">
      <c r="D423" s="52"/>
    </row>
    <row r="424">
      <c r="D424" s="52"/>
    </row>
    <row r="425">
      <c r="D425" s="52"/>
    </row>
    <row r="426">
      <c r="D426" s="52"/>
    </row>
    <row r="427">
      <c r="D427" s="52"/>
    </row>
    <row r="428">
      <c r="D428" s="52"/>
    </row>
    <row r="429">
      <c r="D429" s="52"/>
    </row>
    <row r="430">
      <c r="D430" s="52"/>
    </row>
    <row r="431">
      <c r="D431" s="52"/>
    </row>
    <row r="432">
      <c r="D432" s="52"/>
    </row>
    <row r="433">
      <c r="D433" s="52"/>
    </row>
    <row r="434">
      <c r="D434" s="52"/>
    </row>
    <row r="435">
      <c r="D435" s="52"/>
    </row>
    <row r="436">
      <c r="D436" s="52"/>
    </row>
    <row r="437">
      <c r="D437" s="52"/>
    </row>
    <row r="438">
      <c r="D438" s="52"/>
    </row>
    <row r="439">
      <c r="D439" s="52"/>
    </row>
    <row r="440">
      <c r="D440" s="52"/>
    </row>
    <row r="441">
      <c r="D441" s="52"/>
    </row>
    <row r="442">
      <c r="D442" s="52"/>
    </row>
    <row r="443">
      <c r="D443" s="52"/>
    </row>
    <row r="444">
      <c r="D444" s="52"/>
    </row>
    <row r="445">
      <c r="D445" s="52"/>
    </row>
    <row r="446">
      <c r="D446" s="52"/>
    </row>
    <row r="447">
      <c r="D447" s="52"/>
    </row>
    <row r="448">
      <c r="D448" s="52"/>
    </row>
    <row r="449">
      <c r="D449" s="52"/>
    </row>
    <row r="450">
      <c r="D450" s="52"/>
    </row>
    <row r="451">
      <c r="D451" s="52"/>
    </row>
    <row r="452">
      <c r="D452" s="52"/>
    </row>
    <row r="453">
      <c r="D453" s="52"/>
    </row>
    <row r="454">
      <c r="D454" s="52"/>
    </row>
    <row r="455">
      <c r="D455" s="52"/>
    </row>
    <row r="456">
      <c r="D456" s="52"/>
    </row>
    <row r="457">
      <c r="D457" s="52"/>
    </row>
    <row r="458">
      <c r="D458" s="52"/>
    </row>
    <row r="459">
      <c r="D459" s="52"/>
    </row>
    <row r="460">
      <c r="D460" s="52"/>
    </row>
    <row r="461">
      <c r="D461" s="52"/>
    </row>
    <row r="462">
      <c r="D462" s="52"/>
    </row>
    <row r="463">
      <c r="D463" s="52"/>
    </row>
    <row r="464">
      <c r="D464" s="52"/>
    </row>
    <row r="465">
      <c r="D465" s="52"/>
    </row>
    <row r="466">
      <c r="D466" s="52"/>
    </row>
    <row r="467">
      <c r="D467" s="52"/>
    </row>
    <row r="468">
      <c r="D468" s="52"/>
    </row>
    <row r="469">
      <c r="D469" s="52"/>
    </row>
    <row r="470">
      <c r="D470" s="52"/>
    </row>
    <row r="471">
      <c r="D471" s="52"/>
    </row>
    <row r="472">
      <c r="D472" s="52"/>
    </row>
    <row r="473">
      <c r="D473" s="52"/>
    </row>
    <row r="474">
      <c r="D474" s="52"/>
    </row>
    <row r="475">
      <c r="D475" s="52"/>
    </row>
    <row r="476">
      <c r="D476" s="52"/>
    </row>
    <row r="477">
      <c r="D477" s="52"/>
    </row>
    <row r="478">
      <c r="D478" s="52"/>
    </row>
    <row r="479">
      <c r="D479" s="52"/>
    </row>
    <row r="480">
      <c r="D480" s="52"/>
    </row>
    <row r="481">
      <c r="D481" s="52"/>
    </row>
    <row r="482">
      <c r="D482" s="52"/>
    </row>
    <row r="483">
      <c r="D483" s="52"/>
    </row>
    <row r="484">
      <c r="D484" s="52"/>
    </row>
    <row r="485">
      <c r="D485" s="52"/>
    </row>
    <row r="486">
      <c r="D486" s="52"/>
    </row>
    <row r="487">
      <c r="D487" s="52"/>
    </row>
    <row r="488">
      <c r="D488" s="52"/>
    </row>
    <row r="489">
      <c r="D489" s="52"/>
    </row>
    <row r="490">
      <c r="D490" s="52"/>
    </row>
    <row r="491">
      <c r="D491" s="52"/>
    </row>
    <row r="492">
      <c r="D492" s="52"/>
    </row>
    <row r="493">
      <c r="D493" s="52"/>
    </row>
    <row r="494">
      <c r="D494" s="52"/>
    </row>
    <row r="495">
      <c r="D495" s="52"/>
    </row>
    <row r="496">
      <c r="D496" s="52"/>
    </row>
    <row r="497">
      <c r="D497" s="52"/>
    </row>
    <row r="498">
      <c r="D498" s="52"/>
    </row>
    <row r="499">
      <c r="D499" s="52"/>
    </row>
    <row r="500">
      <c r="D500" s="52"/>
    </row>
    <row r="501">
      <c r="D501" s="52"/>
    </row>
    <row r="502">
      <c r="D502" s="52"/>
    </row>
    <row r="503">
      <c r="D503" s="52"/>
    </row>
    <row r="504">
      <c r="D504" s="52"/>
    </row>
    <row r="505">
      <c r="D505" s="52"/>
    </row>
    <row r="506">
      <c r="D506" s="52"/>
    </row>
    <row r="507">
      <c r="D507" s="52"/>
    </row>
    <row r="508">
      <c r="D508" s="52"/>
    </row>
    <row r="509">
      <c r="D509" s="52"/>
    </row>
    <row r="510">
      <c r="D510" s="52"/>
    </row>
    <row r="511">
      <c r="D511" s="52"/>
    </row>
    <row r="512">
      <c r="D512" s="52"/>
    </row>
    <row r="513">
      <c r="D513" s="52"/>
    </row>
    <row r="514">
      <c r="D514" s="52"/>
    </row>
    <row r="515">
      <c r="D515" s="52"/>
    </row>
    <row r="516">
      <c r="D516" s="52"/>
    </row>
    <row r="517">
      <c r="D517" s="52"/>
    </row>
    <row r="518">
      <c r="D518" s="52"/>
    </row>
    <row r="519">
      <c r="D519" s="52"/>
    </row>
    <row r="520">
      <c r="D520" s="52"/>
    </row>
    <row r="521">
      <c r="D521" s="52"/>
    </row>
    <row r="522">
      <c r="D522" s="52"/>
    </row>
    <row r="523">
      <c r="D523" s="52"/>
    </row>
    <row r="524">
      <c r="D524" s="52"/>
    </row>
    <row r="525">
      <c r="D525" s="52"/>
    </row>
    <row r="526">
      <c r="D526" s="52"/>
    </row>
    <row r="527">
      <c r="D527" s="52"/>
    </row>
    <row r="528">
      <c r="D528" s="52"/>
    </row>
    <row r="529">
      <c r="D529" s="52"/>
    </row>
    <row r="530">
      <c r="D530" s="52"/>
    </row>
    <row r="531">
      <c r="D531" s="52"/>
    </row>
    <row r="532">
      <c r="D532" s="52"/>
    </row>
    <row r="533">
      <c r="D533" s="52"/>
    </row>
    <row r="534">
      <c r="D534" s="52"/>
    </row>
    <row r="535">
      <c r="D535" s="52"/>
    </row>
    <row r="536">
      <c r="D536" s="52"/>
    </row>
    <row r="537">
      <c r="D537" s="52"/>
    </row>
    <row r="538">
      <c r="D538" s="52"/>
    </row>
    <row r="539">
      <c r="D539" s="52"/>
    </row>
    <row r="540">
      <c r="D540" s="52"/>
    </row>
    <row r="541">
      <c r="D541" s="52"/>
    </row>
    <row r="542">
      <c r="D542" s="52"/>
    </row>
    <row r="543">
      <c r="D543" s="52"/>
    </row>
    <row r="544">
      <c r="D544" s="52"/>
    </row>
    <row r="545">
      <c r="D545" s="52"/>
    </row>
    <row r="546">
      <c r="D546" s="52"/>
    </row>
    <row r="547">
      <c r="D547" s="52"/>
    </row>
    <row r="548">
      <c r="D548" s="52"/>
    </row>
    <row r="549">
      <c r="D549" s="52"/>
    </row>
    <row r="550">
      <c r="D550" s="52"/>
    </row>
    <row r="551">
      <c r="D551" s="52"/>
    </row>
    <row r="552">
      <c r="D552" s="52"/>
    </row>
    <row r="553">
      <c r="D553" s="52"/>
    </row>
    <row r="554">
      <c r="D554" s="52"/>
    </row>
    <row r="555">
      <c r="D555" s="52"/>
    </row>
    <row r="556">
      <c r="D556" s="52"/>
    </row>
    <row r="557">
      <c r="D557" s="52"/>
    </row>
    <row r="558">
      <c r="D558" s="52"/>
    </row>
    <row r="559">
      <c r="D559" s="52"/>
    </row>
    <row r="560">
      <c r="D560" s="52"/>
    </row>
    <row r="561">
      <c r="D561" s="52"/>
    </row>
    <row r="562">
      <c r="D562" s="52"/>
    </row>
    <row r="563">
      <c r="D563" s="52"/>
    </row>
    <row r="564">
      <c r="D564" s="52"/>
    </row>
    <row r="565">
      <c r="D565" s="52"/>
    </row>
    <row r="566">
      <c r="D566" s="52"/>
    </row>
    <row r="567">
      <c r="D567" s="52"/>
    </row>
    <row r="568">
      <c r="D568" s="52"/>
    </row>
    <row r="569">
      <c r="D569" s="52"/>
    </row>
    <row r="570">
      <c r="D570" s="52"/>
    </row>
    <row r="571">
      <c r="D571" s="52"/>
    </row>
    <row r="572">
      <c r="D572" s="52"/>
    </row>
    <row r="573">
      <c r="D573" s="52"/>
    </row>
    <row r="574">
      <c r="D574" s="52"/>
    </row>
    <row r="575">
      <c r="D575" s="52"/>
    </row>
    <row r="576">
      <c r="D576" s="52"/>
    </row>
    <row r="577">
      <c r="D577" s="52"/>
    </row>
    <row r="578">
      <c r="D578" s="52"/>
    </row>
    <row r="579">
      <c r="D579" s="52"/>
    </row>
    <row r="580">
      <c r="D580" s="52"/>
    </row>
    <row r="581">
      <c r="D581" s="52"/>
    </row>
    <row r="582">
      <c r="D582" s="52"/>
    </row>
    <row r="583">
      <c r="D583" s="52"/>
    </row>
    <row r="584">
      <c r="D584" s="52"/>
    </row>
    <row r="585">
      <c r="D585" s="52"/>
    </row>
    <row r="586">
      <c r="D586" s="52"/>
    </row>
    <row r="587">
      <c r="D587" s="52"/>
    </row>
    <row r="588">
      <c r="D588" s="52"/>
    </row>
    <row r="589">
      <c r="D589" s="52"/>
    </row>
    <row r="590">
      <c r="D590" s="52"/>
    </row>
    <row r="591">
      <c r="D591" s="52"/>
    </row>
    <row r="592">
      <c r="D592" s="52"/>
    </row>
    <row r="593">
      <c r="D593" s="52"/>
    </row>
    <row r="594">
      <c r="D594" s="52"/>
    </row>
    <row r="595">
      <c r="D595" s="52"/>
    </row>
    <row r="596">
      <c r="D596" s="52"/>
    </row>
    <row r="597">
      <c r="D597" s="52"/>
    </row>
    <row r="598">
      <c r="D598" s="52"/>
    </row>
    <row r="599">
      <c r="D599" s="52"/>
    </row>
    <row r="600">
      <c r="D600" s="52"/>
    </row>
    <row r="601">
      <c r="D601" s="52"/>
    </row>
    <row r="602">
      <c r="D602" s="52"/>
    </row>
    <row r="603">
      <c r="D603" s="52"/>
    </row>
    <row r="604">
      <c r="D604" s="52"/>
    </row>
    <row r="605">
      <c r="D605" s="52"/>
    </row>
    <row r="606">
      <c r="D606" s="52"/>
    </row>
    <row r="607">
      <c r="D607" s="52"/>
    </row>
    <row r="608">
      <c r="D608" s="52"/>
    </row>
    <row r="609">
      <c r="D609" s="52"/>
    </row>
    <row r="610">
      <c r="D610" s="52"/>
    </row>
    <row r="611">
      <c r="D611" s="52"/>
    </row>
    <row r="612">
      <c r="D612" s="52"/>
    </row>
    <row r="613">
      <c r="D613" s="52"/>
    </row>
    <row r="614">
      <c r="D614" s="52"/>
    </row>
    <row r="615">
      <c r="D615" s="52"/>
    </row>
    <row r="616">
      <c r="D616" s="52"/>
    </row>
    <row r="617">
      <c r="D617" s="52"/>
    </row>
    <row r="618">
      <c r="D618" s="52"/>
    </row>
    <row r="619">
      <c r="D619" s="52"/>
    </row>
    <row r="620">
      <c r="D620" s="52"/>
    </row>
    <row r="621">
      <c r="D621" s="52"/>
    </row>
    <row r="622">
      <c r="D622" s="52"/>
    </row>
    <row r="623">
      <c r="D623" s="52"/>
    </row>
    <row r="624">
      <c r="D624" s="52"/>
    </row>
    <row r="625">
      <c r="D625" s="52"/>
    </row>
    <row r="626">
      <c r="D626" s="52"/>
    </row>
    <row r="627">
      <c r="D627" s="52"/>
    </row>
    <row r="628">
      <c r="D628" s="52"/>
    </row>
    <row r="629">
      <c r="D629" s="52"/>
    </row>
    <row r="630">
      <c r="D630" s="52"/>
    </row>
    <row r="631">
      <c r="D631" s="52"/>
    </row>
    <row r="632">
      <c r="D632" s="52"/>
    </row>
    <row r="633">
      <c r="D633" s="52"/>
    </row>
    <row r="634">
      <c r="D634" s="52"/>
    </row>
    <row r="635">
      <c r="D635" s="52"/>
    </row>
    <row r="636">
      <c r="D636" s="52"/>
    </row>
    <row r="637">
      <c r="D637" s="52"/>
    </row>
    <row r="638">
      <c r="D638" s="52"/>
    </row>
    <row r="639">
      <c r="D639" s="52"/>
    </row>
    <row r="640">
      <c r="D640" s="52"/>
    </row>
    <row r="641">
      <c r="D641" s="52"/>
    </row>
    <row r="642">
      <c r="D642" s="52"/>
    </row>
    <row r="643">
      <c r="D643" s="52"/>
    </row>
    <row r="644">
      <c r="D644" s="52"/>
    </row>
    <row r="645">
      <c r="D645" s="52"/>
    </row>
    <row r="646">
      <c r="D646" s="52"/>
    </row>
    <row r="647">
      <c r="D647" s="52"/>
    </row>
    <row r="648">
      <c r="D648" s="52"/>
    </row>
    <row r="649">
      <c r="D649" s="52"/>
    </row>
    <row r="650">
      <c r="D650" s="52"/>
    </row>
    <row r="651">
      <c r="D651" s="52"/>
    </row>
    <row r="652">
      <c r="D652" s="52"/>
    </row>
    <row r="653">
      <c r="D653" s="52"/>
    </row>
    <row r="654">
      <c r="D654" s="52"/>
    </row>
    <row r="655">
      <c r="D655" s="52"/>
    </row>
    <row r="656">
      <c r="D656" s="52"/>
    </row>
    <row r="657">
      <c r="D657" s="52"/>
    </row>
    <row r="658">
      <c r="D658" s="52"/>
    </row>
    <row r="659">
      <c r="D659" s="52"/>
    </row>
    <row r="660">
      <c r="D660" s="52"/>
    </row>
    <row r="661">
      <c r="D661" s="52"/>
    </row>
    <row r="662">
      <c r="D662" s="52"/>
    </row>
    <row r="663">
      <c r="D663" s="52"/>
    </row>
    <row r="664">
      <c r="D664" s="52"/>
    </row>
    <row r="665">
      <c r="D665" s="52"/>
    </row>
    <row r="666">
      <c r="D666" s="52"/>
    </row>
    <row r="667">
      <c r="D667" s="52"/>
    </row>
    <row r="668">
      <c r="D668" s="52"/>
    </row>
    <row r="669">
      <c r="D669" s="52"/>
    </row>
    <row r="670">
      <c r="D670" s="52"/>
    </row>
    <row r="671">
      <c r="D671" s="52"/>
    </row>
    <row r="672">
      <c r="D672" s="52"/>
    </row>
    <row r="673">
      <c r="D673" s="52"/>
    </row>
    <row r="674">
      <c r="D674" s="52"/>
    </row>
    <row r="675">
      <c r="D675" s="52"/>
    </row>
    <row r="676">
      <c r="D676" s="52"/>
    </row>
    <row r="677">
      <c r="D677" s="52"/>
    </row>
    <row r="678">
      <c r="D678" s="52"/>
    </row>
    <row r="679">
      <c r="D679" s="52"/>
    </row>
    <row r="680">
      <c r="D680" s="52"/>
    </row>
    <row r="681">
      <c r="D681" s="52"/>
    </row>
    <row r="682">
      <c r="D682" s="52"/>
    </row>
    <row r="683">
      <c r="D683" s="52"/>
    </row>
    <row r="684">
      <c r="D684" s="52"/>
    </row>
    <row r="685">
      <c r="D685" s="52"/>
    </row>
    <row r="686">
      <c r="D686" s="52"/>
    </row>
    <row r="687">
      <c r="D687" s="52"/>
    </row>
    <row r="688">
      <c r="D688" s="52"/>
    </row>
    <row r="689">
      <c r="D689" s="52"/>
    </row>
    <row r="690">
      <c r="D690" s="52"/>
    </row>
    <row r="691">
      <c r="D691" s="52"/>
    </row>
    <row r="692">
      <c r="D692" s="52"/>
    </row>
    <row r="693">
      <c r="D693" s="52"/>
    </row>
    <row r="694">
      <c r="D694" s="52"/>
    </row>
    <row r="695">
      <c r="D695" s="52"/>
    </row>
    <row r="696">
      <c r="D696" s="52"/>
    </row>
    <row r="697">
      <c r="D697" s="52"/>
    </row>
    <row r="698">
      <c r="D698" s="52"/>
    </row>
    <row r="699">
      <c r="D699" s="52"/>
    </row>
    <row r="700">
      <c r="D700" s="52"/>
    </row>
    <row r="701">
      <c r="D701" s="52"/>
    </row>
    <row r="702">
      <c r="D702" s="52"/>
    </row>
    <row r="703">
      <c r="D703" s="52"/>
    </row>
    <row r="704">
      <c r="D704" s="52"/>
    </row>
    <row r="705">
      <c r="D705" s="52"/>
    </row>
    <row r="706">
      <c r="D706" s="52"/>
    </row>
    <row r="707">
      <c r="D707" s="52"/>
    </row>
    <row r="708">
      <c r="D708" s="52"/>
    </row>
    <row r="709">
      <c r="D709" s="52"/>
    </row>
    <row r="710">
      <c r="D710" s="52"/>
    </row>
    <row r="711">
      <c r="D711" s="52"/>
    </row>
    <row r="712">
      <c r="D712" s="52"/>
    </row>
    <row r="713">
      <c r="D713" s="52"/>
    </row>
    <row r="714">
      <c r="D714" s="52"/>
    </row>
    <row r="715">
      <c r="D715" s="52"/>
    </row>
    <row r="716">
      <c r="D716" s="52"/>
    </row>
    <row r="717">
      <c r="D717" s="52"/>
    </row>
    <row r="718">
      <c r="D718" s="52"/>
    </row>
    <row r="719">
      <c r="D719" s="52"/>
    </row>
    <row r="720">
      <c r="D720" s="52"/>
    </row>
    <row r="721">
      <c r="D721" s="52"/>
    </row>
    <row r="722">
      <c r="D722" s="52"/>
    </row>
    <row r="723">
      <c r="D723" s="52"/>
    </row>
    <row r="724">
      <c r="D724" s="52"/>
    </row>
    <row r="725">
      <c r="D725" s="52"/>
    </row>
    <row r="726">
      <c r="D726" s="52"/>
    </row>
    <row r="727">
      <c r="D727" s="52"/>
    </row>
    <row r="728">
      <c r="D728" s="52"/>
    </row>
    <row r="729">
      <c r="D729" s="52"/>
    </row>
    <row r="730">
      <c r="D730" s="52"/>
    </row>
    <row r="731">
      <c r="D731" s="52"/>
    </row>
    <row r="732">
      <c r="D732" s="52"/>
    </row>
    <row r="733">
      <c r="D733" s="52"/>
    </row>
    <row r="734">
      <c r="D734" s="52"/>
    </row>
    <row r="735">
      <c r="D735" s="52"/>
    </row>
    <row r="736">
      <c r="D736" s="52"/>
    </row>
    <row r="737">
      <c r="D737" s="52"/>
    </row>
    <row r="738">
      <c r="D738" s="52"/>
    </row>
    <row r="739">
      <c r="D739" s="52"/>
    </row>
    <row r="740">
      <c r="D740" s="52"/>
    </row>
    <row r="741">
      <c r="D741" s="52"/>
    </row>
    <row r="742">
      <c r="D742" s="52"/>
    </row>
    <row r="743">
      <c r="D743" s="52"/>
    </row>
    <row r="744">
      <c r="D744" s="52"/>
    </row>
    <row r="745">
      <c r="D745" s="52"/>
    </row>
    <row r="746">
      <c r="D746" s="52"/>
    </row>
    <row r="747">
      <c r="D747" s="52"/>
    </row>
    <row r="748">
      <c r="D748" s="52"/>
    </row>
    <row r="749">
      <c r="D749" s="52"/>
    </row>
    <row r="750">
      <c r="D750" s="52"/>
    </row>
    <row r="751">
      <c r="D751" s="52"/>
    </row>
    <row r="752">
      <c r="D752" s="52"/>
    </row>
    <row r="753">
      <c r="D753" s="52"/>
    </row>
    <row r="754">
      <c r="D754" s="52"/>
    </row>
    <row r="755">
      <c r="D755" s="52"/>
    </row>
    <row r="756">
      <c r="D756" s="52"/>
    </row>
    <row r="757">
      <c r="D757" s="52"/>
    </row>
    <row r="758">
      <c r="D758" s="52"/>
    </row>
    <row r="759">
      <c r="D759" s="52"/>
    </row>
    <row r="760">
      <c r="D760" s="52"/>
    </row>
    <row r="761">
      <c r="D761" s="52"/>
    </row>
    <row r="762">
      <c r="D762" s="52"/>
    </row>
    <row r="763">
      <c r="D763" s="52"/>
    </row>
    <row r="764">
      <c r="D764" s="52"/>
    </row>
    <row r="765">
      <c r="D765" s="52"/>
    </row>
    <row r="766">
      <c r="D766" s="52"/>
    </row>
    <row r="767">
      <c r="D767" s="52"/>
    </row>
    <row r="768">
      <c r="D768" s="52"/>
    </row>
    <row r="769">
      <c r="D769" s="52"/>
    </row>
    <row r="770">
      <c r="D770" s="52"/>
    </row>
    <row r="771">
      <c r="D771" s="52"/>
    </row>
    <row r="772">
      <c r="D772" s="52"/>
    </row>
    <row r="773">
      <c r="D773" s="52"/>
    </row>
    <row r="774">
      <c r="D774" s="52"/>
    </row>
    <row r="775">
      <c r="D775" s="52"/>
    </row>
    <row r="776">
      <c r="D776" s="52"/>
    </row>
    <row r="777">
      <c r="D777" s="52"/>
    </row>
    <row r="778">
      <c r="D778" s="52"/>
    </row>
    <row r="779">
      <c r="D779" s="52"/>
    </row>
    <row r="780">
      <c r="D780" s="52"/>
    </row>
    <row r="781">
      <c r="D781" s="52"/>
    </row>
    <row r="782">
      <c r="D782" s="52"/>
    </row>
    <row r="783">
      <c r="D783" s="52"/>
    </row>
    <row r="784">
      <c r="D784" s="52"/>
    </row>
    <row r="785">
      <c r="D785" s="52"/>
    </row>
    <row r="786">
      <c r="D786" s="52"/>
    </row>
    <row r="787">
      <c r="D787" s="52"/>
    </row>
    <row r="788">
      <c r="D788" s="52"/>
    </row>
    <row r="789">
      <c r="D789" s="52"/>
    </row>
    <row r="790">
      <c r="D790" s="52"/>
    </row>
    <row r="791">
      <c r="D791" s="52"/>
    </row>
    <row r="792">
      <c r="D792" s="52"/>
    </row>
    <row r="793">
      <c r="D793" s="52"/>
    </row>
    <row r="794">
      <c r="D794" s="52"/>
    </row>
    <row r="795">
      <c r="D795" s="52"/>
    </row>
    <row r="796">
      <c r="D796" s="52"/>
    </row>
    <row r="797">
      <c r="D797" s="52"/>
    </row>
    <row r="798">
      <c r="D798" s="52"/>
    </row>
    <row r="799">
      <c r="D799" s="52"/>
    </row>
    <row r="800">
      <c r="D800" s="52"/>
    </row>
    <row r="801">
      <c r="D801" s="52"/>
    </row>
    <row r="802">
      <c r="D802" s="52"/>
    </row>
    <row r="803">
      <c r="D803" s="52"/>
    </row>
    <row r="804">
      <c r="D804" s="52"/>
    </row>
    <row r="805">
      <c r="D805" s="52"/>
    </row>
    <row r="806">
      <c r="D806" s="52"/>
    </row>
    <row r="807">
      <c r="D807" s="52"/>
    </row>
    <row r="808">
      <c r="D808" s="52"/>
    </row>
    <row r="809">
      <c r="D809" s="52"/>
    </row>
    <row r="810">
      <c r="D810" s="52"/>
    </row>
    <row r="811">
      <c r="D811" s="52"/>
    </row>
    <row r="812">
      <c r="D812" s="52"/>
    </row>
    <row r="813">
      <c r="D813" s="52"/>
    </row>
    <row r="814">
      <c r="D814" s="52"/>
    </row>
    <row r="815">
      <c r="D815" s="52"/>
    </row>
    <row r="816">
      <c r="D816" s="52"/>
    </row>
    <row r="817">
      <c r="D817" s="52"/>
    </row>
    <row r="818">
      <c r="D818" s="52"/>
    </row>
    <row r="819">
      <c r="D819" s="52"/>
    </row>
    <row r="820">
      <c r="D820" s="52"/>
    </row>
    <row r="821">
      <c r="D821" s="52"/>
    </row>
    <row r="822">
      <c r="D822" s="52"/>
    </row>
    <row r="823">
      <c r="D823" s="52"/>
    </row>
    <row r="824">
      <c r="D824" s="52"/>
    </row>
    <row r="825">
      <c r="D825" s="52"/>
    </row>
    <row r="826">
      <c r="D826" s="52"/>
    </row>
    <row r="827">
      <c r="D827" s="52"/>
    </row>
    <row r="828">
      <c r="D828" s="52"/>
    </row>
    <row r="829">
      <c r="D829" s="52"/>
    </row>
    <row r="830">
      <c r="D830" s="52"/>
    </row>
    <row r="831">
      <c r="D831" s="52"/>
    </row>
    <row r="832">
      <c r="D832" s="52"/>
    </row>
    <row r="833">
      <c r="D833" s="52"/>
    </row>
    <row r="834">
      <c r="D834" s="52"/>
    </row>
    <row r="835">
      <c r="D835" s="52"/>
    </row>
    <row r="836">
      <c r="D836" s="52"/>
    </row>
    <row r="837">
      <c r="D837" s="52"/>
    </row>
    <row r="838">
      <c r="D838" s="52"/>
    </row>
    <row r="839">
      <c r="D839" s="52"/>
    </row>
    <row r="840">
      <c r="D840" s="52"/>
    </row>
    <row r="841">
      <c r="D841" s="52"/>
    </row>
    <row r="842">
      <c r="D842" s="52"/>
    </row>
  </sheetData>
  <autoFilter ref="$A$1:$Y$136">
    <sortState ref="A1:Y136">
      <sortCondition ref="A1:A136"/>
      <sortCondition ref="R1:R136"/>
      <sortCondition ref="S1:S136"/>
    </sortState>
  </autoFilter>
  <conditionalFormatting sqref="P1:S842">
    <cfRule type="cellIs" dxfId="0" priority="1" operator="lessThan">
      <formula>16</formula>
    </cfRule>
  </conditionalFormatting>
  <drawing r:id="rId1"/>
</worksheet>
</file>