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triv\Desktop\Design_Portfolio\"/>
    </mc:Choice>
  </mc:AlternateContent>
  <xr:revisionPtr revIDLastSave="0" documentId="13_ncr:1_{AFB6D73B-2816-4F77-8E2B-6F62228709BE}" xr6:coauthVersionLast="47" xr6:coauthVersionMax="47" xr10:uidLastSave="{00000000-0000-0000-0000-000000000000}"/>
  <bookViews>
    <workbookView xWindow="-108" yWindow="-108" windowWidth="23256" windowHeight="12576" firstSheet="1" activeTab="4" xr2:uid="{A53AEAB2-C123-4ADA-AC97-BFF2660B4D0C}"/>
  </bookViews>
  <sheets>
    <sheet name="QSFP-DD_Tol_Calc - Vertical" sheetId="1" r:id="rId1"/>
    <sheet name="QSFP-DD_Tol_Calc - Vertical2_B" sheetId="2" r:id="rId2"/>
    <sheet name="QSFP-DD_Tol_Calc - Horiztonal" sheetId="3" r:id="rId3"/>
    <sheet name="Spring_Calcs_Retimer" sheetId="4" r:id="rId4"/>
    <sheet name="Spring_Calcs_RH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5" l="1"/>
  <c r="F2" i="5"/>
  <c r="F27" i="4"/>
  <c r="F9" i="4"/>
  <c r="F10" i="4"/>
  <c r="F21" i="4" s="1"/>
  <c r="F20" i="4"/>
  <c r="F13" i="4"/>
  <c r="F12" i="4"/>
  <c r="F11" i="4"/>
  <c r="B7" i="5"/>
  <c r="B6" i="5"/>
  <c r="B20" i="5"/>
  <c r="F4" i="5"/>
  <c r="F3" i="5"/>
  <c r="G24" i="4"/>
  <c r="H22" i="4"/>
  <c r="F2" i="4"/>
  <c r="I4" i="4"/>
  <c r="I3" i="4"/>
  <c r="I2" i="4"/>
  <c r="I5" i="4"/>
  <c r="F4" i="4"/>
  <c r="I5" i="5" l="1"/>
  <c r="F13" i="5" s="1"/>
  <c r="H24" i="5" s="1"/>
  <c r="F11" i="5"/>
  <c r="I2" i="5"/>
  <c r="F9" i="5" s="1"/>
  <c r="I3" i="5"/>
  <c r="F10" i="5" s="1"/>
  <c r="I4" i="5"/>
  <c r="F12" i="5" s="1"/>
  <c r="G20" i="4"/>
  <c r="H20" i="4"/>
  <c r="H21" i="4"/>
  <c r="G21" i="4"/>
  <c r="F23" i="4"/>
  <c r="H23" i="4"/>
  <c r="G23" i="4"/>
  <c r="F24" i="4"/>
  <c r="G22" i="4"/>
  <c r="H24" i="4"/>
  <c r="F22" i="4"/>
  <c r="F24" i="5" l="1"/>
  <c r="G24" i="5"/>
  <c r="F27" i="5"/>
  <c r="F20" i="5"/>
  <c r="H21" i="5"/>
  <c r="G21" i="5"/>
  <c r="F21" i="5"/>
  <c r="G23" i="5"/>
  <c r="H23" i="5"/>
  <c r="F23" i="5"/>
  <c r="H22" i="5"/>
  <c r="G22" i="5"/>
  <c r="F22" i="5"/>
  <c r="H20" i="5" l="1"/>
  <c r="G20" i="5"/>
  <c r="B30" i="4" l="1"/>
  <c r="F3" i="4"/>
  <c r="B20" i="4"/>
  <c r="B6" i="4"/>
  <c r="D21" i="3"/>
  <c r="D12" i="3"/>
  <c r="C12" i="3" a="1"/>
  <c r="C12" i="3" s="1"/>
  <c r="E6" i="3"/>
  <c r="E5" i="3"/>
  <c r="E4" i="3"/>
  <c r="D21" i="2"/>
  <c r="C12" i="2" a="1"/>
  <c r="C12" i="2" s="1"/>
  <c r="C12" i="1" a="1"/>
  <c r="C12" i="1" s="1"/>
  <c r="E9" i="2"/>
  <c r="E6" i="2"/>
  <c r="E5" i="2"/>
  <c r="E4" i="2"/>
  <c r="D10" i="1"/>
  <c r="E10" i="1" s="1"/>
  <c r="D21" i="1"/>
  <c r="C9" i="1"/>
  <c r="C10" i="1"/>
  <c r="D12" i="1"/>
  <c r="D6" i="1"/>
  <c r="E9" i="1"/>
  <c r="E5" i="1"/>
  <c r="E6" i="1"/>
  <c r="E7" i="1"/>
  <c r="E4" i="1"/>
  <c r="E12" i="3" l="1"/>
  <c r="I4" i="3" s="1"/>
  <c r="C14" i="3" s="1"/>
  <c r="C13" i="3"/>
  <c r="C16" i="3"/>
  <c r="E12" i="2"/>
  <c r="I4" i="2" s="1"/>
  <c r="C15" i="2" s="1"/>
  <c r="E21" i="2" s="1"/>
  <c r="D12" i="2"/>
  <c r="C16" i="2" s="1"/>
  <c r="E12" i="1"/>
  <c r="I4" i="1" s="1"/>
  <c r="C14" i="1" s="1"/>
  <c r="C16" i="1"/>
  <c r="C13" i="1"/>
  <c r="C15" i="3" l="1"/>
  <c r="E21" i="3" s="1"/>
  <c r="C13" i="2"/>
  <c r="C14" i="2"/>
  <c r="C15" i="1"/>
  <c r="E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<sst xmlns="http://schemas.openxmlformats.org/spreadsheetml/2006/main" count="234" uniqueCount="89">
  <si>
    <t xml:space="preserve">Nominal </t>
  </si>
  <si>
    <t>Tolerance</t>
  </si>
  <si>
    <t xml:space="preserve">Vector </t>
  </si>
  <si>
    <t>Comments</t>
  </si>
  <si>
    <t>Tol ^2</t>
  </si>
  <si>
    <t xml:space="preserve">Study Name </t>
  </si>
  <si>
    <t>Vertical Gap Tolerance between DD-Cage and the Faceplate Cutouts - Upper DD Cages</t>
  </si>
  <si>
    <t xml:space="preserve">Standoff Height </t>
  </si>
  <si>
    <t xml:space="preserve">MB Thickness </t>
  </si>
  <si>
    <t xml:space="preserve">DD-Cage Height </t>
  </si>
  <si>
    <t>Emboss Height</t>
  </si>
  <si>
    <t xml:space="preserve">Gap </t>
  </si>
  <si>
    <t xml:space="preserve">Height of Faceplate Cutout </t>
  </si>
  <si>
    <t xml:space="preserve">Distance from cutout bottom surface to bottom surface of FP </t>
  </si>
  <si>
    <t xml:space="preserve">Dimension Description </t>
  </si>
  <si>
    <t>units</t>
  </si>
  <si>
    <t>mm</t>
  </si>
  <si>
    <t xml:space="preserve">Nominal Gap </t>
  </si>
  <si>
    <t xml:space="preserve">WC Min </t>
  </si>
  <si>
    <t xml:space="preserve">RSS Min </t>
  </si>
  <si>
    <t>RSS Max</t>
  </si>
  <si>
    <t>WC Max</t>
  </si>
  <si>
    <t>RSS Calculation</t>
  </si>
  <si>
    <t xml:space="preserve">sqrt of the sum of the tol squares </t>
  </si>
  <si>
    <t xml:space="preserve">Conclusion </t>
  </si>
  <si>
    <t xml:space="preserve">Lower Limitation </t>
  </si>
  <si>
    <t xml:space="preserve">gap must be greater than 0 </t>
  </si>
  <si>
    <t xml:space="preserve">Upper Limitation </t>
  </si>
  <si>
    <t xml:space="preserve">gap must not exceed </t>
  </si>
  <si>
    <t xml:space="preserve">interference between the cage and the faceplate </t>
  </si>
  <si>
    <t xml:space="preserve">RSS </t>
  </si>
  <si>
    <t>Vertical Gap Tolerance between DD-Cage and the Faceplate Cutouts - Bottom DD Cages</t>
  </si>
  <si>
    <t xml:space="preserve">since it is upside down dimension vector is postive  </t>
  </si>
  <si>
    <t>Height of Faceplate Cutout</t>
  </si>
  <si>
    <t>Horiztonal Gap Tolerance between DD-Cage and the Faceplate Cutouts -  DD Cages</t>
  </si>
  <si>
    <t xml:space="preserve">Width of Faceplate Cutout </t>
  </si>
  <si>
    <t xml:space="preserve">Distance from faceplate to chassis mounting hole to Front surface of faceplate </t>
  </si>
  <si>
    <t xml:space="preserve">Chassis Mounting Faceplate to Chassis PCB standoff </t>
  </si>
  <si>
    <t xml:space="preserve">Mounting to DD-Cage Edge </t>
  </si>
  <si>
    <t xml:space="preserve">Width of DD-Cage </t>
  </si>
  <si>
    <t>Width of Faceplate Cutout</t>
  </si>
  <si>
    <t xml:space="preserve">Screw </t>
  </si>
  <si>
    <t xml:space="preserve">Free Length </t>
  </si>
  <si>
    <t xml:space="preserve">Solid Height </t>
  </si>
  <si>
    <t>Spring</t>
  </si>
  <si>
    <t xml:space="preserve">ID </t>
  </si>
  <si>
    <t xml:space="preserve">OD </t>
  </si>
  <si>
    <t xml:space="preserve">Spring Rate </t>
  </si>
  <si>
    <t xml:space="preserve">Screw Shoulder Length </t>
  </si>
  <si>
    <t xml:space="preserve">Spring Rate Tolerance </t>
  </si>
  <si>
    <t xml:space="preserve">Soulder Length Tol </t>
  </si>
  <si>
    <t xml:space="preserve">Retimer Chip Size </t>
  </si>
  <si>
    <t xml:space="preserve">Length </t>
  </si>
  <si>
    <t xml:space="preserve">Width </t>
  </si>
  <si>
    <t xml:space="preserve">Contact Area </t>
  </si>
  <si>
    <t xml:space="preserve">Chip Height </t>
  </si>
  <si>
    <t xml:space="preserve">Height Tolerance </t>
  </si>
  <si>
    <t xml:space="preserve">Heatsink </t>
  </si>
  <si>
    <t xml:space="preserve">HS Base Thickness </t>
  </si>
  <si>
    <t>Counterbore Depth</t>
  </si>
  <si>
    <t xml:space="preserve">Tolerance </t>
  </si>
  <si>
    <t xml:space="preserve">TIM </t>
  </si>
  <si>
    <t xml:space="preserve">Thickness </t>
  </si>
  <si>
    <t xml:space="preserve">Tolerance (estimated) </t>
  </si>
  <si>
    <t xml:space="preserve">mm </t>
  </si>
  <si>
    <t xml:space="preserve">Spring Pitch </t>
  </si>
  <si>
    <t xml:space="preserve">number of coils * wire diameter (1mm) </t>
  </si>
  <si>
    <t>mm2</t>
  </si>
  <si>
    <t xml:space="preserve">Dispensible Gap Filler </t>
  </si>
  <si>
    <t xml:space="preserve">Sum Tolerances </t>
  </si>
  <si>
    <t xml:space="preserve">Sq Sum Tol </t>
  </si>
  <si>
    <t xml:space="preserve">RSS Max </t>
  </si>
  <si>
    <t xml:space="preserve">Spring Load = (Free Length - Spring Height)   * Spring Rate </t>
  </si>
  <si>
    <t xml:space="preserve">WC Min (-10% spring rate) </t>
  </si>
  <si>
    <t xml:space="preserve">WC Max (+ 10% spring rate) </t>
  </si>
  <si>
    <t>N/mm</t>
  </si>
  <si>
    <t xml:space="preserve">Verify the spring does not go solid (Gap &gt; 0 ) </t>
  </si>
  <si>
    <t xml:space="preserve">Component Characteristics </t>
  </si>
  <si>
    <t xml:space="preserve">Design Output </t>
  </si>
  <si>
    <t xml:space="preserve">NPU Chip Size </t>
  </si>
  <si>
    <t xml:space="preserve">PCM Material </t>
  </si>
  <si>
    <t xml:space="preserve">Nominal Gap (mm) </t>
  </si>
  <si>
    <t xml:space="preserve">WC Min (mm) </t>
  </si>
  <si>
    <t xml:space="preserve">RSS Min (mm) </t>
  </si>
  <si>
    <t xml:space="preserve">RSS Max (mm) </t>
  </si>
  <si>
    <t xml:space="preserve">WC Max (mm) </t>
  </si>
  <si>
    <t xml:space="preserve">Spring Height = Solid Height + Gap </t>
  </si>
  <si>
    <t xml:space="preserve">number of coils (6) * wire diameter (1.2mm) </t>
  </si>
  <si>
    <t>* 2 chips so need to multiply by 2 if pressure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</si>
</sst>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2" fillId="5" borderId="0" xfId="0" applyFont="1" applyFill="1"/>
    <xf numFmtId="0" fontId="0" fillId="7" borderId="0" xfId="0" applyFill="1"/>
    <xf numFmtId="0" fontId="0" fillId="2" borderId="0" xfId="0" applyFill="1"/>
    <xf numFmtId="9" fontId="0" fillId="2" borderId="0" xfId="0" applyNumberFormat="1" applyFill="1"/>
    <xf numFmtId="0" fontId="3" fillId="2" borderId="0" xfId="0" applyFont="1" applyFill="1"/>
    <xf numFmtId="0" fontId="0" fillId="8" borderId="0" xfId="0" applyFill="1"/>
    <xf numFmtId="0" fontId="3" fillId="8" borderId="0" xfId="0" applyFont="1" applyFill="1"/>
    <xf numFmtId="0" fontId="2" fillId="2" borderId="0" xfId="0" applyFont="1" applyFill="1"/>
    <xf numFmtId="0" fontId="2" fillId="8" borderId="0" xfId="0" applyFont="1" applyFill="1"/>
    <xf numFmtId="0" fontId="1" fillId="8" borderId="0" xfId="0" applyFont="1" applyFill="1"/>
    <xf numFmtId="9" fontId="1" fillId="2" borderId="0" xfId="0" applyNumberFormat="1" applyFont="1" applyFill="1"/>
    <xf numFmtId="0" fontId="1" fillId="7" borderId="0" xfId="0" applyFont="1" applyFill="1"/>
    <xf numFmtId="0" fontId="3" fillId="5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</xdr:row>
      <xdr:rowOff>0</xdr:rowOff>
    </xdr:from>
    <xdr:to>
      <xdr:col>28</xdr:col>
      <xdr:colOff>174172</xdr:colOff>
      <xdr:row>18</xdr:row>
      <xdr:rowOff>178809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87251-CEC5-44E3-8210-76AAB04D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143000"/>
          <a:ext cx="8704762" cy="2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</xdr:row>
      <xdr:rowOff>0</xdr:rowOff>
    </xdr:from>
    <xdr:to>
      <xdr:col>28</xdr:col>
      <xdr:colOff>174172</xdr:colOff>
      <xdr:row>18</xdr:row>
      <xdr:rowOff>178809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C110D9-9635-407B-8CEB-C6C40E96B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2060" y="1463040"/>
          <a:ext cx="8704762" cy="2009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25941</xdr:colOff>
      <xdr:row>0</xdr:row>
      <xdr:rowOff>168089</xdr:rowOff>
    </xdr:from>
    <xdr:to>
      <xdr:col>23</xdr:col>
      <xdr:colOff>475171</xdr:colOff>
      <xdr:row>19</xdr:row>
      <xdr:rowOff>41297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CA17F-5244-4A73-98A8-549CAD3B5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9423" y="168089"/>
          <a:ext cx="6541419" cy="3279796"/>
        </a:xfrm>
        <a:prstGeom prst="rect">
          <a:avLst/>
        </a:prstGeom>
      </xdr:spPr>
    </xdr:pic>
    <xdr:clientData/>
  </xdr:twoCellAnchor>
  <xdr:twoCellAnchor editAs="oneCell">
    <xdr:from>
      <xdr:col>14</xdr:col>
      <xdr:colOff>63425</xdr:colOff>
      <xdr:row>20</xdr:row>
      <xdr:rowOff>59592</xdr:rowOff>
    </xdr:from>
    <xdr:to>
      <xdr:col>23</xdr:col>
      <xdr:colOff>285386</xdr:colOff>
      <xdr:row>35</xdr:row>
      <xdr:rowOff>55035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300094-70BD-436F-B73C-BCF28723D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98807" y="3645474"/>
          <a:ext cx="5668020" cy="2692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33</xdr:col>
      <xdr:colOff>455467</xdr:colOff>
      <xdr:row>40</xdr:row>
      <xdr:rowOff>75355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ED69B-8094-4D96-963B-EB64A3C9D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0" y="171450"/>
          <a:ext cx="13866667" cy="67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28</xdr:col>
      <xdr:colOff>57280</xdr:colOff>
      <xdr:row>63</xdr:row>
      <xdr:rowOff>142997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9F201-DE31-4C09-90CF-877018D3D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21618" y="7227794"/>
          <a:ext cx="7923809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FF2E-0DFD-4C85-99AD-B40398AD6221}">
  <dimension ref="A1:J22"/>
  <sheetViews>
    <sheetView zoomScaleNormal="100" workbookViewId="0">
      <selection activeCell="B23" sqref="B23"/>
    </sheetView>
  </sheetViews>
  <sheetFormatPr defaultRowHeight="14.4" x14ac:dyDescent="0.3"/>
  <cols>
    <col min="1" max="1" width="12.109375" bestFit="1" customWidth="1"/>
    <col min="2" max="2" width="78.5546875" bestFit="1" customWidth="1"/>
    <col min="3" max="3" width="22.6640625" bestFit="1" customWidth="1"/>
    <col min="4" max="4" width="8.6640625" bestFit="1" customWidth="1"/>
    <col min="5" max="5" width="9.6640625" customWidth="1"/>
    <col min="7" max="7" width="10.5546875" bestFit="1" customWidth="1"/>
    <col min="9" max="9" width="13.44140625" bestFit="1" customWidth="1"/>
    <col min="10" max="10" width="31.33203125" bestFit="1" customWidth="1"/>
  </cols>
  <sheetData>
    <row r="1" spans="1:10" x14ac:dyDescent="0.3">
      <c r="A1" t="s">
        <v>5</v>
      </c>
      <c r="B1" t="s">
        <v>6</v>
      </c>
      <c r="C1" t="s">
        <v>15</v>
      </c>
      <c r="D1" t="s">
        <v>16</v>
      </c>
    </row>
    <row r="3" spans="1:10" x14ac:dyDescent="0.3">
      <c r="A3" s="3"/>
      <c r="B3" s="3" t="s">
        <v>14</v>
      </c>
      <c r="C3" s="3" t="s">
        <v>0</v>
      </c>
      <c r="D3" s="3" t="s">
        <v>1</v>
      </c>
      <c r="E3" s="3" t="s">
        <v>4</v>
      </c>
      <c r="F3" s="3" t="s">
        <v>2</v>
      </c>
      <c r="G3" s="3" t="s">
        <v>3</v>
      </c>
      <c r="I3" s="1" t="s">
        <v>22</v>
      </c>
      <c r="J3" s="1"/>
    </row>
    <row r="4" spans="1:10" x14ac:dyDescent="0.3">
      <c r="A4" s="4">
        <v>1</v>
      </c>
      <c r="B4" s="1" t="s">
        <v>10</v>
      </c>
      <c r="C4" s="1">
        <v>0.61599999999999999</v>
      </c>
      <c r="D4" s="1">
        <v>0.254</v>
      </c>
      <c r="E4" s="1">
        <f>D4^2</f>
        <v>6.4516000000000004E-2</v>
      </c>
      <c r="F4" s="1">
        <v>-1</v>
      </c>
      <c r="G4" s="1"/>
      <c r="I4" s="1">
        <f>SQRT(E12)</f>
        <v>0.43662617523460506</v>
      </c>
      <c r="J4" s="1" t="s">
        <v>23</v>
      </c>
    </row>
    <row r="5" spans="1:10" x14ac:dyDescent="0.3">
      <c r="A5" s="4">
        <v>2</v>
      </c>
      <c r="B5" s="1" t="s">
        <v>7</v>
      </c>
      <c r="C5" s="1">
        <v>21</v>
      </c>
      <c r="D5" s="1">
        <v>0.254</v>
      </c>
      <c r="E5" s="1">
        <f t="shared" ref="E5:E10" si="0">D5^2</f>
        <v>6.4516000000000004E-2</v>
      </c>
      <c r="F5" s="1">
        <v>-1</v>
      </c>
      <c r="G5" s="1"/>
    </row>
    <row r="6" spans="1:10" x14ac:dyDescent="0.3">
      <c r="A6" s="4">
        <v>3</v>
      </c>
      <c r="B6" s="1" t="s">
        <v>8</v>
      </c>
      <c r="C6" s="1">
        <v>4.0129999999999999</v>
      </c>
      <c r="D6" s="1">
        <f>C6*0.01</f>
        <v>4.0129999999999999E-2</v>
      </c>
      <c r="E6" s="1">
        <f t="shared" si="0"/>
        <v>1.6104169E-3</v>
      </c>
      <c r="F6" s="1">
        <v>-1</v>
      </c>
      <c r="G6" s="1"/>
    </row>
    <row r="7" spans="1:10" x14ac:dyDescent="0.3">
      <c r="A7" s="4">
        <v>4</v>
      </c>
      <c r="B7" s="1" t="s">
        <v>9</v>
      </c>
      <c r="C7" s="1">
        <v>9.6</v>
      </c>
      <c r="D7" s="1">
        <v>0.1</v>
      </c>
      <c r="E7" s="1">
        <f t="shared" si="0"/>
        <v>1.0000000000000002E-2</v>
      </c>
      <c r="F7" s="1">
        <v>-1</v>
      </c>
      <c r="G7" s="1"/>
    </row>
    <row r="8" spans="1:10" x14ac:dyDescent="0.3">
      <c r="A8" s="4">
        <v>5</v>
      </c>
      <c r="B8" s="2" t="s">
        <v>11</v>
      </c>
      <c r="C8" s="2"/>
      <c r="D8" s="2"/>
      <c r="E8" s="2"/>
      <c r="F8" s="2"/>
      <c r="G8" s="2"/>
    </row>
    <row r="9" spans="1:10" x14ac:dyDescent="0.3">
      <c r="A9" s="4">
        <v>6</v>
      </c>
      <c r="B9" s="1" t="s">
        <v>12</v>
      </c>
      <c r="C9" s="1">
        <f>10.15+0.45</f>
        <v>10.6</v>
      </c>
      <c r="D9" s="1">
        <v>0.1</v>
      </c>
      <c r="E9" s="1">
        <f t="shared" si="0"/>
        <v>1.0000000000000002E-2</v>
      </c>
      <c r="F9" s="1">
        <v>1</v>
      </c>
      <c r="G9" s="1"/>
    </row>
    <row r="10" spans="1:10" x14ac:dyDescent="0.3">
      <c r="A10" s="4">
        <v>7</v>
      </c>
      <c r="B10" s="1" t="s">
        <v>13</v>
      </c>
      <c r="C10" s="1">
        <f>25.554-(0.45/2)</f>
        <v>25.328999999999997</v>
      </c>
      <c r="D10" s="1">
        <f>D9*2</f>
        <v>0.2</v>
      </c>
      <c r="E10" s="1">
        <f t="shared" si="0"/>
        <v>4.0000000000000008E-2</v>
      </c>
      <c r="F10" s="1">
        <v>1</v>
      </c>
      <c r="G10" s="1"/>
    </row>
    <row r="12" spans="1:10" x14ac:dyDescent="0.3">
      <c r="B12" s="5" t="s">
        <v>17</v>
      </c>
      <c r="C12" s="5" cm="1">
        <f t="array" ref="C12">SUM(C4:C10*F4:F10)</f>
        <v>0.69999999999999929</v>
      </c>
      <c r="D12" s="5">
        <f>SUM(D4:D10)</f>
        <v>0.94812999999999992</v>
      </c>
      <c r="E12" s="5">
        <f>SUM(E4:E10)</f>
        <v>0.19064241690000003</v>
      </c>
      <c r="F12" s="5"/>
      <c r="G12" s="6"/>
    </row>
    <row r="13" spans="1:10" x14ac:dyDescent="0.3">
      <c r="B13" s="5" t="s">
        <v>18</v>
      </c>
      <c r="C13" s="7">
        <f>C12-D12</f>
        <v>-0.24813000000000063</v>
      </c>
      <c r="D13" s="5"/>
      <c r="E13" s="5"/>
      <c r="F13" s="5"/>
      <c r="G13" s="6"/>
    </row>
    <row r="14" spans="1:10" x14ac:dyDescent="0.3">
      <c r="B14" s="5" t="s">
        <v>19</v>
      </c>
      <c r="C14" s="5">
        <f>C12-I4</f>
        <v>0.26337382476539423</v>
      </c>
      <c r="D14" s="5"/>
      <c r="E14" s="5"/>
      <c r="F14" s="5"/>
      <c r="G14" s="6"/>
    </row>
    <row r="15" spans="1:10" x14ac:dyDescent="0.3">
      <c r="B15" s="5" t="s">
        <v>20</v>
      </c>
      <c r="C15" s="5">
        <f>C12+I4</f>
        <v>1.1366261752346043</v>
      </c>
      <c r="D15" s="5"/>
      <c r="E15" s="5"/>
      <c r="F15" s="5"/>
      <c r="G15" s="6"/>
    </row>
    <row r="16" spans="1:10" x14ac:dyDescent="0.3">
      <c r="B16" s="5" t="s">
        <v>21</v>
      </c>
      <c r="C16" s="5">
        <f>C12+D12</f>
        <v>1.6481299999999992</v>
      </c>
      <c r="D16" s="5"/>
      <c r="E16" s="5"/>
      <c r="F16" s="5"/>
      <c r="G16" s="6"/>
    </row>
    <row r="19" spans="2:6" x14ac:dyDescent="0.3">
      <c r="B19" s="8" t="s">
        <v>24</v>
      </c>
    </row>
    <row r="20" spans="2:6" x14ac:dyDescent="0.3">
      <c r="B20" s="1" t="s">
        <v>25</v>
      </c>
      <c r="C20" s="1" t="s">
        <v>26</v>
      </c>
      <c r="D20" s="1" t="s">
        <v>29</v>
      </c>
    </row>
    <row r="21" spans="2:6" x14ac:dyDescent="0.3">
      <c r="B21" s="1" t="s">
        <v>27</v>
      </c>
      <c r="C21" s="1" t="s">
        <v>28</v>
      </c>
      <c r="D21" s="1">
        <f>(C9-D9)-(8.9-D7)</f>
        <v>1.6999999999999993</v>
      </c>
      <c r="E21" s="3" t="b">
        <f>IF(D21&gt;C15,TRUE,FALSE)</f>
        <v>1</v>
      </c>
      <c r="F21" t="s">
        <v>30</v>
      </c>
    </row>
    <row r="22" spans="2:6" x14ac:dyDescent="0.3">
      <c r="D2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E603-E43A-4693-9B73-69DE36678423}">
  <dimension ref="A1:J22"/>
  <sheetViews>
    <sheetView workbookViewId="0">
      <selection activeCell="D10" sqref="D10"/>
    </sheetView>
  </sheetViews>
  <sheetFormatPr defaultRowHeight="14.4" x14ac:dyDescent="0.3"/>
  <cols>
    <col min="1" max="1" width="12.109375" bestFit="1" customWidth="1"/>
    <col min="2" max="2" width="78.5546875" bestFit="1" customWidth="1"/>
    <col min="3" max="3" width="22.6640625" bestFit="1" customWidth="1"/>
    <col min="4" max="4" width="8.6640625" bestFit="1" customWidth="1"/>
    <col min="5" max="5" width="9.6640625" customWidth="1"/>
    <col min="7" max="7" width="42.33203125" bestFit="1" customWidth="1"/>
    <col min="9" max="9" width="13.44140625" bestFit="1" customWidth="1"/>
    <col min="10" max="10" width="31.33203125" bestFit="1" customWidth="1"/>
  </cols>
  <sheetData>
    <row r="1" spans="1:10" x14ac:dyDescent="0.3">
      <c r="A1" t="s">
        <v>5</v>
      </c>
      <c r="B1" t="s">
        <v>31</v>
      </c>
      <c r="C1" t="s">
        <v>15</v>
      </c>
      <c r="D1" t="s">
        <v>16</v>
      </c>
    </row>
    <row r="3" spans="1:10" x14ac:dyDescent="0.3">
      <c r="A3" s="3"/>
      <c r="B3" s="3" t="s">
        <v>14</v>
      </c>
      <c r="C3" s="3" t="s">
        <v>0</v>
      </c>
      <c r="D3" s="3" t="s">
        <v>1</v>
      </c>
      <c r="E3" s="3" t="s">
        <v>4</v>
      </c>
      <c r="F3" s="3" t="s">
        <v>2</v>
      </c>
      <c r="G3" s="3" t="s">
        <v>3</v>
      </c>
      <c r="I3" s="1" t="s">
        <v>22</v>
      </c>
      <c r="J3" s="1"/>
    </row>
    <row r="4" spans="1:10" x14ac:dyDescent="0.3">
      <c r="A4" s="4">
        <v>1</v>
      </c>
      <c r="B4" s="1" t="s">
        <v>10</v>
      </c>
      <c r="C4" s="1">
        <v>0.61599999999999999</v>
      </c>
      <c r="D4" s="1">
        <v>0.254</v>
      </c>
      <c r="E4" s="1">
        <f>D4^2</f>
        <v>6.4516000000000004E-2</v>
      </c>
      <c r="F4" s="1">
        <v>-1</v>
      </c>
      <c r="G4" s="1"/>
      <c r="I4" s="1">
        <f>SQRT(E12)</f>
        <v>0.4231217318928443</v>
      </c>
      <c r="J4" s="1" t="s">
        <v>23</v>
      </c>
    </row>
    <row r="5" spans="1:10" x14ac:dyDescent="0.3">
      <c r="A5" s="4">
        <v>2</v>
      </c>
      <c r="B5" s="1" t="s">
        <v>7</v>
      </c>
      <c r="C5" s="1">
        <v>21</v>
      </c>
      <c r="D5" s="1">
        <v>0.254</v>
      </c>
      <c r="E5" s="1">
        <f t="shared" ref="E5" si="0">D5^2</f>
        <v>6.4516000000000004E-2</v>
      </c>
      <c r="F5" s="1">
        <v>-1</v>
      </c>
      <c r="G5" s="1"/>
    </row>
    <row r="6" spans="1:10" x14ac:dyDescent="0.3">
      <c r="A6" s="4">
        <v>3</v>
      </c>
      <c r="B6" s="1" t="s">
        <v>9</v>
      </c>
      <c r="C6" s="1">
        <v>9.6</v>
      </c>
      <c r="D6" s="1">
        <v>0.1</v>
      </c>
      <c r="E6" s="1">
        <f>D6^2</f>
        <v>1.0000000000000002E-2</v>
      </c>
      <c r="F6" s="1">
        <v>1</v>
      </c>
      <c r="G6" s="1" t="s">
        <v>32</v>
      </c>
    </row>
    <row r="7" spans="1:10" x14ac:dyDescent="0.3">
      <c r="A7" s="4">
        <v>4</v>
      </c>
      <c r="B7" s="2" t="s">
        <v>11</v>
      </c>
      <c r="C7" s="2"/>
      <c r="D7" s="2"/>
      <c r="E7" s="2"/>
      <c r="F7" s="2"/>
      <c r="G7" s="2"/>
    </row>
    <row r="8" spans="1:10" x14ac:dyDescent="0.3">
      <c r="A8" s="4">
        <v>5</v>
      </c>
      <c r="B8" s="1" t="s">
        <v>12</v>
      </c>
      <c r="C8" s="1"/>
      <c r="D8" s="1"/>
      <c r="E8" s="1"/>
      <c r="F8" s="1"/>
      <c r="G8" s="1"/>
    </row>
    <row r="9" spans="1:10" x14ac:dyDescent="0.3">
      <c r="A9" s="4">
        <v>6</v>
      </c>
      <c r="B9" s="1" t="s">
        <v>13</v>
      </c>
      <c r="C9" s="1">
        <v>11.315</v>
      </c>
      <c r="D9" s="1">
        <v>0.2</v>
      </c>
      <c r="E9" s="1">
        <f>D9^2</f>
        <v>4.0000000000000008E-2</v>
      </c>
      <c r="F9" s="1">
        <v>1</v>
      </c>
      <c r="G9" s="1"/>
    </row>
    <row r="10" spans="1:10" x14ac:dyDescent="0.3">
      <c r="A10" s="4">
        <v>7</v>
      </c>
    </row>
    <row r="12" spans="1:10" x14ac:dyDescent="0.3">
      <c r="B12" s="5" t="s">
        <v>17</v>
      </c>
      <c r="C12" s="5" cm="1">
        <f t="array" ref="C12">SUM(C4:C6*F4:F6)+C9</f>
        <v>-0.70100000000000051</v>
      </c>
      <c r="D12" s="5">
        <f>SUM(D4:D9)</f>
        <v>0.80800000000000005</v>
      </c>
      <c r="E12" s="5">
        <f>SUM(E4:E9)</f>
        <v>0.17903200000000002</v>
      </c>
      <c r="F12" s="5"/>
      <c r="G12" s="6"/>
    </row>
    <row r="13" spans="1:10" x14ac:dyDescent="0.3">
      <c r="B13" s="5" t="s">
        <v>18</v>
      </c>
      <c r="C13" s="7">
        <f>C12-D12</f>
        <v>-1.5090000000000006</v>
      </c>
      <c r="D13" s="5"/>
      <c r="E13" s="5"/>
      <c r="F13" s="5"/>
      <c r="G13" s="6"/>
    </row>
    <row r="14" spans="1:10" x14ac:dyDescent="0.3">
      <c r="B14" s="5" t="s">
        <v>19</v>
      </c>
      <c r="C14" s="5">
        <f>C12-I4</f>
        <v>-1.1241217318928447</v>
      </c>
      <c r="D14" s="5"/>
      <c r="E14" s="5"/>
      <c r="F14" s="5"/>
      <c r="G14" s="6"/>
    </row>
    <row r="15" spans="1:10" x14ac:dyDescent="0.3">
      <c r="B15" s="5" t="s">
        <v>20</v>
      </c>
      <c r="C15" s="5">
        <f>C12+I4</f>
        <v>-0.27787826810715621</v>
      </c>
      <c r="D15" s="5"/>
      <c r="E15" s="5"/>
      <c r="F15" s="5"/>
      <c r="G15" s="6"/>
    </row>
    <row r="16" spans="1:10" x14ac:dyDescent="0.3">
      <c r="B16" s="5" t="s">
        <v>21</v>
      </c>
      <c r="C16" s="5">
        <f>C12+D12</f>
        <v>0.10699999999999954</v>
      </c>
      <c r="D16" s="5"/>
      <c r="E16" s="5"/>
      <c r="F16" s="5"/>
      <c r="G16" s="6"/>
    </row>
    <row r="19" spans="2:6" x14ac:dyDescent="0.3">
      <c r="B19" s="8" t="s">
        <v>24</v>
      </c>
    </row>
    <row r="20" spans="2:6" x14ac:dyDescent="0.3">
      <c r="B20" s="1" t="s">
        <v>25</v>
      </c>
      <c r="C20" s="1" t="s">
        <v>26</v>
      </c>
      <c r="D20" s="1" t="s">
        <v>29</v>
      </c>
    </row>
    <row r="21" spans="2:6" x14ac:dyDescent="0.3">
      <c r="B21" s="1" t="s">
        <v>27</v>
      </c>
      <c r="C21" s="1" t="s">
        <v>28</v>
      </c>
      <c r="D21" s="1">
        <f>(D22-E22)-(8.9-D6)</f>
        <v>1.6729999999999983</v>
      </c>
      <c r="E21" s="3" t="b">
        <f>IF(D21&gt;C15,TRUE,FALSE)</f>
        <v>1</v>
      </c>
      <c r="F21" t="s">
        <v>30</v>
      </c>
    </row>
    <row r="22" spans="2:6" x14ac:dyDescent="0.3">
      <c r="C22" t="s">
        <v>33</v>
      </c>
      <c r="D22" s="1">
        <v>10.6</v>
      </c>
      <c r="E22">
        <v>0.127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D0D5-2C8B-4C30-8CF2-1C8ED5264FB4}">
  <dimension ref="A1:J23"/>
  <sheetViews>
    <sheetView workbookViewId="0">
      <selection activeCell="B40" sqref="B40"/>
    </sheetView>
  </sheetViews>
  <sheetFormatPr defaultRowHeight="14.4" x14ac:dyDescent="0.3"/>
  <cols>
    <col min="1" max="1" width="12.109375" bestFit="1" customWidth="1"/>
    <col min="2" max="2" width="78.5546875" bestFit="1" customWidth="1"/>
    <col min="3" max="3" width="22.6640625" bestFit="1" customWidth="1"/>
    <col min="4" max="4" width="8.6640625" bestFit="1" customWidth="1"/>
    <col min="5" max="5" width="9.6640625" customWidth="1"/>
    <col min="7" max="7" width="42.33203125" bestFit="1" customWidth="1"/>
    <col min="9" max="9" width="13.44140625" bestFit="1" customWidth="1"/>
    <col min="10" max="10" width="31.33203125" bestFit="1" customWidth="1"/>
  </cols>
  <sheetData>
    <row r="1" spans="1:10" x14ac:dyDescent="0.3">
      <c r="A1" t="s">
        <v>5</v>
      </c>
      <c r="B1" t="s">
        <v>34</v>
      </c>
      <c r="C1" t="s">
        <v>15</v>
      </c>
      <c r="D1" t="s">
        <v>16</v>
      </c>
    </row>
    <row r="3" spans="1:10" x14ac:dyDescent="0.3">
      <c r="A3" s="3"/>
      <c r="B3" s="3" t="s">
        <v>14</v>
      </c>
      <c r="C3" s="3" t="s">
        <v>0</v>
      </c>
      <c r="D3" s="3" t="s">
        <v>1</v>
      </c>
      <c r="E3" s="3" t="s">
        <v>4</v>
      </c>
      <c r="F3" s="3" t="s">
        <v>2</v>
      </c>
      <c r="G3" s="3" t="s">
        <v>3</v>
      </c>
      <c r="I3" s="1" t="s">
        <v>22</v>
      </c>
      <c r="J3" s="1"/>
    </row>
    <row r="4" spans="1:10" x14ac:dyDescent="0.3">
      <c r="A4" s="4">
        <v>1</v>
      </c>
      <c r="B4" s="1" t="s">
        <v>37</v>
      </c>
      <c r="C4" s="1">
        <v>58.591000000000001</v>
      </c>
      <c r="D4" s="1">
        <v>0.127</v>
      </c>
      <c r="E4" s="1">
        <f>D4^2</f>
        <v>1.6129000000000001E-2</v>
      </c>
      <c r="F4" s="1">
        <v>-1</v>
      </c>
      <c r="G4" s="1"/>
      <c r="I4" s="1">
        <f>SQRT(E12)</f>
        <v>0.28398063314247329</v>
      </c>
      <c r="J4" s="1" t="s">
        <v>23</v>
      </c>
    </row>
    <row r="5" spans="1:10" x14ac:dyDescent="0.3">
      <c r="A5" s="4">
        <v>2</v>
      </c>
      <c r="B5" s="1" t="s">
        <v>38</v>
      </c>
      <c r="C5" s="1">
        <v>28.875</v>
      </c>
      <c r="D5" s="1">
        <v>0.254</v>
      </c>
      <c r="E5" s="1">
        <f t="shared" ref="E5" si="0">D5^2</f>
        <v>6.4516000000000004E-2</v>
      </c>
      <c r="F5" s="1">
        <v>-1</v>
      </c>
      <c r="G5" s="1"/>
    </row>
    <row r="6" spans="1:10" x14ac:dyDescent="0.3">
      <c r="A6" s="4">
        <v>3</v>
      </c>
      <c r="B6" s="1"/>
      <c r="C6" s="1"/>
      <c r="D6" s="1"/>
      <c r="E6" s="1">
        <f>D6^2</f>
        <v>0</v>
      </c>
      <c r="F6" s="1">
        <v>-1</v>
      </c>
      <c r="G6" s="1" t="s">
        <v>32</v>
      </c>
    </row>
    <row r="7" spans="1:10" x14ac:dyDescent="0.3">
      <c r="A7" s="4">
        <v>4</v>
      </c>
      <c r="B7" s="2" t="s">
        <v>11</v>
      </c>
      <c r="C7" s="2"/>
      <c r="D7" s="2"/>
      <c r="E7" s="2"/>
      <c r="F7" s="2"/>
      <c r="G7" s="2"/>
    </row>
    <row r="8" spans="1:10" x14ac:dyDescent="0.3">
      <c r="A8" s="4">
        <v>5</v>
      </c>
      <c r="B8" s="1" t="s">
        <v>35</v>
      </c>
      <c r="C8" s="1">
        <v>20</v>
      </c>
      <c r="D8" s="1">
        <v>0.127</v>
      </c>
      <c r="E8" s="1"/>
      <c r="F8" s="1">
        <v>1</v>
      </c>
      <c r="G8" s="1"/>
    </row>
    <row r="9" spans="1:10" x14ac:dyDescent="0.3">
      <c r="A9" s="4">
        <v>6</v>
      </c>
      <c r="B9" s="1" t="s">
        <v>36</v>
      </c>
      <c r="C9" s="1">
        <v>30.091000000000001</v>
      </c>
      <c r="D9" s="1">
        <v>0.127</v>
      </c>
      <c r="E9" s="1"/>
      <c r="F9" s="1">
        <v>1</v>
      </c>
      <c r="G9" s="1"/>
    </row>
    <row r="10" spans="1:10" x14ac:dyDescent="0.3">
      <c r="A10" s="4">
        <v>7</v>
      </c>
    </row>
    <row r="12" spans="1:10" x14ac:dyDescent="0.3">
      <c r="B12" s="5" t="s">
        <v>17</v>
      </c>
      <c r="C12" s="5" cm="1">
        <f t="array" ref="C12">SUM(C4:C6*F4:F6)+C9</f>
        <v>-57.375000000000007</v>
      </c>
      <c r="D12" s="5">
        <f>SUM(D4:D9)</f>
        <v>0.63500000000000001</v>
      </c>
      <c r="E12" s="5">
        <f>SUM(E4:E9)</f>
        <v>8.0645000000000008E-2</v>
      </c>
      <c r="F12" s="5"/>
      <c r="G12" s="6"/>
    </row>
    <row r="13" spans="1:10" x14ac:dyDescent="0.3">
      <c r="B13" s="5" t="s">
        <v>18</v>
      </c>
      <c r="C13" s="7">
        <f>C12-D12</f>
        <v>-58.010000000000005</v>
      </c>
      <c r="D13" s="5"/>
      <c r="E13" s="5"/>
      <c r="F13" s="5"/>
      <c r="G13" s="6"/>
    </row>
    <row r="14" spans="1:10" x14ac:dyDescent="0.3">
      <c r="B14" s="5" t="s">
        <v>19</v>
      </c>
      <c r="C14" s="5">
        <f>C12-I4</f>
        <v>-57.658980633142484</v>
      </c>
      <c r="D14" s="5"/>
      <c r="E14" s="5"/>
      <c r="F14" s="5"/>
      <c r="G14" s="6"/>
    </row>
    <row r="15" spans="1:10" x14ac:dyDescent="0.3">
      <c r="B15" s="5" t="s">
        <v>20</v>
      </c>
      <c r="C15" s="5">
        <f>C12+I4</f>
        <v>-57.09101936685753</v>
      </c>
      <c r="D15" s="5"/>
      <c r="E15" s="5"/>
      <c r="F15" s="5"/>
      <c r="G15" s="6"/>
    </row>
    <row r="16" spans="1:10" x14ac:dyDescent="0.3">
      <c r="B16" s="5" t="s">
        <v>21</v>
      </c>
      <c r="C16" s="5">
        <f>C12+D12</f>
        <v>-56.740000000000009</v>
      </c>
      <c r="D16" s="5"/>
      <c r="E16" s="5"/>
      <c r="F16" s="5"/>
      <c r="G16" s="6"/>
    </row>
    <row r="19" spans="2:6" x14ac:dyDescent="0.3">
      <c r="B19" s="8" t="s">
        <v>24</v>
      </c>
    </row>
    <row r="20" spans="2:6" x14ac:dyDescent="0.3">
      <c r="B20" s="1" t="s">
        <v>25</v>
      </c>
      <c r="C20" s="1" t="s">
        <v>26</v>
      </c>
      <c r="D20" s="1" t="s">
        <v>29</v>
      </c>
    </row>
    <row r="21" spans="2:6" x14ac:dyDescent="0.3">
      <c r="B21" s="1" t="s">
        <v>27</v>
      </c>
      <c r="C21" s="1" t="s">
        <v>28</v>
      </c>
      <c r="D21" s="1">
        <f>(D22-E22)-(8.9-D6)</f>
        <v>10.973000000000001</v>
      </c>
      <c r="E21" s="3" t="b">
        <f>IF(D21&gt;C15,TRUE,FALSE)</f>
        <v>1</v>
      </c>
      <c r="F21" t="s">
        <v>30</v>
      </c>
    </row>
    <row r="22" spans="2:6" x14ac:dyDescent="0.3">
      <c r="C22" t="s">
        <v>40</v>
      </c>
      <c r="D22" s="1">
        <v>20</v>
      </c>
      <c r="E22">
        <v>0.127</v>
      </c>
    </row>
    <row r="23" spans="2:6" x14ac:dyDescent="0.3">
      <c r="C2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C80D-C123-4859-BC6A-9B40262744C2}">
  <dimension ref="A1:I31"/>
  <sheetViews>
    <sheetView zoomScale="85" zoomScaleNormal="85" workbookViewId="0">
      <selection activeCell="D34" sqref="D34"/>
    </sheetView>
  </sheetViews>
  <sheetFormatPr defaultRowHeight="14.4" x14ac:dyDescent="0.3"/>
  <cols>
    <col min="1" max="1" width="26" bestFit="1" customWidth="1"/>
    <col min="2" max="2" width="18.77734375" bestFit="1" customWidth="1"/>
    <col min="4" max="4" width="35.109375" bestFit="1" customWidth="1"/>
    <col min="5" max="5" width="40.21875" bestFit="1" customWidth="1"/>
    <col min="6" max="6" width="51.6640625" bestFit="1" customWidth="1"/>
    <col min="7" max="7" width="12.44140625" bestFit="1" customWidth="1"/>
    <col min="8" max="8" width="25.5546875" bestFit="1" customWidth="1"/>
  </cols>
  <sheetData>
    <row r="1" spans="1:9" x14ac:dyDescent="0.3">
      <c r="A1" s="12" t="s">
        <v>77</v>
      </c>
      <c r="B1" s="12"/>
      <c r="C1" s="12"/>
      <c r="D1" s="12"/>
      <c r="E1" s="14" t="s">
        <v>78</v>
      </c>
      <c r="F1" s="13"/>
      <c r="G1" s="13"/>
      <c r="H1" s="13" t="s">
        <v>11</v>
      </c>
      <c r="I1" s="13"/>
    </row>
    <row r="2" spans="1:9" x14ac:dyDescent="0.3">
      <c r="A2" s="12" t="s">
        <v>44</v>
      </c>
      <c r="B2" s="10"/>
      <c r="C2" s="10"/>
      <c r="D2" s="10"/>
      <c r="E2" s="20" t="s">
        <v>17</v>
      </c>
      <c r="F2" s="20">
        <f>B13-(B21+B25+B5+B30)</f>
        <v>1.1513999999999989</v>
      </c>
      <c r="G2" s="13"/>
      <c r="H2" s="6" t="s">
        <v>18</v>
      </c>
      <c r="I2" s="6">
        <f>F2-F3</f>
        <v>0.54339999999999888</v>
      </c>
    </row>
    <row r="3" spans="1:9" x14ac:dyDescent="0.3">
      <c r="A3" s="10" t="s">
        <v>42</v>
      </c>
      <c r="B3" s="10">
        <v>8</v>
      </c>
      <c r="C3" s="10" t="s">
        <v>64</v>
      </c>
      <c r="D3" s="10"/>
      <c r="E3" s="20" t="s">
        <v>69</v>
      </c>
      <c r="F3" s="20">
        <f>SUM(B14,B22,B27,B31)</f>
        <v>0.60799999999999998</v>
      </c>
      <c r="G3" s="13"/>
      <c r="H3" s="6" t="s">
        <v>19</v>
      </c>
      <c r="I3" s="6">
        <f>F2-SQRT(F4)</f>
        <v>0.82463708900794641</v>
      </c>
    </row>
    <row r="4" spans="1:9" x14ac:dyDescent="0.3">
      <c r="A4" s="10" t="s">
        <v>65</v>
      </c>
      <c r="B4" s="10">
        <v>1.5</v>
      </c>
      <c r="C4" s="10" t="s">
        <v>64</v>
      </c>
      <c r="D4" s="10"/>
      <c r="E4" s="20" t="s">
        <v>70</v>
      </c>
      <c r="F4" s="20">
        <f>SUM(B14^2,B22^2,B27^2,B31^2)</f>
        <v>0.10677400000000001</v>
      </c>
      <c r="G4" s="13"/>
      <c r="H4" s="6" t="s">
        <v>71</v>
      </c>
      <c r="I4" s="6">
        <f>F2+SQRT(F4)</f>
        <v>1.4781629109920513</v>
      </c>
    </row>
    <row r="5" spans="1:9" x14ac:dyDescent="0.3">
      <c r="A5" s="10" t="s">
        <v>43</v>
      </c>
      <c r="B5" s="10">
        <v>6</v>
      </c>
      <c r="C5" s="10" t="s">
        <v>64</v>
      </c>
      <c r="D5" s="10" t="s">
        <v>66</v>
      </c>
      <c r="E5" s="13"/>
      <c r="F5" s="13"/>
      <c r="G5" s="13"/>
      <c r="H5" s="6" t="s">
        <v>21</v>
      </c>
      <c r="I5" s="6">
        <f>F2+F3</f>
        <v>1.759399999999999</v>
      </c>
    </row>
    <row r="6" spans="1:9" x14ac:dyDescent="0.3">
      <c r="A6" s="10" t="s">
        <v>45</v>
      </c>
      <c r="B6" s="10">
        <f>3.5-1</f>
        <v>2.5</v>
      </c>
      <c r="C6" s="10" t="s">
        <v>64</v>
      </c>
      <c r="D6" s="10"/>
      <c r="E6" s="13"/>
      <c r="F6" s="13"/>
      <c r="G6" s="13"/>
      <c r="H6" s="13"/>
      <c r="I6" s="13"/>
    </row>
    <row r="7" spans="1:9" x14ac:dyDescent="0.3">
      <c r="A7" s="10" t="s">
        <v>46</v>
      </c>
      <c r="B7" s="10">
        <v>4.5</v>
      </c>
      <c r="C7" s="10" t="s">
        <v>64</v>
      </c>
      <c r="D7" s="10"/>
      <c r="E7" s="13"/>
      <c r="F7" s="13"/>
      <c r="G7" s="13"/>
      <c r="H7" s="13"/>
      <c r="I7" s="13"/>
    </row>
    <row r="8" spans="1:9" x14ac:dyDescent="0.3">
      <c r="A8" s="10" t="s">
        <v>47</v>
      </c>
      <c r="B8" s="10">
        <v>40</v>
      </c>
      <c r="C8" s="10" t="s">
        <v>75</v>
      </c>
      <c r="D8" s="10"/>
      <c r="E8" s="13" t="s">
        <v>86</v>
      </c>
      <c r="F8" s="13"/>
      <c r="G8" s="13"/>
      <c r="H8" s="13"/>
      <c r="I8" s="13"/>
    </row>
    <row r="9" spans="1:9" x14ac:dyDescent="0.3">
      <c r="A9" s="10" t="s">
        <v>49</v>
      </c>
      <c r="B9" s="11">
        <v>0.1</v>
      </c>
      <c r="C9" s="10"/>
      <c r="D9" s="10"/>
      <c r="E9" s="13" t="s">
        <v>18</v>
      </c>
      <c r="F9" s="13">
        <f>$B$5+I2</f>
        <v>6.5433999999999992</v>
      </c>
      <c r="G9" s="13"/>
      <c r="H9" s="13"/>
      <c r="I9" s="13"/>
    </row>
    <row r="10" spans="1:9" x14ac:dyDescent="0.3">
      <c r="A10" s="10"/>
      <c r="B10" s="10"/>
      <c r="C10" s="10"/>
      <c r="D10" s="10"/>
      <c r="E10" s="13" t="s">
        <v>19</v>
      </c>
      <c r="F10" s="13">
        <f>$B$5+I3</f>
        <v>6.8246370890079469</v>
      </c>
      <c r="G10" s="13"/>
      <c r="H10" s="13"/>
      <c r="I10" s="13"/>
    </row>
    <row r="11" spans="1:9" x14ac:dyDescent="0.3">
      <c r="A11" s="10"/>
      <c r="B11" s="10"/>
      <c r="C11" s="10"/>
      <c r="D11" s="10"/>
      <c r="E11" s="13" t="s">
        <v>0</v>
      </c>
      <c r="F11" s="13">
        <f>B5+F2</f>
        <v>7.1513999999999989</v>
      </c>
      <c r="G11" s="13"/>
      <c r="H11" s="13"/>
      <c r="I11" s="13"/>
    </row>
    <row r="12" spans="1:9" x14ac:dyDescent="0.3">
      <c r="A12" s="12" t="s">
        <v>41</v>
      </c>
      <c r="B12" s="12"/>
      <c r="C12" s="10"/>
      <c r="D12" s="10"/>
      <c r="E12" s="13" t="s">
        <v>71</v>
      </c>
      <c r="F12" s="13">
        <f>B5+I4</f>
        <v>7.4781629109920509</v>
      </c>
      <c r="G12" s="13"/>
      <c r="H12" s="13"/>
      <c r="I12" s="13"/>
    </row>
    <row r="13" spans="1:9" x14ac:dyDescent="0.3">
      <c r="A13" s="10" t="s">
        <v>48</v>
      </c>
      <c r="B13" s="10">
        <v>12.25</v>
      </c>
      <c r="C13" s="10" t="s">
        <v>16</v>
      </c>
      <c r="D13" s="10"/>
      <c r="E13" s="13" t="s">
        <v>21</v>
      </c>
      <c r="F13" s="13">
        <f>B5+I5</f>
        <v>7.7593999999999994</v>
      </c>
      <c r="G13" s="13"/>
      <c r="H13" s="13"/>
      <c r="I13" s="13"/>
    </row>
    <row r="14" spans="1:9" x14ac:dyDescent="0.3">
      <c r="A14" s="10" t="s">
        <v>50</v>
      </c>
      <c r="B14" s="10">
        <v>0.127</v>
      </c>
      <c r="C14" s="10" t="s">
        <v>64</v>
      </c>
      <c r="D14" s="10"/>
      <c r="E14" s="13"/>
      <c r="F14" s="13"/>
      <c r="G14" s="13"/>
      <c r="H14" s="13"/>
      <c r="I14" s="13"/>
    </row>
    <row r="15" spans="1:9" x14ac:dyDescent="0.3">
      <c r="A15" s="10"/>
      <c r="B15" s="10"/>
      <c r="C15" s="10"/>
      <c r="D15" s="10"/>
      <c r="E15" s="13"/>
      <c r="F15" s="13"/>
      <c r="G15" s="13"/>
      <c r="H15" s="13"/>
      <c r="I15" s="13"/>
    </row>
    <row r="16" spans="1:9" x14ac:dyDescent="0.3">
      <c r="A16" s="10"/>
      <c r="B16" s="10"/>
      <c r="C16" s="10"/>
      <c r="D16" s="10"/>
      <c r="E16" s="13"/>
      <c r="F16" s="13"/>
      <c r="G16" s="13"/>
      <c r="H16" s="13"/>
      <c r="I16" s="13"/>
    </row>
    <row r="17" spans="1:9" x14ac:dyDescent="0.3">
      <c r="A17" s="12" t="s">
        <v>51</v>
      </c>
      <c r="B17" s="10"/>
      <c r="C17" s="10"/>
      <c r="D17" s="10"/>
      <c r="E17" s="13"/>
      <c r="F17" s="13"/>
      <c r="G17" s="13"/>
      <c r="H17" s="13"/>
      <c r="I17" s="13"/>
    </row>
    <row r="18" spans="1:9" x14ac:dyDescent="0.3">
      <c r="A18" s="10" t="s">
        <v>52</v>
      </c>
      <c r="B18" s="10">
        <v>19.718900000000001</v>
      </c>
      <c r="C18" s="10" t="s">
        <v>16</v>
      </c>
      <c r="D18" s="10"/>
      <c r="E18" s="13"/>
      <c r="F18" s="13" t="s">
        <v>72</v>
      </c>
      <c r="G18" s="13"/>
      <c r="H18" s="13"/>
      <c r="I18" s="13"/>
    </row>
    <row r="19" spans="1:9" x14ac:dyDescent="0.3">
      <c r="A19" s="10" t="s">
        <v>53</v>
      </c>
      <c r="B19" s="10">
        <v>26.718900000000001</v>
      </c>
      <c r="C19" s="10" t="s">
        <v>64</v>
      </c>
      <c r="D19" s="10"/>
      <c r="E19" s="13"/>
      <c r="F19" s="13" t="s">
        <v>73</v>
      </c>
      <c r="G19" s="13" t="s">
        <v>0</v>
      </c>
      <c r="H19" s="13" t="s">
        <v>74</v>
      </c>
      <c r="I19" s="13"/>
    </row>
    <row r="20" spans="1:9" ht="28.8" x14ac:dyDescent="0.3">
      <c r="A20" s="10" t="s">
        <v>54</v>
      </c>
      <c r="B20" s="10">
        <f>B18*B19</f>
        <v>526.86731721000001</v>
      </c>
      <c r="C20" s="10" t="s">
        <v>67</v>
      </c>
      <c r="D20" s="21" t="s">
        <v>88</v>
      </c>
      <c r="E20" s="13" t="s">
        <v>18</v>
      </c>
      <c r="F20" s="13">
        <f>($B$3-F9)*($B$8-($B$8*$B$9))</f>
        <v>52.437600000000032</v>
      </c>
      <c r="G20" s="13">
        <f>($B$3-F9)*($B$8)</f>
        <v>58.264000000000031</v>
      </c>
      <c r="H20" s="6">
        <f>($B$3-F9)*($B$8+($B$8*$B$9))</f>
        <v>64.090400000000031</v>
      </c>
      <c r="I20" s="13"/>
    </row>
    <row r="21" spans="1:9" x14ac:dyDescent="0.3">
      <c r="A21" s="10" t="s">
        <v>55</v>
      </c>
      <c r="B21" s="10">
        <v>2.3365999999999998</v>
      </c>
      <c r="C21" s="10" t="s">
        <v>16</v>
      </c>
      <c r="D21" s="10"/>
      <c r="E21" s="13" t="s">
        <v>19</v>
      </c>
      <c r="F21" s="13">
        <f>($B$3-F10)*($B$8-($B$8*$B$9))</f>
        <v>42.313064795713913</v>
      </c>
      <c r="G21" s="13">
        <f>($B$3-F10)*($B$8)</f>
        <v>47.014516439682126</v>
      </c>
      <c r="H21" s="13">
        <f>($B$3-F10)*($B$8+($B$8*$B$9))</f>
        <v>51.715968083650338</v>
      </c>
      <c r="I21" s="13"/>
    </row>
    <row r="22" spans="1:9" x14ac:dyDescent="0.3">
      <c r="A22" s="10" t="s">
        <v>56</v>
      </c>
      <c r="B22" s="10">
        <v>0.1</v>
      </c>
      <c r="C22" s="10" t="s">
        <v>64</v>
      </c>
      <c r="D22" s="10"/>
      <c r="E22" s="13" t="s">
        <v>0</v>
      </c>
      <c r="F22" s="13">
        <f>($B$3-F11)*($B$8-($B$8*$B$9))</f>
        <v>30.549600000000041</v>
      </c>
      <c r="G22" s="6">
        <f>($B$3-F11)*($B$8)</f>
        <v>33.944000000000045</v>
      </c>
      <c r="H22" s="13">
        <f>($B$3-F11)*($B$8+($B$8*$B$9))</f>
        <v>37.33840000000005</v>
      </c>
      <c r="I22" s="13"/>
    </row>
    <row r="23" spans="1:9" x14ac:dyDescent="0.3">
      <c r="A23" s="10"/>
      <c r="B23" s="10"/>
      <c r="C23" s="10"/>
      <c r="D23" s="10"/>
      <c r="E23" s="13" t="s">
        <v>71</v>
      </c>
      <c r="F23" s="13">
        <f>($B$3-F12)*($B$8-($B$8*$B$9))</f>
        <v>18.786135204286168</v>
      </c>
      <c r="G23" s="13">
        <f>($B$3-F12)*($B$8)</f>
        <v>20.873483560317965</v>
      </c>
      <c r="H23" s="13">
        <f>($B$3-F12)*($B$8+($B$8*$B$9))</f>
        <v>22.960831916349761</v>
      </c>
      <c r="I23" s="13"/>
    </row>
    <row r="24" spans="1:9" x14ac:dyDescent="0.3">
      <c r="A24" s="12" t="s">
        <v>57</v>
      </c>
      <c r="B24" s="10"/>
      <c r="C24" s="10"/>
      <c r="D24" s="10"/>
      <c r="E24" s="13" t="s">
        <v>21</v>
      </c>
      <c r="F24" s="6">
        <f>($B$3-F13)*($B$8-($B$8*$B$9))</f>
        <v>8.6616000000000213</v>
      </c>
      <c r="G24" s="13">
        <f>($B$3-F13)*($B$8)</f>
        <v>9.6240000000000236</v>
      </c>
      <c r="H24" s="13">
        <f>($B$3-F13)*($B$8+($B$8*$B$9))</f>
        <v>10.586400000000026</v>
      </c>
      <c r="I24" s="13"/>
    </row>
    <row r="25" spans="1:9" x14ac:dyDescent="0.3">
      <c r="A25" s="10" t="s">
        <v>58</v>
      </c>
      <c r="B25" s="10">
        <v>2</v>
      </c>
      <c r="C25" s="10" t="s">
        <v>16</v>
      </c>
      <c r="D25" s="10"/>
      <c r="E25" s="13"/>
      <c r="F25" s="13"/>
      <c r="G25" s="13"/>
      <c r="H25" s="13"/>
      <c r="I25" s="13"/>
    </row>
    <row r="26" spans="1:9" x14ac:dyDescent="0.3">
      <c r="A26" s="10" t="s">
        <v>59</v>
      </c>
      <c r="B26" s="10">
        <v>0</v>
      </c>
      <c r="C26" s="10" t="s">
        <v>16</v>
      </c>
      <c r="D26" s="10"/>
      <c r="E26" s="13"/>
      <c r="F26" s="13"/>
      <c r="G26" s="13"/>
      <c r="H26" s="13"/>
      <c r="I26" s="13"/>
    </row>
    <row r="27" spans="1:9" x14ac:dyDescent="0.3">
      <c r="A27" s="10" t="s">
        <v>60</v>
      </c>
      <c r="B27" s="10">
        <v>0.254</v>
      </c>
      <c r="C27" s="10" t="s">
        <v>16</v>
      </c>
      <c r="D27" s="10"/>
      <c r="E27" s="13" t="s">
        <v>76</v>
      </c>
      <c r="F27" s="9" t="b">
        <f>IF(MIN(F2,I2:I5)&gt;0, TRUE, FALSE)</f>
        <v>1</v>
      </c>
      <c r="G27" s="13"/>
      <c r="H27" s="13"/>
      <c r="I27" s="13"/>
    </row>
    <row r="28" spans="1:9" x14ac:dyDescent="0.3">
      <c r="A28" s="10"/>
      <c r="B28" s="10"/>
      <c r="C28" s="10"/>
      <c r="D28" s="10"/>
      <c r="E28" s="13"/>
      <c r="F28" s="13"/>
      <c r="G28" s="13"/>
      <c r="H28" s="13"/>
      <c r="I28" s="13"/>
    </row>
    <row r="29" spans="1:9" x14ac:dyDescent="0.3">
      <c r="A29" s="12" t="s">
        <v>61</v>
      </c>
      <c r="B29" s="10" t="s">
        <v>68</v>
      </c>
      <c r="C29" s="10"/>
      <c r="D29" s="10"/>
      <c r="E29" s="13"/>
      <c r="F29" s="13"/>
      <c r="G29" s="13"/>
      <c r="H29" s="13"/>
      <c r="I29" s="13"/>
    </row>
    <row r="30" spans="1:9" x14ac:dyDescent="0.3">
      <c r="A30" s="10" t="s">
        <v>62</v>
      </c>
      <c r="B30" s="10">
        <f>0.03*25.4</f>
        <v>0.7619999999999999</v>
      </c>
      <c r="C30" s="10" t="s">
        <v>16</v>
      </c>
      <c r="D30" s="10"/>
      <c r="E30" s="13"/>
      <c r="F30" s="13"/>
      <c r="G30" s="13"/>
      <c r="H30" s="13"/>
      <c r="I30" s="13"/>
    </row>
    <row r="31" spans="1:9" x14ac:dyDescent="0.3">
      <c r="A31" s="10" t="s">
        <v>63</v>
      </c>
      <c r="B31" s="10">
        <v>0.127</v>
      </c>
      <c r="C31" s="10"/>
      <c r="D31" s="10"/>
      <c r="E31" s="13"/>
      <c r="F31" s="13"/>
      <c r="G31" s="13"/>
      <c r="H31" s="13"/>
      <c r="I31" s="1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A5E-0597-47CF-8698-C2039CF66346}">
  <dimension ref="A1:I31"/>
  <sheetViews>
    <sheetView tabSelected="1" zoomScale="85" zoomScaleNormal="85" workbookViewId="0">
      <selection activeCell="F18" sqref="F18"/>
    </sheetView>
  </sheetViews>
  <sheetFormatPr defaultRowHeight="13.8" x14ac:dyDescent="0.3"/>
  <cols>
    <col min="1" max="1" width="22.88671875" style="1" bestFit="1" customWidth="1"/>
    <col min="2" max="2" width="18.5546875" style="1" bestFit="1" customWidth="1"/>
    <col min="3" max="3" width="6.109375" style="1" bestFit="1" customWidth="1"/>
    <col min="4" max="4" width="36.33203125" style="1" bestFit="1" customWidth="1"/>
    <col min="5" max="5" width="36.44140625" style="1" bestFit="1" customWidth="1"/>
    <col min="6" max="6" width="46.6640625" style="1" bestFit="1" customWidth="1"/>
    <col min="7" max="7" width="12" style="1" bestFit="1" customWidth="1"/>
    <col min="8" max="8" width="23.21875" style="1" bestFit="1" customWidth="1"/>
    <col min="9" max="9" width="12" style="1" bestFit="1" customWidth="1"/>
    <col min="10" max="16384" width="8.88671875" style="1"/>
  </cols>
  <sheetData>
    <row r="1" spans="1:9" x14ac:dyDescent="0.3">
      <c r="A1" s="15" t="s">
        <v>77</v>
      </c>
      <c r="B1" s="15"/>
      <c r="C1" s="15"/>
      <c r="D1" s="15"/>
      <c r="E1" s="16" t="s">
        <v>78</v>
      </c>
      <c r="F1" s="17"/>
      <c r="G1" s="17"/>
      <c r="H1" s="17" t="s">
        <v>11</v>
      </c>
      <c r="I1" s="17"/>
    </row>
    <row r="2" spans="1:9" x14ac:dyDescent="0.3">
      <c r="A2" s="15" t="s">
        <v>44</v>
      </c>
      <c r="B2" s="2"/>
      <c r="C2" s="2"/>
      <c r="D2" s="2"/>
      <c r="E2" s="8" t="s">
        <v>81</v>
      </c>
      <c r="F2" s="8">
        <f>B13-(B21+B25+B5+B30)</f>
        <v>1.6980000000000004</v>
      </c>
      <c r="G2" s="17"/>
      <c r="H2" s="8" t="s">
        <v>82</v>
      </c>
      <c r="I2" s="8">
        <f>F2-F3</f>
        <v>1.0900000000000003</v>
      </c>
    </row>
    <row r="3" spans="1:9" x14ac:dyDescent="0.3">
      <c r="A3" s="2" t="s">
        <v>42</v>
      </c>
      <c r="B3" s="2">
        <v>10</v>
      </c>
      <c r="C3" s="2" t="s">
        <v>64</v>
      </c>
      <c r="D3" s="2"/>
      <c r="E3" s="8" t="s">
        <v>69</v>
      </c>
      <c r="F3" s="8">
        <f>SUM(B14,B22,B27,B31)</f>
        <v>0.60799999999999998</v>
      </c>
      <c r="G3" s="17"/>
      <c r="H3" s="8" t="s">
        <v>83</v>
      </c>
      <c r="I3" s="8">
        <f>F2-SQRT(F4)</f>
        <v>1.3712370890079479</v>
      </c>
    </row>
    <row r="4" spans="1:9" x14ac:dyDescent="0.3">
      <c r="A4" s="2" t="s">
        <v>65</v>
      </c>
      <c r="B4" s="2">
        <v>1.8</v>
      </c>
      <c r="C4" s="2" t="s">
        <v>64</v>
      </c>
      <c r="D4" s="2"/>
      <c r="E4" s="8" t="s">
        <v>70</v>
      </c>
      <c r="F4" s="8">
        <f>SUM(B14^2,B22^2,B27^2,B31^2)</f>
        <v>0.10677400000000001</v>
      </c>
      <c r="G4" s="17"/>
      <c r="H4" s="8" t="s">
        <v>84</v>
      </c>
      <c r="I4" s="8">
        <f>F2+SQRT(F4)</f>
        <v>2.0247629109920529</v>
      </c>
    </row>
    <row r="5" spans="1:9" x14ac:dyDescent="0.3">
      <c r="A5" s="2" t="s">
        <v>43</v>
      </c>
      <c r="B5" s="2">
        <f>6*1.2</f>
        <v>7.1999999999999993</v>
      </c>
      <c r="C5" s="2" t="s">
        <v>64</v>
      </c>
      <c r="D5" s="2" t="s">
        <v>87</v>
      </c>
      <c r="E5" s="17"/>
      <c r="F5" s="17"/>
      <c r="G5" s="17"/>
      <c r="H5" s="8" t="s">
        <v>85</v>
      </c>
      <c r="I5" s="8">
        <f>F2+F3</f>
        <v>2.3060000000000005</v>
      </c>
    </row>
    <row r="6" spans="1:9" x14ac:dyDescent="0.3">
      <c r="A6" s="2" t="s">
        <v>45</v>
      </c>
      <c r="B6" s="2">
        <f>4-1.2</f>
        <v>2.8</v>
      </c>
      <c r="C6" s="2" t="s">
        <v>64</v>
      </c>
      <c r="D6" s="2"/>
      <c r="E6" s="17"/>
      <c r="F6" s="17"/>
      <c r="G6" s="17"/>
      <c r="H6" s="17"/>
      <c r="I6" s="17"/>
    </row>
    <row r="7" spans="1:9" x14ac:dyDescent="0.3">
      <c r="A7" s="2" t="s">
        <v>46</v>
      </c>
      <c r="B7" s="2">
        <f>4+1.2</f>
        <v>5.2</v>
      </c>
      <c r="C7" s="2" t="s">
        <v>64</v>
      </c>
      <c r="D7" s="2"/>
      <c r="E7" s="17"/>
      <c r="F7" s="17"/>
      <c r="G7" s="17"/>
      <c r="H7" s="17"/>
      <c r="I7" s="17"/>
    </row>
    <row r="8" spans="1:9" x14ac:dyDescent="0.3">
      <c r="A8" s="2" t="s">
        <v>47</v>
      </c>
      <c r="B8" s="2">
        <v>225</v>
      </c>
      <c r="C8" s="2" t="s">
        <v>75</v>
      </c>
      <c r="D8" s="2"/>
      <c r="E8" s="17" t="s">
        <v>86</v>
      </c>
      <c r="F8" s="17"/>
      <c r="G8" s="17"/>
      <c r="H8" s="17"/>
      <c r="I8" s="17"/>
    </row>
    <row r="9" spans="1:9" x14ac:dyDescent="0.3">
      <c r="A9" s="2" t="s">
        <v>49</v>
      </c>
      <c r="B9" s="18">
        <v>0.1</v>
      </c>
      <c r="C9" s="2"/>
      <c r="D9" s="2"/>
      <c r="E9" s="17" t="s">
        <v>18</v>
      </c>
      <c r="F9" s="17">
        <f>$B$5+I2</f>
        <v>8.2899999999999991</v>
      </c>
      <c r="G9" s="17"/>
      <c r="H9" s="17"/>
      <c r="I9" s="17"/>
    </row>
    <row r="10" spans="1:9" x14ac:dyDescent="0.3">
      <c r="A10" s="2"/>
      <c r="B10" s="2"/>
      <c r="C10" s="2"/>
      <c r="D10" s="2"/>
      <c r="E10" s="17" t="s">
        <v>19</v>
      </c>
      <c r="F10" s="17">
        <f t="shared" ref="F10:F13" si="0">$B$5+I3</f>
        <v>8.5712370890079477</v>
      </c>
      <c r="G10" s="17"/>
      <c r="H10" s="17"/>
      <c r="I10" s="17"/>
    </row>
    <row r="11" spans="1:9" x14ac:dyDescent="0.3">
      <c r="A11" s="2"/>
      <c r="B11" s="2"/>
      <c r="C11" s="2"/>
      <c r="D11" s="2"/>
      <c r="E11" s="17" t="s">
        <v>0</v>
      </c>
      <c r="F11" s="17">
        <f>$B$5+F2</f>
        <v>8.8979999999999997</v>
      </c>
      <c r="G11" s="17"/>
      <c r="H11" s="17"/>
      <c r="I11" s="17"/>
    </row>
    <row r="12" spans="1:9" x14ac:dyDescent="0.3">
      <c r="A12" s="15" t="s">
        <v>41</v>
      </c>
      <c r="B12" s="15"/>
      <c r="C12" s="2"/>
      <c r="D12" s="2"/>
      <c r="E12" s="17" t="s">
        <v>71</v>
      </c>
      <c r="F12" s="17">
        <f>$B$5+I4</f>
        <v>9.2247629109920517</v>
      </c>
      <c r="G12" s="17"/>
      <c r="H12" s="17"/>
      <c r="I12" s="17"/>
    </row>
    <row r="13" spans="1:9" x14ac:dyDescent="0.3">
      <c r="A13" s="2" t="s">
        <v>48</v>
      </c>
      <c r="B13" s="2">
        <v>19.097999999999999</v>
      </c>
      <c r="C13" s="2" t="s">
        <v>16</v>
      </c>
      <c r="D13" s="2"/>
      <c r="E13" s="17" t="s">
        <v>21</v>
      </c>
      <c r="F13" s="17">
        <f>$B$5+I5</f>
        <v>9.5060000000000002</v>
      </c>
      <c r="G13" s="17"/>
      <c r="H13" s="17"/>
      <c r="I13" s="17"/>
    </row>
    <row r="14" spans="1:9" x14ac:dyDescent="0.3">
      <c r="A14" s="2" t="s">
        <v>50</v>
      </c>
      <c r="B14" s="2">
        <v>0.127</v>
      </c>
      <c r="C14" s="2" t="s">
        <v>64</v>
      </c>
      <c r="D14" s="2"/>
      <c r="E14" s="17"/>
      <c r="F14" s="17"/>
      <c r="G14" s="17"/>
      <c r="H14" s="17"/>
      <c r="I14" s="17"/>
    </row>
    <row r="15" spans="1:9" x14ac:dyDescent="0.3">
      <c r="A15" s="2"/>
      <c r="B15" s="2"/>
      <c r="C15" s="2"/>
      <c r="D15" s="2"/>
      <c r="E15" s="17"/>
      <c r="F15" s="17"/>
      <c r="G15" s="17"/>
      <c r="H15" s="17"/>
      <c r="I15" s="17"/>
    </row>
    <row r="16" spans="1:9" x14ac:dyDescent="0.3">
      <c r="A16" s="2"/>
      <c r="B16" s="2"/>
      <c r="C16" s="2"/>
      <c r="D16" s="2"/>
      <c r="E16" s="17"/>
      <c r="F16" s="17"/>
      <c r="G16" s="17"/>
      <c r="H16" s="17"/>
      <c r="I16" s="17"/>
    </row>
    <row r="17" spans="1:9" x14ac:dyDescent="0.3">
      <c r="A17" s="15" t="s">
        <v>79</v>
      </c>
      <c r="B17" s="2"/>
      <c r="C17" s="2"/>
      <c r="D17" s="2"/>
      <c r="E17" s="17"/>
      <c r="F17" s="17"/>
      <c r="G17" s="17"/>
      <c r="H17" s="17"/>
      <c r="I17" s="17"/>
    </row>
    <row r="18" spans="1:9" x14ac:dyDescent="0.3">
      <c r="A18" s="2" t="s">
        <v>52</v>
      </c>
      <c r="B18" s="2">
        <v>70</v>
      </c>
      <c r="C18" s="2" t="s">
        <v>16</v>
      </c>
      <c r="D18" s="2"/>
      <c r="E18" s="17"/>
      <c r="F18" s="17" t="s">
        <v>72</v>
      </c>
      <c r="G18" s="17"/>
      <c r="H18" s="17"/>
      <c r="I18" s="17"/>
    </row>
    <row r="19" spans="1:9" x14ac:dyDescent="0.3">
      <c r="A19" s="2" t="s">
        <v>53</v>
      </c>
      <c r="B19" s="2">
        <v>70</v>
      </c>
      <c r="C19" s="2" t="s">
        <v>64</v>
      </c>
      <c r="D19" s="2"/>
      <c r="E19" s="17"/>
      <c r="F19" s="17" t="s">
        <v>73</v>
      </c>
      <c r="G19" s="17" t="s">
        <v>0</v>
      </c>
      <c r="H19" s="17" t="s">
        <v>74</v>
      </c>
      <c r="I19" s="17"/>
    </row>
    <row r="20" spans="1:9" x14ac:dyDescent="0.3">
      <c r="A20" s="2" t="s">
        <v>54</v>
      </c>
      <c r="B20" s="2">
        <f>B18*B19</f>
        <v>4900</v>
      </c>
      <c r="C20" s="2" t="s">
        <v>67</v>
      </c>
      <c r="D20" s="2"/>
      <c r="E20" s="17" t="s">
        <v>18</v>
      </c>
      <c r="F20" s="17">
        <f>($B$3-F9)*($B$8-($B$8*$B$9))</f>
        <v>346.27500000000015</v>
      </c>
      <c r="G20" s="17">
        <f>($B$3-F9)*($B$8)</f>
        <v>384.75000000000017</v>
      </c>
      <c r="H20" s="5">
        <f>($B$3-F9)*($B$8+($B$8*$B$9))</f>
        <v>423.22500000000019</v>
      </c>
      <c r="I20" s="17"/>
    </row>
    <row r="21" spans="1:9" x14ac:dyDescent="0.3">
      <c r="A21" s="2" t="s">
        <v>55</v>
      </c>
      <c r="B21" s="2">
        <v>3</v>
      </c>
      <c r="C21" s="2" t="s">
        <v>16</v>
      </c>
      <c r="D21" s="2"/>
      <c r="E21" s="17" t="s">
        <v>19</v>
      </c>
      <c r="F21" s="17">
        <f>($B$3-F10)*($B$8-($B$8*$B$9))</f>
        <v>289.32448947589057</v>
      </c>
      <c r="G21" s="17">
        <f>($B$3-F10)*($B$8)</f>
        <v>321.4716549732118</v>
      </c>
      <c r="H21" s="17">
        <f>($B$3-F10)*($B$8+($B$8*$B$9))</f>
        <v>353.61882047053297</v>
      </c>
      <c r="I21" s="17"/>
    </row>
    <row r="22" spans="1:9" x14ac:dyDescent="0.3">
      <c r="A22" s="2" t="s">
        <v>56</v>
      </c>
      <c r="B22" s="2">
        <v>0.1</v>
      </c>
      <c r="C22" s="2" t="s">
        <v>64</v>
      </c>
      <c r="D22" s="2"/>
      <c r="E22" s="17" t="s">
        <v>0</v>
      </c>
      <c r="F22" s="17">
        <f>($B$3-F11)*($B$8-($B$8*$B$9))</f>
        <v>223.15500000000006</v>
      </c>
      <c r="G22" s="5">
        <f>($B$3-F11)*($B$8)</f>
        <v>247.95000000000007</v>
      </c>
      <c r="H22" s="17">
        <f>($B$3-F11)*($B$8+($B$8*$B$9))</f>
        <v>272.74500000000006</v>
      </c>
      <c r="I22" s="17"/>
    </row>
    <row r="23" spans="1:9" x14ac:dyDescent="0.3">
      <c r="A23" s="2"/>
      <c r="B23" s="2"/>
      <c r="C23" s="2"/>
      <c r="D23" s="2"/>
      <c r="E23" s="17" t="s">
        <v>71</v>
      </c>
      <c r="F23" s="17">
        <f>($B$3-F12)*($B$8-($B$8*$B$9))</f>
        <v>156.98551052410954</v>
      </c>
      <c r="G23" s="17">
        <f>($B$3-F12)*($B$8)</f>
        <v>174.42834502678838</v>
      </c>
      <c r="H23" s="17">
        <f>($B$3-F12)*($B$8+($B$8*$B$9))</f>
        <v>191.87117952946721</v>
      </c>
      <c r="I23" s="17"/>
    </row>
    <row r="24" spans="1:9" x14ac:dyDescent="0.3">
      <c r="A24" s="15" t="s">
        <v>57</v>
      </c>
      <c r="B24" s="2"/>
      <c r="C24" s="2"/>
      <c r="D24" s="2"/>
      <c r="E24" s="17" t="s">
        <v>21</v>
      </c>
      <c r="F24" s="5">
        <f>($B$3-F13)*($B$8-($B$8*$B$9))</f>
        <v>100.03499999999995</v>
      </c>
      <c r="G24" s="17">
        <f>($B$3-F13)*($B$8)</f>
        <v>111.14999999999995</v>
      </c>
      <c r="H24" s="17">
        <f>($B$3-F13)*($B$8+($B$8*$B$9))</f>
        <v>122.26499999999994</v>
      </c>
      <c r="I24" s="17"/>
    </row>
    <row r="25" spans="1:9" x14ac:dyDescent="0.3">
      <c r="A25" s="2" t="s">
        <v>58</v>
      </c>
      <c r="B25" s="2">
        <v>7</v>
      </c>
      <c r="C25" s="2" t="s">
        <v>16</v>
      </c>
      <c r="D25" s="2"/>
      <c r="E25" s="17"/>
      <c r="F25" s="17"/>
      <c r="G25" s="17"/>
      <c r="H25" s="17"/>
      <c r="I25" s="17"/>
    </row>
    <row r="26" spans="1:9" x14ac:dyDescent="0.3">
      <c r="A26" s="2" t="s">
        <v>59</v>
      </c>
      <c r="B26" s="2">
        <v>0</v>
      </c>
      <c r="C26" s="2" t="s">
        <v>16</v>
      </c>
      <c r="D26" s="2"/>
      <c r="E26" s="17"/>
      <c r="F26" s="17"/>
      <c r="G26" s="17"/>
      <c r="H26" s="17"/>
      <c r="I26" s="17"/>
    </row>
    <row r="27" spans="1:9" x14ac:dyDescent="0.3">
      <c r="A27" s="2" t="s">
        <v>60</v>
      </c>
      <c r="B27" s="2">
        <v>0.254</v>
      </c>
      <c r="C27" s="2" t="s">
        <v>16</v>
      </c>
      <c r="D27" s="2"/>
      <c r="E27" s="17" t="s">
        <v>76</v>
      </c>
      <c r="F27" s="19" t="b">
        <f>IF(MIN(F2,I2:I5)&gt;0, TRUE, FALSE)</f>
        <v>1</v>
      </c>
      <c r="G27" s="17"/>
      <c r="H27" s="17"/>
      <c r="I27" s="17"/>
    </row>
    <row r="28" spans="1:9" x14ac:dyDescent="0.3">
      <c r="A28" s="2"/>
      <c r="B28" s="2"/>
      <c r="C28" s="2"/>
      <c r="D28" s="2"/>
      <c r="E28" s="17"/>
      <c r="F28" s="17"/>
      <c r="G28" s="17"/>
      <c r="H28" s="17"/>
      <c r="I28" s="17"/>
    </row>
    <row r="29" spans="1:9" x14ac:dyDescent="0.3">
      <c r="A29" s="15" t="s">
        <v>61</v>
      </c>
      <c r="B29" s="2" t="s">
        <v>80</v>
      </c>
      <c r="C29" s="2"/>
      <c r="D29" s="2"/>
      <c r="E29" s="17"/>
      <c r="F29" s="17"/>
      <c r="G29" s="17"/>
      <c r="H29" s="17"/>
      <c r="I29" s="17"/>
    </row>
    <row r="30" spans="1:9" x14ac:dyDescent="0.3">
      <c r="A30" s="2" t="s">
        <v>62</v>
      </c>
      <c r="B30" s="2">
        <v>0.2</v>
      </c>
      <c r="C30" s="2" t="s">
        <v>16</v>
      </c>
      <c r="D30" s="2"/>
      <c r="E30" s="17"/>
      <c r="F30" s="17"/>
      <c r="G30" s="17"/>
      <c r="H30" s="17"/>
      <c r="I30" s="17"/>
    </row>
    <row r="31" spans="1:9" x14ac:dyDescent="0.3">
      <c r="A31" s="2" t="s">
        <v>63</v>
      </c>
      <c r="B31" s="2">
        <v>0.127</v>
      </c>
      <c r="C31" s="2"/>
      <c r="D31" s="2"/>
      <c r="E31" s="17"/>
      <c r="F31" s="17"/>
      <c r="G31" s="17"/>
      <c r="H31" s="17"/>
      <c r="I3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QSFP-DD_Tol_Calc - Vertical</vt:lpstr>
      <vt:lpstr>QSFP-DD_Tol_Calc - Vertical2_B</vt:lpstr>
      <vt:lpstr>QSFP-DD_Tol_Calc - Horiztonal</vt:lpstr>
      <vt:lpstr>Spring_Calcs_Retimer</vt:lpstr>
      <vt:lpstr>Spring_Calcs_RHS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Trivedi (nikhtriv)</dc:creator>
  <cp:lastModifiedBy>Nikhil Trivedi (nikhtriv)</cp:lastModifiedBy>
  <dcterms:created xsi:type="dcterms:W3CDTF">2022-04-25T00:45:41Z</dcterms:created>
  <dcterms:modified xsi:type="dcterms:W3CDTF">2022-05-17T03:47:51Z</dcterms:modified>
</cp:coreProperties>
</file>