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kitaizmailov/Library/Mobile Documents/com~apple~CloudDocs/IB_and_PE_notes/Financial Modelling/"/>
    </mc:Choice>
  </mc:AlternateContent>
  <xr:revisionPtr revIDLastSave="0" documentId="13_ncr:1_{377B68B0-78FB-4446-A301-FD6242B87614}" xr6:coauthVersionLast="47" xr6:coauthVersionMax="47" xr10:uidLastSave="{00000000-0000-0000-0000-000000000000}"/>
  <bookViews>
    <workbookView xWindow="4100" yWindow="700" windowWidth="26400" windowHeight="19720" xr2:uid="{00000000-000D-0000-FFFF-FFFF00000000}"/>
  </bookViews>
  <sheets>
    <sheet name="YNDX_model" sheetId="2" r:id="rId1"/>
  </sheets>
  <definedNames>
    <definedName name="Company_Name">#REF!</definedName>
    <definedName name="Hist_Yr">#REF!</definedName>
  </definedNames>
  <calcPr calcId="191029" calcMode="autoNoTable" iterate="1" calcOnSave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9" i="2" l="1"/>
  <c r="H194" i="2"/>
  <c r="I194" i="2" s="1"/>
  <c r="J194" i="2" s="1"/>
  <c r="K194" i="2" s="1"/>
  <c r="L194" i="2" s="1"/>
  <c r="F104" i="2"/>
  <c r="G104" i="2"/>
  <c r="E104" i="2"/>
  <c r="E157" i="2"/>
  <c r="G157" i="2"/>
  <c r="F157" i="2"/>
  <c r="I238" i="2"/>
  <c r="J238" i="2"/>
  <c r="K238" i="2"/>
  <c r="L238" i="2"/>
  <c r="H238" i="2"/>
  <c r="I239" i="2"/>
  <c r="J239" i="2"/>
  <c r="K239" i="2"/>
  <c r="L239" i="2"/>
  <c r="H239" i="2"/>
  <c r="H195" i="2" s="1"/>
  <c r="E95" i="2"/>
  <c r="F95" i="2"/>
  <c r="I214" i="2"/>
  <c r="J214" i="2"/>
  <c r="K214" i="2"/>
  <c r="L214" i="2"/>
  <c r="H214" i="2"/>
  <c r="I123" i="2"/>
  <c r="J123" i="2"/>
  <c r="K123" i="2"/>
  <c r="L123" i="2"/>
  <c r="H123" i="2"/>
  <c r="F149" i="2"/>
  <c r="G149" i="2"/>
  <c r="E149" i="2"/>
  <c r="F115" i="2"/>
  <c r="G115" i="2"/>
  <c r="E101" i="2"/>
  <c r="E240" i="2"/>
  <c r="E239" i="2"/>
  <c r="E127" i="2" s="1"/>
  <c r="E238" i="2"/>
  <c r="E241" i="2" s="1"/>
  <c r="E232" i="2"/>
  <c r="E123" i="2" s="1"/>
  <c r="E231" i="2"/>
  <c r="E230" i="2"/>
  <c r="E229" i="2"/>
  <c r="E222" i="2"/>
  <c r="E221" i="2"/>
  <c r="E217" i="2"/>
  <c r="E216" i="2"/>
  <c r="E215" i="2"/>
  <c r="E117" i="2" s="1"/>
  <c r="E214" i="2"/>
  <c r="E115" i="2" s="1"/>
  <c r="E213" i="2"/>
  <c r="E212" i="2"/>
  <c r="G249" i="2"/>
  <c r="H247" i="2" s="1"/>
  <c r="F249" i="2"/>
  <c r="G247" i="2" s="1"/>
  <c r="F247" i="2"/>
  <c r="G240" i="2"/>
  <c r="F238" i="2"/>
  <c r="F126" i="2" s="1"/>
  <c r="F240" i="2"/>
  <c r="F239" i="2"/>
  <c r="F127" i="2" s="1"/>
  <c r="G239" i="2"/>
  <c r="G127" i="2" s="1"/>
  <c r="G238" i="2"/>
  <c r="G232" i="2"/>
  <c r="G123" i="2" s="1"/>
  <c r="G230" i="2"/>
  <c r="F232" i="2"/>
  <c r="F123" i="2" s="1"/>
  <c r="F231" i="2"/>
  <c r="F230" i="2"/>
  <c r="F229" i="2"/>
  <c r="G229" i="2"/>
  <c r="F225" i="2"/>
  <c r="G225" i="2"/>
  <c r="G217" i="2"/>
  <c r="F217" i="2"/>
  <c r="F216" i="2"/>
  <c r="F215" i="2"/>
  <c r="F117" i="2" s="1"/>
  <c r="G216" i="2"/>
  <c r="G215" i="2"/>
  <c r="G117" i="2" s="1"/>
  <c r="F213" i="2"/>
  <c r="G213" i="2"/>
  <c r="E201" i="2"/>
  <c r="G201" i="2"/>
  <c r="F201" i="2"/>
  <c r="E196" i="2"/>
  <c r="E197" i="2" s="1"/>
  <c r="F196" i="2"/>
  <c r="G195" i="2"/>
  <c r="G95" i="2" s="1"/>
  <c r="E191" i="2"/>
  <c r="F191" i="2"/>
  <c r="F199" i="2" s="1"/>
  <c r="G191" i="2"/>
  <c r="G199" i="2" s="1"/>
  <c r="G181" i="2"/>
  <c r="F181" i="2"/>
  <c r="G180" i="2"/>
  <c r="F180" i="2"/>
  <c r="G179" i="2"/>
  <c r="F179" i="2"/>
  <c r="G174" i="2"/>
  <c r="G173" i="2"/>
  <c r="G101" i="2" s="1"/>
  <c r="G172" i="2"/>
  <c r="G171" i="2"/>
  <c r="G94" i="2" s="1"/>
  <c r="F174" i="2"/>
  <c r="F173" i="2"/>
  <c r="F101" i="2" s="1"/>
  <c r="F172" i="2"/>
  <c r="F171" i="2"/>
  <c r="F94" i="2" s="1"/>
  <c r="E180" i="2"/>
  <c r="E181" i="2"/>
  <c r="E179" i="2"/>
  <c r="E174" i="2"/>
  <c r="E171" i="2"/>
  <c r="E175" i="2" s="1"/>
  <c r="F139" i="2"/>
  <c r="G139" i="2"/>
  <c r="E139" i="2"/>
  <c r="F138" i="2"/>
  <c r="G138" i="2"/>
  <c r="E138" i="2"/>
  <c r="F137" i="2"/>
  <c r="G137" i="2"/>
  <c r="E137" i="2"/>
  <c r="E136" i="2"/>
  <c r="F134" i="2"/>
  <c r="G134" i="2"/>
  <c r="E134" i="2"/>
  <c r="H85" i="2"/>
  <c r="H139" i="2" s="1"/>
  <c r="F88" i="2"/>
  <c r="G88" i="2"/>
  <c r="E88" i="2"/>
  <c r="G86" i="2"/>
  <c r="F86" i="2"/>
  <c r="F82" i="2"/>
  <c r="G82" i="2"/>
  <c r="E82" i="2"/>
  <c r="F80" i="2"/>
  <c r="H80" i="2" s="1"/>
  <c r="H79" i="2" s="1"/>
  <c r="F74" i="2"/>
  <c r="G74" i="2"/>
  <c r="F76" i="2"/>
  <c r="G76" i="2"/>
  <c r="F69" i="2"/>
  <c r="G69" i="2"/>
  <c r="G66" i="2"/>
  <c r="F66" i="2"/>
  <c r="H59" i="2"/>
  <c r="G61" i="2"/>
  <c r="G70" i="2" s="1"/>
  <c r="F61" i="2"/>
  <c r="F70" i="2" s="1"/>
  <c r="G60" i="2"/>
  <c r="G38" i="2"/>
  <c r="H38" i="2" s="1"/>
  <c r="E48" i="2"/>
  <c r="E38" i="2" s="1"/>
  <c r="E54" i="2" s="1"/>
  <c r="E23" i="2"/>
  <c r="F22" i="2"/>
  <c r="G22" i="2"/>
  <c r="F48" i="2"/>
  <c r="F135" i="2" s="1"/>
  <c r="G48" i="2"/>
  <c r="G135" i="2" s="1"/>
  <c r="F38" i="2"/>
  <c r="F53" i="2" s="1"/>
  <c r="G29" i="2"/>
  <c r="F29" i="2"/>
  <c r="E25" i="2"/>
  <c r="G20" i="2"/>
  <c r="F20" i="2"/>
  <c r="E19" i="2"/>
  <c r="G25" i="2"/>
  <c r="F25" i="2"/>
  <c r="G18" i="2"/>
  <c r="F18" i="2"/>
  <c r="H16" i="2"/>
  <c r="I16" i="2" s="1"/>
  <c r="J16" i="2" s="1"/>
  <c r="K16" i="2" s="1"/>
  <c r="L16" i="2" s="1"/>
  <c r="F102" i="2" l="1"/>
  <c r="H95" i="2"/>
  <c r="H156" i="2" s="1"/>
  <c r="F107" i="2"/>
  <c r="G102" i="2"/>
  <c r="E102" i="2"/>
  <c r="H102" i="2" s="1"/>
  <c r="G241" i="2"/>
  <c r="E94" i="2"/>
  <c r="H94" i="2" s="1"/>
  <c r="H155" i="2" s="1"/>
  <c r="E107" i="2"/>
  <c r="E126" i="2"/>
  <c r="E234" i="2"/>
  <c r="G126" i="2"/>
  <c r="H171" i="2"/>
  <c r="I171" i="2" s="1"/>
  <c r="J171" i="2" s="1"/>
  <c r="K171" i="2" s="1"/>
  <c r="I195" i="2"/>
  <c r="J195" i="2" s="1"/>
  <c r="I156" i="2"/>
  <c r="F241" i="2"/>
  <c r="G234" i="2"/>
  <c r="F234" i="2"/>
  <c r="G203" i="2"/>
  <c r="E199" i="2"/>
  <c r="E203" i="2" s="1"/>
  <c r="G196" i="2"/>
  <c r="G107" i="2" s="1"/>
  <c r="F182" i="2"/>
  <c r="F203" i="2"/>
  <c r="G182" i="2"/>
  <c r="G175" i="2"/>
  <c r="E182" i="2"/>
  <c r="E184" i="2" s="1"/>
  <c r="F175" i="2"/>
  <c r="H88" i="2"/>
  <c r="F136" i="2"/>
  <c r="F140" i="2" s="1"/>
  <c r="H61" i="2"/>
  <c r="H81" i="2"/>
  <c r="H138" i="2"/>
  <c r="E135" i="2"/>
  <c r="E141" i="2" s="1"/>
  <c r="I85" i="2"/>
  <c r="G136" i="2"/>
  <c r="G141" i="2" s="1"/>
  <c r="G119" i="2" s="1"/>
  <c r="I79" i="2"/>
  <c r="I138" i="2" s="1"/>
  <c r="H74" i="2"/>
  <c r="H73" i="2" s="1"/>
  <c r="H137" i="2" s="1"/>
  <c r="F55" i="2"/>
  <c r="G53" i="2"/>
  <c r="G55" i="2" s="1"/>
  <c r="E55" i="2"/>
  <c r="I59" i="2"/>
  <c r="G51" i="2"/>
  <c r="G65" i="2"/>
  <c r="F51" i="2"/>
  <c r="F39" i="2"/>
  <c r="I38" i="2"/>
  <c r="H48" i="2"/>
  <c r="F49" i="2"/>
  <c r="G49" i="2"/>
  <c r="G39" i="2"/>
  <c r="H20" i="2"/>
  <c r="G26" i="2"/>
  <c r="H29" i="2"/>
  <c r="H28" i="2" s="1"/>
  <c r="I28" i="2" s="1"/>
  <c r="J28" i="2" s="1"/>
  <c r="K28" i="2" s="1"/>
  <c r="L28" i="2" s="1"/>
  <c r="F26" i="2"/>
  <c r="J156" i="2" l="1"/>
  <c r="G147" i="2"/>
  <c r="G152" i="2" s="1"/>
  <c r="G159" i="2" s="1"/>
  <c r="G110" i="2"/>
  <c r="G113" i="2"/>
  <c r="G106" i="2"/>
  <c r="G129" i="2"/>
  <c r="G121" i="2"/>
  <c r="G145" i="2"/>
  <c r="G111" i="2"/>
  <c r="G118" i="2"/>
  <c r="G114" i="2"/>
  <c r="H107" i="2"/>
  <c r="G100" i="2"/>
  <c r="E118" i="2"/>
  <c r="E113" i="2"/>
  <c r="E147" i="2"/>
  <c r="E152" i="2" s="1"/>
  <c r="E159" i="2" s="1"/>
  <c r="E100" i="2"/>
  <c r="E119" i="2"/>
  <c r="E111" i="2"/>
  <c r="E129" i="2"/>
  <c r="E121" i="2"/>
  <c r="E106" i="2"/>
  <c r="E145" i="2"/>
  <c r="E114" i="2"/>
  <c r="E110" i="2"/>
  <c r="K195" i="2"/>
  <c r="K156" i="2"/>
  <c r="L171" i="2"/>
  <c r="G184" i="2"/>
  <c r="G205" i="2" s="1"/>
  <c r="F184" i="2"/>
  <c r="F205" i="2"/>
  <c r="E205" i="2"/>
  <c r="E92" i="2"/>
  <c r="G92" i="2"/>
  <c r="G91" i="2"/>
  <c r="H75" i="2"/>
  <c r="I73" i="2"/>
  <c r="I137" i="2" s="1"/>
  <c r="F141" i="2"/>
  <c r="G142" i="2"/>
  <c r="J85" i="2"/>
  <c r="I88" i="2"/>
  <c r="I139" i="2"/>
  <c r="H70" i="2"/>
  <c r="H136" i="2"/>
  <c r="H53" i="2"/>
  <c r="H135" i="2"/>
  <c r="I81" i="2"/>
  <c r="J79" i="2"/>
  <c r="J138" i="2" s="1"/>
  <c r="J59" i="2"/>
  <c r="I61" i="2"/>
  <c r="H49" i="2"/>
  <c r="E26" i="2"/>
  <c r="H26" i="2" s="1"/>
  <c r="H25" i="2" s="1"/>
  <c r="I25" i="2" s="1"/>
  <c r="J38" i="2"/>
  <c r="I48" i="2"/>
  <c r="F142" i="2" l="1"/>
  <c r="F147" i="2"/>
  <c r="F152" i="2" s="1"/>
  <c r="F159" i="2" s="1"/>
  <c r="F113" i="2"/>
  <c r="F111" i="2"/>
  <c r="H111" i="2" s="1"/>
  <c r="F106" i="2"/>
  <c r="H106" i="2" s="1"/>
  <c r="F145" i="2"/>
  <c r="F129" i="2"/>
  <c r="F114" i="2"/>
  <c r="F118" i="2"/>
  <c r="F110" i="2"/>
  <c r="H110" i="2" s="1"/>
  <c r="F121" i="2"/>
  <c r="F100" i="2"/>
  <c r="H100" i="2" s="1"/>
  <c r="F119" i="2"/>
  <c r="H119" i="2"/>
  <c r="E153" i="2"/>
  <c r="E91" i="2"/>
  <c r="G153" i="2"/>
  <c r="L156" i="2"/>
  <c r="L195" i="2"/>
  <c r="J73" i="2"/>
  <c r="J137" i="2" s="1"/>
  <c r="I75" i="2"/>
  <c r="E161" i="2"/>
  <c r="E97" i="2"/>
  <c r="G161" i="2"/>
  <c r="G97" i="2"/>
  <c r="F92" i="2"/>
  <c r="F91" i="2"/>
  <c r="I53" i="2"/>
  <c r="I135" i="2"/>
  <c r="I70" i="2"/>
  <c r="I136" i="2"/>
  <c r="J139" i="2"/>
  <c r="J88" i="2"/>
  <c r="K85" i="2"/>
  <c r="J81" i="2"/>
  <c r="K79" i="2"/>
  <c r="K138" i="2" s="1"/>
  <c r="H17" i="2"/>
  <c r="K59" i="2"/>
  <c r="J61" i="2"/>
  <c r="I49" i="2"/>
  <c r="K38" i="2"/>
  <c r="J48" i="2"/>
  <c r="J25" i="2"/>
  <c r="I17" i="2"/>
  <c r="H91" i="2" l="1"/>
  <c r="J75" i="2"/>
  <c r="K73" i="2"/>
  <c r="K137" i="2" s="1"/>
  <c r="G163" i="2"/>
  <c r="G210" i="2"/>
  <c r="G226" i="2" s="1"/>
  <c r="G245" i="2" s="1"/>
  <c r="G248" i="2" s="1"/>
  <c r="E163" i="2"/>
  <c r="E210" i="2"/>
  <c r="E226" i="2" s="1"/>
  <c r="E245" i="2" s="1"/>
  <c r="E248" i="2" s="1"/>
  <c r="E249" i="2" s="1"/>
  <c r="F153" i="2"/>
  <c r="H19" i="2"/>
  <c r="H134" i="2"/>
  <c r="I22" i="2"/>
  <c r="I134" i="2"/>
  <c r="K87" i="2"/>
  <c r="K139" i="2"/>
  <c r="L85" i="2"/>
  <c r="H22" i="2"/>
  <c r="J53" i="2"/>
  <c r="J135" i="2"/>
  <c r="J68" i="2"/>
  <c r="J136" i="2"/>
  <c r="K81" i="2"/>
  <c r="L79" i="2"/>
  <c r="L73" i="2"/>
  <c r="K75" i="2"/>
  <c r="L59" i="2"/>
  <c r="L61" i="2" s="1"/>
  <c r="K61" i="2"/>
  <c r="J49" i="2"/>
  <c r="I19" i="2"/>
  <c r="L38" i="2"/>
  <c r="L48" i="2" s="1"/>
  <c r="K48" i="2"/>
  <c r="K25" i="2"/>
  <c r="J17" i="2"/>
  <c r="F161" i="2" l="1"/>
  <c r="F97" i="2"/>
  <c r="J22" i="2"/>
  <c r="J134" i="2"/>
  <c r="K53" i="2"/>
  <c r="K135" i="2"/>
  <c r="L53" i="2"/>
  <c r="L135" i="2"/>
  <c r="L87" i="2"/>
  <c r="L139" i="2"/>
  <c r="K68" i="2"/>
  <c r="K136" i="2"/>
  <c r="L68" i="2"/>
  <c r="L136" i="2"/>
  <c r="L75" i="2"/>
  <c r="L137" i="2"/>
  <c r="L81" i="2"/>
  <c r="L138" i="2"/>
  <c r="K49" i="2"/>
  <c r="L49" i="2"/>
  <c r="J19" i="2"/>
  <c r="L25" i="2"/>
  <c r="L17" i="2" s="1"/>
  <c r="K17" i="2"/>
  <c r="K134" i="2" s="1"/>
  <c r="F210" i="2" l="1"/>
  <c r="F226" i="2" s="1"/>
  <c r="F245" i="2" s="1"/>
  <c r="F248" i="2" s="1"/>
  <c r="F163" i="2"/>
  <c r="L19" i="2"/>
  <c r="L134" i="2"/>
  <c r="L22" i="2"/>
  <c r="K22" i="2"/>
  <c r="K19" i="2"/>
  <c r="I179" i="2" l="1"/>
  <c r="J179" i="2" s="1"/>
  <c r="K179" i="2" s="1"/>
  <c r="L179" i="2" s="1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4" i="2"/>
  <c r="I144" i="2"/>
  <c r="J144" i="2"/>
  <c r="K144" i="2"/>
  <c r="L144" i="2"/>
  <c r="H145" i="2"/>
  <c r="I145" i="2"/>
  <c r="J145" i="2"/>
  <c r="K145" i="2"/>
  <c r="L145" i="2"/>
  <c r="H147" i="2"/>
  <c r="I147" i="2"/>
  <c r="J147" i="2"/>
  <c r="K147" i="2"/>
  <c r="L147" i="2"/>
  <c r="H149" i="2"/>
  <c r="I149" i="2"/>
  <c r="J149" i="2"/>
  <c r="K149" i="2"/>
  <c r="L149" i="2"/>
  <c r="H150" i="2"/>
  <c r="I150" i="2"/>
  <c r="J150" i="2"/>
  <c r="K150" i="2"/>
  <c r="L150" i="2"/>
  <c r="H152" i="2"/>
  <c r="I152" i="2"/>
  <c r="J152" i="2"/>
  <c r="K152" i="2"/>
  <c r="L152" i="2"/>
  <c r="H153" i="2"/>
  <c r="I153" i="2"/>
  <c r="J153" i="2"/>
  <c r="K153" i="2"/>
  <c r="L153" i="2"/>
  <c r="I155" i="2"/>
  <c r="J155" i="2"/>
  <c r="K155" i="2"/>
  <c r="L155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3" i="2"/>
  <c r="I163" i="2"/>
  <c r="J163" i="2"/>
  <c r="K163" i="2"/>
  <c r="L163" i="2"/>
  <c r="H170" i="2"/>
  <c r="I170" i="2"/>
  <c r="J170" i="2"/>
  <c r="K170" i="2"/>
  <c r="L170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8" i="2"/>
  <c r="I178" i="2"/>
  <c r="J178" i="2"/>
  <c r="K178" i="2"/>
  <c r="L178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4" i="2"/>
  <c r="I184" i="2"/>
  <c r="J184" i="2"/>
  <c r="K184" i="2"/>
  <c r="L184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6" i="2"/>
  <c r="I196" i="2"/>
  <c r="J196" i="2"/>
  <c r="K196" i="2"/>
  <c r="L196" i="2"/>
  <c r="H197" i="2"/>
  <c r="I197" i="2"/>
  <c r="J197" i="2"/>
  <c r="K197" i="2"/>
  <c r="L197" i="2"/>
  <c r="H199" i="2"/>
  <c r="I199" i="2"/>
  <c r="J199" i="2"/>
  <c r="K199" i="2"/>
  <c r="L199" i="2"/>
  <c r="H201" i="2"/>
  <c r="I201" i="2"/>
  <c r="J201" i="2"/>
  <c r="K201" i="2"/>
  <c r="L201" i="2"/>
  <c r="H203" i="2"/>
  <c r="I203" i="2"/>
  <c r="J203" i="2"/>
  <c r="K203" i="2"/>
  <c r="L203" i="2"/>
  <c r="H205" i="2"/>
  <c r="I205" i="2"/>
  <c r="J205" i="2"/>
  <c r="K205" i="2"/>
  <c r="L205" i="2"/>
  <c r="H210" i="2"/>
  <c r="I210" i="2"/>
  <c r="J210" i="2"/>
  <c r="K210" i="2"/>
  <c r="L210" i="2"/>
  <c r="H212" i="2"/>
  <c r="I212" i="2"/>
  <c r="J212" i="2"/>
  <c r="K212" i="2"/>
  <c r="L212" i="2"/>
  <c r="H213" i="2"/>
  <c r="I213" i="2"/>
  <c r="J213" i="2"/>
  <c r="K213" i="2"/>
  <c r="L213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9" i="2"/>
  <c r="I229" i="2"/>
  <c r="J229" i="2"/>
  <c r="K229" i="2"/>
  <c r="L229" i="2"/>
  <c r="H231" i="2"/>
  <c r="I231" i="2"/>
  <c r="J231" i="2"/>
  <c r="K231" i="2"/>
  <c r="L231" i="2"/>
  <c r="H234" i="2"/>
  <c r="I234" i="2"/>
  <c r="J234" i="2"/>
  <c r="K234" i="2"/>
  <c r="L234" i="2"/>
  <c r="H240" i="2"/>
  <c r="I240" i="2"/>
  <c r="J240" i="2"/>
  <c r="K240" i="2"/>
  <c r="L240" i="2"/>
  <c r="H241" i="2"/>
  <c r="I241" i="2"/>
  <c r="J241" i="2"/>
  <c r="K241" i="2"/>
  <c r="L241" i="2"/>
  <c r="H245" i="2"/>
  <c r="I245" i="2"/>
  <c r="J245" i="2"/>
  <c r="K245" i="2"/>
  <c r="L245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tc={868F9602-6D6A-1E45-9878-69818EDA6710}</author>
  </authors>
  <commentList>
    <comment ref="F140" authorId="0" shapeId="0" xr:uid="{868F9602-6D6A-1E45-9878-69818EDA671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includes a decrease by 14 billion rubles in revenue as this money is attributed to Sberbank, I mean it used as Yandex in 2020 bought them out of Yandex Market</t>
      </text>
    </comment>
  </commentList>
</comments>
</file>

<file path=xl/sharedStrings.xml><?xml version="1.0" encoding="utf-8"?>
<sst xmlns="http://schemas.openxmlformats.org/spreadsheetml/2006/main" count="397" uniqueCount="176">
  <si>
    <t>General Assumptions:</t>
  </si>
  <si>
    <t>Company Name:</t>
  </si>
  <si>
    <t>Ticker:</t>
  </si>
  <si>
    <t>Last Historical Year:</t>
  </si>
  <si>
    <t>($ in Millions Except Per Share and Per Unit Data)</t>
  </si>
  <si>
    <t>Historical</t>
  </si>
  <si>
    <t>Projected</t>
  </si>
  <si>
    <t>Income Statement:</t>
  </si>
  <si>
    <t>Gross Profit:</t>
  </si>
  <si>
    <t>Net Income:</t>
  </si>
  <si>
    <t>Balance Sheet:</t>
  </si>
  <si>
    <t>Cash &amp; Equivalents:</t>
  </si>
  <si>
    <t>Inventory:</t>
  </si>
  <si>
    <t>Total Current Assets:</t>
  </si>
  <si>
    <t>Other Long-Term Assets:</t>
  </si>
  <si>
    <t>Total Assets:</t>
  </si>
  <si>
    <t>Total Current Liabilities:</t>
  </si>
  <si>
    <t>Other Long-Term Liabilities:</t>
  </si>
  <si>
    <t>Total Liabilities:</t>
  </si>
  <si>
    <t>Cash Flow Statement:</t>
  </si>
  <si>
    <t>Gross Margin:</t>
  </si>
  <si>
    <t>Revenue Growth:</t>
  </si>
  <si>
    <t>Total Revenue:</t>
  </si>
  <si>
    <t>Operating Income (EBIT):</t>
  </si>
  <si>
    <t>Operating (EBIT) Margin:</t>
  </si>
  <si>
    <t>Pre-Tax Income:</t>
  </si>
  <si>
    <t>ASSETS:</t>
  </si>
  <si>
    <t>Current Assets:</t>
  </si>
  <si>
    <t>Non-Current Assets:</t>
  </si>
  <si>
    <t>Total Non-Current Assets:</t>
  </si>
  <si>
    <t>LIABILITIES AND EQUITY:</t>
  </si>
  <si>
    <t>Current Liabilities:</t>
  </si>
  <si>
    <t>Non-Current Liabilities:</t>
  </si>
  <si>
    <t>Equity:</t>
  </si>
  <si>
    <t>Balance Check:</t>
  </si>
  <si>
    <t>CASH FLOWS FROM OPERATING ACTIVITIES:</t>
  </si>
  <si>
    <t>Adjustments for Non-Cash Charges:</t>
  </si>
  <si>
    <t>(+) Depreciation:</t>
  </si>
  <si>
    <t>(+) Stock-Based Compensation:</t>
  </si>
  <si>
    <t>Changes in Operating Assets and Liabilities:</t>
  </si>
  <si>
    <t>Net Cash Provided by Operating Activities:</t>
  </si>
  <si>
    <t>CASH FLOWS FROM INVESTING ACTIVITIES:</t>
  </si>
  <si>
    <t>Net Cash Used in Investing Activities:</t>
  </si>
  <si>
    <t>CASH FLOWS FROM FINANCING ACTIVITIES:</t>
  </si>
  <si>
    <t>Net Cash Provided by Financing Activities:</t>
  </si>
  <si>
    <t>Beginning Cash:</t>
  </si>
  <si>
    <t>Ending Cash:</t>
  </si>
  <si>
    <t>Financial Statement Drivers:</t>
  </si>
  <si>
    <t>Units:</t>
  </si>
  <si>
    <t>%</t>
  </si>
  <si>
    <t>Effective Tax Rate:</t>
  </si>
  <si>
    <t>Total Liabilities &amp; Equity:</t>
  </si>
  <si>
    <t>(-) Dividends Paid:</t>
  </si>
  <si>
    <t>Accounts Receivable:</t>
  </si>
  <si>
    <t>(-) Provision For Income Taxes:</t>
  </si>
  <si>
    <t>Net PP&amp;E:</t>
  </si>
  <si>
    <t>(+) Debt Issuances / (-) Repayments:</t>
  </si>
  <si>
    <t>Prepaid Expenses &amp; Other Assets:</t>
  </si>
  <si>
    <t>Dividends % Net Income:</t>
  </si>
  <si>
    <t>FX Rate Effects:</t>
  </si>
  <si>
    <t>FX Rate Effects % Revenue:</t>
  </si>
  <si>
    <t>(+/-) Deferred Taxes:</t>
  </si>
  <si>
    <t>Total Non-Current Liabilities:</t>
  </si>
  <si>
    <t>Revenue:</t>
  </si>
  <si>
    <t>(+) Amortization:</t>
  </si>
  <si>
    <t>Goodwill &amp; Other Intangible Assets:</t>
  </si>
  <si>
    <t>Deferred Revenue:</t>
  </si>
  <si>
    <t>(+/-) Other Items:</t>
  </si>
  <si>
    <t>Deferred Taxes % Book Taxes:</t>
  </si>
  <si>
    <t>Total Debt:</t>
  </si>
  <si>
    <t>Accounts Receivables % Revenue:</t>
  </si>
  <si>
    <t>Inventory % Cost of Sales:</t>
  </si>
  <si>
    <t>Accounts Payable % Cost of Sales:</t>
  </si>
  <si>
    <t>Deferred Revenue % Revenue:</t>
  </si>
  <si>
    <t>M</t>
  </si>
  <si>
    <t>Growth Rate:</t>
  </si>
  <si>
    <t>Operating Expenses % Revenue:</t>
  </si>
  <si>
    <t>Short-Term Investments:</t>
  </si>
  <si>
    <t>Deferred Tax Assets:</t>
  </si>
  <si>
    <t>(+) Goodwill/Intangible Impairments:</t>
  </si>
  <si>
    <t>(-) Increase in Other Long-Term Assets:</t>
  </si>
  <si>
    <t>(+/-) Accounts Receivable:</t>
  </si>
  <si>
    <t>(+/-) Inventory:</t>
  </si>
  <si>
    <t>(+/-) Prepaid Expenses &amp; Other Assets:</t>
  </si>
  <si>
    <t>(+/-) Accounts Payable:</t>
  </si>
  <si>
    <t>(+/-) Accrued Liabilities:</t>
  </si>
  <si>
    <t>(+/-) Deferred Revenue:</t>
  </si>
  <si>
    <t>(+/-) Other Long-Term Liabilities:</t>
  </si>
  <si>
    <t>(-) Net Capital Expenditures:</t>
  </si>
  <si>
    <t>(-) Net Purchases of Short-Term Investments:</t>
  </si>
  <si>
    <t>(-) Additions to Intangibles:</t>
  </si>
  <si>
    <t>(+) Stock Issuances / (-) Repurchases:</t>
  </si>
  <si>
    <t>(+/-) Change in Cash &amp; Cash Equivalents:</t>
  </si>
  <si>
    <t>Prepaid Expenses &amp; Other Assets % OpEx:</t>
  </si>
  <si>
    <t>Accrued Liabilities % OpEx:</t>
  </si>
  <si>
    <t>Other Long-Term Liabilities % OpEx:</t>
  </si>
  <si>
    <t>Capital Expenditures % Revenue:</t>
  </si>
  <si>
    <t>Depreciation % Revenue:</t>
  </si>
  <si>
    <t>Additions to Intangibles % Revenue:</t>
  </si>
  <si>
    <t>Amortization % Revenue:</t>
  </si>
  <si>
    <t>Goodwill/Intangible Impairments:</t>
  </si>
  <si>
    <t>Stock-Based Compensation % Revenue:</t>
  </si>
  <si>
    <t>Other Items % Revenue:</t>
  </si>
  <si>
    <t>Increase in Other Long-Term Assets % Revenue:</t>
  </si>
  <si>
    <t>Net Purchases of Short-Term Investments:</t>
  </si>
  <si>
    <t>Stock Issuances / (Repurchases):</t>
  </si>
  <si>
    <t>(-) Operating Expenses:</t>
  </si>
  <si>
    <t>(+) Interest Income:</t>
  </si>
  <si>
    <t>(+) Other Income / (-) Expense:</t>
  </si>
  <si>
    <t>Interest Income % Cash &amp; Investments:</t>
  </si>
  <si>
    <t>Interest Expense % Debt:</t>
  </si>
  <si>
    <t>Debt Issuances / (Repayments):</t>
  </si>
  <si>
    <t>Monster Beverage Corporation - Operating Model</t>
  </si>
  <si>
    <t>FY19</t>
  </si>
  <si>
    <t>FY20</t>
  </si>
  <si>
    <t>FY21</t>
  </si>
  <si>
    <t>FY22</t>
  </si>
  <si>
    <t>FY23</t>
  </si>
  <si>
    <t>FY24</t>
  </si>
  <si>
    <t>FY25</t>
  </si>
  <si>
    <t>FY26</t>
  </si>
  <si>
    <t xml:space="preserve"> – </t>
  </si>
  <si>
    <t>Yandex LLC</t>
  </si>
  <si>
    <t>YNDX</t>
  </si>
  <si>
    <t>Share of Russian search market, %:</t>
  </si>
  <si>
    <t>Revenues from Search and Portal (Excluding Ads from Taxi, etc):</t>
  </si>
  <si>
    <t>Traffic Acquisition Costs % Revenue:</t>
  </si>
  <si>
    <t>Revenues Ex-TAC:</t>
  </si>
  <si>
    <t>Total Digital Advertising Revenue:</t>
  </si>
  <si>
    <t>Search Market Size (Total Revenue):</t>
  </si>
  <si>
    <t>Whole Business Overview Stats:</t>
  </si>
  <si>
    <t>Search and Portal Business:</t>
  </si>
  <si>
    <t>MLU (Taxi, Eats, eGrocery and Delivery)</t>
  </si>
  <si>
    <t>Mobility:</t>
  </si>
  <si>
    <t>Drive (Carsharing business):</t>
  </si>
  <si>
    <t>Ride-hailing (Yandex Taxi):</t>
  </si>
  <si>
    <t>FoodTech (Yandex Eats, eGrocery, Lavka):</t>
  </si>
  <si>
    <t>Yandex Delivery:</t>
  </si>
  <si>
    <t>GMV:</t>
  </si>
  <si>
    <t>Revenues:</t>
  </si>
  <si>
    <t>Total GMV:</t>
  </si>
  <si>
    <t>Eliminations</t>
  </si>
  <si>
    <t>Revenue % GMV</t>
  </si>
  <si>
    <t>E-commerce (Yandex Market)</t>
  </si>
  <si>
    <t>Yandex Market:</t>
  </si>
  <si>
    <t>Commision and other marketplaces (3P):</t>
  </si>
  <si>
    <t>Revenues from sale of goods (1P):</t>
  </si>
  <si>
    <t>CPC revenues:</t>
  </si>
  <si>
    <t>Adjusted EBITDA % GMV</t>
  </si>
  <si>
    <t>Adjusted EBITDA margin %</t>
  </si>
  <si>
    <t>Adjusted EBITDA (Excludes SBC costs):</t>
  </si>
  <si>
    <t>Adjusted EBITDA margin (Excludes SBC costs):</t>
  </si>
  <si>
    <t>Media Services (Yandex Plus, Yandex Music, KinoPoisk, Yandex Afisha):</t>
  </si>
  <si>
    <t>Adjusted EBITDA:</t>
  </si>
  <si>
    <t>Adjusted EBITDA margin %:</t>
  </si>
  <si>
    <t>Classifieds (Auto.ru, Yandex.Realty and Yandex.Jobs):</t>
  </si>
  <si>
    <t>Other (Zen, Devices, Yandex.Cloud, Yandex.Drive, Geolocation Services, Yandex.Education, SDG):</t>
  </si>
  <si>
    <t>(+) Search and Portal:</t>
  </si>
  <si>
    <t>(+) MLU:</t>
  </si>
  <si>
    <t>(+) E-commerece:</t>
  </si>
  <si>
    <t>(+) Media Services:</t>
  </si>
  <si>
    <t>(+) Classifieds:</t>
  </si>
  <si>
    <t>(+) Others:</t>
  </si>
  <si>
    <t>(-) Eliminations:</t>
  </si>
  <si>
    <t>(-) Cost of Sales (TAC, Yandex Market products sold, Taxi rewards, Devices):</t>
  </si>
  <si>
    <t>Cost of Sales % Revenue</t>
  </si>
  <si>
    <t>Total operating costs and expenses</t>
  </si>
  <si>
    <t>Net income/(loss) attributable to noncontrolling interests</t>
  </si>
  <si>
    <t>Net income attributable to Yandex N.V.</t>
  </si>
  <si>
    <t>(-) Interest Expense:</t>
  </si>
  <si>
    <t>Income and non-income taxes payable</t>
  </si>
  <si>
    <t>Operating lease labilities</t>
  </si>
  <si>
    <t>(-) Acquisitions of businesses, net of cash acquired:</t>
  </si>
  <si>
    <t>(+/-) Others:</t>
  </si>
  <si>
    <t>Net change in cash and cash equivalents, and restricted cash and cash equivalents:</t>
  </si>
  <si>
    <t>Accounts Payable and Accrued Liabilities: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</si>
</sst>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£&quot;* #,##0.00_);_(&quot;£&quot;* \(#,##0.00\);_(&quot;£&quot;* &quot;-&quot;??_);_(@_)"/>
    <numFmt numFmtId="165" formatCode="yyyy\-mm\-dd"/>
    <numFmt numFmtId="166" formatCode="&quot;FY&quot;yy"/>
    <numFmt numFmtId="167" formatCode="_(#,##0.0%_);\(#,##0.0%\);_(&quot;–&quot;_)_%;_(@_)_%"/>
    <numFmt numFmtId="168" formatCode="_(* #,##0.0_);_(* \(#,##0.0\);_(* &quot;-&quot;?_);_(@_)"/>
    <numFmt numFmtId="171" formatCode="&quot;$&quot;#,##0.000\);\(&quot;$&quot;#,##0.000\);&quot;OK!&quot;;&quot;ERROR&quot;"/>
    <numFmt numFmtId="172" formatCode="_(* #,##0.000_);_(* \(#,##0.000\);_(* &quot;-&quot;?_);_(@_)"/>
    <numFmt numFmtId="173" formatCode="0.0%;\(0.0%\)"/>
    <numFmt numFmtId="174" formatCode="#,##0.0_);\(#,##0.0\)"/>
    <numFmt numFmtId="180" formatCode="_([$RUB]\ * #,##0.00_);_([$RUB]\ * \(#,##0.00\);_([$RUB]\ * &quot;-&quot;??_);_(@_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family val="2"/>
      <scheme val="minor"/>
    </font>
    <font>
      <b/>
      <i/>
      <sz val="12"/>
      <color rgb="FFFFFFFF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1F4E78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9A"/>
        <bgColor indexed="64"/>
      </patternFill>
    </fill>
    <fill>
      <patternFill patternType="solid">
        <fgColor rgb="FFFFFF9A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FFFFFF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theme="1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  <xf numFmtId="180" fontId="15" fillId="6" borderId="13"/>
    <xf numFmtId="180" fontId="15" fillId="6" borderId="0"/>
    <xf numFmtId="180" fontId="15" fillId="6" borderId="0" applyFill="0"/>
    <xf numFmtId="180" fontId="15" fillId="6" borderId="13"/>
    <xf numFmtId="0" fontId="2" fillId="7" borderId="0"/>
  </cellStyleXfs>
  <cellXfs count="136">
    <xf numFmtId="0" fontId="0" fillId="0" borderId="0" xfId="0"/>
    <xf numFmtId="174" fontId="3" fillId="0" borderId="0" xfId="0" applyNumberFormat="1" applyFont="1"/>
    <xf numFmtId="0" fontId="0" fillId="0" borderId="10" xfId="0" applyBorder="1"/>
    <xf numFmtId="0" fontId="15" fillId="0" borderId="0" xfId="0" applyFont="1"/>
    <xf numFmtId="0" fontId="16" fillId="0" borderId="0" xfId="0" applyFont="1"/>
    <xf numFmtId="0" fontId="5" fillId="3" borderId="6" xfId="0" applyFont="1" applyFill="1" applyBorder="1"/>
    <xf numFmtId="0" fontId="7" fillId="3" borderId="6" xfId="0" applyFont="1" applyFill="1" applyBorder="1"/>
    <xf numFmtId="0" fontId="6" fillId="3" borderId="6" xfId="0" applyFont="1" applyFill="1" applyBorder="1"/>
    <xf numFmtId="39" fontId="3" fillId="4" borderId="2" xfId="0" applyNumberFormat="1" applyFont="1" applyFill="1" applyBorder="1" applyAlignment="1">
      <alignment horizontal="centerContinuous"/>
    </xf>
    <xf numFmtId="39" fontId="3" fillId="4" borderId="1" xfId="0" applyNumberFormat="1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"/>
    </xf>
    <xf numFmtId="165" fontId="3" fillId="4" borderId="9" xfId="0" applyNumberFormat="1" applyFont="1" applyFill="1" applyBorder="1" applyAlignment="1">
      <alignment horizont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horizontal="centerContinuous" vertical="center"/>
    </xf>
    <xf numFmtId="0" fontId="5" fillId="3" borderId="4" xfId="0" applyFont="1" applyFill="1" applyBorder="1" applyAlignment="1">
      <alignment horizontal="centerContinuous" vertical="center"/>
    </xf>
    <xf numFmtId="0" fontId="8" fillId="3" borderId="0" xfId="0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17" fillId="5" borderId="6" xfId="0" applyFont="1" applyFill="1" applyBorder="1"/>
    <xf numFmtId="0" fontId="17" fillId="0" borderId="0" xfId="0" applyFont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15" fillId="0" borderId="0" xfId="0" applyFont="1" applyAlignment="1">
      <alignment horizontal="left" indent="1"/>
    </xf>
    <xf numFmtId="10" fontId="0" fillId="0" borderId="0" xfId="0" applyNumberFormat="1"/>
    <xf numFmtId="167" fontId="15" fillId="0" borderId="0" xfId="0" applyNumberFormat="1" applyFont="1"/>
    <xf numFmtId="173" fontId="3" fillId="4" borderId="1" xfId="0" applyNumberFormat="1" applyFont="1" applyFill="1" applyBorder="1" applyAlignment="1">
      <alignment horizontal="center"/>
    </xf>
    <xf numFmtId="173" fontId="3" fillId="4" borderId="11" xfId="0" applyNumberFormat="1" applyFont="1" applyFill="1" applyBorder="1" applyAlignment="1">
      <alignment horizontal="center"/>
    </xf>
    <xf numFmtId="0" fontId="18" fillId="0" borderId="0" xfId="0" applyFont="1"/>
    <xf numFmtId="173" fontId="3" fillId="0" borderId="0" xfId="0" applyNumberFormat="1" applyFont="1"/>
    <xf numFmtId="0" fontId="19" fillId="0" borderId="0" xfId="0" applyFont="1"/>
    <xf numFmtId="173" fontId="3" fillId="4" borderId="9" xfId="0" applyNumberFormat="1" applyFont="1" applyFill="1" applyBorder="1" applyAlignment="1">
      <alignment horizontal="center"/>
    </xf>
    <xf numFmtId="173" fontId="3" fillId="4" borderId="12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67" fontId="18" fillId="0" borderId="0" xfId="0" applyNumberFormat="1" applyFont="1"/>
    <xf numFmtId="173" fontId="10" fillId="4" borderId="1" xfId="0" applyNumberFormat="1" applyFont="1" applyFill="1" applyBorder="1" applyAlignment="1">
      <alignment horizontal="center"/>
    </xf>
    <xf numFmtId="173" fontId="10" fillId="4" borderId="11" xfId="0" applyNumberFormat="1" applyFont="1" applyFill="1" applyBorder="1" applyAlignment="1">
      <alignment horizontal="center"/>
    </xf>
    <xf numFmtId="173" fontId="10" fillId="4" borderId="9" xfId="0" applyNumberFormat="1" applyFont="1" applyFill="1" applyBorder="1" applyAlignment="1">
      <alignment horizontal="center"/>
    </xf>
    <xf numFmtId="173" fontId="10" fillId="4" borderId="12" xfId="0" applyNumberFormat="1" applyFont="1" applyFill="1" applyBorder="1" applyAlignment="1">
      <alignment horizontal="center"/>
    </xf>
    <xf numFmtId="174" fontId="15" fillId="0" borderId="0" xfId="0" applyNumberFormat="1" applyFont="1"/>
    <xf numFmtId="168" fontId="15" fillId="0" borderId="0" xfId="0" applyNumberFormat="1" applyFont="1"/>
    <xf numFmtId="168" fontId="3" fillId="4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 wrapText="1"/>
    </xf>
    <xf numFmtId="168" fontId="3" fillId="4" borderId="1" xfId="0" applyNumberFormat="1" applyFont="1" applyFill="1" applyBorder="1" applyAlignment="1">
      <alignment horizontal="center"/>
    </xf>
    <xf numFmtId="168" fontId="19" fillId="0" borderId="0" xfId="0" applyNumberFormat="1" applyFont="1"/>
    <xf numFmtId="172" fontId="15" fillId="0" borderId="0" xfId="0" applyNumberFormat="1" applyFont="1"/>
    <xf numFmtId="0" fontId="5" fillId="3" borderId="6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166" fontId="5" fillId="3" borderId="6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17" fillId="0" borderId="7" xfId="0" applyFont="1" applyBorder="1"/>
    <xf numFmtId="168" fontId="17" fillId="0" borderId="0" xfId="0" applyNumberFormat="1" applyFont="1"/>
    <xf numFmtId="0" fontId="18" fillId="0" borderId="0" xfId="0" applyFont="1" applyAlignment="1">
      <alignment horizontal="left" indent="1"/>
    </xf>
    <xf numFmtId="0" fontId="17" fillId="0" borderId="0" xfId="0" applyFont="1" applyAlignment="1">
      <alignment horizontal="left"/>
    </xf>
    <xf numFmtId="49" fontId="15" fillId="0" borderId="0" xfId="0" applyNumberFormat="1" applyFont="1" applyAlignment="1">
      <alignment horizontal="left" indent="1"/>
    </xf>
    <xf numFmtId="0" fontId="17" fillId="0" borderId="7" xfId="0" applyFont="1" applyBorder="1" applyAlignment="1">
      <alignment horizontal="left"/>
    </xf>
    <xf numFmtId="49" fontId="17" fillId="5" borderId="6" xfId="0" applyNumberFormat="1" applyFont="1" applyFill="1" applyBorder="1"/>
    <xf numFmtId="0" fontId="15" fillId="0" borderId="6" xfId="0" applyFont="1" applyBorder="1" applyAlignment="1">
      <alignment horizontal="left" indent="1"/>
    </xf>
    <xf numFmtId="171" fontId="18" fillId="0" borderId="0" xfId="0" applyNumberFormat="1" applyFont="1"/>
    <xf numFmtId="0" fontId="18" fillId="0" borderId="7" xfId="0" applyFont="1" applyBorder="1" applyAlignment="1">
      <alignment horizontal="center"/>
    </xf>
    <xf numFmtId="39" fontId="3" fillId="4" borderId="2" xfId="0" applyNumberFormat="1" applyFont="1" applyFill="1" applyBorder="1" applyAlignment="1">
      <alignment horizontal="left"/>
    </xf>
    <xf numFmtId="0" fontId="15" fillId="0" borderId="0" xfId="0" applyFont="1" applyAlignment="1"/>
    <xf numFmtId="180" fontId="15" fillId="0" borderId="0" xfId="1" applyNumberFormat="1" applyFont="1"/>
    <xf numFmtId="180" fontId="15" fillId="0" borderId="0" xfId="0" applyNumberFormat="1" applyFont="1"/>
    <xf numFmtId="180" fontId="3" fillId="0" borderId="0" xfId="0" applyNumberFormat="1" applyFont="1"/>
    <xf numFmtId="10" fontId="15" fillId="0" borderId="0" xfId="0" applyNumberFormat="1" applyFont="1"/>
    <xf numFmtId="180" fontId="1" fillId="2" borderId="1" xfId="3" applyNumberFormat="1" applyBorder="1"/>
    <xf numFmtId="10" fontId="1" fillId="2" borderId="1" xfId="3" applyNumberFormat="1" applyBorder="1"/>
    <xf numFmtId="180" fontId="1" fillId="2" borderId="0" xfId="3" applyNumberFormat="1"/>
    <xf numFmtId="10" fontId="3" fillId="2" borderId="1" xfId="3" applyNumberFormat="1" applyFont="1" applyBorder="1"/>
    <xf numFmtId="173" fontId="3" fillId="2" borderId="1" xfId="3" applyNumberFormat="1" applyFont="1" applyBorder="1"/>
    <xf numFmtId="10" fontId="15" fillId="0" borderId="1" xfId="0" applyNumberFormat="1" applyFont="1" applyBorder="1"/>
    <xf numFmtId="0" fontId="0" fillId="0" borderId="1" xfId="0" applyBorder="1"/>
    <xf numFmtId="10" fontId="3" fillId="2" borderId="11" xfId="3" applyNumberFormat="1" applyFont="1" applyBorder="1"/>
    <xf numFmtId="180" fontId="1" fillId="2" borderId="11" xfId="3" applyNumberFormat="1" applyBorder="1"/>
    <xf numFmtId="10" fontId="15" fillId="0" borderId="11" xfId="0" applyNumberFormat="1" applyFont="1" applyBorder="1"/>
    <xf numFmtId="173" fontId="3" fillId="0" borderId="1" xfId="0" applyNumberFormat="1" applyFont="1" applyBorder="1"/>
    <xf numFmtId="0" fontId="15" fillId="6" borderId="0" xfId="0" applyFont="1" applyFill="1" applyAlignment="1"/>
    <xf numFmtId="0" fontId="17" fillId="0" borderId="0" xfId="0" applyFont="1" applyAlignment="1"/>
    <xf numFmtId="0" fontId="15" fillId="0" borderId="0" xfId="0" applyFont="1" applyAlignment="1">
      <alignment horizontal="left" indent="2"/>
    </xf>
    <xf numFmtId="173" fontId="3" fillId="0" borderId="9" xfId="0" applyNumberFormat="1" applyFont="1" applyBorder="1"/>
    <xf numFmtId="44" fontId="0" fillId="0" borderId="0" xfId="0" applyNumberFormat="1" applyAlignment="1">
      <alignment horizontal="center"/>
    </xf>
    <xf numFmtId="10" fontId="15" fillId="0" borderId="0" xfId="1" applyNumberFormat="1" applyFont="1"/>
    <xf numFmtId="10" fontId="3" fillId="2" borderId="14" xfId="3" applyNumberFormat="1" applyFont="1" applyBorder="1"/>
    <xf numFmtId="173" fontId="3" fillId="2" borderId="1" xfId="3" applyNumberFormat="1" applyFont="1" applyBorder="1" applyAlignment="1">
      <alignment horizontal="right"/>
    </xf>
    <xf numFmtId="180" fontId="1" fillId="2" borderId="1" xfId="3" applyNumberFormat="1" applyBorder="1" applyAlignment="1">
      <alignment horizontal="right"/>
    </xf>
    <xf numFmtId="10" fontId="3" fillId="2" borderId="0" xfId="3" applyNumberFormat="1" applyFont="1"/>
    <xf numFmtId="180" fontId="18" fillId="0" borderId="0" xfId="0" applyNumberFormat="1" applyFont="1" applyAlignment="1">
      <alignment horizontal="center"/>
    </xf>
    <xf numFmtId="0" fontId="1" fillId="2" borderId="1" xfId="3" applyBorder="1"/>
    <xf numFmtId="9" fontId="15" fillId="0" borderId="0" xfId="2" applyFont="1"/>
    <xf numFmtId="10" fontId="15" fillId="0" borderId="0" xfId="2" applyNumberFormat="1" applyFont="1"/>
    <xf numFmtId="0" fontId="15" fillId="6" borderId="0" xfId="0" applyFont="1" applyFill="1" applyAlignment="1">
      <alignment horizontal="left"/>
    </xf>
    <xf numFmtId="180" fontId="3" fillId="0" borderId="0" xfId="1" applyNumberFormat="1" applyFont="1"/>
    <xf numFmtId="180" fontId="10" fillId="0" borderId="0" xfId="1" applyNumberFormat="1" applyFont="1"/>
    <xf numFmtId="180" fontId="1" fillId="0" borderId="0" xfId="1" applyNumberFormat="1" applyFont="1"/>
    <xf numFmtId="180" fontId="3" fillId="0" borderId="6" xfId="1" applyNumberFormat="1" applyFont="1" applyBorder="1"/>
    <xf numFmtId="168" fontId="1" fillId="0" borderId="0" xfId="0" applyNumberFormat="1" applyFont="1"/>
    <xf numFmtId="180" fontId="1" fillId="0" borderId="6" xfId="1" applyNumberFormat="1" applyFont="1" applyBorder="1"/>
    <xf numFmtId="180" fontId="17" fillId="0" borderId="0" xfId="0" applyNumberFormat="1" applyFont="1"/>
    <xf numFmtId="180" fontId="1" fillId="0" borderId="0" xfId="0" applyNumberFormat="1" applyFont="1"/>
    <xf numFmtId="180" fontId="12" fillId="0" borderId="0" xfId="0" applyNumberFormat="1" applyFont="1"/>
    <xf numFmtId="9" fontId="14" fillId="0" borderId="0" xfId="2" applyFont="1"/>
    <xf numFmtId="9" fontId="13" fillId="0" borderId="0" xfId="2" applyFont="1"/>
    <xf numFmtId="9" fontId="3" fillId="0" borderId="0" xfId="2" applyFont="1"/>
    <xf numFmtId="9" fontId="1" fillId="0" borderId="0" xfId="2" applyFont="1"/>
    <xf numFmtId="180" fontId="1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left"/>
    </xf>
    <xf numFmtId="9" fontId="9" fillId="0" borderId="0" xfId="2" applyFont="1"/>
    <xf numFmtId="0" fontId="17" fillId="0" borderId="0" xfId="0" applyFont="1" applyBorder="1" applyAlignment="1">
      <alignment horizontal="left"/>
    </xf>
    <xf numFmtId="180" fontId="12" fillId="0" borderId="0" xfId="0" applyNumberFormat="1" applyFont="1" applyBorder="1"/>
    <xf numFmtId="180" fontId="12" fillId="0" borderId="7" xfId="1" applyNumberFormat="1" applyFont="1" applyBorder="1"/>
    <xf numFmtId="180" fontId="12" fillId="0" borderId="0" xfId="1" applyNumberFormat="1" applyFont="1" applyBorder="1"/>
    <xf numFmtId="180" fontId="10" fillId="0" borderId="7" xfId="1" applyNumberFormat="1" applyFont="1" applyBorder="1"/>
    <xf numFmtId="180" fontId="10" fillId="0" borderId="0" xfId="1" applyNumberFormat="1" applyFont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 indent="1"/>
    </xf>
    <xf numFmtId="180" fontId="18" fillId="0" borderId="0" xfId="1" applyNumberFormat="1" applyFont="1" applyAlignment="1">
      <alignment horizontal="center"/>
    </xf>
    <xf numFmtId="180" fontId="18" fillId="0" borderId="6" xfId="1" applyNumberFormat="1" applyFont="1" applyBorder="1" applyAlignment="1">
      <alignment horizontal="center"/>
    </xf>
    <xf numFmtId="180" fontId="15" fillId="0" borderId="6" xfId="1" applyNumberFormat="1" applyFont="1" applyBorder="1"/>
    <xf numFmtId="180" fontId="12" fillId="0" borderId="0" xfId="1" applyNumberFormat="1" applyFont="1"/>
    <xf numFmtId="180" fontId="17" fillId="0" borderId="0" xfId="1" applyNumberFormat="1" applyFont="1"/>
    <xf numFmtId="180" fontId="17" fillId="0" borderId="7" xfId="1" applyNumberFormat="1" applyFont="1" applyBorder="1"/>
    <xf numFmtId="180" fontId="18" fillId="0" borderId="0" xfId="1" applyNumberFormat="1" applyFont="1" applyBorder="1" applyAlignment="1">
      <alignment horizontal="center"/>
    </xf>
    <xf numFmtId="180" fontId="18" fillId="0" borderId="15" xfId="1" applyNumberFormat="1" applyFont="1" applyBorder="1" applyAlignment="1">
      <alignment horizontal="center"/>
    </xf>
    <xf numFmtId="180" fontId="19" fillId="0" borderId="0" xfId="0" applyNumberFormat="1" applyFont="1"/>
    <xf numFmtId="180" fontId="3" fillId="4" borderId="9" xfId="1" applyNumberFormat="1" applyFont="1" applyFill="1" applyBorder="1" applyAlignment="1">
      <alignment horizontal="center"/>
    </xf>
    <xf numFmtId="180" fontId="11" fillId="0" borderId="0" xfId="0" applyNumberFormat="1" applyFont="1"/>
    <xf numFmtId="180" fontId="4" fillId="0" borderId="0" xfId="0" applyNumberFormat="1" applyFont="1"/>
    <xf numFmtId="180" fontId="4" fillId="0" borderId="0" xfId="1" applyNumberFormat="1" applyFont="1"/>
    <xf numFmtId="180" fontId="4" fillId="0" borderId="7" xfId="1" applyNumberFormat="1" applyFont="1" applyBorder="1"/>
    <xf numFmtId="0" fontId="4" fillId="5" borderId="6" xfId="0" applyFont="1" applyFill="1" applyBorder="1"/>
    <xf numFmtId="9" fontId="10" fillId="4" borderId="1" xfId="2" applyFont="1" applyFill="1" applyBorder="1" applyAlignment="1">
      <alignment horizontal="center"/>
    </xf>
    <xf numFmtId="9" fontId="10" fillId="4" borderId="11" xfId="2" applyFont="1" applyFill="1" applyBorder="1" applyAlignment="1">
      <alignment horizontal="center"/>
    </xf>
    <xf numFmtId="9" fontId="3" fillId="4" borderId="9" xfId="2" applyFont="1" applyFill="1" applyBorder="1" applyAlignment="1">
      <alignment horizontal="center"/>
    </xf>
    <xf numFmtId="9" fontId="3" fillId="4" borderId="12" xfId="2" applyFont="1" applyFill="1" applyBorder="1" applyAlignment="1">
      <alignment horizontal="center"/>
    </xf>
  </cellXfs>
  <cellStyles count="9">
    <cellStyle name="40% - Accent4" xfId="3" builtinId="43"/>
    <cellStyle name="Currency" xfId="1" builtinId="4"/>
    <cellStyle name="Normal" xfId="0" builtinId="0"/>
    <cellStyle name="Per cent" xfId="2" builtinId="5"/>
    <cellStyle name="Style 1" xfId="4" xr:uid="{6A6DBBE1-BF96-074E-A996-3A9AC3034657}"/>
    <cellStyle name="Style 2" xfId="5" xr:uid="{70127155-BEBF-9A43-9C28-6B63934DA2A4}"/>
    <cellStyle name="Style 3" xfId="6" xr:uid="{0EE4BD6C-6FE2-8E4E-810C-4F72BFD67745}"/>
    <cellStyle name="Style 4" xfId="7" xr:uid="{6F329EB3-2280-1E42-A0CE-175EA58E9D2C}"/>
    <cellStyle name="Style 5" xfId="8" xr:uid="{7E84869E-FCDD-B84E-B057-D51AE80EAC03}"/>
  </cellStyles>
  <dxfs count="0"/>
  <tableStyles count="0" defaultTableStyle="TableStyleMedium2" defaultPivotStyle="PivotStyleLight16"/>
  <colors>
    <mruColors>
      <color rgb="FF0000FF"/>
      <color rgb="FFB2B2B2"/>
      <color rgb="FFD4D4D4"/>
      <color rgb="FFFFFF9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leb Izmailov" id="{88371380-49E2-0047-80EE-858EC3A34700}" userId="S::g.izmailov@my.bpp.com::64462a39-0dde-4c8b-969d-f5fdb829c2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0" dT="2022-09-19T16:00:11.96" personId="{88371380-49E2-0047-80EE-858EC3A34700}" id="{868F9602-6D6A-1E45-9878-69818EDA6710}">
    <text>This includes a decrease by 14 billion rubles in revenue as this money is attributed to Sberbank, I mean it used as Yandex in 2020 bought them out of Yandex Market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C4F0-CC86-624E-BC00-3FC1B83341E2}">
  <dimension ref="A1:N250"/>
  <sheetViews>
    <sheetView tabSelected="1" zoomScale="117" workbookViewId="0">
      <pane xSplit="2" ySplit="12" topLeftCell="C127" activePane="bottomRight" state="frozen"/>
      <selection pane="topRight" activeCell="C1" sqref="C1"/>
      <selection pane="bottomLeft" activeCell="A13" sqref="A13"/>
      <selection pane="bottomRight" activeCell="I163" sqref="I163"/>
    </sheetView>
  </sheetViews>
  <sheetFormatPr baseColWidth="10" defaultRowHeight="15" x14ac:dyDescent="0.2"/>
  <cols>
    <col min="1" max="2" width="3.83203125" customWidth="1"/>
    <col min="3" max="3" width="36.33203125" customWidth="1"/>
    <col min="4" max="4" width="12" customWidth="1"/>
    <col min="5" max="12" width="18.83203125" customWidth="1"/>
  </cols>
  <sheetData>
    <row r="1" spans="1:12" ht="1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9" x14ac:dyDescent="0.25">
      <c r="A2" s="3"/>
      <c r="B2" s="4" t="s">
        <v>112</v>
      </c>
      <c r="C2" s="4"/>
      <c r="D2" s="4"/>
      <c r="E2" s="3"/>
      <c r="F2" s="3"/>
      <c r="G2" s="3"/>
      <c r="H2" s="3"/>
      <c r="I2" s="3"/>
      <c r="J2" s="3"/>
      <c r="K2" s="3"/>
      <c r="L2" s="3"/>
    </row>
    <row r="3" spans="1:12" ht="16" x14ac:dyDescent="0.2">
      <c r="A3" s="3"/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6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6" x14ac:dyDescent="0.2">
      <c r="A5" s="3"/>
      <c r="B5" s="5" t="s">
        <v>0</v>
      </c>
      <c r="C5" s="5"/>
      <c r="D5" s="6"/>
      <c r="E5" s="7"/>
      <c r="F5" s="7"/>
      <c r="G5" s="7"/>
      <c r="H5" s="7"/>
      <c r="I5" s="6"/>
      <c r="J5" s="7"/>
      <c r="K5" s="7"/>
      <c r="L5" s="7"/>
    </row>
    <row r="6" spans="1:12" ht="1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6" x14ac:dyDescent="0.2">
      <c r="A7" s="3"/>
      <c r="B7" s="3"/>
      <c r="C7" s="3" t="s">
        <v>1</v>
      </c>
      <c r="D7" s="61" t="s">
        <v>122</v>
      </c>
      <c r="E7" s="8"/>
      <c r="F7" s="9"/>
      <c r="G7" s="3"/>
      <c r="H7" s="3"/>
      <c r="I7" s="3"/>
      <c r="J7" s="3"/>
      <c r="K7" s="3"/>
      <c r="L7" s="3"/>
    </row>
    <row r="8" spans="1:12" ht="16" x14ac:dyDescent="0.2">
      <c r="A8" s="3"/>
      <c r="B8" s="3"/>
      <c r="C8" s="3" t="s">
        <v>2</v>
      </c>
      <c r="D8" s="10" t="s">
        <v>123</v>
      </c>
      <c r="E8" s="3"/>
      <c r="F8" s="3"/>
      <c r="G8" s="3"/>
      <c r="H8" s="3"/>
      <c r="I8" s="3"/>
      <c r="J8" s="3"/>
      <c r="K8" s="3"/>
      <c r="L8" s="3"/>
    </row>
    <row r="9" spans="1:12" ht="16" x14ac:dyDescent="0.2">
      <c r="A9" s="3"/>
      <c r="B9" s="3"/>
      <c r="C9" s="3" t="s">
        <v>3</v>
      </c>
      <c r="D9" s="11">
        <v>44561</v>
      </c>
      <c r="E9" s="3"/>
      <c r="F9" s="3"/>
      <c r="G9" s="3"/>
      <c r="H9" s="3"/>
      <c r="I9" s="3"/>
      <c r="J9" s="3"/>
      <c r="K9" s="3"/>
      <c r="L9" s="3"/>
    </row>
    <row r="10" spans="1:12" ht="1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6" x14ac:dyDescent="0.2">
      <c r="A11" s="3"/>
      <c r="B11" s="12"/>
      <c r="C11" s="12"/>
      <c r="D11" s="12"/>
      <c r="E11" s="13" t="s">
        <v>5</v>
      </c>
      <c r="F11" s="13"/>
      <c r="G11" s="13"/>
      <c r="H11" s="14" t="s">
        <v>6</v>
      </c>
      <c r="I11" s="13"/>
      <c r="J11" s="13"/>
      <c r="K11" s="13"/>
      <c r="L11" s="13"/>
    </row>
    <row r="12" spans="1:12" ht="16" x14ac:dyDescent="0.2">
      <c r="A12" s="3"/>
      <c r="B12" s="12"/>
      <c r="C12" s="12"/>
      <c r="D12" s="15" t="s">
        <v>48</v>
      </c>
      <c r="E12" s="16" t="s">
        <v>113</v>
      </c>
      <c r="F12" s="16" t="s">
        <v>114</v>
      </c>
      <c r="G12" s="16" t="s">
        <v>115</v>
      </c>
      <c r="H12" s="17" t="s">
        <v>116</v>
      </c>
      <c r="I12" s="16" t="s">
        <v>117</v>
      </c>
      <c r="J12" s="16" t="s">
        <v>118</v>
      </c>
      <c r="K12" s="16" t="s">
        <v>119</v>
      </c>
      <c r="L12" s="16" t="s">
        <v>120</v>
      </c>
    </row>
    <row r="13" spans="1:12" ht="16" x14ac:dyDescent="0.2">
      <c r="A13" s="3"/>
      <c r="B13" s="12" t="s">
        <v>47</v>
      </c>
      <c r="C13" s="12"/>
      <c r="D13" s="15"/>
      <c r="E13" s="16"/>
      <c r="F13" s="16"/>
      <c r="G13" s="16"/>
      <c r="H13" s="17"/>
      <c r="I13" s="16"/>
      <c r="J13" s="16"/>
      <c r="K13" s="16"/>
      <c r="L13" s="16"/>
    </row>
    <row r="14" spans="1:12" ht="16" x14ac:dyDescent="0.2">
      <c r="A14" s="3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16" x14ac:dyDescent="0.2">
      <c r="A15" s="3"/>
      <c r="B15" s="19"/>
      <c r="C15" s="78" t="s">
        <v>131</v>
      </c>
      <c r="D15" s="21"/>
      <c r="E15" s="25"/>
      <c r="F15" s="25"/>
      <c r="G15" s="25"/>
      <c r="H15" s="77"/>
      <c r="I15" s="77"/>
      <c r="J15" s="77"/>
      <c r="K15" s="77"/>
      <c r="L15" s="77"/>
    </row>
    <row r="16" spans="1:12" ht="16" x14ac:dyDescent="0.2">
      <c r="A16" s="3"/>
      <c r="B16" s="19"/>
      <c r="C16" s="62" t="s">
        <v>124</v>
      </c>
      <c r="D16" s="21" t="s">
        <v>49</v>
      </c>
      <c r="E16" s="25">
        <v>0.58699999999999997</v>
      </c>
      <c r="F16" s="25">
        <v>0.59199999999999997</v>
      </c>
      <c r="G16" s="25">
        <v>0.59799999999999998</v>
      </c>
      <c r="H16" s="85">
        <f>G16+0.05</f>
        <v>0.64800000000000002</v>
      </c>
      <c r="I16" s="85">
        <f t="shared" ref="I16" si="0">H16+0.05</f>
        <v>0.69800000000000006</v>
      </c>
      <c r="J16" s="85">
        <f>I16+0.02</f>
        <v>0.71800000000000008</v>
      </c>
      <c r="K16" s="85">
        <f>J16+0.02</f>
        <v>0.7380000000000001</v>
      </c>
      <c r="L16" s="85">
        <f>K16+0.02</f>
        <v>0.75800000000000012</v>
      </c>
    </row>
    <row r="17" spans="1:13" ht="16" x14ac:dyDescent="0.2">
      <c r="A17" s="3"/>
      <c r="B17" s="19"/>
      <c r="C17" s="62" t="s">
        <v>125</v>
      </c>
      <c r="D17" s="21" t="s">
        <v>74</v>
      </c>
      <c r="E17" s="63">
        <v>121834</v>
      </c>
      <c r="F17" s="63">
        <v>124810</v>
      </c>
      <c r="G17" s="63">
        <v>165235</v>
      </c>
      <c r="H17" s="86">
        <f>H25*H16</f>
        <v>208270.22578448112</v>
      </c>
      <c r="I17" s="86">
        <f t="shared" ref="I17:L17" si="1">I25*I16</f>
        <v>269208.55110660713</v>
      </c>
      <c r="J17" s="86">
        <f t="shared" si="1"/>
        <v>337845.16107069282</v>
      </c>
      <c r="K17" s="86">
        <f t="shared" si="1"/>
        <v>416707.06774958991</v>
      </c>
      <c r="L17" s="86">
        <f t="shared" si="1"/>
        <v>513599.93065721809</v>
      </c>
    </row>
    <row r="18" spans="1:13" ht="16" x14ac:dyDescent="0.2">
      <c r="A18" s="3"/>
      <c r="B18" s="19"/>
      <c r="C18" s="62" t="s">
        <v>126</v>
      </c>
      <c r="D18" s="21" t="s">
        <v>49</v>
      </c>
      <c r="E18" s="66">
        <v>0.17499999999999999</v>
      </c>
      <c r="F18" s="66">
        <f>(F17-F19)/F17</f>
        <v>0.1756830382180915</v>
      </c>
      <c r="G18" s="66">
        <f t="shared" ref="G18" si="2">(G17-G19)/G17</f>
        <v>0.1752594789239568</v>
      </c>
      <c r="H18" s="70">
        <v>0.17499999999999999</v>
      </c>
      <c r="I18" s="70">
        <v>0.17499999999999999</v>
      </c>
      <c r="J18" s="70">
        <v>0.17499999999999999</v>
      </c>
      <c r="K18" s="70">
        <v>0.17499999999999999</v>
      </c>
      <c r="L18" s="70">
        <v>0.17499999999999999</v>
      </c>
    </row>
    <row r="19" spans="1:13" ht="16" x14ac:dyDescent="0.2">
      <c r="A19" s="3"/>
      <c r="B19" s="19"/>
      <c r="C19" s="62" t="s">
        <v>127</v>
      </c>
      <c r="D19" s="21" t="s">
        <v>74</v>
      </c>
      <c r="E19" s="64">
        <f>E17-(E17*E18)</f>
        <v>100513.05</v>
      </c>
      <c r="F19" s="64">
        <v>102883</v>
      </c>
      <c r="G19" s="64">
        <v>136276</v>
      </c>
      <c r="H19" s="67">
        <f>H17-(H17*H18)</f>
        <v>171822.93627219694</v>
      </c>
      <c r="I19" s="67">
        <f t="shared" ref="I19:K19" si="3">I17-(I17*I18)</f>
        <v>222097.05466295089</v>
      </c>
      <c r="J19" s="67">
        <f t="shared" si="3"/>
        <v>278722.25788332161</v>
      </c>
      <c r="K19" s="67">
        <f t="shared" si="3"/>
        <v>343783.33089341165</v>
      </c>
      <c r="L19" s="67">
        <f>L17-(L17*L18)</f>
        <v>423719.94279220491</v>
      </c>
    </row>
    <row r="20" spans="1:13" ht="16" x14ac:dyDescent="0.2">
      <c r="A20" s="3"/>
      <c r="B20" s="19"/>
      <c r="C20" s="23" t="s">
        <v>75</v>
      </c>
      <c r="D20" s="21" t="s">
        <v>49</v>
      </c>
      <c r="E20" s="25">
        <v>0.23400000000000001</v>
      </c>
      <c r="F20" s="25">
        <f>(F17-E17)/E17</f>
        <v>2.4426678923781538E-2</v>
      </c>
      <c r="G20" s="25">
        <f>(G17-F17)/F17</f>
        <v>0.32389231632080762</v>
      </c>
      <c r="H20" s="71">
        <f>AVERAGE(E20:G20)</f>
        <v>0.19410633174819639</v>
      </c>
      <c r="I20" s="71">
        <v>0.19400000000000001</v>
      </c>
      <c r="J20" s="71">
        <v>0.18</v>
      </c>
      <c r="K20" s="71">
        <v>0.17</v>
      </c>
      <c r="L20" s="71">
        <v>0.17</v>
      </c>
    </row>
    <row r="21" spans="1:13" ht="16" x14ac:dyDescent="0.2">
      <c r="A21" s="3"/>
      <c r="B21" s="19"/>
      <c r="C21" s="23"/>
      <c r="D21" s="21"/>
      <c r="E21" s="25"/>
      <c r="F21" s="25"/>
      <c r="G21" s="25"/>
      <c r="H21" s="71"/>
      <c r="I21" s="71"/>
      <c r="J21" s="71"/>
      <c r="K21" s="71"/>
      <c r="L21" s="71"/>
    </row>
    <row r="22" spans="1:13" ht="16" x14ac:dyDescent="0.2">
      <c r="A22" s="3"/>
      <c r="B22" s="19"/>
      <c r="C22" s="62" t="s">
        <v>150</v>
      </c>
      <c r="D22" s="21" t="s">
        <v>74</v>
      </c>
      <c r="E22" s="63">
        <v>58015</v>
      </c>
      <c r="F22" s="63">
        <f>F17*F23</f>
        <v>60657.659999999996</v>
      </c>
      <c r="G22" s="63">
        <f>G17*G23</f>
        <v>79643.27</v>
      </c>
      <c r="H22" s="69">
        <f>H17*H23</f>
        <v>102052.41063439575</v>
      </c>
      <c r="I22" s="69">
        <f>I17*I23</f>
        <v>134604.27555330357</v>
      </c>
      <c r="J22" s="69">
        <f>J17*J23</f>
        <v>175679.48375676028</v>
      </c>
      <c r="K22" s="69">
        <f>K17*K23</f>
        <v>225021.81658477857</v>
      </c>
      <c r="L22" s="69">
        <f>L17*L23</f>
        <v>287615.96116804215</v>
      </c>
    </row>
    <row r="23" spans="1:13" ht="16" x14ac:dyDescent="0.2">
      <c r="A23" s="3"/>
      <c r="B23" s="19"/>
      <c r="C23" s="62" t="s">
        <v>151</v>
      </c>
      <c r="D23" s="21" t="s">
        <v>49</v>
      </c>
      <c r="E23" s="25">
        <f>E22/E17</f>
        <v>0.47618070489354369</v>
      </c>
      <c r="F23" s="25">
        <v>0.48599999999999999</v>
      </c>
      <c r="G23" s="25">
        <v>0.48199999999999998</v>
      </c>
      <c r="H23" s="71">
        <v>0.49</v>
      </c>
      <c r="I23" s="71">
        <v>0.5</v>
      </c>
      <c r="J23" s="71">
        <v>0.52</v>
      </c>
      <c r="K23" s="71">
        <v>0.54</v>
      </c>
      <c r="L23" s="71">
        <v>0.56000000000000005</v>
      </c>
    </row>
    <row r="24" spans="1:13" ht="16" x14ac:dyDescent="0.2">
      <c r="A24" s="3"/>
      <c r="B24" s="19"/>
      <c r="C24" s="23"/>
      <c r="D24" s="21"/>
      <c r="E24" s="25"/>
      <c r="F24" s="25"/>
      <c r="G24" s="25"/>
      <c r="H24" s="73"/>
      <c r="I24" s="73"/>
      <c r="J24" s="73"/>
      <c r="K24" s="73"/>
      <c r="L24" s="73"/>
    </row>
    <row r="25" spans="1:13" ht="16" x14ac:dyDescent="0.2">
      <c r="A25" s="3"/>
      <c r="B25" s="19"/>
      <c r="C25" s="62" t="s">
        <v>129</v>
      </c>
      <c r="D25" s="21" t="s">
        <v>74</v>
      </c>
      <c r="E25" s="64">
        <f>E17/E16</f>
        <v>207553.66269165248</v>
      </c>
      <c r="F25" s="64">
        <f>F17/F16</f>
        <v>210827.70270270272</v>
      </c>
      <c r="G25" s="64">
        <f t="shared" ref="G25" si="4">G17/G16</f>
        <v>276312.70903010032</v>
      </c>
      <c r="H25" s="67">
        <f>G25*(1+H26)</f>
        <v>321404.66942049557</v>
      </c>
      <c r="I25" s="67">
        <f t="shared" ref="I25:L25" si="5">H25*(1+I26)</f>
        <v>385685.6033045947</v>
      </c>
      <c r="J25" s="67">
        <f t="shared" si="5"/>
        <v>470536.43603160552</v>
      </c>
      <c r="K25" s="75">
        <f t="shared" si="5"/>
        <v>564643.72323792661</v>
      </c>
      <c r="L25" s="67">
        <f t="shared" si="5"/>
        <v>677572.46788551193</v>
      </c>
    </row>
    <row r="26" spans="1:13" ht="16" x14ac:dyDescent="0.2">
      <c r="A26" s="3"/>
      <c r="B26" s="19"/>
      <c r="C26" s="23" t="s">
        <v>75</v>
      </c>
      <c r="D26" s="21"/>
      <c r="E26" s="66">
        <f>AVERAGE(F26:G26)</f>
        <v>0.16319177119530587</v>
      </c>
      <c r="F26" s="66">
        <f>(F25-E25)/E25</f>
        <v>1.5774426568006383E-2</v>
      </c>
      <c r="G26" s="66">
        <f>(G25-F25)/F25</f>
        <v>0.31060911582260536</v>
      </c>
      <c r="H26" s="70">
        <f>AVERAGE(E26:G26)</f>
        <v>0.16319177119530587</v>
      </c>
      <c r="I26" s="70">
        <v>0.2</v>
      </c>
      <c r="J26" s="70">
        <v>0.22</v>
      </c>
      <c r="K26" s="74">
        <v>0.2</v>
      </c>
      <c r="L26" s="70">
        <v>0.2</v>
      </c>
    </row>
    <row r="27" spans="1:13" ht="16" x14ac:dyDescent="0.2">
      <c r="A27" s="3"/>
      <c r="B27" s="19"/>
      <c r="C27" s="23"/>
      <c r="D27" s="21"/>
      <c r="E27" s="66"/>
      <c r="F27" s="66"/>
      <c r="G27" s="66"/>
      <c r="H27" s="72"/>
      <c r="I27" s="72"/>
      <c r="J27" s="72"/>
      <c r="K27" s="76"/>
      <c r="L27" s="72"/>
      <c r="M27" s="2"/>
    </row>
    <row r="28" spans="1:13" ht="16" x14ac:dyDescent="0.2">
      <c r="A28" s="3"/>
      <c r="B28" s="19"/>
      <c r="C28" s="62" t="s">
        <v>128</v>
      </c>
      <c r="D28" s="21" t="s">
        <v>74</v>
      </c>
      <c r="E28" s="64">
        <v>121738</v>
      </c>
      <c r="F28" s="64">
        <v>126450</v>
      </c>
      <c r="G28" s="64">
        <v>166618</v>
      </c>
      <c r="H28" s="67">
        <f>G28*(1+H29)</f>
        <v>196657.29415936436</v>
      </c>
      <c r="I28" s="67">
        <f t="shared" ref="I28:L28" si="6">H28*(1+I29)</f>
        <v>235988.75299123721</v>
      </c>
      <c r="J28" s="67">
        <f t="shared" si="6"/>
        <v>287906.27864930942</v>
      </c>
      <c r="K28" s="75">
        <f t="shared" si="6"/>
        <v>357003.78552514367</v>
      </c>
      <c r="L28" s="67">
        <f t="shared" si="6"/>
        <v>449824.76976168103</v>
      </c>
    </row>
    <row r="29" spans="1:13" ht="16" x14ac:dyDescent="0.2">
      <c r="A29" s="3"/>
      <c r="B29" s="19"/>
      <c r="C29" s="23" t="s">
        <v>75</v>
      </c>
      <c r="D29" s="21" t="s">
        <v>49</v>
      </c>
      <c r="E29" s="66">
        <v>0.1845</v>
      </c>
      <c r="F29" s="66">
        <f>(F28-E28)/E28</f>
        <v>3.8706073699255779E-2</v>
      </c>
      <c r="G29" s="66">
        <f t="shared" ref="G29" si="7">(G28-F28)/F28</f>
        <v>0.31765915381573745</v>
      </c>
      <c r="H29" s="70">
        <f>AVERAGE(E29:G29)</f>
        <v>0.18028840917166442</v>
      </c>
      <c r="I29" s="70">
        <v>0.2</v>
      </c>
      <c r="J29" s="70">
        <v>0.22</v>
      </c>
      <c r="K29" s="84">
        <v>0.24</v>
      </c>
      <c r="L29" s="70">
        <v>0.26</v>
      </c>
    </row>
    <row r="30" spans="1:13" ht="16" x14ac:dyDescent="0.2">
      <c r="A30" s="3"/>
      <c r="B30" s="19"/>
      <c r="C30" s="23"/>
      <c r="D30" s="21"/>
      <c r="E30" s="66"/>
      <c r="F30" s="66"/>
      <c r="G30" s="66"/>
    </row>
    <row r="31" spans="1:13" ht="16" x14ac:dyDescent="0.2">
      <c r="A31" s="3"/>
      <c r="B31" s="19"/>
      <c r="C31" s="78" t="s">
        <v>132</v>
      </c>
      <c r="D31" s="21"/>
      <c r="E31" s="66"/>
      <c r="F31" s="66"/>
      <c r="G31" s="66"/>
    </row>
    <row r="32" spans="1:13" ht="16" x14ac:dyDescent="0.2">
      <c r="A32" s="3"/>
      <c r="B32" s="19"/>
      <c r="C32" s="79" t="s">
        <v>138</v>
      </c>
      <c r="D32" s="21"/>
      <c r="E32" s="66"/>
      <c r="F32" s="66"/>
      <c r="G32" s="66"/>
      <c r="H32" s="68"/>
      <c r="I32" s="68"/>
      <c r="J32" s="68"/>
      <c r="K32" s="68"/>
      <c r="L32" s="68"/>
    </row>
    <row r="33" spans="1:12" ht="16" x14ac:dyDescent="0.2">
      <c r="A33" s="3"/>
      <c r="B33" s="19"/>
      <c r="C33" s="23" t="s">
        <v>133</v>
      </c>
      <c r="D33" s="21" t="s">
        <v>74</v>
      </c>
      <c r="E33" s="63">
        <v>0</v>
      </c>
      <c r="F33" s="63">
        <v>337863</v>
      </c>
      <c r="G33" s="63">
        <v>588846</v>
      </c>
      <c r="H33" s="67"/>
      <c r="I33" s="67"/>
      <c r="J33" s="67"/>
      <c r="K33" s="67"/>
      <c r="L33" s="67"/>
    </row>
    <row r="34" spans="1:12" ht="16" x14ac:dyDescent="0.2">
      <c r="A34" s="3"/>
      <c r="B34" s="19"/>
      <c r="C34" s="80" t="s">
        <v>135</v>
      </c>
      <c r="D34" s="21" t="s">
        <v>74</v>
      </c>
      <c r="E34" s="63">
        <v>0</v>
      </c>
      <c r="F34" s="63">
        <v>327442</v>
      </c>
      <c r="G34" s="63">
        <v>574052</v>
      </c>
      <c r="H34" s="67"/>
      <c r="I34" s="67"/>
      <c r="J34" s="67"/>
      <c r="K34" s="67"/>
      <c r="L34" s="67"/>
    </row>
    <row r="35" spans="1:12" ht="16" x14ac:dyDescent="0.2">
      <c r="A35" s="3"/>
      <c r="B35" s="19"/>
      <c r="C35" s="80" t="s">
        <v>134</v>
      </c>
      <c r="D35" s="21" t="s">
        <v>74</v>
      </c>
      <c r="E35" s="63">
        <v>0</v>
      </c>
      <c r="F35" s="63">
        <v>10421</v>
      </c>
      <c r="G35" s="63">
        <v>14794</v>
      </c>
      <c r="H35" s="67"/>
      <c r="I35" s="67"/>
      <c r="J35" s="67"/>
      <c r="K35" s="67"/>
      <c r="L35" s="67"/>
    </row>
    <row r="36" spans="1:12" ht="16" x14ac:dyDescent="0.2">
      <c r="A36" s="3"/>
      <c r="B36" s="19"/>
      <c r="C36" s="23" t="s">
        <v>137</v>
      </c>
      <c r="D36" s="21" t="s">
        <v>74</v>
      </c>
      <c r="E36" s="63">
        <v>0</v>
      </c>
      <c r="F36" s="63">
        <v>8578</v>
      </c>
      <c r="G36" s="63">
        <v>29456</v>
      </c>
      <c r="H36" s="67"/>
      <c r="I36" s="67"/>
      <c r="J36" s="67"/>
      <c r="K36" s="67"/>
      <c r="L36" s="67"/>
    </row>
    <row r="37" spans="1:12" ht="16" x14ac:dyDescent="0.2">
      <c r="A37" s="3"/>
      <c r="B37" s="19"/>
      <c r="C37" s="23" t="s">
        <v>136</v>
      </c>
      <c r="D37" s="21" t="s">
        <v>74</v>
      </c>
      <c r="E37" s="63">
        <v>0</v>
      </c>
      <c r="F37" s="63">
        <v>37147</v>
      </c>
      <c r="G37" s="63">
        <v>80101</v>
      </c>
      <c r="H37" s="67"/>
      <c r="I37" s="67"/>
      <c r="J37" s="67"/>
      <c r="K37" s="67"/>
      <c r="L37" s="67"/>
    </row>
    <row r="38" spans="1:12" ht="16" x14ac:dyDescent="0.2">
      <c r="A38" s="3"/>
      <c r="B38" s="19"/>
      <c r="C38" s="62" t="s">
        <v>140</v>
      </c>
      <c r="D38" s="21" t="s">
        <v>74</v>
      </c>
      <c r="E38" s="63">
        <f>E48/E51</f>
        <v>223794.1176470588</v>
      </c>
      <c r="F38" s="63">
        <f>SUM(F34:F37)</f>
        <v>383588</v>
      </c>
      <c r="G38" s="63">
        <f>SUM(G34:G37)</f>
        <v>698403</v>
      </c>
      <c r="H38" s="67">
        <f>G38*(1+H39)</f>
        <v>977764.2</v>
      </c>
      <c r="I38" s="67">
        <f t="shared" ref="I38:L38" si="8">H38*(1+I39)</f>
        <v>1368869.88</v>
      </c>
      <c r="J38" s="67">
        <f t="shared" si="8"/>
        <v>1847974.338</v>
      </c>
      <c r="K38" s="67">
        <f t="shared" si="8"/>
        <v>2494765.3563000001</v>
      </c>
      <c r="L38" s="67">
        <f t="shared" si="8"/>
        <v>3243194.96319</v>
      </c>
    </row>
    <row r="39" spans="1:12" ht="16" x14ac:dyDescent="0.2">
      <c r="C39" s="22" t="s">
        <v>75</v>
      </c>
      <c r="D39" s="82" t="s">
        <v>49</v>
      </c>
      <c r="E39" s="24">
        <v>0</v>
      </c>
      <c r="F39" s="24">
        <f>(F38-E38)/E38</f>
        <v>0.71402181627020656</v>
      </c>
      <c r="G39" s="24">
        <f>(G38-F38)/F38</f>
        <v>0.82071128398177207</v>
      </c>
      <c r="H39" s="87">
        <v>0.4</v>
      </c>
      <c r="I39" s="87">
        <v>0.4</v>
      </c>
      <c r="J39" s="87">
        <v>0.35</v>
      </c>
      <c r="K39" s="87">
        <v>0.35</v>
      </c>
      <c r="L39" s="87">
        <v>0.3</v>
      </c>
    </row>
    <row r="40" spans="1:12" ht="16" x14ac:dyDescent="0.2">
      <c r="A40" s="3"/>
      <c r="B40" s="19"/>
      <c r="C40" s="62"/>
      <c r="D40" s="21"/>
      <c r="E40" s="63"/>
      <c r="F40" s="63"/>
      <c r="G40" s="63"/>
    </row>
    <row r="41" spans="1:12" ht="16" x14ac:dyDescent="0.2">
      <c r="A41" s="3"/>
      <c r="B41" s="19"/>
      <c r="C41" s="79" t="s">
        <v>139</v>
      </c>
      <c r="D41" s="21"/>
      <c r="E41" s="63"/>
      <c r="F41" s="63"/>
      <c r="G41" s="63"/>
    </row>
    <row r="42" spans="1:12" ht="16" x14ac:dyDescent="0.2">
      <c r="A42" s="3"/>
      <c r="B42" s="19"/>
      <c r="C42" s="23" t="s">
        <v>133</v>
      </c>
      <c r="D42" s="21" t="s">
        <v>74</v>
      </c>
      <c r="E42" s="63">
        <v>38045</v>
      </c>
      <c r="F42" s="63">
        <v>49244</v>
      </c>
      <c r="G42" s="63">
        <v>85391</v>
      </c>
      <c r="H42" s="67"/>
      <c r="I42" s="67"/>
      <c r="J42" s="67"/>
      <c r="K42" s="67"/>
      <c r="L42" s="67"/>
    </row>
    <row r="43" spans="1:12" ht="16" x14ac:dyDescent="0.2">
      <c r="A43" s="3"/>
      <c r="B43" s="19"/>
      <c r="C43" s="80" t="s">
        <v>135</v>
      </c>
      <c r="D43" s="21" t="s">
        <v>74</v>
      </c>
      <c r="E43" s="63">
        <v>0</v>
      </c>
      <c r="F43" s="63">
        <v>40719</v>
      </c>
      <c r="G43" s="63">
        <v>73024</v>
      </c>
      <c r="H43" s="67"/>
      <c r="I43" s="67"/>
      <c r="J43" s="67"/>
      <c r="K43" s="67"/>
      <c r="L43" s="67"/>
    </row>
    <row r="44" spans="1:12" ht="16" x14ac:dyDescent="0.2">
      <c r="A44" s="3"/>
      <c r="B44" s="19"/>
      <c r="C44" s="80" t="s">
        <v>134</v>
      </c>
      <c r="D44" s="21" t="s">
        <v>74</v>
      </c>
      <c r="E44" s="63">
        <v>0</v>
      </c>
      <c r="F44" s="63">
        <v>8525</v>
      </c>
      <c r="G44" s="63">
        <v>12367</v>
      </c>
      <c r="H44" s="67"/>
      <c r="I44" s="67"/>
      <c r="J44" s="67"/>
      <c r="K44" s="67"/>
      <c r="L44" s="67"/>
    </row>
    <row r="45" spans="1:12" ht="16" x14ac:dyDescent="0.2">
      <c r="A45" s="3"/>
      <c r="B45" s="19"/>
      <c r="C45" s="23" t="s">
        <v>137</v>
      </c>
      <c r="D45" s="21" t="s">
        <v>74</v>
      </c>
      <c r="E45" s="63">
        <v>0</v>
      </c>
      <c r="F45" s="63">
        <v>3083</v>
      </c>
      <c r="G45" s="63">
        <v>12912</v>
      </c>
      <c r="H45" s="67"/>
      <c r="I45" s="67"/>
      <c r="J45" s="67"/>
      <c r="K45" s="67"/>
      <c r="L45" s="67"/>
    </row>
    <row r="46" spans="1:12" ht="16" x14ac:dyDescent="0.2">
      <c r="A46" s="3"/>
      <c r="B46" s="19"/>
      <c r="C46" s="23" t="s">
        <v>136</v>
      </c>
      <c r="D46" s="21" t="s">
        <v>74</v>
      </c>
      <c r="E46" s="63">
        <v>0</v>
      </c>
      <c r="F46" s="63">
        <v>16663</v>
      </c>
      <c r="G46" s="63">
        <v>37652</v>
      </c>
      <c r="H46" s="67"/>
      <c r="I46" s="67"/>
      <c r="J46" s="67"/>
      <c r="K46" s="67"/>
      <c r="L46" s="67"/>
    </row>
    <row r="47" spans="1:12" ht="16" x14ac:dyDescent="0.2">
      <c r="A47" s="3"/>
      <c r="B47" s="19"/>
      <c r="C47" s="23" t="s">
        <v>141</v>
      </c>
      <c r="D47" s="21" t="s">
        <v>74</v>
      </c>
      <c r="E47" s="63">
        <v>0</v>
      </c>
      <c r="F47" s="63">
        <v>-1035</v>
      </c>
      <c r="G47" s="63">
        <v>-4384</v>
      </c>
      <c r="H47" s="67"/>
      <c r="I47" s="67"/>
      <c r="J47" s="67"/>
      <c r="K47" s="67"/>
      <c r="L47" s="67"/>
    </row>
    <row r="48" spans="1:12" ht="16" x14ac:dyDescent="0.2">
      <c r="A48" s="3"/>
      <c r="B48" s="19"/>
      <c r="C48" s="62" t="s">
        <v>22</v>
      </c>
      <c r="D48" s="21" t="s">
        <v>74</v>
      </c>
      <c r="E48" s="63">
        <f>E42</f>
        <v>38045</v>
      </c>
      <c r="F48" s="63">
        <f>SUM(F43:F47)</f>
        <v>67955</v>
      </c>
      <c r="G48" s="63">
        <f>SUM(G43:G47)</f>
        <v>131571</v>
      </c>
      <c r="H48" s="67">
        <f>H38*H51</f>
        <v>180886.37699999998</v>
      </c>
      <c r="I48" s="67">
        <f t="shared" ref="I48:L48" si="9">I38*I51</f>
        <v>260085.27719999998</v>
      </c>
      <c r="J48" s="67">
        <f t="shared" si="9"/>
        <v>360354.99591</v>
      </c>
      <c r="K48" s="67">
        <f t="shared" si="9"/>
        <v>498953.07126000006</v>
      </c>
      <c r="L48" s="67">
        <f t="shared" si="9"/>
        <v>664854.96745394997</v>
      </c>
    </row>
    <row r="49" spans="1:12" ht="16" x14ac:dyDescent="0.2">
      <c r="A49" s="3"/>
      <c r="B49" s="19"/>
      <c r="C49" s="23" t="s">
        <v>75</v>
      </c>
      <c r="D49" s="21" t="s">
        <v>49</v>
      </c>
      <c r="E49" s="83">
        <v>0.98</v>
      </c>
      <c r="F49" s="83">
        <f>(F48-E48)/E48</f>
        <v>0.78617426731502171</v>
      </c>
      <c r="G49" s="83">
        <f>(G48-F48)/F48</f>
        <v>0.9361489220807887</v>
      </c>
      <c r="H49" s="70">
        <f>(H48-G48)/G48</f>
        <v>0.37481950429805944</v>
      </c>
      <c r="I49" s="70">
        <f t="shared" ref="I49:L49" si="10">(I48-H48)/H48</f>
        <v>0.43783783783783792</v>
      </c>
      <c r="J49" s="70">
        <f t="shared" si="10"/>
        <v>0.38552631578947377</v>
      </c>
      <c r="K49" s="70">
        <f t="shared" si="10"/>
        <v>0.3846153846153848</v>
      </c>
      <c r="L49" s="70">
        <f t="shared" si="10"/>
        <v>0.3324999999999998</v>
      </c>
    </row>
    <row r="50" spans="1:12" ht="16" x14ac:dyDescent="0.2">
      <c r="A50" s="3"/>
      <c r="B50" s="19"/>
      <c r="C50" s="62"/>
      <c r="D50" s="21"/>
      <c r="E50" s="83"/>
      <c r="F50" s="83"/>
      <c r="G50" s="83"/>
    </row>
    <row r="51" spans="1:12" ht="16" x14ac:dyDescent="0.2">
      <c r="A51" s="3"/>
      <c r="B51" s="19"/>
      <c r="C51" s="62" t="s">
        <v>142</v>
      </c>
      <c r="D51" s="21" t="s">
        <v>49</v>
      </c>
      <c r="E51" s="83">
        <v>0.17</v>
      </c>
      <c r="F51" s="83">
        <f>F48/F38</f>
        <v>0.17715621969404674</v>
      </c>
      <c r="G51" s="83">
        <f>G48/G38</f>
        <v>0.18838836602935555</v>
      </c>
      <c r="H51" s="70">
        <v>0.185</v>
      </c>
      <c r="I51" s="70">
        <v>0.19</v>
      </c>
      <c r="J51" s="70">
        <v>0.19500000000000001</v>
      </c>
      <c r="K51" s="70">
        <v>0.2</v>
      </c>
      <c r="L51" s="70">
        <v>0.20499999999999999</v>
      </c>
    </row>
    <row r="52" spans="1:12" ht="16" x14ac:dyDescent="0.2">
      <c r="A52" s="3"/>
      <c r="B52" s="19"/>
      <c r="C52" s="62"/>
      <c r="D52" s="21"/>
      <c r="E52" s="83"/>
      <c r="F52" s="83"/>
      <c r="G52" s="83"/>
    </row>
    <row r="53" spans="1:12" ht="16" x14ac:dyDescent="0.2">
      <c r="A53" s="3"/>
      <c r="B53" s="19"/>
      <c r="C53" s="62" t="s">
        <v>150</v>
      </c>
      <c r="D53" s="21" t="s">
        <v>74</v>
      </c>
      <c r="E53" s="63">
        <v>748</v>
      </c>
      <c r="F53" s="63">
        <f>F38*F54</f>
        <v>3452.2919999999999</v>
      </c>
      <c r="G53" s="63">
        <f>G38*G54</f>
        <v>11872.851000000001</v>
      </c>
      <c r="H53" s="67">
        <f>H48*H55</f>
        <v>18088.637699999999</v>
      </c>
      <c r="I53" s="67">
        <f>I48*I55</f>
        <v>28609.380491999997</v>
      </c>
      <c r="J53" s="67">
        <f t="shared" ref="J53:L53" si="11">J48*J55</f>
        <v>43242.599509200001</v>
      </c>
      <c r="K53" s="67">
        <f t="shared" si="11"/>
        <v>59874.368551200001</v>
      </c>
      <c r="L53" s="67">
        <f t="shared" si="11"/>
        <v>79782.596094473993</v>
      </c>
    </row>
    <row r="54" spans="1:12" ht="16" x14ac:dyDescent="0.2">
      <c r="A54" s="3"/>
      <c r="B54" s="19"/>
      <c r="C54" s="62" t="s">
        <v>148</v>
      </c>
      <c r="D54" s="21" t="s">
        <v>49</v>
      </c>
      <c r="E54" s="25">
        <f>E53/E38</f>
        <v>3.3423577342620585E-3</v>
      </c>
      <c r="F54" s="25">
        <v>8.9999999999999993E-3</v>
      </c>
      <c r="G54" s="25">
        <v>1.7000000000000001E-2</v>
      </c>
      <c r="H54" s="71">
        <v>0.02</v>
      </c>
      <c r="I54" s="71">
        <v>2.1999999999999999E-2</v>
      </c>
      <c r="J54" s="71">
        <v>2.4E-2</v>
      </c>
      <c r="K54" s="71">
        <v>2.5999999999999999E-2</v>
      </c>
      <c r="L54" s="71">
        <v>0.03</v>
      </c>
    </row>
    <row r="55" spans="1:12" ht="16" x14ac:dyDescent="0.2">
      <c r="A55" s="3"/>
      <c r="B55" s="19"/>
      <c r="C55" s="62" t="s">
        <v>149</v>
      </c>
      <c r="D55" s="21" t="s">
        <v>49</v>
      </c>
      <c r="E55" s="25">
        <f>E53/E48</f>
        <v>1.9660927848600341E-2</v>
      </c>
      <c r="F55" s="25">
        <f t="shared" ref="F55:G55" si="12">F53/F48</f>
        <v>5.0802619380472369E-2</v>
      </c>
      <c r="G55" s="25">
        <f t="shared" si="12"/>
        <v>9.0239118042729785E-2</v>
      </c>
      <c r="H55" s="68">
        <v>0.1</v>
      </c>
      <c r="I55" s="68">
        <v>0.11</v>
      </c>
      <c r="J55" s="68">
        <v>0.12</v>
      </c>
      <c r="K55" s="68">
        <v>0.12</v>
      </c>
      <c r="L55" s="68">
        <v>0.12</v>
      </c>
    </row>
    <row r="56" spans="1:12" ht="16" x14ac:dyDescent="0.2">
      <c r="A56" s="3"/>
      <c r="B56" s="19"/>
      <c r="C56" s="62"/>
      <c r="D56" s="21"/>
      <c r="E56" s="25"/>
      <c r="F56" s="25"/>
      <c r="G56" s="25"/>
    </row>
    <row r="57" spans="1:12" ht="16" x14ac:dyDescent="0.2">
      <c r="A57" s="3"/>
      <c r="B57" s="19"/>
      <c r="C57" s="78" t="s">
        <v>143</v>
      </c>
      <c r="D57" s="21"/>
      <c r="E57" s="83"/>
      <c r="F57" s="83"/>
      <c r="G57" s="83"/>
    </row>
    <row r="58" spans="1:12" ht="16" x14ac:dyDescent="0.2">
      <c r="A58" s="3"/>
      <c r="B58" s="19"/>
      <c r="C58" s="79" t="s">
        <v>138</v>
      </c>
      <c r="D58" s="21"/>
      <c r="E58" s="83"/>
      <c r="F58" s="83"/>
      <c r="G58" s="83"/>
    </row>
    <row r="59" spans="1:12" ht="16" x14ac:dyDescent="0.2">
      <c r="A59" s="3"/>
      <c r="B59" s="19"/>
      <c r="C59" s="23" t="s">
        <v>144</v>
      </c>
      <c r="D59" s="88" t="s">
        <v>74</v>
      </c>
      <c r="E59" s="63"/>
      <c r="F59" s="63">
        <v>43612</v>
      </c>
      <c r="G59" s="63">
        <v>122188</v>
      </c>
      <c r="H59" s="67">
        <f>G59*(1+H60)</f>
        <v>268813.60000000003</v>
      </c>
      <c r="I59" s="67">
        <f t="shared" ref="I59:L59" si="13">H59*(1+I60)</f>
        <v>537627.20000000007</v>
      </c>
      <c r="J59" s="67">
        <f t="shared" si="13"/>
        <v>967728.9600000002</v>
      </c>
      <c r="K59" s="67">
        <f t="shared" si="13"/>
        <v>1548366.3360000004</v>
      </c>
      <c r="L59" s="67">
        <f t="shared" si="13"/>
        <v>2322549.5040000007</v>
      </c>
    </row>
    <row r="60" spans="1:12" ht="16" x14ac:dyDescent="0.2">
      <c r="A60" s="3"/>
      <c r="B60" s="19"/>
      <c r="C60" s="23" t="s">
        <v>75</v>
      </c>
      <c r="D60" s="21" t="s">
        <v>49</v>
      </c>
      <c r="E60" s="83"/>
      <c r="F60" s="83">
        <v>0</v>
      </c>
      <c r="G60" s="83">
        <f>(G59-F59)/F59</f>
        <v>1.8017059524901404</v>
      </c>
      <c r="H60" s="70">
        <v>1.2</v>
      </c>
      <c r="I60" s="70">
        <v>1</v>
      </c>
      <c r="J60" s="70">
        <v>0.8</v>
      </c>
      <c r="K60" s="70">
        <v>0.6</v>
      </c>
      <c r="L60" s="70">
        <v>0.5</v>
      </c>
    </row>
    <row r="61" spans="1:12" ht="16" x14ac:dyDescent="0.2">
      <c r="A61" s="3"/>
      <c r="B61" s="19"/>
      <c r="C61" s="54" t="s">
        <v>139</v>
      </c>
      <c r="D61" s="21" t="s">
        <v>74</v>
      </c>
      <c r="E61" s="63"/>
      <c r="F61" s="63">
        <f>SUM(F62:F64)</f>
        <v>28831</v>
      </c>
      <c r="G61" s="63">
        <f>SUM(G62:G64)</f>
        <v>35288</v>
      </c>
      <c r="H61" s="67">
        <f>H59*H66</f>
        <v>80644.08</v>
      </c>
      <c r="I61" s="67">
        <f t="shared" ref="I61:L61" si="14">I59*I66</f>
        <v>177416.97600000002</v>
      </c>
      <c r="J61" s="67">
        <f t="shared" si="14"/>
        <v>309673.26720000006</v>
      </c>
      <c r="K61" s="67">
        <f t="shared" si="14"/>
        <v>479993.56416000013</v>
      </c>
      <c r="L61" s="67">
        <f t="shared" si="14"/>
        <v>696764.85120000015</v>
      </c>
    </row>
    <row r="62" spans="1:12" ht="16" x14ac:dyDescent="0.2">
      <c r="A62" s="3"/>
      <c r="B62" s="19"/>
      <c r="C62" s="23" t="s">
        <v>146</v>
      </c>
      <c r="D62" s="21" t="s">
        <v>74</v>
      </c>
      <c r="E62" s="63"/>
      <c r="F62" s="63">
        <v>15307</v>
      </c>
      <c r="G62" s="63">
        <v>24319</v>
      </c>
      <c r="H62" s="89"/>
      <c r="I62" s="89"/>
      <c r="J62" s="89"/>
      <c r="K62" s="89"/>
      <c r="L62" s="89"/>
    </row>
    <row r="63" spans="1:12" ht="16" x14ac:dyDescent="0.2">
      <c r="A63" s="3"/>
      <c r="B63" s="19"/>
      <c r="C63" s="23" t="s">
        <v>145</v>
      </c>
      <c r="D63" s="21" t="s">
        <v>74</v>
      </c>
      <c r="E63" s="63"/>
      <c r="F63" s="63">
        <v>4592</v>
      </c>
      <c r="G63" s="63">
        <v>6220</v>
      </c>
      <c r="H63" s="89"/>
      <c r="I63" s="89"/>
      <c r="J63" s="89"/>
      <c r="K63" s="89"/>
      <c r="L63" s="89"/>
    </row>
    <row r="64" spans="1:12" ht="16" x14ac:dyDescent="0.2">
      <c r="A64" s="3"/>
      <c r="B64" s="19"/>
      <c r="C64" s="23" t="s">
        <v>147</v>
      </c>
      <c r="D64" s="21" t="s">
        <v>74</v>
      </c>
      <c r="E64" s="63"/>
      <c r="F64" s="63">
        <v>8932</v>
      </c>
      <c r="G64" s="63">
        <v>4749</v>
      </c>
      <c r="H64" s="89"/>
      <c r="I64" s="89"/>
      <c r="J64" s="89"/>
      <c r="K64" s="89"/>
      <c r="L64" s="89"/>
    </row>
    <row r="65" spans="1:12" ht="16" x14ac:dyDescent="0.2">
      <c r="A65" s="3"/>
      <c r="B65" s="19"/>
      <c r="C65" s="23" t="s">
        <v>75</v>
      </c>
      <c r="D65" s="21" t="s">
        <v>49</v>
      </c>
      <c r="E65" s="83"/>
      <c r="F65" s="83">
        <v>0</v>
      </c>
      <c r="G65" s="83">
        <f>(G61-F61)/F61</f>
        <v>0.22396032048836323</v>
      </c>
      <c r="H65" s="68"/>
      <c r="I65" s="68"/>
      <c r="J65" s="68"/>
      <c r="K65" s="68"/>
      <c r="L65" s="68"/>
    </row>
    <row r="66" spans="1:12" ht="16" x14ac:dyDescent="0.2">
      <c r="A66" s="3"/>
      <c r="B66" s="19"/>
      <c r="C66" s="62" t="s">
        <v>142</v>
      </c>
      <c r="D66" s="21" t="s">
        <v>49</v>
      </c>
      <c r="E66" s="83"/>
      <c r="F66" s="83">
        <f>SUM(F62:F63)/F59</f>
        <v>0.45627350270567735</v>
      </c>
      <c r="G66" s="83">
        <f>SUM(G62:G63)/G59</f>
        <v>0.24993452712213965</v>
      </c>
      <c r="H66" s="87">
        <v>0.3</v>
      </c>
      <c r="I66" s="87">
        <v>0.33</v>
      </c>
      <c r="J66" s="87">
        <v>0.32</v>
      </c>
      <c r="K66" s="87">
        <v>0.31</v>
      </c>
      <c r="L66" s="87">
        <v>0.3</v>
      </c>
    </row>
    <row r="67" spans="1:12" ht="16" x14ac:dyDescent="0.2">
      <c r="A67" s="3"/>
      <c r="B67" s="19"/>
      <c r="C67" s="23"/>
      <c r="D67" s="21"/>
      <c r="E67" s="83"/>
      <c r="F67" s="83"/>
      <c r="G67" s="83"/>
      <c r="H67" s="24"/>
      <c r="I67" s="24"/>
      <c r="J67" s="24"/>
      <c r="K67" s="24"/>
      <c r="L67" s="24"/>
    </row>
    <row r="68" spans="1:12" ht="16" x14ac:dyDescent="0.2">
      <c r="A68" s="3"/>
      <c r="B68" s="19"/>
      <c r="C68" s="62" t="s">
        <v>150</v>
      </c>
      <c r="D68" s="21" t="s">
        <v>74</v>
      </c>
      <c r="E68" s="63"/>
      <c r="F68" s="63">
        <v>-8293</v>
      </c>
      <c r="G68" s="63">
        <v>-40451</v>
      </c>
      <c r="H68" s="67">
        <v>-15000</v>
      </c>
      <c r="I68" s="67">
        <v>10000</v>
      </c>
      <c r="J68" s="67">
        <f>J61*J70</f>
        <v>21677.128704000006</v>
      </c>
      <c r="K68" s="67">
        <f t="shared" ref="K68:L68" si="15">K61*K70</f>
        <v>33599.549491200014</v>
      </c>
      <c r="L68" s="67">
        <f t="shared" si="15"/>
        <v>55741.188096000013</v>
      </c>
    </row>
    <row r="69" spans="1:12" ht="16" x14ac:dyDescent="0.2">
      <c r="A69" s="3"/>
      <c r="B69" s="19"/>
      <c r="C69" s="62" t="s">
        <v>148</v>
      </c>
      <c r="D69" s="21" t="s">
        <v>49</v>
      </c>
      <c r="E69" s="25"/>
      <c r="F69" s="25">
        <f>F68/F59</f>
        <v>-0.19015408603136752</v>
      </c>
      <c r="G69" s="25">
        <f>G68/G59</f>
        <v>-0.33105542279110878</v>
      </c>
      <c r="H69" s="71"/>
      <c r="I69" s="71"/>
      <c r="J69" s="71"/>
      <c r="K69" s="71"/>
      <c r="L69" s="71"/>
    </row>
    <row r="70" spans="1:12" ht="16" x14ac:dyDescent="0.2">
      <c r="A70" s="3"/>
      <c r="B70" s="19"/>
      <c r="C70" s="62" t="s">
        <v>149</v>
      </c>
      <c r="D70" s="21" t="s">
        <v>49</v>
      </c>
      <c r="E70" s="25"/>
      <c r="F70" s="25">
        <f>F68/F61</f>
        <v>-0.28764177447885958</v>
      </c>
      <c r="G70" s="25">
        <f>G68/G61</f>
        <v>-1.1463103604624802</v>
      </c>
      <c r="H70" s="68">
        <f>H68/H61</f>
        <v>-0.1860024939214385</v>
      </c>
      <c r="I70" s="68">
        <f>I68/I61</f>
        <v>5.6364392097405597E-2</v>
      </c>
      <c r="J70" s="68">
        <v>7.0000000000000007E-2</v>
      </c>
      <c r="K70" s="68">
        <v>7.0000000000000007E-2</v>
      </c>
      <c r="L70" s="68">
        <v>0.08</v>
      </c>
    </row>
    <row r="71" spans="1:12" ht="16" x14ac:dyDescent="0.2">
      <c r="A71" s="3"/>
      <c r="B71" s="19"/>
      <c r="C71" s="23"/>
      <c r="D71" s="21"/>
      <c r="E71" s="83"/>
      <c r="F71" s="83"/>
      <c r="G71" s="83"/>
      <c r="H71" s="24"/>
      <c r="I71" s="24"/>
      <c r="J71" s="24"/>
      <c r="K71" s="24"/>
      <c r="L71" s="24"/>
    </row>
    <row r="72" spans="1:12" ht="16" x14ac:dyDescent="0.2">
      <c r="A72" s="3"/>
      <c r="B72" s="19"/>
      <c r="C72" s="78" t="s">
        <v>152</v>
      </c>
      <c r="D72" s="21"/>
      <c r="E72" s="83"/>
      <c r="F72" s="83"/>
      <c r="G72" s="83"/>
      <c r="H72" s="24"/>
      <c r="I72" s="24"/>
      <c r="J72" s="24"/>
      <c r="K72" s="24"/>
      <c r="L72" s="24"/>
    </row>
    <row r="73" spans="1:12" ht="16" x14ac:dyDescent="0.2">
      <c r="A73" s="3"/>
      <c r="B73" s="19"/>
      <c r="C73" s="20" t="s">
        <v>139</v>
      </c>
      <c r="D73" s="21" t="s">
        <v>74</v>
      </c>
      <c r="E73" s="63">
        <v>3867</v>
      </c>
      <c r="F73" s="63">
        <v>7807</v>
      </c>
      <c r="G73" s="63">
        <v>18408</v>
      </c>
      <c r="H73" s="67">
        <f>G73*(1+H74)</f>
        <v>39311.889381679539</v>
      </c>
      <c r="I73" s="67">
        <f t="shared" ref="I73:L73" si="16">H73*(1+I74)</f>
        <v>70761.400887023177</v>
      </c>
      <c r="J73" s="67">
        <f t="shared" si="16"/>
        <v>120294.3815079394</v>
      </c>
      <c r="K73" s="67">
        <f t="shared" si="16"/>
        <v>192471.01041270304</v>
      </c>
      <c r="L73" s="67">
        <f t="shared" si="16"/>
        <v>288706.51561905455</v>
      </c>
    </row>
    <row r="74" spans="1:12" ht="16" x14ac:dyDescent="0.2">
      <c r="A74" s="3"/>
      <c r="B74" s="19"/>
      <c r="C74" s="23" t="s">
        <v>75</v>
      </c>
      <c r="D74" s="21" t="s">
        <v>49</v>
      </c>
      <c r="E74" s="91">
        <v>1.03</v>
      </c>
      <c r="F74" s="91">
        <f>(F73-E73)/E73</f>
        <v>1.0188776829583657</v>
      </c>
      <c r="G74" s="91">
        <f>(G73-F73)/F73</f>
        <v>1.3578839503010118</v>
      </c>
      <c r="H74" s="68">
        <f>AVERAGE(E74:G74)</f>
        <v>1.1355872110864591</v>
      </c>
      <c r="I74" s="68">
        <v>0.8</v>
      </c>
      <c r="J74" s="68">
        <v>0.7</v>
      </c>
      <c r="K74" s="68">
        <v>0.6</v>
      </c>
      <c r="L74" s="68">
        <v>0.5</v>
      </c>
    </row>
    <row r="75" spans="1:12" ht="16" x14ac:dyDescent="0.2">
      <c r="A75" s="3"/>
      <c r="B75" s="19"/>
      <c r="C75" s="20" t="s">
        <v>153</v>
      </c>
      <c r="D75" s="21" t="s">
        <v>74</v>
      </c>
      <c r="E75" s="63"/>
      <c r="F75" s="63">
        <v>-3735</v>
      </c>
      <c r="G75" s="63">
        <v>-6464</v>
      </c>
      <c r="H75" s="67">
        <f>H73*H76</f>
        <v>-7862.3778763359078</v>
      </c>
      <c r="I75" s="67">
        <f t="shared" ref="I75:K75" si="17">I73*I76</f>
        <v>-3538.0700443511591</v>
      </c>
      <c r="J75" s="67">
        <f t="shared" si="17"/>
        <v>12029.43815079394</v>
      </c>
      <c r="K75" s="67">
        <f t="shared" si="17"/>
        <v>38494.202082540607</v>
      </c>
      <c r="L75" s="67">
        <f>L73*L76</f>
        <v>86611.954685716366</v>
      </c>
    </row>
    <row r="76" spans="1:12" ht="16" x14ac:dyDescent="0.2">
      <c r="A76" s="3"/>
      <c r="B76" s="19"/>
      <c r="C76" s="20" t="s">
        <v>154</v>
      </c>
      <c r="D76" s="21" t="s">
        <v>49</v>
      </c>
      <c r="E76" s="91"/>
      <c r="F76" s="91">
        <f>F75/F73</f>
        <v>-0.47841680543102344</v>
      </c>
      <c r="G76" s="91">
        <f>G75/G73</f>
        <v>-0.3511516731855715</v>
      </c>
      <c r="H76" s="68">
        <v>-0.2</v>
      </c>
      <c r="I76" s="68">
        <v>-0.05</v>
      </c>
      <c r="J76" s="68">
        <v>0.1</v>
      </c>
      <c r="K76" s="68">
        <v>0.2</v>
      </c>
      <c r="L76" s="68">
        <v>0.3</v>
      </c>
    </row>
    <row r="77" spans="1:12" ht="16" x14ac:dyDescent="0.2">
      <c r="A77" s="3"/>
      <c r="B77" s="19"/>
      <c r="C77" s="23"/>
      <c r="D77" s="21"/>
      <c r="E77" s="63"/>
      <c r="F77" s="63"/>
      <c r="G77" s="63"/>
    </row>
    <row r="78" spans="1:12" ht="16" x14ac:dyDescent="0.2">
      <c r="C78" s="92" t="s">
        <v>155</v>
      </c>
    </row>
    <row r="79" spans="1:12" ht="16" x14ac:dyDescent="0.2">
      <c r="A79" s="3"/>
      <c r="B79" s="19"/>
      <c r="C79" s="20" t="s">
        <v>139</v>
      </c>
      <c r="D79" s="21" t="s">
        <v>74</v>
      </c>
      <c r="E79" s="63">
        <v>5390</v>
      </c>
      <c r="F79" s="63">
        <v>5778</v>
      </c>
      <c r="G79" s="63">
        <v>8158</v>
      </c>
      <c r="H79" s="67">
        <f>G79*(1+H80)</f>
        <v>10692.37830550402</v>
      </c>
      <c r="I79" s="67">
        <f t="shared" ref="I79:K79" si="18">H79*(1+I80)</f>
        <v>13900.091797155226</v>
      </c>
      <c r="J79" s="67">
        <f t="shared" si="18"/>
        <v>17931.118418330243</v>
      </c>
      <c r="K79" s="67">
        <f t="shared" si="18"/>
        <v>22951.831575462711</v>
      </c>
      <c r="L79" s="67">
        <f>K79*(1+L80)</f>
        <v>29148.826100837643</v>
      </c>
    </row>
    <row r="80" spans="1:12" ht="16" x14ac:dyDescent="0.2">
      <c r="A80" s="3"/>
      <c r="B80" s="19"/>
      <c r="C80" s="23" t="s">
        <v>75</v>
      </c>
      <c r="D80" s="21" t="s">
        <v>49</v>
      </c>
      <c r="E80" s="83">
        <v>0.45</v>
      </c>
      <c r="F80" s="83">
        <f>(F79-E79)/E79</f>
        <v>7.1985157699443414E-2</v>
      </c>
      <c r="G80" s="83">
        <v>0.41</v>
      </c>
      <c r="H80" s="68">
        <f>AVERAGE(E80:G80)</f>
        <v>0.31066171923314778</v>
      </c>
      <c r="I80" s="68">
        <v>0.3</v>
      </c>
      <c r="J80" s="68">
        <v>0.28999999999999998</v>
      </c>
      <c r="K80" s="68">
        <v>0.28000000000000003</v>
      </c>
      <c r="L80" s="68">
        <v>0.27</v>
      </c>
    </row>
    <row r="81" spans="1:12" ht="16" x14ac:dyDescent="0.2">
      <c r="A81" s="3"/>
      <c r="B81" s="19"/>
      <c r="C81" s="20" t="s">
        <v>153</v>
      </c>
      <c r="D81" s="21" t="s">
        <v>74</v>
      </c>
      <c r="E81" s="63">
        <v>310</v>
      </c>
      <c r="F81" s="63">
        <v>1070</v>
      </c>
      <c r="G81" s="63">
        <v>2066</v>
      </c>
      <c r="H81" s="67">
        <f>H79*H82</f>
        <v>3207.7134916512059</v>
      </c>
      <c r="I81" s="67">
        <f t="shared" ref="I81:L81" si="19">I79*I82</f>
        <v>4448.0293750896726</v>
      </c>
      <c r="J81" s="67">
        <f t="shared" si="19"/>
        <v>6096.5802622322826</v>
      </c>
      <c r="K81" s="67">
        <f t="shared" si="19"/>
        <v>8262.659367166576</v>
      </c>
      <c r="L81" s="67">
        <f t="shared" si="19"/>
        <v>11076.553918318305</v>
      </c>
    </row>
    <row r="82" spans="1:12" ht="16" x14ac:dyDescent="0.2">
      <c r="A82" s="3"/>
      <c r="B82" s="19"/>
      <c r="C82" s="20" t="s">
        <v>154</v>
      </c>
      <c r="D82" s="21" t="s">
        <v>49</v>
      </c>
      <c r="E82" s="91">
        <f>E81/E79</f>
        <v>5.7513914656771803E-2</v>
      </c>
      <c r="F82" s="91">
        <f t="shared" ref="F82" si="20">F81/F79</f>
        <v>0.18518518518518517</v>
      </c>
      <c r="G82" s="91">
        <f>G81/G79</f>
        <v>0.25324834518264283</v>
      </c>
      <c r="H82" s="68">
        <v>0.3</v>
      </c>
      <c r="I82" s="68">
        <v>0.32</v>
      </c>
      <c r="J82" s="68">
        <v>0.34</v>
      </c>
      <c r="K82" s="68">
        <v>0.36</v>
      </c>
      <c r="L82" s="68">
        <v>0.38</v>
      </c>
    </row>
    <row r="83" spans="1:12" ht="16" x14ac:dyDescent="0.2">
      <c r="A83" s="3"/>
      <c r="B83" s="19"/>
      <c r="C83" s="20"/>
      <c r="D83" s="21"/>
      <c r="E83" s="63"/>
      <c r="F83" s="63"/>
      <c r="G83" s="63"/>
    </row>
    <row r="84" spans="1:12" ht="16" x14ac:dyDescent="0.2">
      <c r="A84" s="3"/>
      <c r="B84" s="19"/>
      <c r="C84" s="92" t="s">
        <v>156</v>
      </c>
      <c r="D84" s="21"/>
      <c r="E84" s="63"/>
      <c r="F84" s="63"/>
      <c r="G84" s="63"/>
    </row>
    <row r="85" spans="1:12" ht="16" x14ac:dyDescent="0.2">
      <c r="A85" s="3"/>
      <c r="B85" s="19"/>
      <c r="C85" s="20" t="s">
        <v>139</v>
      </c>
      <c r="D85" s="21" t="s">
        <v>74</v>
      </c>
      <c r="E85" s="63">
        <v>15082</v>
      </c>
      <c r="F85" s="63">
        <v>11105</v>
      </c>
      <c r="G85" s="63">
        <v>24082</v>
      </c>
      <c r="H85" s="67">
        <f>G85*(1+H86)</f>
        <v>48164</v>
      </c>
      <c r="I85" s="67">
        <f t="shared" ref="I85:L85" si="21">H85*(1+I86)</f>
        <v>93919.8</v>
      </c>
      <c r="J85" s="67">
        <f t="shared" si="21"/>
        <v>173751.63</v>
      </c>
      <c r="K85" s="67">
        <f t="shared" si="21"/>
        <v>312752.93400000001</v>
      </c>
      <c r="L85" s="67">
        <f t="shared" si="21"/>
        <v>547317.63450000004</v>
      </c>
    </row>
    <row r="86" spans="1:12" ht="16" x14ac:dyDescent="0.2">
      <c r="A86" s="3"/>
      <c r="B86" s="19"/>
      <c r="C86" s="23" t="s">
        <v>75</v>
      </c>
      <c r="D86" s="21" t="s">
        <v>49</v>
      </c>
      <c r="E86" s="91">
        <v>1.68</v>
      </c>
      <c r="F86" s="91">
        <f>(F85-E85)/E85</f>
        <v>-0.26369181806126507</v>
      </c>
      <c r="G86" s="91">
        <f>(G85-F85)/F85</f>
        <v>1.1685727149932463</v>
      </c>
      <c r="H86" s="68">
        <v>1</v>
      </c>
      <c r="I86" s="68">
        <v>0.95</v>
      </c>
      <c r="J86" s="68">
        <v>0.85</v>
      </c>
      <c r="K86" s="68">
        <v>0.8</v>
      </c>
      <c r="L86" s="68">
        <v>0.75</v>
      </c>
    </row>
    <row r="87" spans="1:12" ht="16" x14ac:dyDescent="0.2">
      <c r="A87" s="3"/>
      <c r="B87" s="19"/>
      <c r="C87" s="20" t="s">
        <v>153</v>
      </c>
      <c r="D87" s="21" t="s">
        <v>74</v>
      </c>
      <c r="E87" s="63">
        <v>-5205</v>
      </c>
      <c r="F87" s="63">
        <v>-8294</v>
      </c>
      <c r="G87" s="63">
        <v>-14874</v>
      </c>
      <c r="H87" s="67">
        <v>-20000</v>
      </c>
      <c r="I87" s="67">
        <v>-5000</v>
      </c>
      <c r="J87" s="67">
        <v>20000</v>
      </c>
      <c r="K87" s="67">
        <f>K85*K88</f>
        <v>46912.9401</v>
      </c>
      <c r="L87" s="67">
        <f>L85*L88</f>
        <v>82097.645174999998</v>
      </c>
    </row>
    <row r="88" spans="1:12" ht="16" x14ac:dyDescent="0.2">
      <c r="A88" s="3"/>
      <c r="B88" s="19"/>
      <c r="C88" s="20" t="s">
        <v>154</v>
      </c>
      <c r="D88" s="21" t="s">
        <v>49</v>
      </c>
      <c r="E88" s="91">
        <f>E87/E85</f>
        <v>-0.34511338018830395</v>
      </c>
      <c r="F88" s="91">
        <f t="shared" ref="F88:J88" si="22">F87/F85</f>
        <v>-0.74687077892841058</v>
      </c>
      <c r="G88" s="91">
        <f t="shared" si="22"/>
        <v>-0.61763973091935886</v>
      </c>
      <c r="H88" s="68">
        <f t="shared" si="22"/>
        <v>-0.41524790299808984</v>
      </c>
      <c r="I88" s="68">
        <f t="shared" si="22"/>
        <v>-5.3236910640780746E-2</v>
      </c>
      <c r="J88" s="68">
        <f t="shared" si="22"/>
        <v>0.11510683381790432</v>
      </c>
      <c r="K88" s="68">
        <v>0.15</v>
      </c>
      <c r="L88" s="68">
        <v>0.15</v>
      </c>
    </row>
    <row r="89" spans="1:12" ht="16" x14ac:dyDescent="0.2">
      <c r="A89" s="3"/>
      <c r="B89" s="19"/>
      <c r="C89" s="23"/>
      <c r="D89" s="21"/>
      <c r="E89" s="63"/>
      <c r="F89" s="63"/>
      <c r="G89" s="63"/>
    </row>
    <row r="90" spans="1:12" ht="16" x14ac:dyDescent="0.2">
      <c r="A90" s="3"/>
      <c r="B90" s="19"/>
      <c r="C90" s="78" t="s">
        <v>130</v>
      </c>
      <c r="D90" s="21"/>
      <c r="E90" s="25"/>
      <c r="F90" s="25"/>
      <c r="G90" s="25"/>
      <c r="H90" s="81"/>
      <c r="I90" s="81"/>
      <c r="J90" s="81"/>
      <c r="K90" s="29"/>
      <c r="L90" s="29"/>
    </row>
    <row r="91" spans="1:12" ht="16" x14ac:dyDescent="0.2">
      <c r="A91" s="3"/>
      <c r="B91" s="19"/>
      <c r="C91" s="20" t="s">
        <v>20</v>
      </c>
      <c r="D91" s="21" t="s">
        <v>49</v>
      </c>
      <c r="E91" s="25">
        <f>E147/E141</f>
        <v>0.68192210546721321</v>
      </c>
      <c r="F91" s="25">
        <f t="shared" ref="F91:G91" si="23">F147/F141</f>
        <v>0.60832828900030833</v>
      </c>
      <c r="G91" s="25">
        <f t="shared" si="23"/>
        <v>0.51160538056158422</v>
      </c>
      <c r="H91" s="26">
        <f>AVERAGE(E91:G91)</f>
        <v>0.60061859167636866</v>
      </c>
      <c r="I91" s="26">
        <v>0.57999999999999996</v>
      </c>
      <c r="J91" s="27">
        <v>0.56999999999999995</v>
      </c>
      <c r="K91" s="27">
        <v>0.56000000000000005</v>
      </c>
      <c r="L91" s="27">
        <v>0.55000000000000004</v>
      </c>
    </row>
    <row r="92" spans="1:12" ht="16" x14ac:dyDescent="0.2">
      <c r="A92" s="3"/>
      <c r="B92" s="3"/>
      <c r="C92" s="20" t="s">
        <v>76</v>
      </c>
      <c r="D92" s="21" t="s">
        <v>49</v>
      </c>
      <c r="E92" s="25">
        <f>E149/E141</f>
        <v>-0.54109389877473757</v>
      </c>
      <c r="F92" s="25">
        <f t="shared" ref="F92:G92" si="24">F149/F141</f>
        <v>-0.53423027285082858</v>
      </c>
      <c r="G92" s="25">
        <f t="shared" si="24"/>
        <v>-0.54888241883814237</v>
      </c>
      <c r="H92" s="31">
        <v>0.52</v>
      </c>
      <c r="I92" s="32">
        <v>0.5</v>
      </c>
      <c r="J92" s="32">
        <v>0.5</v>
      </c>
      <c r="K92" s="32">
        <v>0.49</v>
      </c>
      <c r="L92" s="32">
        <v>0.48</v>
      </c>
    </row>
    <row r="93" spans="1:12" ht="16" x14ac:dyDescent="0.2">
      <c r="A93" s="3"/>
      <c r="B93" s="3"/>
      <c r="C93" s="23"/>
      <c r="D93" s="33"/>
      <c r="E93" s="34"/>
      <c r="F93" s="34"/>
      <c r="G93" s="34"/>
      <c r="H93" s="3"/>
      <c r="I93" s="3"/>
      <c r="J93" s="3"/>
      <c r="K93" s="3"/>
      <c r="L93" s="3"/>
    </row>
    <row r="94" spans="1:12" ht="16" x14ac:dyDescent="0.2">
      <c r="A94" s="3"/>
      <c r="B94" s="3"/>
      <c r="C94" s="20" t="s">
        <v>109</v>
      </c>
      <c r="D94" s="21" t="s">
        <v>49</v>
      </c>
      <c r="E94" s="25">
        <f>E155/SUM(E170:E171)</f>
        <v>3.7539918012366093E-2</v>
      </c>
      <c r="F94" s="25">
        <f t="shared" ref="F94:G94" si="25">F155/SUM(F170:F171)</f>
        <v>1.6243676134097447E-2</v>
      </c>
      <c r="G94" s="25">
        <f t="shared" si="25"/>
        <v>4.3236305380413904E-2</v>
      </c>
      <c r="H94" s="26">
        <f>AVERAGE(E94:G94)</f>
        <v>3.233996650895915E-2</v>
      </c>
      <c r="I94" s="27">
        <v>3.5000000000000003E-2</v>
      </c>
      <c r="J94" s="27">
        <v>3.5000000000000003E-2</v>
      </c>
      <c r="K94" s="27">
        <v>0.04</v>
      </c>
      <c r="L94" s="27">
        <v>0.04</v>
      </c>
    </row>
    <row r="95" spans="1:12" ht="16" x14ac:dyDescent="0.2">
      <c r="A95" s="3"/>
      <c r="B95" s="3"/>
      <c r="C95" s="20" t="s">
        <v>110</v>
      </c>
      <c r="D95" s="21" t="s">
        <v>49</v>
      </c>
      <c r="E95" s="34" t="e">
        <f>-E156/E195</f>
        <v>#DIV/0!</v>
      </c>
      <c r="F95" s="34">
        <f>-F156/F195</f>
        <v>2.8495262797651213E-2</v>
      </c>
      <c r="G95" s="34">
        <f>-G156/G195</f>
        <v>4.3234111958991087E-2</v>
      </c>
      <c r="H95" s="31">
        <f>AVERAGE(F95:G95)</f>
        <v>3.5864687378321151E-2</v>
      </c>
      <c r="I95" s="32">
        <v>0.03</v>
      </c>
      <c r="J95" s="32">
        <v>0.03</v>
      </c>
      <c r="K95" s="32">
        <v>0.03</v>
      </c>
      <c r="L95" s="32">
        <v>0.03</v>
      </c>
    </row>
    <row r="96" spans="1:12" ht="16" x14ac:dyDescent="0.2">
      <c r="A96" s="3"/>
      <c r="B96" s="3"/>
      <c r="C96" s="23"/>
      <c r="D96" s="33"/>
      <c r="E96" s="34"/>
      <c r="F96" s="34"/>
      <c r="G96" s="34"/>
      <c r="H96" s="3"/>
      <c r="I96" s="3"/>
      <c r="J96" s="3"/>
      <c r="K96" s="3"/>
      <c r="L96" s="3"/>
    </row>
    <row r="97" spans="1:12" ht="16" x14ac:dyDescent="0.2">
      <c r="A97" s="30"/>
      <c r="B97" s="30"/>
      <c r="C97" s="20" t="s">
        <v>50</v>
      </c>
      <c r="D97" s="21" t="s">
        <v>49</v>
      </c>
      <c r="E97" s="25">
        <f>-E160/E159</f>
        <v>0.5099978122949026</v>
      </c>
      <c r="F97" s="25">
        <f t="shared" ref="F97:G97" si="26">-F160/F159</f>
        <v>0.35568796085356486</v>
      </c>
      <c r="G97" s="25">
        <f t="shared" si="26"/>
        <v>-1.0286584521666897</v>
      </c>
      <c r="H97" s="35">
        <v>0.19500000000000001</v>
      </c>
      <c r="I97" s="36">
        <v>0.19500000000000001</v>
      </c>
      <c r="J97" s="36">
        <v>0.19500000000000001</v>
      </c>
      <c r="K97" s="36">
        <v>0.19500000000000001</v>
      </c>
      <c r="L97" s="36">
        <v>0.19500000000000001</v>
      </c>
    </row>
    <row r="98" spans="1:12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</row>
    <row r="99" spans="1:12" ht="16" x14ac:dyDescent="0.2">
      <c r="A99" s="3"/>
      <c r="B99" s="18" t="s">
        <v>10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ht="16" x14ac:dyDescent="0.2">
      <c r="A100" s="3"/>
      <c r="B100" s="3"/>
      <c r="C100" s="20" t="s">
        <v>70</v>
      </c>
      <c r="D100" s="21" t="s">
        <v>49</v>
      </c>
      <c r="E100" s="25">
        <f>E172/E141</f>
        <v>0.10166998306640591</v>
      </c>
      <c r="F100" s="25">
        <f t="shared" ref="F100:G100" si="27">F172/F141</f>
        <v>0.1162214328951426</v>
      </c>
      <c r="G100" s="25">
        <f t="shared" si="27"/>
        <v>0.12232326607163413</v>
      </c>
      <c r="H100" s="26">
        <f>AVERAGE(E100:G100)</f>
        <v>0.11340489401106087</v>
      </c>
      <c r="I100" s="27">
        <v>0.12</v>
      </c>
      <c r="J100" s="27">
        <v>0.12</v>
      </c>
      <c r="K100" s="27">
        <v>0.125</v>
      </c>
      <c r="L100" s="27">
        <v>0.13</v>
      </c>
    </row>
    <row r="101" spans="1:12" ht="16" x14ac:dyDescent="0.2">
      <c r="A101" s="3"/>
      <c r="B101" s="3"/>
      <c r="C101" s="20" t="s">
        <v>71</v>
      </c>
      <c r="D101" s="21" t="s">
        <v>49</v>
      </c>
      <c r="E101" s="25">
        <f>E173/E144</f>
        <v>0</v>
      </c>
      <c r="F101" s="25">
        <f t="shared" ref="F101:G101" si="28">F173/F144</f>
        <v>-5.6103762801222389E-2</v>
      </c>
      <c r="G101" s="25">
        <f t="shared" si="28"/>
        <v>-5.5112904709345108E-2</v>
      </c>
      <c r="H101" s="37">
        <v>5.5E-2</v>
      </c>
      <c r="I101" s="37">
        <v>5.5E-2</v>
      </c>
      <c r="J101" s="37">
        <v>5.5E-2</v>
      </c>
      <c r="K101" s="37">
        <v>5.5E-2</v>
      </c>
      <c r="L101" s="37">
        <v>5.5E-2</v>
      </c>
    </row>
    <row r="102" spans="1:12" ht="16" x14ac:dyDescent="0.2">
      <c r="A102" s="3"/>
      <c r="B102" s="3"/>
      <c r="C102" s="20" t="s">
        <v>93</v>
      </c>
      <c r="D102" s="21" t="s">
        <v>49</v>
      </c>
      <c r="E102" s="25">
        <f>-E174/E149</f>
        <v>0.14905745866832451</v>
      </c>
      <c r="F102" s="25">
        <f t="shared" ref="F102:G102" si="29">-F174/F149</f>
        <v>0.18784152421347883</v>
      </c>
      <c r="G102" s="25">
        <f t="shared" si="29"/>
        <v>0.20502209763882637</v>
      </c>
      <c r="H102" s="37">
        <f>AVERAGE(E102:G102)</f>
        <v>0.18064036017354324</v>
      </c>
      <c r="I102" s="38">
        <v>0.19</v>
      </c>
      <c r="J102" s="38">
        <v>0.19</v>
      </c>
      <c r="K102" s="38">
        <v>0.2</v>
      </c>
      <c r="L102" s="38">
        <v>0.2</v>
      </c>
    </row>
    <row r="103" spans="1:12" ht="16" x14ac:dyDescent="0.2">
      <c r="A103" s="3"/>
      <c r="B103" s="3"/>
      <c r="C103" s="20"/>
      <c r="D103" s="21"/>
      <c r="E103" s="39"/>
      <c r="F103" s="39"/>
      <c r="G103" s="39"/>
      <c r="H103" s="1"/>
      <c r="I103" s="1"/>
      <c r="J103" s="1"/>
      <c r="K103" s="1"/>
      <c r="L103" s="1"/>
    </row>
    <row r="104" spans="1:12" ht="16" x14ac:dyDescent="0.2">
      <c r="A104" s="3"/>
      <c r="B104" s="3"/>
      <c r="C104" s="20" t="s">
        <v>72</v>
      </c>
      <c r="D104" s="21" t="s">
        <v>49</v>
      </c>
      <c r="E104" s="25">
        <f>-E188/E144</f>
        <v>0.62698071269807132</v>
      </c>
      <c r="F104" s="25">
        <f t="shared" ref="F104:G104" si="30">-F188/F144</f>
        <v>0.50894627568992468</v>
      </c>
      <c r="G104" s="25">
        <f t="shared" si="30"/>
        <v>0.48573744481236203</v>
      </c>
      <c r="H104" s="35">
        <v>0.5</v>
      </c>
      <c r="I104" s="36">
        <v>0.49</v>
      </c>
      <c r="J104" s="36">
        <v>0.48</v>
      </c>
      <c r="K104" s="36">
        <v>0.48</v>
      </c>
      <c r="L104" s="36">
        <v>0.47</v>
      </c>
    </row>
    <row r="105" spans="1:12" ht="16" x14ac:dyDescent="0.2">
      <c r="A105" s="3"/>
      <c r="B105" s="3"/>
      <c r="C105" s="20" t="s">
        <v>94</v>
      </c>
      <c r="D105" s="21" t="s">
        <v>49</v>
      </c>
      <c r="E105" s="90">
        <v>0</v>
      </c>
      <c r="F105" s="90">
        <v>0</v>
      </c>
      <c r="G105" s="90">
        <v>0</v>
      </c>
      <c r="H105" s="134">
        <v>0</v>
      </c>
      <c r="I105" s="135">
        <v>0</v>
      </c>
      <c r="J105" s="135">
        <v>0</v>
      </c>
      <c r="K105" s="135">
        <v>0</v>
      </c>
      <c r="L105" s="135">
        <v>0</v>
      </c>
    </row>
    <row r="106" spans="1:12" ht="16" x14ac:dyDescent="0.2">
      <c r="A106" s="3"/>
      <c r="B106" s="3"/>
      <c r="C106" s="20" t="s">
        <v>73</v>
      </c>
      <c r="D106" s="21" t="s">
        <v>49</v>
      </c>
      <c r="E106" s="25">
        <f>E190/E141</f>
        <v>2.0194878870637603E-2</v>
      </c>
      <c r="F106" s="25">
        <f t="shared" ref="F106:G106" si="31">F190/F141</f>
        <v>3.0357367200794912E-2</v>
      </c>
      <c r="G106" s="25">
        <f t="shared" si="31"/>
        <v>2.9241572166178606E-2</v>
      </c>
      <c r="H106" s="31">
        <f>AVERAGE(E106:G106)</f>
        <v>2.6597939412537037E-2</v>
      </c>
      <c r="I106" s="32">
        <v>0.03</v>
      </c>
      <c r="J106" s="32">
        <v>3.5000000000000003E-2</v>
      </c>
      <c r="K106" s="32">
        <v>0.04</v>
      </c>
      <c r="L106" s="32">
        <v>0.04</v>
      </c>
    </row>
    <row r="107" spans="1:12" ht="16" x14ac:dyDescent="0.2">
      <c r="A107" s="3"/>
      <c r="B107" s="3"/>
      <c r="C107" s="20" t="s">
        <v>95</v>
      </c>
      <c r="D107" s="21" t="s">
        <v>49</v>
      </c>
      <c r="E107" s="25">
        <f>-E196/E149</f>
        <v>4.5414791945460102E-2</v>
      </c>
      <c r="F107" s="25">
        <f t="shared" ref="F107:G107" si="32">-F196/F149</f>
        <v>7.312359435261119E-2</v>
      </c>
      <c r="G107" s="25">
        <f t="shared" si="32"/>
        <v>0.10735769529811352</v>
      </c>
      <c r="H107" s="37">
        <f>AVERAGE(E107:G107)</f>
        <v>7.5298693865394936E-2</v>
      </c>
      <c r="I107" s="38">
        <v>0.08</v>
      </c>
      <c r="J107" s="38">
        <v>0.09</v>
      </c>
      <c r="K107" s="38">
        <v>0.1</v>
      </c>
      <c r="L107" s="38">
        <v>0.1</v>
      </c>
    </row>
    <row r="108" spans="1:12" ht="16" x14ac:dyDescent="0.2">
      <c r="A108" s="3"/>
      <c r="B108" s="3"/>
      <c r="C108" s="23"/>
      <c r="D108" s="33"/>
      <c r="E108" s="34"/>
      <c r="F108" s="34"/>
      <c r="G108" s="34"/>
      <c r="H108" s="3"/>
      <c r="I108" s="3"/>
      <c r="J108" s="3"/>
      <c r="K108" s="3"/>
      <c r="L108" s="3"/>
    </row>
    <row r="109" spans="1:12" ht="16" x14ac:dyDescent="0.2">
      <c r="A109" s="3"/>
      <c r="B109" s="18" t="s">
        <v>19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ht="16" x14ac:dyDescent="0.2">
      <c r="A110" s="3"/>
      <c r="B110" s="3"/>
      <c r="C110" s="20" t="s">
        <v>96</v>
      </c>
      <c r="D110" s="33" t="s">
        <v>49</v>
      </c>
      <c r="E110" s="25">
        <f>-E229/E141</f>
        <v>0.1168760084610955</v>
      </c>
      <c r="F110" s="25">
        <f t="shared" ref="F110:G110" si="33">-F229/F141</f>
        <v>0.11167582260698745</v>
      </c>
      <c r="G110" s="25">
        <f t="shared" si="33"/>
        <v>0.12486698804787588</v>
      </c>
      <c r="H110" s="26">
        <f>AVERAGE(E110:G110)</f>
        <v>0.11780627303865294</v>
      </c>
      <c r="I110" s="27">
        <v>0.08</v>
      </c>
      <c r="J110" s="27">
        <v>0.06</v>
      </c>
      <c r="K110" s="27">
        <v>0.04</v>
      </c>
      <c r="L110" s="27">
        <v>0.03</v>
      </c>
    </row>
    <row r="111" spans="1:12" ht="16" x14ac:dyDescent="0.2">
      <c r="A111" s="3"/>
      <c r="B111" s="3"/>
      <c r="C111" s="20" t="s">
        <v>97</v>
      </c>
      <c r="D111" s="33" t="s">
        <v>49</v>
      </c>
      <c r="E111" s="25">
        <f>E212/E141</f>
        <v>6.9353615635922031E-2</v>
      </c>
      <c r="F111" s="25">
        <f t="shared" ref="F111:G111" si="34">F212/F141</f>
        <v>6.332788926071016E-2</v>
      </c>
      <c r="G111" s="25">
        <f t="shared" si="34"/>
        <v>5.0992360411150822E-2</v>
      </c>
      <c r="H111" s="31">
        <f>AVERAGE(E111:G111)</f>
        <v>6.1224621769261002E-2</v>
      </c>
      <c r="I111" s="32">
        <v>0.06</v>
      </c>
      <c r="J111" s="32">
        <v>5.5E-2</v>
      </c>
      <c r="K111" s="32">
        <v>5.5E-2</v>
      </c>
      <c r="L111" s="32">
        <v>0.05</v>
      </c>
    </row>
    <row r="112" spans="1:12" ht="16" x14ac:dyDescent="0.2">
      <c r="A112" s="3"/>
      <c r="B112" s="3"/>
      <c r="C112" s="23"/>
      <c r="D112" s="23"/>
      <c r="E112" s="25"/>
      <c r="F112" s="25"/>
      <c r="G112" s="25"/>
      <c r="H112" s="25"/>
      <c r="I112" s="25"/>
      <c r="J112" s="25"/>
      <c r="K112" s="25"/>
      <c r="L112" s="25"/>
    </row>
    <row r="113" spans="1:12" ht="16" x14ac:dyDescent="0.2">
      <c r="A113" s="3"/>
      <c r="B113" s="3"/>
      <c r="C113" s="20" t="s">
        <v>98</v>
      </c>
      <c r="D113" s="33" t="s">
        <v>49</v>
      </c>
      <c r="E113" s="90">
        <f>E233/E141</f>
        <v>0</v>
      </c>
      <c r="F113" s="90">
        <f t="shared" ref="F113:G113" si="35">F233/F141</f>
        <v>0</v>
      </c>
      <c r="G113" s="90">
        <f t="shared" si="35"/>
        <v>0</v>
      </c>
      <c r="H113" s="132">
        <v>0</v>
      </c>
      <c r="I113" s="133">
        <v>0</v>
      </c>
      <c r="J113" s="133">
        <v>0</v>
      </c>
      <c r="K113" s="133">
        <v>0</v>
      </c>
      <c r="L113" s="133">
        <v>0</v>
      </c>
    </row>
    <row r="114" spans="1:12" ht="16" x14ac:dyDescent="0.2">
      <c r="A114" s="3"/>
      <c r="B114" s="3"/>
      <c r="C114" s="20" t="s">
        <v>99</v>
      </c>
      <c r="D114" s="33" t="s">
        <v>49</v>
      </c>
      <c r="E114" s="25">
        <f>E213/E141</f>
        <v>6.7323864964564883E-2</v>
      </c>
      <c r="F114" s="25">
        <f t="shared" ref="F114:G114" si="36">F213/F141</f>
        <v>3.8854688945486937E-2</v>
      </c>
      <c r="G114" s="25">
        <f t="shared" si="36"/>
        <v>4.0444056366183659E-2</v>
      </c>
      <c r="H114" s="37">
        <v>0.03</v>
      </c>
      <c r="I114" s="38">
        <v>0.03</v>
      </c>
      <c r="J114" s="38">
        <v>0.03</v>
      </c>
      <c r="K114" s="38">
        <v>0.03</v>
      </c>
      <c r="L114" s="38">
        <v>0.03</v>
      </c>
    </row>
    <row r="115" spans="1:12" ht="16" x14ac:dyDescent="0.2">
      <c r="A115" s="3"/>
      <c r="B115" s="3"/>
      <c r="C115" s="20" t="s">
        <v>100</v>
      </c>
      <c r="D115" s="21" t="s">
        <v>74</v>
      </c>
      <c r="E115" s="63">
        <f>E214</f>
        <v>762</v>
      </c>
      <c r="F115" s="63">
        <f t="shared" ref="F115:G115" si="37">F214</f>
        <v>-548.5</v>
      </c>
      <c r="G115" s="63">
        <f t="shared" si="37"/>
        <v>0</v>
      </c>
      <c r="H115" s="126">
        <v>0</v>
      </c>
      <c r="I115" s="126">
        <v>0</v>
      </c>
      <c r="J115" s="126">
        <v>0</v>
      </c>
      <c r="K115" s="126">
        <v>0</v>
      </c>
      <c r="L115" s="126">
        <v>0</v>
      </c>
    </row>
    <row r="116" spans="1:12" ht="16" x14ac:dyDescent="0.2">
      <c r="A116" s="3"/>
      <c r="B116" s="3"/>
      <c r="C116" s="23"/>
      <c r="D116" s="23"/>
      <c r="E116" s="25"/>
      <c r="F116" s="25"/>
      <c r="G116" s="25"/>
      <c r="H116" s="25"/>
      <c r="I116" s="25"/>
      <c r="J116" s="25"/>
      <c r="K116" s="25"/>
      <c r="L116" s="25"/>
    </row>
    <row r="117" spans="1:12" ht="17" x14ac:dyDescent="0.2">
      <c r="A117" s="3"/>
      <c r="B117" s="3"/>
      <c r="C117" s="42" t="s">
        <v>68</v>
      </c>
      <c r="D117" s="33" t="s">
        <v>49</v>
      </c>
      <c r="E117" s="25">
        <f>-E215/E160</f>
        <v>0.1582875772134523</v>
      </c>
      <c r="F117" s="25">
        <f t="shared" ref="F117:G117" si="38">-F215/F160</f>
        <v>5.0481315849314028E-2</v>
      </c>
      <c r="G117" s="25">
        <f t="shared" si="38"/>
        <v>-0.69488559892328394</v>
      </c>
      <c r="H117" s="26">
        <v>7.0000000000000007E-2</v>
      </c>
      <c r="I117" s="27">
        <v>7.0000000000000007E-2</v>
      </c>
      <c r="J117" s="27">
        <v>7.0000000000000007E-2</v>
      </c>
      <c r="K117" s="27">
        <v>7.0000000000000007E-2</v>
      </c>
      <c r="L117" s="27">
        <v>7.0000000000000007E-2</v>
      </c>
    </row>
    <row r="118" spans="1:12" ht="16" x14ac:dyDescent="0.2">
      <c r="A118" s="3"/>
      <c r="B118" s="3"/>
      <c r="C118" s="20" t="s">
        <v>101</v>
      </c>
      <c r="D118" s="33" t="s">
        <v>49</v>
      </c>
      <c r="E118" s="25">
        <f>E216/E141</f>
        <v>5.6188744006248896E-2</v>
      </c>
      <c r="F118" s="25">
        <f t="shared" ref="F118:G118" si="39">F216/F141</f>
        <v>7.1852621720707652E-2</v>
      </c>
      <c r="G118" s="25">
        <f t="shared" si="39"/>
        <v>5.8480336692206834E-2</v>
      </c>
      <c r="H118" s="37">
        <v>0.06</v>
      </c>
      <c r="I118" s="38">
        <v>0.06</v>
      </c>
      <c r="J118" s="38">
        <v>6.5000000000000002E-2</v>
      </c>
      <c r="K118" s="38">
        <v>6.5000000000000002E-2</v>
      </c>
      <c r="L118" s="38">
        <v>6.5000000000000002E-2</v>
      </c>
    </row>
    <row r="119" spans="1:12" ht="16" x14ac:dyDescent="0.2">
      <c r="A119" s="3"/>
      <c r="B119" s="3"/>
      <c r="C119" s="20" t="s">
        <v>102</v>
      </c>
      <c r="D119" s="33" t="s">
        <v>49</v>
      </c>
      <c r="E119" s="25">
        <f>E217/E141</f>
        <v>3.1558061702139789E-2</v>
      </c>
      <c r="F119" s="25">
        <f t="shared" ref="F119:G119" si="40">F217/F141</f>
        <v>-4.1106936053085422E-2</v>
      </c>
      <c r="G119" s="25">
        <f t="shared" si="40"/>
        <v>1.1688205946020311E-2</v>
      </c>
      <c r="H119" s="37">
        <f>AVERAGE(E119:G119)</f>
        <v>7.1311053169155947E-4</v>
      </c>
      <c r="I119" s="38">
        <v>0.01</v>
      </c>
      <c r="J119" s="38">
        <v>0.01</v>
      </c>
      <c r="K119" s="38">
        <v>0.01</v>
      </c>
      <c r="L119" s="38">
        <v>0.01</v>
      </c>
    </row>
    <row r="120" spans="1:12" ht="16" x14ac:dyDescent="0.2">
      <c r="A120" s="3"/>
      <c r="B120" s="3"/>
      <c r="C120" s="23"/>
      <c r="D120" s="23"/>
      <c r="E120" s="25"/>
      <c r="F120" s="25"/>
      <c r="G120" s="25"/>
      <c r="H120" s="25"/>
      <c r="I120" s="25"/>
      <c r="J120" s="25"/>
      <c r="K120" s="25"/>
      <c r="L120" s="25"/>
    </row>
    <row r="121" spans="1:12" ht="16" x14ac:dyDescent="0.2">
      <c r="A121" s="3"/>
      <c r="B121" s="3"/>
      <c r="C121" s="20" t="s">
        <v>103</v>
      </c>
      <c r="D121" s="33" t="s">
        <v>49</v>
      </c>
      <c r="E121" s="25">
        <f>E231/E141</f>
        <v>-4.1051137173515173E-4</v>
      </c>
      <c r="F121" s="25">
        <f t="shared" ref="F121:G121" si="41">F231/F141</f>
        <v>0</v>
      </c>
      <c r="G121" s="25">
        <f t="shared" si="41"/>
        <v>0</v>
      </c>
      <c r="H121" s="35">
        <v>0</v>
      </c>
      <c r="I121" s="36">
        <v>0</v>
      </c>
      <c r="J121" s="36">
        <v>0</v>
      </c>
      <c r="K121" s="36">
        <v>0</v>
      </c>
      <c r="L121" s="36">
        <v>0</v>
      </c>
    </row>
    <row r="122" spans="1:12" ht="16" x14ac:dyDescent="0.2">
      <c r="A122" s="3"/>
      <c r="B122" s="3"/>
      <c r="C122" s="23"/>
      <c r="D122" s="23"/>
      <c r="E122" s="25"/>
      <c r="F122" s="25"/>
      <c r="G122" s="25"/>
      <c r="H122" s="25"/>
      <c r="I122" s="25"/>
      <c r="J122" s="25"/>
      <c r="K122" s="25"/>
      <c r="L122" s="25"/>
    </row>
    <row r="123" spans="1:12" ht="16" x14ac:dyDescent="0.2">
      <c r="A123" s="3"/>
      <c r="B123" s="3"/>
      <c r="C123" s="20" t="s">
        <v>104</v>
      </c>
      <c r="D123" s="21" t="s">
        <v>74</v>
      </c>
      <c r="E123" s="40">
        <f>E232</f>
        <v>-28218</v>
      </c>
      <c r="F123" s="40">
        <f t="shared" ref="F123:G123" si="42">F232</f>
        <v>-61704</v>
      </c>
      <c r="G123" s="40">
        <f>G232</f>
        <v>74704</v>
      </c>
      <c r="H123" s="43">
        <f>-30000</f>
        <v>-30000</v>
      </c>
      <c r="I123" s="43">
        <f t="shared" ref="I123:L123" si="43">-30000</f>
        <v>-30000</v>
      </c>
      <c r="J123" s="43">
        <f t="shared" si="43"/>
        <v>-30000</v>
      </c>
      <c r="K123" s="43">
        <f t="shared" si="43"/>
        <v>-30000</v>
      </c>
      <c r="L123" s="43">
        <f t="shared" si="43"/>
        <v>-30000</v>
      </c>
    </row>
    <row r="124" spans="1:12" x14ac:dyDescent="0.2">
      <c r="A124" s="30"/>
      <c r="B124" s="30"/>
      <c r="C124" s="30"/>
      <c r="D124" s="30"/>
      <c r="E124" s="44"/>
      <c r="F124" s="30"/>
      <c r="G124" s="30"/>
      <c r="H124" s="30"/>
      <c r="I124" s="30"/>
      <c r="J124" s="30"/>
      <c r="K124" s="30"/>
      <c r="L124" s="30"/>
    </row>
    <row r="125" spans="1:12" ht="16" x14ac:dyDescent="0.2">
      <c r="A125" s="3"/>
      <c r="B125" s="3"/>
      <c r="C125" s="20" t="s">
        <v>58</v>
      </c>
      <c r="D125" s="33" t="s">
        <v>49</v>
      </c>
      <c r="E125" s="25" t="s">
        <v>121</v>
      </c>
      <c r="F125" s="25" t="s">
        <v>121</v>
      </c>
      <c r="G125" s="25" t="s">
        <v>121</v>
      </c>
      <c r="H125" s="26">
        <v>0</v>
      </c>
      <c r="I125" s="36">
        <v>0</v>
      </c>
      <c r="J125" s="36">
        <v>0</v>
      </c>
      <c r="K125" s="36">
        <v>0</v>
      </c>
      <c r="L125" s="36">
        <v>0</v>
      </c>
    </row>
    <row r="126" spans="1:12" ht="16" x14ac:dyDescent="0.2">
      <c r="A126" s="3"/>
      <c r="B126" s="3"/>
      <c r="C126" s="20" t="s">
        <v>105</v>
      </c>
      <c r="D126" s="21" t="s">
        <v>74</v>
      </c>
      <c r="E126" s="40">
        <f>E238</f>
        <v>-1354</v>
      </c>
      <c r="F126" s="40">
        <f t="shared" ref="F126:G126" si="44">F238</f>
        <v>62737</v>
      </c>
      <c r="G126" s="40">
        <f t="shared" si="44"/>
        <v>-5880</v>
      </c>
      <c r="H126" s="41">
        <v>2000</v>
      </c>
      <c r="I126" s="41">
        <v>2000</v>
      </c>
      <c r="J126" s="41">
        <v>2000</v>
      </c>
      <c r="K126" s="41">
        <v>2000</v>
      </c>
      <c r="L126" s="41">
        <v>2000</v>
      </c>
    </row>
    <row r="127" spans="1:12" ht="16" x14ac:dyDescent="0.2">
      <c r="A127" s="3"/>
      <c r="B127" s="3"/>
      <c r="C127" s="20" t="s">
        <v>111</v>
      </c>
      <c r="D127" s="21" t="s">
        <v>74</v>
      </c>
      <c r="E127" s="40">
        <f>E239</f>
        <v>-91</v>
      </c>
      <c r="F127" s="40">
        <f t="shared" ref="F127:G127" si="45">F239</f>
        <v>81861</v>
      </c>
      <c r="G127" s="40">
        <f t="shared" si="45"/>
        <v>-4694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</row>
    <row r="128" spans="1:12" ht="16" x14ac:dyDescent="0.2">
      <c r="A128" s="3"/>
      <c r="B128" s="3"/>
      <c r="C128" s="23"/>
      <c r="D128" s="21"/>
      <c r="E128" s="45"/>
      <c r="F128" s="45"/>
      <c r="G128" s="45"/>
      <c r="H128" s="3"/>
      <c r="I128" s="3"/>
      <c r="J128" s="3"/>
      <c r="K128" s="3"/>
      <c r="L128" s="3"/>
    </row>
    <row r="129" spans="1:12" ht="16" x14ac:dyDescent="0.2">
      <c r="A129" s="3"/>
      <c r="B129" s="3"/>
      <c r="C129" s="20" t="s">
        <v>60</v>
      </c>
      <c r="D129" s="21" t="s">
        <v>49</v>
      </c>
      <c r="E129" s="25">
        <f>E243/E141</f>
        <v>-3.0115570354237106E-2</v>
      </c>
      <c r="F129" s="25">
        <f t="shared" ref="F129:G129" si="46">F243/F141</f>
        <v>0.10808958735452334</v>
      </c>
      <c r="G129" s="25">
        <f t="shared" si="46"/>
        <v>1.4347041168427525E-3</v>
      </c>
      <c r="H129" s="35">
        <v>-2E-3</v>
      </c>
      <c r="I129" s="36">
        <v>-2E-3</v>
      </c>
      <c r="J129" s="36">
        <v>-2E-3</v>
      </c>
      <c r="K129" s="36">
        <v>-2E-3</v>
      </c>
      <c r="L129" s="36">
        <v>-2E-3</v>
      </c>
    </row>
    <row r="130" spans="1:12" ht="1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6" x14ac:dyDescent="0.2">
      <c r="A131" s="3"/>
      <c r="B131" s="12"/>
      <c r="C131" s="12"/>
      <c r="D131" s="12"/>
      <c r="E131" s="13" t="s">
        <v>5</v>
      </c>
      <c r="F131" s="13"/>
      <c r="G131" s="13"/>
      <c r="H131" s="14" t="s">
        <v>6</v>
      </c>
      <c r="I131" s="13"/>
      <c r="J131" s="13"/>
      <c r="K131" s="13"/>
      <c r="L131" s="13"/>
    </row>
    <row r="132" spans="1:12" ht="16" x14ac:dyDescent="0.2">
      <c r="A132" s="3"/>
      <c r="B132" s="46" t="s">
        <v>7</v>
      </c>
      <c r="C132" s="46"/>
      <c r="D132" s="47" t="s">
        <v>48</v>
      </c>
      <c r="E132" s="48" t="s">
        <v>113</v>
      </c>
      <c r="F132" s="48" t="s">
        <v>114</v>
      </c>
      <c r="G132" s="48" t="s">
        <v>115</v>
      </c>
      <c r="H132" s="49" t="s">
        <v>116</v>
      </c>
      <c r="I132" s="48" t="s">
        <v>117</v>
      </c>
      <c r="J132" s="48" t="s">
        <v>118</v>
      </c>
      <c r="K132" s="48" t="s">
        <v>119</v>
      </c>
      <c r="L132" s="48" t="s">
        <v>120</v>
      </c>
    </row>
    <row r="133" spans="1:12" ht="16" x14ac:dyDescent="0.2">
      <c r="A133" s="3"/>
      <c r="B133" s="3"/>
      <c r="C133" s="19" t="s">
        <v>63</v>
      </c>
      <c r="D133" s="21"/>
      <c r="E133" s="3"/>
      <c r="F133" s="3"/>
      <c r="G133" s="3"/>
      <c r="H133" s="3"/>
      <c r="I133" s="3"/>
      <c r="J133" s="3"/>
      <c r="K133" s="3"/>
      <c r="L133" s="3"/>
    </row>
    <row r="134" spans="1:12" ht="16" x14ac:dyDescent="0.2">
      <c r="A134" s="3"/>
      <c r="B134" s="3"/>
      <c r="C134" s="23" t="s">
        <v>157</v>
      </c>
      <c r="D134" s="21" t="s">
        <v>74</v>
      </c>
      <c r="E134" s="95">
        <f>E17</f>
        <v>121834</v>
      </c>
      <c r="F134" s="95">
        <f t="shared" ref="F134:L134" si="47">F17</f>
        <v>124810</v>
      </c>
      <c r="G134" s="95">
        <f t="shared" si="47"/>
        <v>165235</v>
      </c>
      <c r="H134" s="93">
        <f t="shared" si="47"/>
        <v>208270.22578448112</v>
      </c>
      <c r="I134" s="93">
        <f t="shared" si="47"/>
        <v>269208.55110660713</v>
      </c>
      <c r="J134" s="93">
        <f t="shared" si="47"/>
        <v>337845.16107069282</v>
      </c>
      <c r="K134" s="93">
        <f t="shared" si="47"/>
        <v>416707.06774958991</v>
      </c>
      <c r="L134" s="93">
        <f t="shared" si="47"/>
        <v>513599.93065721809</v>
      </c>
    </row>
    <row r="135" spans="1:12" ht="16" x14ac:dyDescent="0.2">
      <c r="A135" s="3"/>
      <c r="B135" s="3"/>
      <c r="C135" s="23" t="s">
        <v>158</v>
      </c>
      <c r="D135" s="21" t="s">
        <v>74</v>
      </c>
      <c r="E135" s="95">
        <f>E48</f>
        <v>38045</v>
      </c>
      <c r="F135" s="95">
        <f t="shared" ref="F135:L135" si="48">F48</f>
        <v>67955</v>
      </c>
      <c r="G135" s="95">
        <f t="shared" si="48"/>
        <v>131571</v>
      </c>
      <c r="H135" s="93">
        <f t="shared" si="48"/>
        <v>180886.37699999998</v>
      </c>
      <c r="I135" s="93">
        <f t="shared" si="48"/>
        <v>260085.27719999998</v>
      </c>
      <c r="J135" s="93">
        <f t="shared" si="48"/>
        <v>360354.99591</v>
      </c>
      <c r="K135" s="93">
        <f t="shared" si="48"/>
        <v>498953.07126000006</v>
      </c>
      <c r="L135" s="93">
        <f t="shared" si="48"/>
        <v>664854.96745394997</v>
      </c>
    </row>
    <row r="136" spans="1:12" ht="16" x14ac:dyDescent="0.2">
      <c r="A136" s="3"/>
      <c r="B136" s="3"/>
      <c r="C136" s="23" t="s">
        <v>159</v>
      </c>
      <c r="D136" s="21" t="s">
        <v>74</v>
      </c>
      <c r="E136" s="95">
        <f>E61</f>
        <v>0</v>
      </c>
      <c r="F136" s="95">
        <f t="shared" ref="F136:L136" si="49">F61</f>
        <v>28831</v>
      </c>
      <c r="G136" s="95">
        <f t="shared" si="49"/>
        <v>35288</v>
      </c>
      <c r="H136" s="93">
        <f t="shared" si="49"/>
        <v>80644.08</v>
      </c>
      <c r="I136" s="93">
        <f t="shared" si="49"/>
        <v>177416.97600000002</v>
      </c>
      <c r="J136" s="93">
        <f t="shared" si="49"/>
        <v>309673.26720000006</v>
      </c>
      <c r="K136" s="93">
        <f t="shared" si="49"/>
        <v>479993.56416000013</v>
      </c>
      <c r="L136" s="93">
        <f t="shared" si="49"/>
        <v>696764.85120000015</v>
      </c>
    </row>
    <row r="137" spans="1:12" ht="16" x14ac:dyDescent="0.2">
      <c r="A137" s="3"/>
      <c r="B137" s="3"/>
      <c r="C137" s="23" t="s">
        <v>160</v>
      </c>
      <c r="D137" s="21" t="s">
        <v>74</v>
      </c>
      <c r="E137" s="95">
        <f>E73</f>
        <v>3867</v>
      </c>
      <c r="F137" s="95">
        <f t="shared" ref="F137:L137" si="50">F73</f>
        <v>7807</v>
      </c>
      <c r="G137" s="95">
        <f t="shared" si="50"/>
        <v>18408</v>
      </c>
      <c r="H137" s="93">
        <f t="shared" si="50"/>
        <v>39311.889381679539</v>
      </c>
      <c r="I137" s="93">
        <f t="shared" si="50"/>
        <v>70761.400887023177</v>
      </c>
      <c r="J137" s="93">
        <f t="shared" si="50"/>
        <v>120294.3815079394</v>
      </c>
      <c r="K137" s="93">
        <f t="shared" si="50"/>
        <v>192471.01041270304</v>
      </c>
      <c r="L137" s="93">
        <f t="shared" si="50"/>
        <v>288706.51561905455</v>
      </c>
    </row>
    <row r="138" spans="1:12" ht="16" x14ac:dyDescent="0.2">
      <c r="A138" s="3"/>
      <c r="B138" s="3"/>
      <c r="C138" s="23" t="s">
        <v>161</v>
      </c>
      <c r="D138" s="21" t="s">
        <v>74</v>
      </c>
      <c r="E138" s="95">
        <f>E79</f>
        <v>5390</v>
      </c>
      <c r="F138" s="95">
        <f t="shared" ref="F138:L138" si="51">F79</f>
        <v>5778</v>
      </c>
      <c r="G138" s="95">
        <f t="shared" si="51"/>
        <v>8158</v>
      </c>
      <c r="H138" s="93">
        <f t="shared" si="51"/>
        <v>10692.37830550402</v>
      </c>
      <c r="I138" s="93">
        <f t="shared" si="51"/>
        <v>13900.091797155226</v>
      </c>
      <c r="J138" s="93">
        <f t="shared" si="51"/>
        <v>17931.118418330243</v>
      </c>
      <c r="K138" s="93">
        <f t="shared" si="51"/>
        <v>22951.831575462711</v>
      </c>
      <c r="L138" s="93">
        <f t="shared" si="51"/>
        <v>29148.826100837643</v>
      </c>
    </row>
    <row r="139" spans="1:12" ht="16" x14ac:dyDescent="0.2">
      <c r="A139" s="3"/>
      <c r="B139" s="3"/>
      <c r="C139" s="23" t="s">
        <v>162</v>
      </c>
      <c r="D139" s="21" t="s">
        <v>74</v>
      </c>
      <c r="E139" s="95">
        <f>E85</f>
        <v>15082</v>
      </c>
      <c r="F139" s="95">
        <f t="shared" ref="F139:L139" si="52">F85</f>
        <v>11105</v>
      </c>
      <c r="G139" s="95">
        <f t="shared" si="52"/>
        <v>24082</v>
      </c>
      <c r="H139" s="93">
        <f t="shared" si="52"/>
        <v>48164</v>
      </c>
      <c r="I139" s="93">
        <f t="shared" si="52"/>
        <v>93919.8</v>
      </c>
      <c r="J139" s="93">
        <f t="shared" si="52"/>
        <v>173751.63</v>
      </c>
      <c r="K139" s="93">
        <f t="shared" si="52"/>
        <v>312752.93400000001</v>
      </c>
      <c r="L139" s="93">
        <f t="shared" si="52"/>
        <v>547317.63450000004</v>
      </c>
    </row>
    <row r="140" spans="1:12" ht="16" x14ac:dyDescent="0.2">
      <c r="A140" s="3"/>
      <c r="B140" s="3"/>
      <c r="C140" s="23" t="s">
        <v>163</v>
      </c>
      <c r="D140" s="50"/>
      <c r="E140" s="98">
        <v>-8827</v>
      </c>
      <c r="F140" s="98">
        <f>-12978-(F136/2)</f>
        <v>-27393.5</v>
      </c>
      <c r="G140" s="98">
        <v>-26571</v>
      </c>
      <c r="H140" s="96">
        <f ca="1">H141*-0.07</f>
        <v>-37156.847227118262</v>
      </c>
      <c r="I140" s="96">
        <f ca="1">I141*-0.07</f>
        <v>-57916.305410612142</v>
      </c>
      <c r="J140" s="96">
        <f t="shared" ref="J140:L140" ca="1" si="53">J141*-0.07</f>
        <v>-86345.363352791974</v>
      </c>
      <c r="K140" s="96">
        <f t="shared" ca="1" si="53"/>
        <v>-125858.00330938589</v>
      </c>
      <c r="L140" s="96">
        <f t="shared" ca="1" si="53"/>
        <v>-179278.02877306004</v>
      </c>
    </row>
    <row r="141" spans="1:12" ht="16" x14ac:dyDescent="0.2">
      <c r="A141" s="3"/>
      <c r="B141" s="3"/>
      <c r="C141" s="51" t="s">
        <v>22</v>
      </c>
      <c r="D141" s="21" t="s">
        <v>74</v>
      </c>
      <c r="E141" s="99">
        <f>SUM(E134:E140)</f>
        <v>175391</v>
      </c>
      <c r="F141" s="99">
        <f>SUM(F134:F140)</f>
        <v>218892.5</v>
      </c>
      <c r="G141" s="99">
        <f>SUM(G134:G140)</f>
        <v>356171</v>
      </c>
      <c r="H141" s="127">
        <f t="shared" ref="H141:L141" ca="1" si="54">SUM(H134:H140)</f>
        <v>530812.10324454657</v>
      </c>
      <c r="I141" s="127">
        <f t="shared" ca="1" si="54"/>
        <v>827375.79158017342</v>
      </c>
      <c r="J141" s="127">
        <f t="shared" ca="1" si="54"/>
        <v>1233505.190754171</v>
      </c>
      <c r="K141" s="127">
        <f t="shared" ca="1" si="54"/>
        <v>1797971.4758483698</v>
      </c>
      <c r="L141" s="127">
        <f t="shared" ca="1" si="54"/>
        <v>2561114.6967580002</v>
      </c>
    </row>
    <row r="142" spans="1:12" ht="16" x14ac:dyDescent="0.2">
      <c r="A142" s="3"/>
      <c r="B142" s="3"/>
      <c r="C142" s="53" t="s">
        <v>21</v>
      </c>
      <c r="D142" s="21" t="s">
        <v>49</v>
      </c>
      <c r="E142" s="108">
        <v>0.5</v>
      </c>
      <c r="F142" s="103">
        <f>(F141-E141)/E141</f>
        <v>0.24802583941023199</v>
      </c>
      <c r="G142" s="103">
        <f t="shared" ref="G142:L142" si="55">(G141-F141)/F141</f>
        <v>0.62715031351005635</v>
      </c>
      <c r="H142" s="102">
        <f t="shared" ca="1" si="55"/>
        <v>0.49032937337555998</v>
      </c>
      <c r="I142" s="102">
        <f t="shared" ca="1" si="55"/>
        <v>0.5586980525178401</v>
      </c>
      <c r="J142" s="102">
        <f t="shared" ca="1" si="55"/>
        <v>0.49086449386964365</v>
      </c>
      <c r="K142" s="102">
        <f t="shared" ca="1" si="55"/>
        <v>0.45761160092814962</v>
      </c>
      <c r="L142" s="102">
        <f t="shared" ca="1" si="55"/>
        <v>0.42444678970757455</v>
      </c>
    </row>
    <row r="143" spans="1:12" ht="16" x14ac:dyDescent="0.2">
      <c r="A143" s="3"/>
      <c r="B143" s="3"/>
      <c r="C143" s="3"/>
      <c r="D143" s="3"/>
      <c r="E143" s="64"/>
      <c r="F143" s="64"/>
      <c r="G143" s="64"/>
      <c r="H143" s="65"/>
      <c r="I143" s="65"/>
      <c r="J143" s="65"/>
      <c r="K143" s="65"/>
      <c r="L143" s="65"/>
    </row>
    <row r="144" spans="1:12" ht="16" x14ac:dyDescent="0.2">
      <c r="A144" s="3"/>
      <c r="B144" s="3"/>
      <c r="C144" s="23" t="s">
        <v>164</v>
      </c>
      <c r="D144" s="21" t="s">
        <v>74</v>
      </c>
      <c r="E144" s="100">
        <v>-55788</v>
      </c>
      <c r="F144" s="100">
        <v>-85734</v>
      </c>
      <c r="G144" s="100">
        <v>-173952</v>
      </c>
      <c r="H144" s="65">
        <f ca="1">-H141*(1-H91)</f>
        <v>-211996.48534903582</v>
      </c>
      <c r="I144" s="65">
        <f t="shared" ref="I144:L144" ca="1" si="56">-I141*(1-I91)</f>
        <v>-347497.83246367285</v>
      </c>
      <c r="J144" s="65">
        <f t="shared" ca="1" si="56"/>
        <v>-530407.23202429363</v>
      </c>
      <c r="K144" s="65">
        <f t="shared" ca="1" si="56"/>
        <v>-791107.44937328261</v>
      </c>
      <c r="L144" s="65">
        <f t="shared" ca="1" si="56"/>
        <v>-1152501.6135410999</v>
      </c>
    </row>
    <row r="145" spans="1:14" ht="16" x14ac:dyDescent="0.2">
      <c r="A145" s="3"/>
      <c r="B145" s="3"/>
      <c r="C145" s="23" t="s">
        <v>165</v>
      </c>
      <c r="D145" s="33" t="s">
        <v>49</v>
      </c>
      <c r="E145" s="105">
        <f>-E144/E141</f>
        <v>0.31807789453278673</v>
      </c>
      <c r="F145" s="105">
        <f t="shared" ref="F145:G145" si="57">-F144/F141</f>
        <v>0.39167171099969161</v>
      </c>
      <c r="G145" s="105">
        <f t="shared" si="57"/>
        <v>0.48839461943841583</v>
      </c>
      <c r="H145" s="104">
        <f t="shared" ref="F145:L145" ca="1" si="58">H144/H141</f>
        <v>-0.39938140832363134</v>
      </c>
      <c r="I145" s="104">
        <f t="shared" ca="1" si="58"/>
        <v>-0.42000000000000004</v>
      </c>
      <c r="J145" s="104">
        <f t="shared" ca="1" si="58"/>
        <v>-0.4300000000000001</v>
      </c>
      <c r="K145" s="104">
        <f t="shared" ca="1" si="58"/>
        <v>-0.43999999999999995</v>
      </c>
      <c r="L145" s="104">
        <f t="shared" ca="1" si="58"/>
        <v>-0.44999999999999996</v>
      </c>
    </row>
    <row r="146" spans="1:14" ht="16" x14ac:dyDescent="0.2">
      <c r="A146" s="3"/>
      <c r="B146" s="3"/>
      <c r="C146" s="23"/>
      <c r="D146" s="3"/>
      <c r="E146" s="65"/>
      <c r="F146" s="65"/>
      <c r="G146" s="65"/>
      <c r="H146" s="65"/>
      <c r="I146" s="65"/>
      <c r="J146" s="65"/>
      <c r="K146" s="65"/>
      <c r="L146" s="65"/>
    </row>
    <row r="147" spans="1:14" ht="16" x14ac:dyDescent="0.2">
      <c r="A147" s="3"/>
      <c r="B147" s="3"/>
      <c r="C147" s="54" t="s">
        <v>8</v>
      </c>
      <c r="D147" s="21" t="s">
        <v>74</v>
      </c>
      <c r="E147" s="101">
        <f>E141+E144</f>
        <v>119603</v>
      </c>
      <c r="F147" s="101">
        <f t="shared" ref="F147:G147" si="59">F141+F144</f>
        <v>133158.5</v>
      </c>
      <c r="G147" s="101">
        <f t="shared" si="59"/>
        <v>182219</v>
      </c>
      <c r="H147" s="127">
        <f ca="1">H141+H144</f>
        <v>318815.61789551075</v>
      </c>
      <c r="I147" s="127">
        <f t="shared" ref="I147:L147" ca="1" si="60">I141+I144</f>
        <v>479877.95911650057</v>
      </c>
      <c r="J147" s="127">
        <f t="shared" ca="1" si="60"/>
        <v>703097.95872987737</v>
      </c>
      <c r="K147" s="127">
        <f t="shared" ca="1" si="60"/>
        <v>1006864.0264750872</v>
      </c>
      <c r="L147" s="127">
        <f t="shared" ca="1" si="60"/>
        <v>1408613.0832169002</v>
      </c>
    </row>
    <row r="148" spans="1:14" ht="16" x14ac:dyDescent="0.2">
      <c r="A148" s="3"/>
      <c r="B148" s="3"/>
      <c r="C148" s="53"/>
      <c r="D148" s="3"/>
      <c r="E148" s="106"/>
      <c r="F148" s="106"/>
      <c r="G148" s="106"/>
      <c r="H148" s="65"/>
      <c r="I148" s="65"/>
      <c r="J148" s="65"/>
      <c r="K148" s="65"/>
      <c r="L148" s="65"/>
    </row>
    <row r="149" spans="1:14" ht="16" x14ac:dyDescent="0.2">
      <c r="A149" s="3"/>
      <c r="B149" s="3"/>
      <c r="C149" s="23" t="s">
        <v>106</v>
      </c>
      <c r="D149" s="21" t="s">
        <v>74</v>
      </c>
      <c r="E149" s="100">
        <f>(E150-E144)</f>
        <v>-94903</v>
      </c>
      <c r="F149" s="100">
        <f t="shared" ref="F149:G149" si="61">(F150-F144)</f>
        <v>-116939</v>
      </c>
      <c r="G149" s="100">
        <f t="shared" si="61"/>
        <v>-195496</v>
      </c>
      <c r="H149" s="65">
        <f ca="1">-H141*H92</f>
        <v>-276022.2936871642</v>
      </c>
      <c r="I149" s="65">
        <f t="shared" ref="I149:L149" ca="1" si="62">-I141*I92</f>
        <v>-413687.89579008671</v>
      </c>
      <c r="J149" s="65">
        <f t="shared" ca="1" si="62"/>
        <v>-616752.5953770855</v>
      </c>
      <c r="K149" s="65">
        <f t="shared" ca="1" si="62"/>
        <v>-881006.02316570119</v>
      </c>
      <c r="L149" s="65">
        <f t="shared" ca="1" si="62"/>
        <v>-1229335.0544438399</v>
      </c>
    </row>
    <row r="150" spans="1:14" ht="16" x14ac:dyDescent="0.2">
      <c r="A150" s="3"/>
      <c r="B150" s="3"/>
      <c r="C150" s="107" t="s">
        <v>166</v>
      </c>
      <c r="D150" s="33" t="s">
        <v>74</v>
      </c>
      <c r="E150" s="100">
        <v>-150691</v>
      </c>
      <c r="F150" s="100">
        <v>-202673</v>
      </c>
      <c r="G150" s="100">
        <v>-369448</v>
      </c>
      <c r="H150" s="65">
        <f ca="1">H149+H144</f>
        <v>-488018.77903620002</v>
      </c>
      <c r="I150" s="65">
        <f t="shared" ref="I150:L150" ca="1" si="63">I149+I144</f>
        <v>-761185.72825375956</v>
      </c>
      <c r="J150" s="65">
        <f t="shared" ca="1" si="63"/>
        <v>-1147159.8274013791</v>
      </c>
      <c r="K150" s="65">
        <f t="shared" ca="1" si="63"/>
        <v>-1672113.4725389839</v>
      </c>
      <c r="L150" s="65">
        <f t="shared" ca="1" si="63"/>
        <v>-2381836.6679849401</v>
      </c>
    </row>
    <row r="151" spans="1:14" ht="16" x14ac:dyDescent="0.2">
      <c r="A151" s="3"/>
      <c r="B151" s="3"/>
      <c r="C151" s="55"/>
      <c r="D151" s="3"/>
      <c r="E151" s="100"/>
      <c r="F151" s="100"/>
      <c r="G151" s="100"/>
      <c r="H151" s="65"/>
      <c r="I151" s="65"/>
      <c r="J151" s="65"/>
      <c r="K151" s="65"/>
      <c r="L151" s="65"/>
    </row>
    <row r="152" spans="1:14" ht="16" x14ac:dyDescent="0.2">
      <c r="A152" s="3"/>
      <c r="B152" s="3"/>
      <c r="C152" s="54" t="s">
        <v>23</v>
      </c>
      <c r="D152" s="21" t="s">
        <v>74</v>
      </c>
      <c r="E152" s="101">
        <f>E147+E149</f>
        <v>24700</v>
      </c>
      <c r="F152" s="101">
        <f>F147+F149</f>
        <v>16219.5</v>
      </c>
      <c r="G152" s="101">
        <f>G147+G149</f>
        <v>-13277</v>
      </c>
      <c r="H152" s="101">
        <f ca="1">H147+H149</f>
        <v>42793.324208346545</v>
      </c>
      <c r="I152" s="101">
        <f t="shared" ref="I152:L152" ca="1" si="64">I147+I149</f>
        <v>66190.06332641386</v>
      </c>
      <c r="J152" s="101">
        <f t="shared" ca="1" si="64"/>
        <v>86345.363352791872</v>
      </c>
      <c r="K152" s="101">
        <f t="shared" ca="1" si="64"/>
        <v>125858.00330938597</v>
      </c>
      <c r="L152" s="101">
        <f t="shared" ca="1" si="64"/>
        <v>179278.0287730603</v>
      </c>
    </row>
    <row r="153" spans="1:14" ht="16" x14ac:dyDescent="0.2">
      <c r="A153" s="3"/>
      <c r="B153" s="3"/>
      <c r="C153" s="53" t="s">
        <v>24</v>
      </c>
      <c r="D153" s="21" t="s">
        <v>49</v>
      </c>
      <c r="E153" s="103">
        <f>E152/E141</f>
        <v>0.14082820669247567</v>
      </c>
      <c r="F153" s="103">
        <f t="shared" ref="F153:L153" si="65">F152/F141</f>
        <v>7.4098016149479765E-2</v>
      </c>
      <c r="G153" s="103">
        <f t="shared" si="65"/>
        <v>-3.7277038276558171E-2</v>
      </c>
      <c r="H153" s="103">
        <f t="shared" ca="1" si="65"/>
        <v>8.0618591676368659E-2</v>
      </c>
      <c r="I153" s="103">
        <f t="shared" ca="1" si="65"/>
        <v>7.9999999999999988E-2</v>
      </c>
      <c r="J153" s="103">
        <f t="shared" ca="1" si="65"/>
        <v>6.9999999999999923E-2</v>
      </c>
      <c r="K153" s="103">
        <f t="shared" ca="1" si="65"/>
        <v>7.0000000000000048E-2</v>
      </c>
      <c r="L153" s="103">
        <f t="shared" ca="1" si="65"/>
        <v>7.0000000000000118E-2</v>
      </c>
    </row>
    <row r="154" spans="1:14" ht="16" x14ac:dyDescent="0.2">
      <c r="A154" s="3"/>
      <c r="B154" s="3"/>
      <c r="C154" s="3"/>
      <c r="D154" s="3"/>
      <c r="E154" s="64"/>
      <c r="F154" s="64"/>
      <c r="G154" s="64"/>
      <c r="H154" s="64"/>
      <c r="I154" s="64"/>
      <c r="J154" s="64"/>
      <c r="K154" s="64"/>
      <c r="L154" s="64"/>
    </row>
    <row r="155" spans="1:14" ht="16" x14ac:dyDescent="0.2">
      <c r="A155" s="3"/>
      <c r="B155" s="3"/>
      <c r="C155" s="3" t="s">
        <v>107</v>
      </c>
      <c r="D155" s="21" t="s">
        <v>74</v>
      </c>
      <c r="E155" s="100">
        <v>3315</v>
      </c>
      <c r="F155" s="100">
        <v>3869</v>
      </c>
      <c r="G155" s="100">
        <v>4615</v>
      </c>
      <c r="H155" s="64">
        <f>SUM(G170:G171)*H94</f>
        <v>3451.9356851997909</v>
      </c>
      <c r="I155" s="64">
        <f t="shared" ref="I155:L155" ca="1" si="66">SUM(H170:H171)*I94</f>
        <v>4017.8485018736433</v>
      </c>
      <c r="J155" s="64">
        <f t="shared" ca="1" si="66"/>
        <v>3456.1414199841261</v>
      </c>
      <c r="K155" s="64">
        <f t="shared" ca="1" si="66"/>
        <v>4673.2434424968224</v>
      </c>
      <c r="L155" s="64">
        <f t="shared" ca="1" si="66"/>
        <v>6825.4283256383687</v>
      </c>
    </row>
    <row r="156" spans="1:14" ht="16" x14ac:dyDescent="0.2">
      <c r="A156" s="3"/>
      <c r="B156" s="3"/>
      <c r="C156" s="3" t="s">
        <v>169</v>
      </c>
      <c r="D156" s="21"/>
      <c r="E156" s="100">
        <v>-1200</v>
      </c>
      <c r="F156" s="100">
        <v>-2373</v>
      </c>
      <c r="G156" s="100">
        <v>-3711</v>
      </c>
      <c r="H156" s="64">
        <f>-G195*H95</f>
        <v>-3078.445441118196</v>
      </c>
      <c r="I156" s="64">
        <f t="shared" ref="I156:L156" si="67">-H195*I95</f>
        <v>-2575.0499999999997</v>
      </c>
      <c r="J156" s="64">
        <f t="shared" si="67"/>
        <v>-2575.0499999999997</v>
      </c>
      <c r="K156" s="64">
        <f t="shared" si="67"/>
        <v>-2575.0499999999997</v>
      </c>
      <c r="L156" s="64">
        <f t="shared" si="67"/>
        <v>-2575.0499999999997</v>
      </c>
      <c r="M156" s="65"/>
      <c r="N156" s="65"/>
    </row>
    <row r="157" spans="1:14" ht="16" x14ac:dyDescent="0.2">
      <c r="A157" s="3"/>
      <c r="B157" s="3"/>
      <c r="C157" s="3" t="s">
        <v>108</v>
      </c>
      <c r="D157" s="21" t="s">
        <v>74</v>
      </c>
      <c r="E157" s="100">
        <f>-3886-74</f>
        <v>-3960</v>
      </c>
      <c r="F157" s="100">
        <f>19230-2175+2321</f>
        <v>19376</v>
      </c>
      <c r="G157" s="100">
        <f>6367-1217</f>
        <v>5150</v>
      </c>
      <c r="H157" s="64">
        <v>5000</v>
      </c>
      <c r="I157" s="64">
        <v>5000</v>
      </c>
      <c r="J157" s="64">
        <v>5000</v>
      </c>
      <c r="K157" s="64">
        <v>5000</v>
      </c>
      <c r="L157" s="64">
        <v>5000</v>
      </c>
    </row>
    <row r="158" spans="1:14" ht="16" x14ac:dyDescent="0.2">
      <c r="A158" s="3"/>
      <c r="B158" s="3"/>
      <c r="C158" s="3"/>
      <c r="D158" s="33" t="s">
        <v>74</v>
      </c>
      <c r="E158" s="100"/>
      <c r="F158" s="100"/>
      <c r="G158" s="100"/>
      <c r="H158" s="64"/>
      <c r="I158" s="64"/>
      <c r="J158" s="64"/>
      <c r="K158" s="64"/>
      <c r="L158" s="64"/>
    </row>
    <row r="159" spans="1:14" ht="16" x14ac:dyDescent="0.2">
      <c r="A159" s="3"/>
      <c r="B159" s="3"/>
      <c r="C159" s="54" t="s">
        <v>25</v>
      </c>
      <c r="D159" s="21" t="s">
        <v>74</v>
      </c>
      <c r="E159" s="128">
        <f>E157+E155+E152+E156</f>
        <v>22855</v>
      </c>
      <c r="F159" s="128">
        <f>F157+F155+F152+F156</f>
        <v>37091.5</v>
      </c>
      <c r="G159" s="128">
        <f>G157+G155+G152+G156</f>
        <v>-7223</v>
      </c>
      <c r="H159" s="128">
        <f ca="1">H157+H155+H152+H156</f>
        <v>48166.814452428138</v>
      </c>
      <c r="I159" s="128">
        <f t="shared" ref="I159:L159" ca="1" si="68">I157+I155+I152+I156</f>
        <v>72632.861828287496</v>
      </c>
      <c r="J159" s="128">
        <f t="shared" ca="1" si="68"/>
        <v>92226.454772775993</v>
      </c>
      <c r="K159" s="128">
        <f t="shared" ca="1" si="68"/>
        <v>132956.19675188279</v>
      </c>
      <c r="L159" s="128">
        <f t="shared" ca="1" si="68"/>
        <v>188528.40709869869</v>
      </c>
    </row>
    <row r="160" spans="1:14" ht="16" x14ac:dyDescent="0.2">
      <c r="A160" s="3"/>
      <c r="B160" s="3"/>
      <c r="C160" s="23" t="s">
        <v>54</v>
      </c>
      <c r="D160" s="50" t="s">
        <v>74</v>
      </c>
      <c r="E160" s="100">
        <v>-11656</v>
      </c>
      <c r="F160" s="100">
        <v>-13193</v>
      </c>
      <c r="G160" s="100">
        <v>-7430</v>
      </c>
      <c r="H160" s="64">
        <f ca="1">-H159*H97</f>
        <v>-9392.5288182234872</v>
      </c>
      <c r="I160" s="64">
        <f t="shared" ref="I160:L160" ca="1" si="69">-I159*I97</f>
        <v>-14163.408056516062</v>
      </c>
      <c r="J160" s="64">
        <f t="shared" ca="1" si="69"/>
        <v>-17984.158680691318</v>
      </c>
      <c r="K160" s="64">
        <f t="shared" ca="1" si="69"/>
        <v>-25926.458366617146</v>
      </c>
      <c r="L160" s="64">
        <f t="shared" ca="1" si="69"/>
        <v>-36763.039384246244</v>
      </c>
    </row>
    <row r="161" spans="1:12" ht="16" x14ac:dyDescent="0.2">
      <c r="A161" s="3"/>
      <c r="B161" s="3"/>
      <c r="C161" s="115" t="s">
        <v>9</v>
      </c>
      <c r="D161" s="21" t="s">
        <v>74</v>
      </c>
      <c r="E161" s="113">
        <f>SUM(E159:E160)</f>
        <v>11199</v>
      </c>
      <c r="F161" s="113">
        <f>SUM(F159:F160)</f>
        <v>23898.5</v>
      </c>
      <c r="G161" s="113">
        <f t="shared" ref="G161" si="70">SUM(G159:G160)</f>
        <v>-14653</v>
      </c>
      <c r="H161" s="113">
        <f ca="1">SUM(H159:H160)</f>
        <v>38774.285634204651</v>
      </c>
      <c r="I161" s="113">
        <f t="shared" ref="I161:L161" ca="1" si="71">SUM(I159:I160)</f>
        <v>58469.453771771434</v>
      </c>
      <c r="J161" s="113">
        <f t="shared" ca="1" si="71"/>
        <v>74242.296092084667</v>
      </c>
      <c r="K161" s="113">
        <f t="shared" ca="1" si="71"/>
        <v>107029.73838526563</v>
      </c>
      <c r="L161" s="113">
        <f t="shared" ca="1" si="71"/>
        <v>151765.36771445244</v>
      </c>
    </row>
    <row r="162" spans="1:12" ht="16" x14ac:dyDescent="0.2">
      <c r="A162" s="3"/>
      <c r="B162" s="3"/>
      <c r="C162" s="116" t="s">
        <v>167</v>
      </c>
      <c r="D162" s="21" t="s">
        <v>74</v>
      </c>
      <c r="E162" s="114">
        <v>1627</v>
      </c>
      <c r="F162" s="114">
        <v>1363</v>
      </c>
      <c r="G162" s="114">
        <v>-16</v>
      </c>
      <c r="H162" s="114">
        <v>0</v>
      </c>
      <c r="I162" s="114">
        <v>0</v>
      </c>
      <c r="J162" s="114">
        <v>0</v>
      </c>
      <c r="K162" s="114">
        <v>0</v>
      </c>
      <c r="L162" s="114">
        <v>0</v>
      </c>
    </row>
    <row r="163" spans="1:12" ht="16" x14ac:dyDescent="0.2">
      <c r="A163" s="3"/>
      <c r="B163" s="3"/>
      <c r="C163" s="109" t="s">
        <v>168</v>
      </c>
      <c r="D163" s="21" t="s">
        <v>74</v>
      </c>
      <c r="E163" s="112">
        <f>E161-E162</f>
        <v>9572</v>
      </c>
      <c r="F163" s="112">
        <f>F161-F162</f>
        <v>22535.5</v>
      </c>
      <c r="G163" s="112">
        <f t="shared" ref="G163:L163" si="72">G161-G162</f>
        <v>-14637</v>
      </c>
      <c r="H163" s="112">
        <f t="shared" ca="1" si="72"/>
        <v>38774.285634204651</v>
      </c>
      <c r="I163" s="112">
        <f t="shared" ca="1" si="72"/>
        <v>58469.453771771434</v>
      </c>
      <c r="J163" s="112">
        <f t="shared" ca="1" si="72"/>
        <v>74242.296092084667</v>
      </c>
      <c r="K163" s="112">
        <f t="shared" ca="1" si="72"/>
        <v>107029.73838526563</v>
      </c>
      <c r="L163" s="112">
        <f t="shared" ca="1" si="72"/>
        <v>151765.36771445244</v>
      </c>
    </row>
    <row r="164" spans="1:12" ht="16" x14ac:dyDescent="0.2">
      <c r="A164" s="3"/>
      <c r="B164" s="3"/>
      <c r="C164" s="109"/>
      <c r="D164" s="21"/>
      <c r="E164" s="110"/>
      <c r="F164" s="110"/>
      <c r="G164" s="110"/>
      <c r="H164" s="110"/>
      <c r="I164" s="110"/>
      <c r="J164" s="110"/>
      <c r="K164" s="110"/>
      <c r="L164" s="110"/>
    </row>
    <row r="165" spans="1:12" ht="16" x14ac:dyDescent="0.2">
      <c r="A165" s="3"/>
      <c r="B165" s="3"/>
      <c r="C165" s="20"/>
      <c r="D165" s="3"/>
      <c r="E165" s="40"/>
      <c r="F165" s="40"/>
      <c r="G165" s="40"/>
      <c r="H165" s="40"/>
      <c r="I165" s="40"/>
      <c r="J165" s="40"/>
      <c r="K165" s="40"/>
      <c r="L165" s="40"/>
    </row>
    <row r="166" spans="1:12" ht="16" x14ac:dyDescent="0.2">
      <c r="A166" s="3"/>
      <c r="B166" s="12"/>
      <c r="C166" s="12"/>
      <c r="D166" s="12"/>
      <c r="E166" s="13" t="s">
        <v>5</v>
      </c>
      <c r="F166" s="13"/>
      <c r="G166" s="13"/>
      <c r="H166" s="14" t="s">
        <v>6</v>
      </c>
      <c r="I166" s="13"/>
      <c r="J166" s="13"/>
      <c r="K166" s="13"/>
      <c r="L166" s="13"/>
    </row>
    <row r="167" spans="1:12" ht="16" x14ac:dyDescent="0.2">
      <c r="A167" s="3"/>
      <c r="B167" s="46" t="s">
        <v>10</v>
      </c>
      <c r="C167" s="46"/>
      <c r="D167" s="47" t="s">
        <v>48</v>
      </c>
      <c r="E167" s="48" t="s">
        <v>113</v>
      </c>
      <c r="F167" s="48" t="s">
        <v>114</v>
      </c>
      <c r="G167" s="48" t="s">
        <v>115</v>
      </c>
      <c r="H167" s="49" t="s">
        <v>116</v>
      </c>
      <c r="I167" s="48" t="s">
        <v>117</v>
      </c>
      <c r="J167" s="48" t="s">
        <v>118</v>
      </c>
      <c r="K167" s="48" t="s">
        <v>119</v>
      </c>
      <c r="L167" s="48" t="s">
        <v>120</v>
      </c>
    </row>
    <row r="168" spans="1:12" ht="16" x14ac:dyDescent="0.2">
      <c r="A168" s="3"/>
      <c r="B168" s="57" t="s">
        <v>26</v>
      </c>
      <c r="C168" s="57"/>
      <c r="D168" s="18"/>
      <c r="E168" s="18"/>
      <c r="F168" s="18"/>
      <c r="G168" s="18"/>
      <c r="H168" s="18"/>
      <c r="I168" s="18"/>
      <c r="J168" s="18"/>
      <c r="K168" s="18"/>
      <c r="L168" s="18"/>
    </row>
    <row r="169" spans="1:12" ht="16" x14ac:dyDescent="0.2">
      <c r="A169" s="3"/>
      <c r="B169" s="3"/>
      <c r="C169" s="19" t="s">
        <v>27</v>
      </c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6" x14ac:dyDescent="0.2">
      <c r="A170" s="3"/>
      <c r="B170" s="3"/>
      <c r="C170" s="23" t="s">
        <v>11</v>
      </c>
      <c r="D170" s="117" t="s">
        <v>74</v>
      </c>
      <c r="E170" s="95">
        <v>56415</v>
      </c>
      <c r="F170" s="95">
        <v>132398</v>
      </c>
      <c r="G170" s="95">
        <v>79275</v>
      </c>
      <c r="H170" s="63">
        <f ca="1">H249</f>
        <v>82331.67148210408</v>
      </c>
      <c r="I170" s="63">
        <f t="shared" ref="I170:K170" ca="1" si="73">I249</f>
        <v>61282.897713832164</v>
      </c>
      <c r="J170" s="63">
        <f t="shared" ca="1" si="73"/>
        <v>74367.086062420567</v>
      </c>
      <c r="K170" s="63">
        <f t="shared" ca="1" si="73"/>
        <v>123171.70814095922</v>
      </c>
      <c r="L170" s="63">
        <f ca="1">L249</f>
        <v>240515.31553295522</v>
      </c>
    </row>
    <row r="171" spans="1:12" ht="16" x14ac:dyDescent="0.2">
      <c r="A171" s="3"/>
      <c r="B171" s="3"/>
      <c r="C171" s="23" t="s">
        <v>77</v>
      </c>
      <c r="D171" s="117" t="s">
        <v>74</v>
      </c>
      <c r="E171" s="95">
        <f>31891</f>
        <v>31891</v>
      </c>
      <c r="F171" s="95">
        <f>105787</f>
        <v>105787</v>
      </c>
      <c r="G171" s="95">
        <f>23415+4049</f>
        <v>27464</v>
      </c>
      <c r="H171" s="63">
        <f>G171-H232</f>
        <v>32464</v>
      </c>
      <c r="I171" s="63">
        <f t="shared" ref="I171:L171" si="74">H171-I232</f>
        <v>37464</v>
      </c>
      <c r="J171" s="63">
        <f t="shared" si="74"/>
        <v>42464</v>
      </c>
      <c r="K171" s="63">
        <f t="shared" si="74"/>
        <v>47464</v>
      </c>
      <c r="L171" s="63">
        <f t="shared" si="74"/>
        <v>52464</v>
      </c>
    </row>
    <row r="172" spans="1:12" ht="16" x14ac:dyDescent="0.2">
      <c r="A172" s="3"/>
      <c r="B172" s="3"/>
      <c r="C172" s="23" t="s">
        <v>53</v>
      </c>
      <c r="D172" s="117" t="s">
        <v>74</v>
      </c>
      <c r="E172" s="95">
        <v>17832</v>
      </c>
      <c r="F172" s="95">
        <f>25440</f>
        <v>25440</v>
      </c>
      <c r="G172" s="95">
        <f>43568</f>
        <v>43568</v>
      </c>
      <c r="H172" s="63">
        <f ca="1">H141*H100</f>
        <v>60196.690308236102</v>
      </c>
      <c r="I172" s="63">
        <f t="shared" ref="I172:L172" ca="1" si="75">I141*I100</f>
        <v>99285.094989620804</v>
      </c>
      <c r="J172" s="63">
        <f t="shared" ca="1" si="75"/>
        <v>148020.62289050053</v>
      </c>
      <c r="K172" s="63">
        <f t="shared" ca="1" si="75"/>
        <v>224746.43448104622</v>
      </c>
      <c r="L172" s="63">
        <f t="shared" ca="1" si="75"/>
        <v>332944.91057854006</v>
      </c>
    </row>
    <row r="173" spans="1:12" ht="16" x14ac:dyDescent="0.2">
      <c r="A173" s="3"/>
      <c r="B173" s="3"/>
      <c r="C173" s="23" t="s">
        <v>12</v>
      </c>
      <c r="D173" s="117" t="s">
        <v>74</v>
      </c>
      <c r="E173" s="95">
        <v>0</v>
      </c>
      <c r="F173" s="95">
        <f>4810</f>
        <v>4810</v>
      </c>
      <c r="G173" s="95">
        <f>9587</f>
        <v>9587</v>
      </c>
      <c r="H173" s="63">
        <f ca="1">-H144*H101</f>
        <v>11659.80669419697</v>
      </c>
      <c r="I173" s="63">
        <f t="shared" ref="I173:L173" ca="1" si="76">-I144*I101</f>
        <v>19112.380785502006</v>
      </c>
      <c r="J173" s="63">
        <f t="shared" ca="1" si="76"/>
        <v>29172.397761336149</v>
      </c>
      <c r="K173" s="63">
        <f t="shared" ca="1" si="76"/>
        <v>43510.909715530543</v>
      </c>
      <c r="L173" s="63">
        <f t="shared" ca="1" si="76"/>
        <v>63387.588744760498</v>
      </c>
    </row>
    <row r="174" spans="1:12" ht="16" x14ac:dyDescent="0.2">
      <c r="A174" s="3"/>
      <c r="B174" s="3"/>
      <c r="C174" s="58" t="s">
        <v>57</v>
      </c>
      <c r="D174" s="118" t="s">
        <v>74</v>
      </c>
      <c r="E174" s="98">
        <f>3315+1226+9605</f>
        <v>14146</v>
      </c>
      <c r="F174" s="98">
        <f>6727+2289+7573+5377</f>
        <v>21966</v>
      </c>
      <c r="G174" s="98">
        <f>12663+6180+452+13498+7288</f>
        <v>40081</v>
      </c>
      <c r="H174" s="119">
        <f ca="1">-H149*H102</f>
        <v>49860.766547576874</v>
      </c>
      <c r="I174" s="119">
        <f t="shared" ref="I174:L174" ca="1" si="77">-I149*I102</f>
        <v>78600.70020011648</v>
      </c>
      <c r="J174" s="119">
        <f t="shared" ca="1" si="77"/>
        <v>117182.99312164624</v>
      </c>
      <c r="K174" s="119">
        <f t="shared" ca="1" si="77"/>
        <v>176201.20463314024</v>
      </c>
      <c r="L174" s="119">
        <f t="shared" ca="1" si="77"/>
        <v>245867.01088876801</v>
      </c>
    </row>
    <row r="175" spans="1:12" ht="16" x14ac:dyDescent="0.2">
      <c r="A175" s="3"/>
      <c r="B175" s="3"/>
      <c r="C175" s="54" t="s">
        <v>13</v>
      </c>
      <c r="D175" s="117" t="s">
        <v>74</v>
      </c>
      <c r="E175" s="129">
        <f>SUM(E170:E174)</f>
        <v>120284</v>
      </c>
      <c r="F175" s="129">
        <f>SUM(F170:F174)</f>
        <v>290401</v>
      </c>
      <c r="G175" s="129">
        <f t="shared" ref="G175:L175" si="78">SUM(G170:G174)</f>
        <v>199975</v>
      </c>
      <c r="H175" s="120">
        <f ca="1">SUM(H170:H174)</f>
        <v>236512.93503211404</v>
      </c>
      <c r="I175" s="120">
        <f t="shared" ref="I175:L175" ca="1" si="79">SUM(I170:I174)</f>
        <v>295745.07368907146</v>
      </c>
      <c r="J175" s="120">
        <f t="shared" ca="1" si="79"/>
        <v>411207.0998359035</v>
      </c>
      <c r="K175" s="120">
        <f t="shared" ca="1" si="79"/>
        <v>615094.25697067613</v>
      </c>
      <c r="L175" s="120">
        <f t="shared" ca="1" si="79"/>
        <v>935178.82574502379</v>
      </c>
    </row>
    <row r="176" spans="1:12" ht="16" x14ac:dyDescent="0.2">
      <c r="A176" s="3"/>
      <c r="B176" s="3"/>
      <c r="C176" s="3"/>
      <c r="D176" s="3"/>
      <c r="E176" s="97"/>
      <c r="F176" s="97"/>
      <c r="G176" s="97"/>
      <c r="H176" s="40"/>
      <c r="I176" s="40"/>
      <c r="J176" s="40"/>
      <c r="K176" s="40"/>
      <c r="L176" s="40"/>
    </row>
    <row r="177" spans="1:12" ht="16" x14ac:dyDescent="0.2">
      <c r="A177" s="3"/>
      <c r="B177" s="3"/>
      <c r="C177" s="54" t="s">
        <v>28</v>
      </c>
      <c r="D177" s="3"/>
      <c r="E177" s="95"/>
      <c r="F177" s="95"/>
      <c r="G177" s="95"/>
      <c r="H177" s="63"/>
      <c r="I177" s="63"/>
      <c r="J177" s="63"/>
      <c r="K177" s="63"/>
      <c r="L177" s="63"/>
    </row>
    <row r="178" spans="1:12" ht="16" x14ac:dyDescent="0.2">
      <c r="A178" s="3"/>
      <c r="B178" s="3"/>
      <c r="C178" s="23" t="s">
        <v>55</v>
      </c>
      <c r="D178" s="21" t="s">
        <v>74</v>
      </c>
      <c r="E178" s="95">
        <v>47856</v>
      </c>
      <c r="F178" s="95">
        <v>61772</v>
      </c>
      <c r="G178" s="95">
        <v>98325</v>
      </c>
      <c r="H178" s="63">
        <f ca="1">G178-H212-H229</f>
        <v>128359.2253153554</v>
      </c>
      <c r="I178" s="63">
        <f t="shared" ref="I178:L178" ca="1" si="80">H178-I212-I229</f>
        <v>144906.7411469589</v>
      </c>
      <c r="J178" s="63">
        <f t="shared" ca="1" si="80"/>
        <v>151074.26710072975</v>
      </c>
      <c r="K178" s="63">
        <f t="shared" ca="1" si="80"/>
        <v>124104.69496300419</v>
      </c>
      <c r="L178" s="63">
        <f t="shared" ca="1" si="80"/>
        <v>72882.401027844171</v>
      </c>
    </row>
    <row r="179" spans="1:12" ht="16" x14ac:dyDescent="0.2">
      <c r="A179" s="3"/>
      <c r="B179" s="3"/>
      <c r="C179" s="23" t="s">
        <v>65</v>
      </c>
      <c r="D179" s="21" t="s">
        <v>74</v>
      </c>
      <c r="E179" s="95">
        <f>10365+52205+3295</f>
        <v>65865</v>
      </c>
      <c r="F179" s="95">
        <f>21842+7464+104275</f>
        <v>133581</v>
      </c>
      <c r="G179" s="95">
        <f>117864+13767+22359</f>
        <v>153990</v>
      </c>
      <c r="H179" s="63">
        <f>G179+20000</f>
        <v>173990</v>
      </c>
      <c r="I179" s="63">
        <f t="shared" ref="I179:L179" si="81">H179+20000</f>
        <v>193990</v>
      </c>
      <c r="J179" s="63">
        <f t="shared" si="81"/>
        <v>213990</v>
      </c>
      <c r="K179" s="63">
        <f t="shared" si="81"/>
        <v>233990</v>
      </c>
      <c r="L179" s="63">
        <f t="shared" si="81"/>
        <v>253990</v>
      </c>
    </row>
    <row r="180" spans="1:12" ht="16" x14ac:dyDescent="0.2">
      <c r="A180" s="3"/>
      <c r="B180" s="3"/>
      <c r="C180" s="23" t="s">
        <v>78</v>
      </c>
      <c r="D180" s="21" t="s">
        <v>74</v>
      </c>
      <c r="E180" s="95">
        <f>1847</f>
        <v>1847</v>
      </c>
      <c r="F180" s="95">
        <f>1639</f>
        <v>1639</v>
      </c>
      <c r="G180" s="95">
        <f>5625</f>
        <v>5625</v>
      </c>
      <c r="H180" s="63">
        <f ca="1">G180-H215</f>
        <v>6282.4770172756444</v>
      </c>
      <c r="I180" s="63">
        <f t="shared" ref="I180:L180" ca="1" si="82">H180-I215</f>
        <v>7273.9155812317686</v>
      </c>
      <c r="J180" s="63">
        <f t="shared" ca="1" si="82"/>
        <v>8532.8066888801604</v>
      </c>
      <c r="K180" s="63">
        <f t="shared" ca="1" si="82"/>
        <v>10347.658774543361</v>
      </c>
      <c r="L180" s="63">
        <f t="shared" ca="1" si="82"/>
        <v>12921.071531440597</v>
      </c>
    </row>
    <row r="181" spans="1:12" ht="16" x14ac:dyDescent="0.2">
      <c r="A181" s="3"/>
      <c r="B181" s="3"/>
      <c r="C181" s="58" t="s">
        <v>14</v>
      </c>
      <c r="D181" s="50" t="s">
        <v>74</v>
      </c>
      <c r="E181" s="98">
        <f>21218+2289+28073+3694</f>
        <v>55274</v>
      </c>
      <c r="F181" s="98">
        <f>4893+1135+1391+20800</f>
        <v>28219</v>
      </c>
      <c r="G181" s="98">
        <f>7843+10215+3278+36245</f>
        <v>57581</v>
      </c>
      <c r="H181" s="119">
        <f ca="1">G181-H231</f>
        <v>57581</v>
      </c>
      <c r="I181" s="119">
        <f t="shared" ref="I181:L181" ca="1" si="83">H181-I231</f>
        <v>57581</v>
      </c>
      <c r="J181" s="119">
        <f t="shared" ca="1" si="83"/>
        <v>57581</v>
      </c>
      <c r="K181" s="119">
        <f t="shared" ca="1" si="83"/>
        <v>57581</v>
      </c>
      <c r="L181" s="119">
        <f t="shared" ca="1" si="83"/>
        <v>57581</v>
      </c>
    </row>
    <row r="182" spans="1:12" ht="16" x14ac:dyDescent="0.2">
      <c r="A182" s="3"/>
      <c r="B182" s="3"/>
      <c r="C182" s="54" t="s">
        <v>29</v>
      </c>
      <c r="D182" s="21" t="s">
        <v>74</v>
      </c>
      <c r="E182" s="129">
        <f>SUM(E178:E181)</f>
        <v>170842</v>
      </c>
      <c r="F182" s="129">
        <f t="shared" ref="F182:L182" si="84">SUM(F178:F181)</f>
        <v>225211</v>
      </c>
      <c r="G182" s="129">
        <f t="shared" si="84"/>
        <v>315521</v>
      </c>
      <c r="H182" s="120">
        <f ca="1">SUM(H178:H181)</f>
        <v>366212.70233263104</v>
      </c>
      <c r="I182" s="120">
        <f t="shared" ref="I182:L182" ca="1" si="85">SUM(I178:I181)</f>
        <v>403751.65672819066</v>
      </c>
      <c r="J182" s="120">
        <f t="shared" ca="1" si="85"/>
        <v>431178.07378960989</v>
      </c>
      <c r="K182" s="120">
        <f t="shared" ca="1" si="85"/>
        <v>426023.35373754759</v>
      </c>
      <c r="L182" s="120">
        <f t="shared" ca="1" si="85"/>
        <v>397374.47255928477</v>
      </c>
    </row>
    <row r="183" spans="1:12" ht="16" x14ac:dyDescent="0.2">
      <c r="A183" s="3"/>
      <c r="B183" s="3"/>
      <c r="C183" s="54"/>
      <c r="D183" s="3"/>
      <c r="E183" s="129"/>
      <c r="F183" s="129"/>
      <c r="G183" s="129"/>
      <c r="H183" s="121"/>
      <c r="I183" s="63"/>
      <c r="J183" s="63"/>
      <c r="K183" s="63"/>
      <c r="L183" s="63"/>
    </row>
    <row r="184" spans="1:12" ht="16" x14ac:dyDescent="0.2">
      <c r="A184" s="3"/>
      <c r="B184" s="3"/>
      <c r="C184" s="54" t="s">
        <v>15</v>
      </c>
      <c r="D184" s="21" t="s">
        <v>74</v>
      </c>
      <c r="E184" s="129">
        <f>E182+E175</f>
        <v>291126</v>
      </c>
      <c r="F184" s="129">
        <f t="shared" ref="F184:L184" si="86">F182+F175</f>
        <v>515612</v>
      </c>
      <c r="G184" s="129">
        <f t="shared" si="86"/>
        <v>515496</v>
      </c>
      <c r="H184" s="129">
        <f t="shared" ca="1" si="86"/>
        <v>602725.63736474514</v>
      </c>
      <c r="I184" s="129">
        <f t="shared" ca="1" si="86"/>
        <v>699496.73041726206</v>
      </c>
      <c r="J184" s="129">
        <f t="shared" ca="1" si="86"/>
        <v>842385.17362551345</v>
      </c>
      <c r="K184" s="129">
        <f t="shared" ca="1" si="86"/>
        <v>1041117.6107082237</v>
      </c>
      <c r="L184" s="129">
        <f t="shared" ca="1" si="86"/>
        <v>1332553.2983043087</v>
      </c>
    </row>
    <row r="185" spans="1:12" ht="16" x14ac:dyDescent="0.2">
      <c r="A185" s="3"/>
      <c r="B185" s="3"/>
      <c r="C185" s="54"/>
      <c r="D185" s="3"/>
      <c r="E185" s="52"/>
      <c r="F185" s="52"/>
      <c r="G185" s="52"/>
      <c r="H185" s="40"/>
      <c r="I185" s="40"/>
      <c r="J185" s="40"/>
      <c r="K185" s="40"/>
      <c r="L185" s="40"/>
    </row>
    <row r="186" spans="1:12" ht="16" x14ac:dyDescent="0.2">
      <c r="A186" s="3"/>
      <c r="B186" s="18" t="s">
        <v>30</v>
      </c>
      <c r="C186" s="18"/>
      <c r="D186" s="18"/>
      <c r="E186" s="18"/>
      <c r="F186" s="18"/>
      <c r="G186" s="18"/>
      <c r="H186" s="18"/>
      <c r="I186" s="18"/>
      <c r="J186" s="18"/>
      <c r="K186" s="18"/>
      <c r="L186" s="18"/>
    </row>
    <row r="187" spans="1:12" ht="16" x14ac:dyDescent="0.2">
      <c r="A187" s="3"/>
      <c r="B187" s="3"/>
      <c r="C187" s="19" t="s">
        <v>31</v>
      </c>
      <c r="D187" s="19"/>
      <c r="E187" s="40"/>
      <c r="F187" s="40"/>
      <c r="G187" s="40"/>
      <c r="H187" s="40"/>
      <c r="I187" s="40"/>
      <c r="J187" s="40"/>
      <c r="K187" s="40"/>
      <c r="L187" s="40"/>
    </row>
    <row r="188" spans="1:12" ht="16" x14ac:dyDescent="0.2">
      <c r="A188" s="3"/>
      <c r="B188" s="3"/>
      <c r="C188" s="23" t="s">
        <v>175</v>
      </c>
      <c r="D188" s="117" t="s">
        <v>74</v>
      </c>
      <c r="E188" s="95">
        <v>34978</v>
      </c>
      <c r="F188" s="95">
        <v>43634</v>
      </c>
      <c r="G188" s="95">
        <v>84495</v>
      </c>
      <c r="H188" s="63">
        <f ca="1">-H144*H104</f>
        <v>105998.24267451791</v>
      </c>
      <c r="I188" s="63">
        <f t="shared" ref="I188:L188" ca="1" si="87">-I144*I104</f>
        <v>170273.9379071997</v>
      </c>
      <c r="J188" s="63">
        <f t="shared" ca="1" si="87"/>
        <v>254595.47137166094</v>
      </c>
      <c r="K188" s="63">
        <f t="shared" ca="1" si="87"/>
        <v>379731.57569917565</v>
      </c>
      <c r="L188" s="63">
        <f t="shared" ca="1" si="87"/>
        <v>541675.75836431689</v>
      </c>
    </row>
    <row r="189" spans="1:12" ht="16" x14ac:dyDescent="0.2">
      <c r="A189" s="3"/>
      <c r="B189" s="3"/>
      <c r="C189" s="23" t="s">
        <v>170</v>
      </c>
      <c r="D189" s="123" t="s">
        <v>74</v>
      </c>
      <c r="E189" s="95">
        <v>8020</v>
      </c>
      <c r="F189" s="95">
        <v>12573</v>
      </c>
      <c r="G189" s="95">
        <v>16196</v>
      </c>
      <c r="H189" s="63">
        <f ca="1">G189-H215</f>
        <v>16853.477017275643</v>
      </c>
      <c r="I189" s="63">
        <f t="shared" ref="I189:L189" ca="1" si="88">H189-I215</f>
        <v>17844.915581231769</v>
      </c>
      <c r="J189" s="63">
        <f t="shared" ca="1" si="88"/>
        <v>19103.806688880162</v>
      </c>
      <c r="K189" s="63">
        <f t="shared" ca="1" si="88"/>
        <v>20918.658774543364</v>
      </c>
      <c r="L189" s="63">
        <f t="shared" ca="1" si="88"/>
        <v>23492.071531440601</v>
      </c>
    </row>
    <row r="190" spans="1:12" ht="16" x14ac:dyDescent="0.2">
      <c r="A190" s="3"/>
      <c r="B190" s="3"/>
      <c r="C190" s="23" t="s">
        <v>66</v>
      </c>
      <c r="D190" s="123" t="s">
        <v>74</v>
      </c>
      <c r="E190" s="95">
        <v>3542</v>
      </c>
      <c r="F190" s="95">
        <v>6645</v>
      </c>
      <c r="G190" s="95">
        <v>10415</v>
      </c>
      <c r="H190" s="63">
        <f ca="1">H141*H106</f>
        <v>14118.508161539803</v>
      </c>
      <c r="I190" s="63">
        <f t="shared" ref="I190:L190" ca="1" si="89">I141*I106</f>
        <v>24821.273747405201</v>
      </c>
      <c r="J190" s="63">
        <f t="shared" ca="1" si="89"/>
        <v>43172.681676395987</v>
      </c>
      <c r="K190" s="63">
        <f t="shared" ca="1" si="89"/>
        <v>71918.859033934787</v>
      </c>
      <c r="L190" s="63">
        <f t="shared" ca="1" si="89"/>
        <v>102444.58787032001</v>
      </c>
    </row>
    <row r="191" spans="1:12" ht="16" x14ac:dyDescent="0.2">
      <c r="A191" s="3"/>
      <c r="B191" s="3"/>
      <c r="C191" s="56" t="s">
        <v>16</v>
      </c>
      <c r="D191" s="124" t="s">
        <v>74</v>
      </c>
      <c r="E191" s="130">
        <f>SUM(E188:E190)</f>
        <v>46540</v>
      </c>
      <c r="F191" s="130">
        <f>SUM(F188:F190)</f>
        <v>62852</v>
      </c>
      <c r="G191" s="130">
        <f>SUM(G188:G190)</f>
        <v>111106</v>
      </c>
      <c r="H191" s="122">
        <f ca="1">SUM(H188:H190)</f>
        <v>136970.22785333334</v>
      </c>
      <c r="I191" s="122">
        <f t="shared" ref="I191:L191" ca="1" si="90">SUM(I188:I190)</f>
        <v>212940.12723583667</v>
      </c>
      <c r="J191" s="122">
        <f t="shared" ca="1" si="90"/>
        <v>316871.95973693707</v>
      </c>
      <c r="K191" s="122">
        <f t="shared" ca="1" si="90"/>
        <v>472569.0935076538</v>
      </c>
      <c r="L191" s="122">
        <f t="shared" ca="1" si="90"/>
        <v>667612.41776607744</v>
      </c>
    </row>
    <row r="192" spans="1:12" ht="16" x14ac:dyDescent="0.2">
      <c r="A192" s="3"/>
      <c r="B192" s="3"/>
      <c r="C192" s="3"/>
      <c r="D192" s="63"/>
      <c r="E192" s="95"/>
      <c r="F192" s="95"/>
      <c r="G192" s="95"/>
      <c r="H192" s="63"/>
      <c r="I192" s="63"/>
      <c r="J192" s="63"/>
      <c r="K192" s="63"/>
      <c r="L192" s="63"/>
    </row>
    <row r="193" spans="1:12" ht="16" x14ac:dyDescent="0.2">
      <c r="A193" s="3"/>
      <c r="B193" s="3"/>
      <c r="C193" s="54" t="s">
        <v>32</v>
      </c>
      <c r="D193" s="63"/>
      <c r="E193" s="95"/>
      <c r="F193" s="95"/>
      <c r="G193" s="95"/>
      <c r="H193" s="63"/>
      <c r="I193" s="63"/>
      <c r="J193" s="63"/>
      <c r="K193" s="63"/>
      <c r="L193" s="63"/>
    </row>
    <row r="194" spans="1:12" ht="16" x14ac:dyDescent="0.2">
      <c r="A194" s="3"/>
      <c r="B194" s="3"/>
      <c r="C194" s="23" t="s">
        <v>171</v>
      </c>
      <c r="D194" s="117" t="s">
        <v>74</v>
      </c>
      <c r="E194" s="95">
        <v>10841</v>
      </c>
      <c r="F194" s="95">
        <v>12830</v>
      </c>
      <c r="G194" s="95">
        <v>24642</v>
      </c>
      <c r="H194" s="63">
        <f>G194+5000</f>
        <v>29642</v>
      </c>
      <c r="I194" s="63">
        <f t="shared" ref="I194:L194" si="91">H194+5000</f>
        <v>34642</v>
      </c>
      <c r="J194" s="63">
        <f t="shared" si="91"/>
        <v>39642</v>
      </c>
      <c r="K194" s="63">
        <f t="shared" si="91"/>
        <v>44642</v>
      </c>
      <c r="L194" s="63">
        <f t="shared" si="91"/>
        <v>49642</v>
      </c>
    </row>
    <row r="195" spans="1:12" ht="16" x14ac:dyDescent="0.2">
      <c r="A195" s="3"/>
      <c r="B195" s="3"/>
      <c r="C195" s="23" t="s">
        <v>69</v>
      </c>
      <c r="D195" s="117" t="s">
        <v>74</v>
      </c>
      <c r="E195" s="95">
        <v>0</v>
      </c>
      <c r="F195" s="95">
        <v>83277</v>
      </c>
      <c r="G195" s="95">
        <f>85835</f>
        <v>85835</v>
      </c>
      <c r="H195" s="63">
        <f>G195+H239</f>
        <v>85835</v>
      </c>
      <c r="I195" s="63">
        <f t="shared" ref="I195:L195" si="92">H195+I239</f>
        <v>85835</v>
      </c>
      <c r="J195" s="63">
        <f t="shared" si="92"/>
        <v>85835</v>
      </c>
      <c r="K195" s="63">
        <f t="shared" si="92"/>
        <v>85835</v>
      </c>
      <c r="L195" s="63">
        <f t="shared" si="92"/>
        <v>85835</v>
      </c>
    </row>
    <row r="196" spans="1:12" ht="16" x14ac:dyDescent="0.2">
      <c r="A196" s="3"/>
      <c r="B196" s="3"/>
      <c r="C196" s="58" t="s">
        <v>17</v>
      </c>
      <c r="D196" s="118" t="s">
        <v>74</v>
      </c>
      <c r="E196" s="98">
        <f>2359+1951</f>
        <v>4310</v>
      </c>
      <c r="F196" s="98">
        <f>F197-F195-F194</f>
        <v>8551</v>
      </c>
      <c r="G196" s="98">
        <f>G197-G195-G194</f>
        <v>20988</v>
      </c>
      <c r="H196" s="119">
        <f ca="1">-H144*H107</f>
        <v>15963.058450836732</v>
      </c>
      <c r="I196" s="119">
        <f t="shared" ref="I196:L196" ca="1" si="93">-I144*I107</f>
        <v>27799.82659709383</v>
      </c>
      <c r="J196" s="119">
        <f t="shared" ca="1" si="93"/>
        <v>47736.650882186426</v>
      </c>
      <c r="K196" s="119">
        <f t="shared" ca="1" si="93"/>
        <v>79110.744937328272</v>
      </c>
      <c r="L196" s="119">
        <f t="shared" ca="1" si="93"/>
        <v>115250.16135410999</v>
      </c>
    </row>
    <row r="197" spans="1:12" ht="16" x14ac:dyDescent="0.2">
      <c r="A197" s="3"/>
      <c r="B197" s="3"/>
      <c r="C197" s="54" t="s">
        <v>62</v>
      </c>
      <c r="D197" s="117" t="s">
        <v>74</v>
      </c>
      <c r="E197" s="129">
        <f>SUM(E194:E196)</f>
        <v>15151</v>
      </c>
      <c r="F197" s="129">
        <v>104658</v>
      </c>
      <c r="G197" s="129">
        <v>131465</v>
      </c>
      <c r="H197" s="120">
        <f ca="1">SUM(H194:H196)</f>
        <v>131440.05845083675</v>
      </c>
      <c r="I197" s="120">
        <f t="shared" ref="I197:L197" ca="1" si="94">SUM(I194:I196)</f>
        <v>148276.82659709384</v>
      </c>
      <c r="J197" s="120">
        <f t="shared" ca="1" si="94"/>
        <v>173213.65088218643</v>
      </c>
      <c r="K197" s="120">
        <f t="shared" ca="1" si="94"/>
        <v>209587.74493732827</v>
      </c>
      <c r="L197" s="120">
        <f t="shared" ca="1" si="94"/>
        <v>250727.16135410999</v>
      </c>
    </row>
    <row r="198" spans="1:12" ht="16" x14ac:dyDescent="0.2">
      <c r="A198" s="3"/>
      <c r="B198" s="3"/>
      <c r="C198" s="54"/>
      <c r="D198" s="63"/>
      <c r="E198" s="129"/>
      <c r="F198" s="129"/>
      <c r="G198" s="129"/>
      <c r="H198" s="63"/>
      <c r="I198" s="63"/>
      <c r="J198" s="63"/>
      <c r="K198" s="63"/>
      <c r="L198" s="63"/>
    </row>
    <row r="199" spans="1:12" ht="16" x14ac:dyDescent="0.2">
      <c r="A199" s="3"/>
      <c r="B199" s="3"/>
      <c r="C199" s="54" t="s">
        <v>18</v>
      </c>
      <c r="D199" s="117" t="s">
        <v>74</v>
      </c>
      <c r="E199" s="129">
        <f>E197+E191</f>
        <v>61691</v>
      </c>
      <c r="F199" s="129">
        <f>F197+F191</f>
        <v>167510</v>
      </c>
      <c r="G199" s="129">
        <f>G197+G191</f>
        <v>242571</v>
      </c>
      <c r="H199" s="120">
        <f ca="1">H191+H197</f>
        <v>268410.28630417009</v>
      </c>
      <c r="I199" s="120">
        <f t="shared" ref="I199:L199" ca="1" si="95">I191+I197</f>
        <v>361216.95383293054</v>
      </c>
      <c r="J199" s="120">
        <f t="shared" ca="1" si="95"/>
        <v>490085.6106191235</v>
      </c>
      <c r="K199" s="120">
        <f t="shared" ca="1" si="95"/>
        <v>682156.83844498207</v>
      </c>
      <c r="L199" s="120">
        <f t="shared" ca="1" si="95"/>
        <v>918339.57912018744</v>
      </c>
    </row>
    <row r="200" spans="1:12" ht="16" x14ac:dyDescent="0.2">
      <c r="A200" s="3"/>
      <c r="B200" s="3"/>
      <c r="C200" s="3"/>
      <c r="D200" s="63"/>
      <c r="E200" s="95"/>
      <c r="F200" s="95"/>
      <c r="G200" s="95"/>
      <c r="H200" s="63"/>
      <c r="I200" s="63"/>
      <c r="J200" s="63"/>
      <c r="K200" s="63"/>
      <c r="L200" s="63"/>
    </row>
    <row r="201" spans="1:12" ht="16" x14ac:dyDescent="0.2">
      <c r="A201" s="3"/>
      <c r="B201" s="3"/>
      <c r="C201" s="54" t="s">
        <v>33</v>
      </c>
      <c r="D201" s="117" t="s">
        <v>74</v>
      </c>
      <c r="E201" s="129">
        <f>215189+14246</f>
        <v>229435</v>
      </c>
      <c r="F201" s="129">
        <f>344935+3167</f>
        <v>348102</v>
      </c>
      <c r="G201" s="129">
        <f>869+272056</f>
        <v>272925</v>
      </c>
      <c r="H201" s="121">
        <f ca="1">H184-H199</f>
        <v>334315.35106057505</v>
      </c>
      <c r="I201" s="121">
        <f t="shared" ref="I201:L201" ca="1" si="96">I184-I199</f>
        <v>338279.77658433153</v>
      </c>
      <c r="J201" s="121">
        <f t="shared" ca="1" si="96"/>
        <v>352299.56300638994</v>
      </c>
      <c r="K201" s="121">
        <f t="shared" ca="1" si="96"/>
        <v>358960.77226324158</v>
      </c>
      <c r="L201" s="121">
        <f t="shared" ca="1" si="96"/>
        <v>414213.71918412123</v>
      </c>
    </row>
    <row r="202" spans="1:12" ht="16" x14ac:dyDescent="0.2">
      <c r="A202" s="3"/>
      <c r="B202" s="3"/>
      <c r="C202" s="54"/>
      <c r="D202" s="63"/>
      <c r="E202" s="129"/>
      <c r="F202" s="129"/>
      <c r="G202" s="129"/>
      <c r="H202" s="63"/>
      <c r="I202" s="63"/>
      <c r="J202" s="63"/>
      <c r="K202" s="63"/>
      <c r="L202" s="63"/>
    </row>
    <row r="203" spans="1:12" ht="16" x14ac:dyDescent="0.2">
      <c r="A203" s="3"/>
      <c r="B203" s="3"/>
      <c r="C203" s="54" t="s">
        <v>51</v>
      </c>
      <c r="D203" s="117" t="s">
        <v>74</v>
      </c>
      <c r="E203" s="129">
        <f>E201+E199</f>
        <v>291126</v>
      </c>
      <c r="F203" s="129">
        <f>F201+F199</f>
        <v>515612</v>
      </c>
      <c r="G203" s="129">
        <f t="shared" ref="F203:L203" si="97">G201+G199</f>
        <v>515496</v>
      </c>
      <c r="H203" s="129">
        <f t="shared" ca="1" si="97"/>
        <v>602725.63736474514</v>
      </c>
      <c r="I203" s="129">
        <f t="shared" ca="1" si="97"/>
        <v>699496.73041726206</v>
      </c>
      <c r="J203" s="129">
        <f t="shared" ca="1" si="97"/>
        <v>842385.17362551345</v>
      </c>
      <c r="K203" s="129">
        <f t="shared" ca="1" si="97"/>
        <v>1041117.6107082237</v>
      </c>
      <c r="L203" s="129">
        <f t="shared" ca="1" si="97"/>
        <v>1332553.2983043087</v>
      </c>
    </row>
    <row r="204" spans="1:12" ht="16" x14ac:dyDescent="0.2">
      <c r="A204" s="3"/>
      <c r="B204" s="3"/>
      <c r="C204" s="23"/>
      <c r="D204" s="3"/>
      <c r="E204" s="40"/>
      <c r="F204" s="40"/>
      <c r="G204" s="52"/>
      <c r="H204" s="52"/>
      <c r="I204" s="52"/>
      <c r="J204" s="52"/>
      <c r="K204" s="52"/>
      <c r="L204" s="52"/>
    </row>
    <row r="205" spans="1:12" ht="16" x14ac:dyDescent="0.2">
      <c r="A205" s="3"/>
      <c r="B205" s="3"/>
      <c r="C205" s="28" t="s">
        <v>34</v>
      </c>
      <c r="D205" s="3"/>
      <c r="E205" s="59">
        <f>E203-E184</f>
        <v>0</v>
      </c>
      <c r="F205" s="59">
        <f t="shared" ref="F205:K205" si="98">F203-F184</f>
        <v>0</v>
      </c>
      <c r="G205" s="59">
        <f t="shared" si="98"/>
        <v>0</v>
      </c>
      <c r="H205" s="59">
        <f t="shared" ca="1" si="98"/>
        <v>0</v>
      </c>
      <c r="I205" s="59">
        <f t="shared" ca="1" si="98"/>
        <v>0</v>
      </c>
      <c r="J205" s="59">
        <f t="shared" ca="1" si="98"/>
        <v>0</v>
      </c>
      <c r="K205" s="59">
        <f t="shared" ca="1" si="98"/>
        <v>0</v>
      </c>
      <c r="L205" s="59">
        <f ca="1">L203-L184</f>
        <v>0</v>
      </c>
    </row>
    <row r="206" spans="1:12" ht="1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6" x14ac:dyDescent="0.2">
      <c r="A207" s="3"/>
      <c r="B207" s="12"/>
      <c r="C207" s="12"/>
      <c r="D207" s="12"/>
      <c r="E207" s="13" t="s">
        <v>5</v>
      </c>
      <c r="F207" s="13"/>
      <c r="G207" s="13"/>
      <c r="H207" s="14" t="s">
        <v>6</v>
      </c>
      <c r="I207" s="13"/>
      <c r="J207" s="13"/>
      <c r="K207" s="13"/>
      <c r="L207" s="13"/>
    </row>
    <row r="208" spans="1:12" ht="16" x14ac:dyDescent="0.2">
      <c r="A208" s="3"/>
      <c r="B208" s="46" t="s">
        <v>19</v>
      </c>
      <c r="C208" s="46"/>
      <c r="D208" s="47" t="s">
        <v>48</v>
      </c>
      <c r="E208" s="48" t="s">
        <v>113</v>
      </c>
      <c r="F208" s="48" t="s">
        <v>114</v>
      </c>
      <c r="G208" s="48" t="s">
        <v>115</v>
      </c>
      <c r="H208" s="49" t="s">
        <v>116</v>
      </c>
      <c r="I208" s="48" t="s">
        <v>117</v>
      </c>
      <c r="J208" s="48" t="s">
        <v>118</v>
      </c>
      <c r="K208" s="48" t="s">
        <v>119</v>
      </c>
      <c r="L208" s="48" t="s">
        <v>120</v>
      </c>
    </row>
    <row r="209" spans="1:12" ht="16" x14ac:dyDescent="0.2">
      <c r="A209" s="3"/>
      <c r="B209" s="18" t="s">
        <v>35</v>
      </c>
      <c r="C209" s="18"/>
      <c r="D209" s="18"/>
      <c r="E209" s="18"/>
      <c r="F209" s="18"/>
      <c r="G209" s="18"/>
      <c r="H209" s="18"/>
      <c r="I209" s="18"/>
      <c r="J209" s="18"/>
      <c r="K209" s="18"/>
      <c r="L209" s="18"/>
    </row>
    <row r="210" spans="1:12" ht="16" x14ac:dyDescent="0.2">
      <c r="A210" s="3"/>
      <c r="B210" s="3"/>
      <c r="C210" s="19" t="s">
        <v>9</v>
      </c>
      <c r="D210" s="21" t="s">
        <v>74</v>
      </c>
      <c r="E210" s="120">
        <f>E161</f>
        <v>11199</v>
      </c>
      <c r="F210" s="120">
        <f t="shared" ref="F210:L210" si="99">F161</f>
        <v>23898.5</v>
      </c>
      <c r="G210" s="120">
        <f t="shared" si="99"/>
        <v>-14653</v>
      </c>
      <c r="H210" s="120">
        <f t="shared" ca="1" si="99"/>
        <v>38774.285634204651</v>
      </c>
      <c r="I210" s="120">
        <f t="shared" ca="1" si="99"/>
        <v>58469.453771771434</v>
      </c>
      <c r="J210" s="120">
        <f t="shared" ca="1" si="99"/>
        <v>74242.296092084667</v>
      </c>
      <c r="K210" s="120">
        <f t="shared" ca="1" si="99"/>
        <v>107029.73838526563</v>
      </c>
      <c r="L210" s="120">
        <f t="shared" ca="1" si="99"/>
        <v>151765.36771445244</v>
      </c>
    </row>
    <row r="211" spans="1:12" ht="16" x14ac:dyDescent="0.2">
      <c r="A211" s="3"/>
      <c r="B211" s="3"/>
      <c r="C211" s="19" t="s">
        <v>36</v>
      </c>
      <c r="D211" s="3"/>
      <c r="E211" s="63"/>
      <c r="F211" s="63"/>
      <c r="G211" s="63"/>
      <c r="H211" s="63"/>
      <c r="I211" s="63"/>
      <c r="J211" s="63"/>
      <c r="K211" s="63"/>
      <c r="L211" s="63"/>
    </row>
    <row r="212" spans="1:12" ht="16" x14ac:dyDescent="0.2">
      <c r="A212" s="3"/>
      <c r="B212" s="3"/>
      <c r="C212" s="23" t="s">
        <v>37</v>
      </c>
      <c r="D212" s="21" t="s">
        <v>74</v>
      </c>
      <c r="E212" s="95">
        <f>12164</f>
        <v>12164</v>
      </c>
      <c r="F212" s="95">
        <v>13862</v>
      </c>
      <c r="G212" s="95">
        <v>18162</v>
      </c>
      <c r="H212" s="94">
        <f ca="1">H141*H111</f>
        <v>32498.770251693284</v>
      </c>
      <c r="I212" s="94">
        <f t="shared" ref="I212:L212" ca="1" si="100">I141*I111</f>
        <v>49642.547494810402</v>
      </c>
      <c r="J212" s="94">
        <f t="shared" ca="1" si="100"/>
        <v>67842.785491479401</v>
      </c>
      <c r="K212" s="94">
        <f t="shared" ca="1" si="100"/>
        <v>98888.431171660341</v>
      </c>
      <c r="L212" s="94">
        <f t="shared" ca="1" si="100"/>
        <v>128055.73483790002</v>
      </c>
    </row>
    <row r="213" spans="1:12" ht="16" x14ac:dyDescent="0.2">
      <c r="A213" s="3"/>
      <c r="B213" s="3"/>
      <c r="C213" s="23" t="s">
        <v>64</v>
      </c>
      <c r="D213" s="21" t="s">
        <v>74</v>
      </c>
      <c r="E213" s="95">
        <f>2613+9195</f>
        <v>11808</v>
      </c>
      <c r="F213" s="95">
        <f>3825+3013+1667</f>
        <v>8505</v>
      </c>
      <c r="G213" s="95">
        <f>5949+6386+2070</f>
        <v>14405</v>
      </c>
      <c r="H213" s="94">
        <f ca="1">H141*H114</f>
        <v>15924.363097336396</v>
      </c>
      <c r="I213" s="94">
        <f t="shared" ref="I213:L213" ca="1" si="101">I141*I114</f>
        <v>24821.273747405201</v>
      </c>
      <c r="J213" s="94">
        <f t="shared" ca="1" si="101"/>
        <v>37005.155722625132</v>
      </c>
      <c r="K213" s="94">
        <f t="shared" ca="1" si="101"/>
        <v>53939.144275451094</v>
      </c>
      <c r="L213" s="94">
        <f t="shared" ca="1" si="101"/>
        <v>76833.440902739996</v>
      </c>
    </row>
    <row r="214" spans="1:12" ht="16" x14ac:dyDescent="0.2">
      <c r="A214" s="3"/>
      <c r="B214" s="3"/>
      <c r="C214" s="23" t="s">
        <v>79</v>
      </c>
      <c r="D214" s="21" t="s">
        <v>74</v>
      </c>
      <c r="E214" s="95">
        <f>762</f>
        <v>762</v>
      </c>
      <c r="F214" s="95">
        <v>-548.5</v>
      </c>
      <c r="G214" s="95">
        <v>0</v>
      </c>
      <c r="H214" s="63">
        <f>H115</f>
        <v>0</v>
      </c>
      <c r="I214" s="63">
        <f t="shared" ref="I214:L214" si="102">I115</f>
        <v>0</v>
      </c>
      <c r="J214" s="63">
        <f t="shared" si="102"/>
        <v>0</v>
      </c>
      <c r="K214" s="63">
        <f t="shared" si="102"/>
        <v>0</v>
      </c>
      <c r="L214" s="63">
        <f t="shared" si="102"/>
        <v>0</v>
      </c>
    </row>
    <row r="215" spans="1:12" ht="16" x14ac:dyDescent="0.2">
      <c r="A215" s="3"/>
      <c r="B215" s="3"/>
      <c r="C215" s="55" t="s">
        <v>61</v>
      </c>
      <c r="D215" s="21" t="s">
        <v>74</v>
      </c>
      <c r="E215" s="95">
        <f>1845</f>
        <v>1845</v>
      </c>
      <c r="F215" s="95">
        <f>666</f>
        <v>666</v>
      </c>
      <c r="G215" s="95">
        <f>-5163</f>
        <v>-5163</v>
      </c>
      <c r="H215" s="63">
        <f ca="1">H160*H117</f>
        <v>-657.47701727564413</v>
      </c>
      <c r="I215" s="63">
        <f t="shared" ref="I215:L215" ca="1" si="103">I160*I117</f>
        <v>-991.43856395612443</v>
      </c>
      <c r="J215" s="63">
        <f t="shared" ca="1" si="103"/>
        <v>-1258.8911076483923</v>
      </c>
      <c r="K215" s="63">
        <f t="shared" ca="1" si="103"/>
        <v>-1814.8520856632003</v>
      </c>
      <c r="L215" s="63">
        <f t="shared" ca="1" si="103"/>
        <v>-2573.4127568972372</v>
      </c>
    </row>
    <row r="216" spans="1:12" ht="16" x14ac:dyDescent="0.2">
      <c r="A216" s="3"/>
      <c r="B216" s="3"/>
      <c r="C216" s="55" t="s">
        <v>38</v>
      </c>
      <c r="D216" s="21" t="s">
        <v>74</v>
      </c>
      <c r="E216" s="95">
        <f>9855</f>
        <v>9855</v>
      </c>
      <c r="F216" s="95">
        <f>15728</f>
        <v>15728</v>
      </c>
      <c r="G216" s="95">
        <f>20829</f>
        <v>20829</v>
      </c>
      <c r="H216" s="63">
        <f ca="1">H141*H118</f>
        <v>31848.726194672792</v>
      </c>
      <c r="I216" s="63">
        <f t="shared" ref="I216:L216" ca="1" si="104">I141*I118</f>
        <v>49642.547494810402</v>
      </c>
      <c r="J216" s="63">
        <f t="shared" ca="1" si="104"/>
        <v>80177.837399021111</v>
      </c>
      <c r="K216" s="63">
        <f t="shared" ca="1" si="104"/>
        <v>116868.14593014403</v>
      </c>
      <c r="L216" s="63">
        <f t="shared" ca="1" si="104"/>
        <v>166472.45528927003</v>
      </c>
    </row>
    <row r="217" spans="1:12" ht="16" x14ac:dyDescent="0.2">
      <c r="A217" s="3"/>
      <c r="B217" s="3"/>
      <c r="C217" s="55" t="s">
        <v>67</v>
      </c>
      <c r="D217" s="21" t="s">
        <v>74</v>
      </c>
      <c r="E217" s="95">
        <f>1294+3886+355</f>
        <v>5535</v>
      </c>
      <c r="F217" s="95">
        <f>1166+-19230+2175-2752+9643</f>
        <v>-8998</v>
      </c>
      <c r="G217" s="95">
        <f>11223+-458-6367-235</f>
        <v>4163</v>
      </c>
      <c r="H217" s="94">
        <f ca="1">H141*H119</f>
        <v>378.52770117303356</v>
      </c>
      <c r="I217" s="94">
        <f t="shared" ref="I217:K217" ca="1" si="105">I141*I119</f>
        <v>8273.7579158017343</v>
      </c>
      <c r="J217" s="94">
        <f t="shared" ca="1" si="105"/>
        <v>12335.051907541711</v>
      </c>
      <c r="K217" s="94">
        <f t="shared" ca="1" si="105"/>
        <v>17979.714758483697</v>
      </c>
      <c r="L217" s="94">
        <f ca="1">L141*L119</f>
        <v>25611.146967580004</v>
      </c>
    </row>
    <row r="218" spans="1:12" ht="16" x14ac:dyDescent="0.2">
      <c r="A218" s="3"/>
      <c r="B218" s="3"/>
      <c r="C218" s="19" t="s">
        <v>39</v>
      </c>
      <c r="D218" s="3"/>
      <c r="E218" s="95"/>
      <c r="F218" s="95"/>
      <c r="G218" s="95"/>
      <c r="H218" s="63"/>
      <c r="I218" s="63"/>
      <c r="J218" s="63"/>
      <c r="K218" s="63"/>
      <c r="L218" s="63"/>
    </row>
    <row r="219" spans="1:12" ht="16" x14ac:dyDescent="0.2">
      <c r="A219" s="3"/>
      <c r="B219" s="3"/>
      <c r="C219" s="23" t="s">
        <v>81</v>
      </c>
      <c r="D219" s="21" t="s">
        <v>74</v>
      </c>
      <c r="E219" s="95">
        <v>-3469</v>
      </c>
      <c r="F219" s="95">
        <v>-6333</v>
      </c>
      <c r="G219" s="95">
        <v>-18011</v>
      </c>
      <c r="H219" s="63">
        <f ca="1">G172-H172</f>
        <v>-16628.690308236102</v>
      </c>
      <c r="I219" s="63">
        <f t="shared" ref="I219:L219" ca="1" si="106">H172-I172</f>
        <v>-39088.404681384702</v>
      </c>
      <c r="J219" s="63">
        <f t="shared" ca="1" si="106"/>
        <v>-48735.527900879722</v>
      </c>
      <c r="K219" s="63">
        <f t="shared" ca="1" si="106"/>
        <v>-76725.811590545694</v>
      </c>
      <c r="L219" s="63">
        <f t="shared" ca="1" si="106"/>
        <v>-108198.47609749384</v>
      </c>
    </row>
    <row r="220" spans="1:12" ht="16" x14ac:dyDescent="0.2">
      <c r="A220" s="3"/>
      <c r="B220" s="3"/>
      <c r="C220" s="23" t="s">
        <v>82</v>
      </c>
      <c r="D220" s="21" t="s">
        <v>74</v>
      </c>
      <c r="E220" s="95">
        <v>0</v>
      </c>
      <c r="F220" s="95">
        <v>-1501</v>
      </c>
      <c r="G220" s="95">
        <v>-4756</v>
      </c>
      <c r="H220" s="63">
        <f ca="1">G173-H173</f>
        <v>-2072.8066941969701</v>
      </c>
      <c r="I220" s="63">
        <f t="shared" ref="I220:L220" ca="1" si="107">H173-I173</f>
        <v>-7452.5740913050358</v>
      </c>
      <c r="J220" s="63">
        <f t="shared" ca="1" si="107"/>
        <v>-10060.016975834144</v>
      </c>
      <c r="K220" s="63">
        <f t="shared" ca="1" si="107"/>
        <v>-14338.511954194393</v>
      </c>
      <c r="L220" s="63">
        <f t="shared" ca="1" si="107"/>
        <v>-19876.679029229956</v>
      </c>
    </row>
    <row r="221" spans="1:12" ht="16" x14ac:dyDescent="0.2">
      <c r="A221" s="3"/>
      <c r="B221" s="3"/>
      <c r="C221" s="23" t="s">
        <v>83</v>
      </c>
      <c r="D221" s="21" t="s">
        <v>74</v>
      </c>
      <c r="E221" s="95">
        <f>-9069</f>
        <v>-9069</v>
      </c>
      <c r="F221" s="95">
        <v>-5607</v>
      </c>
      <c r="G221" s="95">
        <v>-22405</v>
      </c>
      <c r="H221" s="63">
        <f ca="1">G174-H174</f>
        <v>-9779.7665475768736</v>
      </c>
      <c r="I221" s="63">
        <f t="shared" ref="I221:L221" ca="1" si="108">H174-I174</f>
        <v>-28739.933652539607</v>
      </c>
      <c r="J221" s="63">
        <f t="shared" ca="1" si="108"/>
        <v>-38582.292921529763</v>
      </c>
      <c r="K221" s="63">
        <f t="shared" ca="1" si="108"/>
        <v>-59018.211511493995</v>
      </c>
      <c r="L221" s="63">
        <f t="shared" ca="1" si="108"/>
        <v>-69665.806255627773</v>
      </c>
    </row>
    <row r="222" spans="1:12" ht="16" x14ac:dyDescent="0.2">
      <c r="A222" s="3"/>
      <c r="B222" s="3"/>
      <c r="C222" s="23" t="s">
        <v>84</v>
      </c>
      <c r="D222" s="21" t="s">
        <v>74</v>
      </c>
      <c r="E222" s="95">
        <f>2963</f>
        <v>2963</v>
      </c>
      <c r="F222" s="95">
        <v>-2939</v>
      </c>
      <c r="G222" s="95">
        <v>22835</v>
      </c>
      <c r="H222" s="63">
        <f ca="1">G188-H188</f>
        <v>-21503.242674517911</v>
      </c>
      <c r="I222" s="63">
        <f t="shared" ref="I222:L222" ca="1" si="109">H188-I188</f>
        <v>-64275.695232681785</v>
      </c>
      <c r="J222" s="63">
        <f t="shared" ca="1" si="109"/>
        <v>-84321.533464461245</v>
      </c>
      <c r="K222" s="63">
        <f t="shared" ca="1" si="109"/>
        <v>-125136.10432751471</v>
      </c>
      <c r="L222" s="63">
        <f t="shared" ca="1" si="109"/>
        <v>-161944.18266514124</v>
      </c>
    </row>
    <row r="223" spans="1:12" ht="16" x14ac:dyDescent="0.2">
      <c r="A223" s="3"/>
      <c r="B223" s="3"/>
      <c r="C223" s="23" t="s">
        <v>85</v>
      </c>
      <c r="D223" s="21" t="s">
        <v>74</v>
      </c>
      <c r="E223" s="95">
        <v>0</v>
      </c>
      <c r="F223" s="95">
        <v>0</v>
      </c>
      <c r="G223" s="95">
        <v>0</v>
      </c>
      <c r="H223" s="63">
        <v>0</v>
      </c>
      <c r="I223" s="63">
        <v>0</v>
      </c>
      <c r="J223" s="63">
        <v>0</v>
      </c>
      <c r="K223" s="63">
        <v>0</v>
      </c>
      <c r="L223" s="63">
        <v>0</v>
      </c>
    </row>
    <row r="224" spans="1:12" ht="16" x14ac:dyDescent="0.2">
      <c r="A224" s="3"/>
      <c r="B224" s="3"/>
      <c r="C224" s="23" t="s">
        <v>86</v>
      </c>
      <c r="D224" s="21" t="s">
        <v>74</v>
      </c>
      <c r="E224" s="95">
        <v>786</v>
      </c>
      <c r="F224" s="95">
        <v>2617</v>
      </c>
      <c r="G224" s="95">
        <v>3806</v>
      </c>
      <c r="H224" s="63">
        <f ca="1">H190-G190</f>
        <v>3703.508161539803</v>
      </c>
      <c r="I224" s="63">
        <f t="shared" ref="I224:L224" ca="1" si="110">I190-H190</f>
        <v>10702.765585865398</v>
      </c>
      <c r="J224" s="63">
        <f t="shared" ca="1" si="110"/>
        <v>18351.407928990786</v>
      </c>
      <c r="K224" s="63">
        <f t="shared" ca="1" si="110"/>
        <v>28746.1773575388</v>
      </c>
      <c r="L224" s="63">
        <f t="shared" ca="1" si="110"/>
        <v>30525.728836385228</v>
      </c>
    </row>
    <row r="225" spans="1:12" ht="16" x14ac:dyDescent="0.2">
      <c r="A225" s="3"/>
      <c r="B225" s="3"/>
      <c r="C225" s="23" t="s">
        <v>87</v>
      </c>
      <c r="D225" s="21" t="s">
        <v>74</v>
      </c>
      <c r="E225" s="95">
        <v>0</v>
      </c>
      <c r="F225" s="95">
        <f>-7300+554</f>
        <v>-6746</v>
      </c>
      <c r="G225" s="95">
        <f>306-194-11740+1711</f>
        <v>-9917</v>
      </c>
      <c r="H225" s="63">
        <f ca="1">G196-H196</f>
        <v>5024.9415491632681</v>
      </c>
      <c r="I225" s="63">
        <f t="shared" ref="I225:L225" ca="1" si="111">H196-I196</f>
        <v>-11836.768146257098</v>
      </c>
      <c r="J225" s="63">
        <f t="shared" ca="1" si="111"/>
        <v>-19936.824285092596</v>
      </c>
      <c r="K225" s="63">
        <f t="shared" ca="1" si="111"/>
        <v>-31374.094055141846</v>
      </c>
      <c r="L225" s="63">
        <f t="shared" ca="1" si="111"/>
        <v>-36139.416416781722</v>
      </c>
    </row>
    <row r="226" spans="1:12" ht="16" x14ac:dyDescent="0.2">
      <c r="A226" s="3"/>
      <c r="B226" s="3"/>
      <c r="C226" s="51" t="s">
        <v>40</v>
      </c>
      <c r="D226" s="60" t="s">
        <v>74</v>
      </c>
      <c r="E226" s="130">
        <f>SUM(E210:E225)</f>
        <v>44379</v>
      </c>
      <c r="F226" s="130">
        <f>SUM(F210:F225)</f>
        <v>32604</v>
      </c>
      <c r="G226" s="130">
        <f>SUM(G210:G225)</f>
        <v>9295</v>
      </c>
      <c r="H226" s="111">
        <f ca="1">SUM(H210:H225)</f>
        <v>77511.139347979741</v>
      </c>
      <c r="I226" s="111">
        <f t="shared" ref="I226:L226" ca="1" si="112">SUM(I210:I225)</f>
        <v>49167.531642340226</v>
      </c>
      <c r="J226" s="111">
        <f t="shared" ca="1" si="112"/>
        <v>87059.447886296955</v>
      </c>
      <c r="K226" s="111">
        <f t="shared" ca="1" si="112"/>
        <v>115043.76635398975</v>
      </c>
      <c r="L226" s="111">
        <f t="shared" ca="1" si="112"/>
        <v>180865.901327156</v>
      </c>
    </row>
    <row r="227" spans="1:12" ht="16" x14ac:dyDescent="0.2">
      <c r="A227" s="3"/>
      <c r="B227" s="3"/>
      <c r="C227" s="19"/>
      <c r="D227" s="3"/>
      <c r="E227" s="97"/>
      <c r="F227" s="97"/>
      <c r="G227" s="97"/>
      <c r="H227" s="40"/>
      <c r="I227" s="40"/>
      <c r="J227" s="40"/>
      <c r="K227" s="40"/>
      <c r="L227" s="40"/>
    </row>
    <row r="228" spans="1:12" ht="16" x14ac:dyDescent="0.2">
      <c r="A228" s="3"/>
      <c r="B228" s="18" t="s">
        <v>41</v>
      </c>
      <c r="C228" s="18"/>
      <c r="D228" s="18"/>
      <c r="E228" s="131"/>
      <c r="F228" s="131"/>
      <c r="G228" s="131"/>
      <c r="H228" s="18"/>
      <c r="I228" s="18"/>
      <c r="J228" s="18"/>
      <c r="K228" s="18"/>
      <c r="L228" s="18"/>
    </row>
    <row r="229" spans="1:12" ht="16" x14ac:dyDescent="0.2">
      <c r="A229" s="3"/>
      <c r="B229" s="3"/>
      <c r="C229" s="23" t="s">
        <v>88</v>
      </c>
      <c r="D229" s="21" t="s">
        <v>74</v>
      </c>
      <c r="E229" s="95">
        <f>-20543+44</f>
        <v>-20499</v>
      </c>
      <c r="F229" s="95">
        <f>-24551+106</f>
        <v>-24445</v>
      </c>
      <c r="G229" s="95">
        <f>-44621+147</f>
        <v>-44474</v>
      </c>
      <c r="H229" s="94">
        <f ca="1">-H141*H110</f>
        <v>-62532.995567048689</v>
      </c>
      <c r="I229" s="94">
        <f t="shared" ref="I229:L229" ca="1" si="113">-I141*I110</f>
        <v>-66190.063326413874</v>
      </c>
      <c r="J229" s="94">
        <f t="shared" ca="1" si="113"/>
        <v>-74010.311445250263</v>
      </c>
      <c r="K229" s="94">
        <f t="shared" ca="1" si="113"/>
        <v>-71918.859033934787</v>
      </c>
      <c r="L229" s="94">
        <f t="shared" ca="1" si="113"/>
        <v>-76833.440902739996</v>
      </c>
    </row>
    <row r="230" spans="1:12" ht="16" x14ac:dyDescent="0.2">
      <c r="A230" s="3"/>
      <c r="B230" s="3"/>
      <c r="C230" s="23" t="s">
        <v>172</v>
      </c>
      <c r="D230" s="21" t="s">
        <v>74</v>
      </c>
      <c r="E230" s="95">
        <f>-347</f>
        <v>-347</v>
      </c>
      <c r="F230" s="95">
        <f>-33798</f>
        <v>-33798</v>
      </c>
      <c r="G230" s="95">
        <f>-8236</f>
        <v>-8236</v>
      </c>
      <c r="H230" s="63">
        <v>-10000</v>
      </c>
      <c r="I230" s="63">
        <v>-10000</v>
      </c>
      <c r="J230" s="63">
        <v>-10000</v>
      </c>
      <c r="K230" s="63">
        <v>-10000</v>
      </c>
      <c r="L230" s="63">
        <v>-10000</v>
      </c>
    </row>
    <row r="231" spans="1:12" ht="16" x14ac:dyDescent="0.2">
      <c r="A231" s="3"/>
      <c r="B231" s="3"/>
      <c r="C231" s="23" t="s">
        <v>80</v>
      </c>
      <c r="D231" s="21" t="s">
        <v>74</v>
      </c>
      <c r="E231" s="95">
        <f>-72</f>
        <v>-72</v>
      </c>
      <c r="F231" s="95">
        <f>0</f>
        <v>0</v>
      </c>
      <c r="G231" s="95">
        <v>0</v>
      </c>
      <c r="H231" s="63">
        <f ca="1">-H141*H121</f>
        <v>0</v>
      </c>
      <c r="I231" s="63">
        <f t="shared" ref="I231:L231" ca="1" si="114">-I141*I121</f>
        <v>0</v>
      </c>
      <c r="J231" s="63">
        <f t="shared" ca="1" si="114"/>
        <v>0</v>
      </c>
      <c r="K231" s="63">
        <f t="shared" ca="1" si="114"/>
        <v>0</v>
      </c>
      <c r="L231" s="63">
        <f t="shared" ca="1" si="114"/>
        <v>0</v>
      </c>
    </row>
    <row r="232" spans="1:12" ht="16" x14ac:dyDescent="0.2">
      <c r="A232" s="3"/>
      <c r="B232" s="3"/>
      <c r="C232" s="23" t="s">
        <v>89</v>
      </c>
      <c r="D232" s="21" t="s">
        <v>74</v>
      </c>
      <c r="E232" s="95">
        <f>4612-90975+57967+178</f>
        <v>-28218</v>
      </c>
      <c r="F232" s="95">
        <f>-364894+303286-15-472+391</f>
        <v>-61704</v>
      </c>
      <c r="G232" s="95">
        <f>-3143-10604+944+6163-100-264151+345474-1546+1667</f>
        <v>74704</v>
      </c>
      <c r="H232" s="63">
        <v>-5000</v>
      </c>
      <c r="I232" s="63">
        <v>-5000</v>
      </c>
      <c r="J232" s="63">
        <v>-5000</v>
      </c>
      <c r="K232" s="63">
        <v>-5000</v>
      </c>
      <c r="L232" s="63">
        <v>-5000</v>
      </c>
    </row>
    <row r="233" spans="1:12" ht="16" x14ac:dyDescent="0.2">
      <c r="A233" s="3"/>
      <c r="B233" s="3"/>
      <c r="C233" s="23" t="s">
        <v>90</v>
      </c>
      <c r="D233" s="50" t="s">
        <v>74</v>
      </c>
      <c r="E233" s="95">
        <v>0</v>
      </c>
      <c r="F233" s="95">
        <v>0</v>
      </c>
      <c r="G233" s="95">
        <v>0</v>
      </c>
      <c r="H233" s="63">
        <v>0</v>
      </c>
      <c r="I233" s="63">
        <v>0</v>
      </c>
      <c r="J233" s="63">
        <v>0</v>
      </c>
      <c r="K233" s="63">
        <v>0</v>
      </c>
      <c r="L233" s="63">
        <v>0</v>
      </c>
    </row>
    <row r="234" spans="1:12" ht="16" x14ac:dyDescent="0.2">
      <c r="A234" s="3"/>
      <c r="B234" s="3"/>
      <c r="C234" s="51" t="s">
        <v>42</v>
      </c>
      <c r="D234" s="21" t="s">
        <v>74</v>
      </c>
      <c r="E234" s="130">
        <f>SUM(E229:E233)</f>
        <v>-49136</v>
      </c>
      <c r="F234" s="130">
        <f>SUM(F229:F233)</f>
        <v>-119947</v>
      </c>
      <c r="G234" s="130">
        <f>SUM(G229:G233)</f>
        <v>21994</v>
      </c>
      <c r="H234" s="111">
        <f ca="1">SUM(H229:H233)</f>
        <v>-77532.995567048696</v>
      </c>
      <c r="I234" s="111">
        <f t="shared" ref="I234:L234" ca="1" si="115">SUM(I229:I233)</f>
        <v>-81190.063326413874</v>
      </c>
      <c r="J234" s="111">
        <f t="shared" ca="1" si="115"/>
        <v>-89010.311445250263</v>
      </c>
      <c r="K234" s="111">
        <f t="shared" ca="1" si="115"/>
        <v>-86918.859033934787</v>
      </c>
      <c r="L234" s="111">
        <f t="shared" ca="1" si="115"/>
        <v>-91833.440902739996</v>
      </c>
    </row>
    <row r="235" spans="1:12" ht="16" x14ac:dyDescent="0.2">
      <c r="A235" s="3"/>
      <c r="B235" s="3"/>
      <c r="C235" s="19"/>
      <c r="D235" s="3"/>
      <c r="E235" s="97"/>
      <c r="F235" s="97"/>
      <c r="G235" s="97"/>
      <c r="H235" s="40"/>
      <c r="I235" s="40"/>
      <c r="J235" s="40"/>
      <c r="K235" s="40"/>
      <c r="L235" s="40"/>
    </row>
    <row r="236" spans="1:12" ht="16" x14ac:dyDescent="0.2">
      <c r="A236" s="3"/>
      <c r="B236" s="18" t="s">
        <v>43</v>
      </c>
      <c r="C236" s="18"/>
      <c r="D236" s="18"/>
      <c r="E236" s="131"/>
      <c r="F236" s="131"/>
      <c r="G236" s="131"/>
      <c r="H236" s="18"/>
      <c r="I236" s="18"/>
      <c r="J236" s="18"/>
      <c r="K236" s="18"/>
      <c r="L236" s="18"/>
    </row>
    <row r="237" spans="1:12" ht="16" x14ac:dyDescent="0.2">
      <c r="A237" s="3"/>
      <c r="B237" s="3"/>
      <c r="C237" s="55" t="s">
        <v>52</v>
      </c>
      <c r="D237" s="21" t="s">
        <v>74</v>
      </c>
      <c r="E237" s="95">
        <v>0</v>
      </c>
      <c r="F237" s="95">
        <v>0</v>
      </c>
      <c r="G237" s="95">
        <v>0</v>
      </c>
      <c r="H237" s="63">
        <v>0</v>
      </c>
      <c r="I237" s="63">
        <v>0</v>
      </c>
      <c r="J237" s="63">
        <v>0</v>
      </c>
      <c r="K237" s="63">
        <v>0</v>
      </c>
      <c r="L237" s="63">
        <v>0</v>
      </c>
    </row>
    <row r="238" spans="1:12" ht="16" x14ac:dyDescent="0.2">
      <c r="A238" s="3"/>
      <c r="B238" s="3"/>
      <c r="C238" s="55" t="s">
        <v>91</v>
      </c>
      <c r="D238" s="21" t="s">
        <v>74</v>
      </c>
      <c r="E238" s="95">
        <f>156-1422-88</f>
        <v>-1354</v>
      </c>
      <c r="F238" s="95">
        <f>1176-828-10165+72650-96</f>
        <v>62737</v>
      </c>
      <c r="G238" s="95">
        <f>1153-67-6966</f>
        <v>-5880</v>
      </c>
      <c r="H238" s="63">
        <f>H126</f>
        <v>2000</v>
      </c>
      <c r="I238" s="63">
        <f t="shared" ref="I238:L238" si="116">I126</f>
        <v>2000</v>
      </c>
      <c r="J238" s="63">
        <f t="shared" si="116"/>
        <v>2000</v>
      </c>
      <c r="K238" s="63">
        <f t="shared" si="116"/>
        <v>2000</v>
      </c>
      <c r="L238" s="63">
        <f t="shared" si="116"/>
        <v>2000</v>
      </c>
    </row>
    <row r="239" spans="1:12" ht="16" x14ac:dyDescent="0.2">
      <c r="A239" s="3"/>
      <c r="B239" s="3"/>
      <c r="C239" s="55" t="s">
        <v>56</v>
      </c>
      <c r="D239" s="21" t="s">
        <v>74</v>
      </c>
      <c r="E239" s="95">
        <f>-91</f>
        <v>-91</v>
      </c>
      <c r="F239" s="95">
        <f>82046+397-63-374-145</f>
        <v>81861</v>
      </c>
      <c r="G239" s="95">
        <f>2941-398-6073-737-427</f>
        <v>-4694</v>
      </c>
      <c r="H239" s="94">
        <f>H127</f>
        <v>0</v>
      </c>
      <c r="I239" s="94">
        <f t="shared" ref="I239:L239" si="117">I127</f>
        <v>0</v>
      </c>
      <c r="J239" s="94">
        <f t="shared" si="117"/>
        <v>0</v>
      </c>
      <c r="K239" s="94">
        <f t="shared" si="117"/>
        <v>0</v>
      </c>
      <c r="L239" s="94">
        <f t="shared" si="117"/>
        <v>0</v>
      </c>
    </row>
    <row r="240" spans="1:12" ht="16" x14ac:dyDescent="0.2">
      <c r="A240" s="3"/>
      <c r="B240" s="3"/>
      <c r="C240" s="55" t="s">
        <v>173</v>
      </c>
      <c r="D240" s="21" t="s">
        <v>74</v>
      </c>
      <c r="E240" s="95">
        <f>-747+20-222</f>
        <v>-949</v>
      </c>
      <c r="F240" s="95">
        <f>-3213-1709</f>
        <v>-4922</v>
      </c>
      <c r="G240" s="95">
        <f>-1194-73079</f>
        <v>-74273</v>
      </c>
      <c r="H240" s="94">
        <f ca="1">H141*H119</f>
        <v>378.52770117303356</v>
      </c>
      <c r="I240" s="94">
        <f t="shared" ref="I240:L240" ca="1" si="118">I141*I119</f>
        <v>8273.7579158017343</v>
      </c>
      <c r="J240" s="94">
        <f t="shared" ca="1" si="118"/>
        <v>12335.051907541711</v>
      </c>
      <c r="K240" s="94">
        <f t="shared" ca="1" si="118"/>
        <v>17979.714758483697</v>
      </c>
      <c r="L240" s="94">
        <f t="shared" ca="1" si="118"/>
        <v>25611.146967580004</v>
      </c>
    </row>
    <row r="241" spans="1:12" ht="16" x14ac:dyDescent="0.2">
      <c r="A241" s="3"/>
      <c r="B241" s="3"/>
      <c r="C241" s="51" t="s">
        <v>44</v>
      </c>
      <c r="D241" s="60" t="s">
        <v>74</v>
      </c>
      <c r="E241" s="130">
        <f>SUM(E237:E240)</f>
        <v>-2394</v>
      </c>
      <c r="F241" s="130">
        <f>SUM(F237:F240)</f>
        <v>139676</v>
      </c>
      <c r="G241" s="130">
        <f>SUM(G237:G240)</f>
        <v>-84847</v>
      </c>
      <c r="H241" s="111">
        <f ca="1">SUM(H237:H240)</f>
        <v>2378.5277011730336</v>
      </c>
      <c r="I241" s="111">
        <f t="shared" ref="I241:L241" ca="1" si="119">SUM(I237:I240)</f>
        <v>10273.757915801734</v>
      </c>
      <c r="J241" s="111">
        <f t="shared" ca="1" si="119"/>
        <v>14335.051907541711</v>
      </c>
      <c r="K241" s="111">
        <f t="shared" ca="1" si="119"/>
        <v>19979.714758483697</v>
      </c>
      <c r="L241" s="111">
        <f t="shared" ca="1" si="119"/>
        <v>27611.146967580004</v>
      </c>
    </row>
    <row r="242" spans="1:12" ht="16" x14ac:dyDescent="0.2">
      <c r="A242" s="3"/>
      <c r="B242" s="3"/>
      <c r="C242" s="19"/>
      <c r="D242" s="3"/>
      <c r="E242" s="95"/>
      <c r="F242" s="95"/>
      <c r="G242" s="95"/>
      <c r="H242" s="63"/>
      <c r="I242" s="63"/>
      <c r="J242" s="63"/>
      <c r="K242" s="63"/>
      <c r="L242" s="63"/>
    </row>
    <row r="243" spans="1:12" ht="16" x14ac:dyDescent="0.2">
      <c r="A243" s="3"/>
      <c r="B243" s="3"/>
      <c r="C243" s="55" t="s">
        <v>59</v>
      </c>
      <c r="D243" s="21" t="s">
        <v>74</v>
      </c>
      <c r="E243" s="95">
        <v>-5282</v>
      </c>
      <c r="F243" s="95">
        <v>23660</v>
      </c>
      <c r="G243" s="95">
        <v>511</v>
      </c>
      <c r="H243" s="63">
        <v>700</v>
      </c>
      <c r="I243" s="63">
        <v>700</v>
      </c>
      <c r="J243" s="63">
        <v>700</v>
      </c>
      <c r="K243" s="63">
        <v>700</v>
      </c>
      <c r="L243" s="63">
        <v>700</v>
      </c>
    </row>
    <row r="244" spans="1:12" ht="16" x14ac:dyDescent="0.2">
      <c r="A244" s="3"/>
      <c r="B244" s="3"/>
      <c r="C244" s="55"/>
      <c r="D244" s="3"/>
      <c r="E244" s="95"/>
      <c r="F244" s="95"/>
      <c r="G244" s="95"/>
      <c r="H244" s="63"/>
      <c r="I244" s="63"/>
      <c r="J244" s="63"/>
      <c r="K244" s="63"/>
      <c r="L244" s="63"/>
    </row>
    <row r="245" spans="1:12" ht="16" x14ac:dyDescent="0.2">
      <c r="A245" s="3"/>
      <c r="B245" s="3"/>
      <c r="C245" s="55" t="s">
        <v>174</v>
      </c>
      <c r="D245" s="3" t="s">
        <v>74</v>
      </c>
      <c r="E245" s="95">
        <f>E241+E234+E226+E243</f>
        <v>-12433</v>
      </c>
      <c r="F245" s="95">
        <f>F241+F234+F226+F243</f>
        <v>75993</v>
      </c>
      <c r="G245" s="95">
        <f>G241+G234+G226+G243</f>
        <v>-53047</v>
      </c>
      <c r="H245" s="95">
        <f ca="1">H241+H234+H226+H243</f>
        <v>3056.6714821040805</v>
      </c>
      <c r="I245" s="95">
        <f t="shared" ref="I245:L245" ca="1" si="120">I241+I234+I226+I243</f>
        <v>-21048.773768271916</v>
      </c>
      <c r="J245" s="95">
        <f t="shared" ca="1" si="120"/>
        <v>13084.188348588403</v>
      </c>
      <c r="K245" s="95">
        <f t="shared" ca="1" si="120"/>
        <v>48804.622078538654</v>
      </c>
      <c r="L245" s="95">
        <f t="shared" ca="1" si="120"/>
        <v>117343.607391996</v>
      </c>
    </row>
    <row r="246" spans="1:12" ht="16" x14ac:dyDescent="0.2">
      <c r="A246" s="3"/>
      <c r="B246" s="3"/>
      <c r="C246" s="55"/>
      <c r="D246" s="3"/>
      <c r="E246" s="95"/>
      <c r="F246" s="95"/>
      <c r="G246" s="95"/>
      <c r="H246" s="63"/>
      <c r="I246" s="63"/>
      <c r="J246" s="63"/>
      <c r="K246" s="63"/>
      <c r="L246" s="63"/>
    </row>
    <row r="247" spans="1:12" ht="16" x14ac:dyDescent="0.2">
      <c r="A247" s="3"/>
      <c r="B247" s="3"/>
      <c r="C247" s="20" t="s">
        <v>45</v>
      </c>
      <c r="D247" s="21" t="s">
        <v>74</v>
      </c>
      <c r="E247" s="95">
        <v>68886</v>
      </c>
      <c r="F247" s="95">
        <f>E170</f>
        <v>56415</v>
      </c>
      <c r="G247" s="95">
        <f>F249</f>
        <v>132398</v>
      </c>
      <c r="H247" s="94">
        <f>G249</f>
        <v>79275</v>
      </c>
      <c r="I247" s="94">
        <f t="shared" ref="I247:L247" ca="1" si="121">H249</f>
        <v>82331.67148210408</v>
      </c>
      <c r="J247" s="94">
        <f t="shared" ca="1" si="121"/>
        <v>61282.897713832164</v>
      </c>
      <c r="K247" s="94">
        <f t="shared" ca="1" si="121"/>
        <v>74367.086062420567</v>
      </c>
      <c r="L247" s="94">
        <f t="shared" ca="1" si="121"/>
        <v>123171.70814095922</v>
      </c>
    </row>
    <row r="248" spans="1:12" ht="16" x14ac:dyDescent="0.2">
      <c r="A248" s="3"/>
      <c r="B248" s="3"/>
      <c r="C248" s="23" t="s">
        <v>92</v>
      </c>
      <c r="D248" s="21" t="s">
        <v>74</v>
      </c>
      <c r="E248" s="95">
        <f>E245</f>
        <v>-12433</v>
      </c>
      <c r="F248" s="95">
        <f>F245</f>
        <v>75993</v>
      </c>
      <c r="G248" s="95">
        <f>G245</f>
        <v>-53047</v>
      </c>
      <c r="H248" s="94">
        <f ca="1">H245</f>
        <v>3056.6714821040805</v>
      </c>
      <c r="I248" s="94">
        <f t="shared" ref="I248:L248" ca="1" si="122">I245</f>
        <v>-21048.773768271916</v>
      </c>
      <c r="J248" s="94">
        <f t="shared" ca="1" si="122"/>
        <v>13084.188348588403</v>
      </c>
      <c r="K248" s="94">
        <f t="shared" ca="1" si="122"/>
        <v>48804.622078538654</v>
      </c>
      <c r="L248" s="94">
        <f t="shared" ca="1" si="122"/>
        <v>117343.607391996</v>
      </c>
    </row>
    <row r="249" spans="1:12" ht="16" x14ac:dyDescent="0.2">
      <c r="A249" s="3"/>
      <c r="B249" s="3"/>
      <c r="C249" s="51" t="s">
        <v>46</v>
      </c>
      <c r="D249" s="60" t="s">
        <v>74</v>
      </c>
      <c r="E249" s="130">
        <f>E247+E248</f>
        <v>56453</v>
      </c>
      <c r="F249" s="130">
        <f>F170</f>
        <v>132398</v>
      </c>
      <c r="G249" s="130">
        <f>79275</f>
        <v>79275</v>
      </c>
      <c r="H249" s="111">
        <f ca="1">SUM(H247:H248)</f>
        <v>82331.67148210408</v>
      </c>
      <c r="I249" s="111">
        <f t="shared" ref="I249:L249" ca="1" si="123">SUM(I247:I248)</f>
        <v>61282.897713832164</v>
      </c>
      <c r="J249" s="111">
        <f t="shared" ca="1" si="123"/>
        <v>74367.086062420567</v>
      </c>
      <c r="K249" s="111">
        <f t="shared" ca="1" si="123"/>
        <v>123171.70814095922</v>
      </c>
      <c r="L249" s="111">
        <f t="shared" ca="1" si="123"/>
        <v>240515.31553295522</v>
      </c>
    </row>
    <row r="250" spans="1:12" x14ac:dyDescent="0.2">
      <c r="A250" s="30"/>
      <c r="B250" s="30"/>
      <c r="C250" s="30"/>
      <c r="D250" s="30"/>
      <c r="E250" s="30"/>
      <c r="F250" s="125"/>
      <c r="G250" s="30"/>
      <c r="H250" s="30"/>
      <c r="I250" s="30"/>
      <c r="J250" s="30"/>
      <c r="K250" s="30"/>
      <c r="L250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YNDX_model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Microsoft Office User</cp:lastModifiedBy>
  <dcterms:created xsi:type="dcterms:W3CDTF">2016-08-02T00:46:07Z</dcterms:created>
  <dcterms:modified xsi:type="dcterms:W3CDTF">2022-09-19T23:06:50Z</dcterms:modified>
</cp:coreProperties>
</file>