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r/Documents/"/>
    </mc:Choice>
  </mc:AlternateContent>
  <xr:revisionPtr revIDLastSave="0" documentId="13_ncr:1_{8DA1D27A-603F-B349-95B4-5D73AA3959A6}" xr6:coauthVersionLast="47" xr6:coauthVersionMax="47" xr10:uidLastSave="{00000000-0000-0000-0000-000000000000}"/>
  <bookViews>
    <workbookView xWindow="6140" yWindow="2880" windowWidth="23260" windowHeight="12580" activeTab="4" xr2:uid="{577B7AE5-8700-45DD-9B4E-206E1D23192F}"/>
  </bookViews>
  <sheets>
    <sheet name="Solvent case" sheetId="4" r:id="rId1"/>
    <sheet name="Sunday&amp;Co" sheetId="5" r:id="rId2"/>
    <sheet name="North Mountain" sheetId="1" r:id="rId3"/>
    <sheet name="Financial Plan" sheetId="6" r:id="rId4"/>
    <sheet name="Blue Diamond" sheetId="7" r:id="rId5"/>
    <sheet name="Teti-tutoring" sheetId="8" r:id="rId6"/>
    <sheet name="Lucilla-tutoring" sheetId="9" r:id="rId7"/>
    <sheet name="MCF23 Test" sheetId="10" r:id="rId8"/>
    <sheet name="Financial Plan MCF" sheetId="11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7" l="1"/>
  <c r="B31" i="7"/>
  <c r="B20" i="7"/>
  <c r="O28" i="5"/>
  <c r="P29" i="5"/>
  <c r="O29" i="5"/>
  <c r="M28" i="5"/>
  <c r="M27" i="5"/>
  <c r="Q8" i="5"/>
  <c r="J19" i="5"/>
  <c r="L8" i="5"/>
  <c r="L7" i="5"/>
  <c r="C41" i="10"/>
  <c r="C4" i="4"/>
  <c r="C15" i="4"/>
  <c r="C21" i="4"/>
  <c r="C22" i="4"/>
  <c r="D18" i="4"/>
  <c r="D21" i="4"/>
  <c r="D22" i="4"/>
  <c r="E18" i="4"/>
  <c r="E21" i="4"/>
  <c r="E19" i="4"/>
  <c r="C19" i="4"/>
  <c r="E4" i="4"/>
  <c r="H49" i="10"/>
  <c r="H50" i="10"/>
  <c r="C38" i="10"/>
  <c r="C43" i="10"/>
  <c r="C61" i="11"/>
  <c r="D61" i="11"/>
  <c r="E61" i="11"/>
  <c r="F61" i="11"/>
  <c r="G61" i="11"/>
  <c r="H61" i="11"/>
  <c r="H62" i="11"/>
  <c r="B54" i="11"/>
  <c r="B63" i="11"/>
  <c r="H63" i="11"/>
  <c r="H64" i="11"/>
  <c r="H65" i="11"/>
  <c r="H67" i="11"/>
  <c r="H69" i="11"/>
  <c r="C43" i="11"/>
  <c r="D43" i="11"/>
  <c r="E43" i="11"/>
  <c r="F43" i="11"/>
  <c r="G43" i="11"/>
  <c r="H43" i="11"/>
  <c r="C56" i="11"/>
  <c r="C72" i="11"/>
  <c r="B24" i="11"/>
  <c r="B52" i="11"/>
  <c r="B50" i="11"/>
  <c r="B51" i="11"/>
  <c r="B27" i="11"/>
  <c r="B26" i="11"/>
  <c r="C49" i="11"/>
  <c r="C52" i="11"/>
  <c r="C48" i="11"/>
  <c r="D48" i="11"/>
  <c r="E48" i="11"/>
  <c r="F48" i="11"/>
  <c r="G48" i="11"/>
  <c r="H48" i="11"/>
  <c r="B35" i="11"/>
  <c r="B38" i="11"/>
  <c r="C38" i="11"/>
  <c r="D38" i="11"/>
  <c r="E38" i="11"/>
  <c r="C1" i="11"/>
  <c r="D1" i="11"/>
  <c r="E1" i="11"/>
  <c r="F1" i="11"/>
  <c r="G1" i="11"/>
  <c r="H1" i="11"/>
  <c r="C20" i="11"/>
  <c r="D20" i="11"/>
  <c r="E20" i="11"/>
  <c r="F20" i="11"/>
  <c r="G20" i="11"/>
  <c r="H20" i="11"/>
  <c r="H57" i="10"/>
  <c r="H58" i="10"/>
  <c r="H59" i="10"/>
  <c r="H56" i="10"/>
  <c r="C49" i="10"/>
  <c r="C51" i="10"/>
  <c r="H47" i="10"/>
  <c r="H48" i="10"/>
  <c r="H51" i="10"/>
  <c r="H52" i="10"/>
  <c r="H54" i="10"/>
  <c r="H55" i="10"/>
  <c r="H61" i="10"/>
  <c r="H65" i="10"/>
  <c r="H62" i="10"/>
  <c r="H64" i="10"/>
  <c r="H63" i="10"/>
  <c r="D36" i="10"/>
  <c r="E36" i="10"/>
  <c r="F36" i="10"/>
  <c r="C36" i="10"/>
  <c r="D25" i="10"/>
  <c r="C21" i="10"/>
  <c r="C23" i="10"/>
  <c r="C18" i="10"/>
  <c r="C19" i="10"/>
  <c r="C15" i="10"/>
  <c r="C8" i="10"/>
  <c r="C7" i="10"/>
  <c r="C2" i="10"/>
  <c r="C3" i="10"/>
  <c r="G18" i="9"/>
  <c r="G17" i="9"/>
  <c r="I2" i="9"/>
  <c r="I4" i="9"/>
  <c r="G4" i="9"/>
  <c r="G12" i="9"/>
  <c r="G10" i="9"/>
  <c r="C10" i="9"/>
  <c r="C12" i="9"/>
  <c r="D10" i="9"/>
  <c r="D12" i="9"/>
  <c r="B10" i="9"/>
  <c r="B12" i="9"/>
  <c r="G5" i="9"/>
  <c r="G3" i="9"/>
  <c r="I3" i="9"/>
  <c r="H2" i="9"/>
  <c r="H3" i="9"/>
  <c r="C3" i="9"/>
  <c r="C7" i="9"/>
  <c r="D3" i="9"/>
  <c r="D7" i="9"/>
  <c r="B3" i="9"/>
  <c r="B7" i="9"/>
  <c r="B11" i="8"/>
  <c r="H2" i="8"/>
  <c r="H3" i="8"/>
  <c r="B15" i="8"/>
  <c r="B16" i="8"/>
  <c r="H4" i="8"/>
  <c r="H5" i="8"/>
  <c r="H7" i="8"/>
  <c r="H8" i="8"/>
  <c r="H9" i="8"/>
  <c r="H6" i="8"/>
  <c r="H10" i="8"/>
  <c r="H12" i="8"/>
  <c r="H13" i="8"/>
  <c r="H17" i="8"/>
  <c r="H19" i="8"/>
  <c r="H18" i="8"/>
  <c r="E13" i="8"/>
  <c r="H21" i="8"/>
  <c r="E3" i="8"/>
  <c r="E9" i="8"/>
  <c r="E8" i="8"/>
  <c r="E7" i="8"/>
  <c r="E16" i="8"/>
  <c r="E21" i="8"/>
  <c r="L27" i="7"/>
  <c r="L28" i="7"/>
  <c r="L25" i="7"/>
  <c r="B27" i="7"/>
  <c r="B28" i="7"/>
  <c r="B29" i="7"/>
  <c r="L47" i="7"/>
  <c r="B30" i="7"/>
  <c r="G38" i="7"/>
  <c r="L32" i="7"/>
  <c r="B35" i="7"/>
  <c r="B37" i="7"/>
  <c r="L33" i="7"/>
  <c r="L30" i="7"/>
  <c r="L42" i="7"/>
  <c r="L41" i="7"/>
  <c r="M45" i="7"/>
  <c r="H50" i="7"/>
  <c r="G51" i="7"/>
  <c r="L23" i="7"/>
  <c r="L11" i="7"/>
  <c r="L13" i="7"/>
  <c r="L5" i="7"/>
  <c r="L6" i="7"/>
  <c r="L4" i="7"/>
  <c r="G10" i="7"/>
  <c r="G5" i="7"/>
  <c r="G6" i="7"/>
  <c r="G7" i="7"/>
  <c r="G4" i="7"/>
  <c r="G31" i="7"/>
  <c r="G13" i="7"/>
  <c r="G28" i="7"/>
  <c r="G12" i="7"/>
  <c r="G27" i="7"/>
  <c r="L14" i="7"/>
  <c r="B26" i="7"/>
  <c r="B24" i="7"/>
  <c r="O30" i="7"/>
  <c r="O32" i="7"/>
  <c r="O33" i="7"/>
  <c r="O31" i="7"/>
  <c r="O27" i="7"/>
  <c r="O28" i="7"/>
  <c r="O26" i="7"/>
  <c r="O21" i="7"/>
  <c r="O22" i="7"/>
  <c r="O23" i="7"/>
  <c r="O20" i="7"/>
  <c r="J32" i="7"/>
  <c r="J31" i="7"/>
  <c r="J27" i="7"/>
  <c r="J28" i="7"/>
  <c r="J26" i="7"/>
  <c r="J21" i="7"/>
  <c r="J22" i="7"/>
  <c r="J23" i="7"/>
  <c r="J20" i="7"/>
  <c r="H56" i="7"/>
  <c r="H39" i="7"/>
  <c r="C8" i="4"/>
  <c r="C10" i="4"/>
  <c r="C11" i="4"/>
  <c r="D4" i="4"/>
  <c r="D8" i="4"/>
  <c r="D10" i="4"/>
  <c r="D11" i="4"/>
  <c r="D15" i="4"/>
  <c r="D19" i="4"/>
  <c r="S7" i="7"/>
  <c r="T7" i="7"/>
  <c r="U7" i="7"/>
  <c r="V7" i="7"/>
  <c r="W7" i="7"/>
  <c r="X7" i="7"/>
  <c r="Y7" i="7"/>
  <c r="Z7" i="7"/>
  <c r="AA7" i="7"/>
  <c r="AB7" i="7"/>
  <c r="AC7" i="7"/>
  <c r="R7" i="7"/>
  <c r="U21" i="7"/>
  <c r="R20" i="7"/>
  <c r="AC15" i="7"/>
  <c r="S15" i="7"/>
  <c r="T15" i="7"/>
  <c r="U15" i="7"/>
  <c r="V15" i="7"/>
  <c r="W15" i="7"/>
  <c r="X15" i="7"/>
  <c r="Y15" i="7"/>
  <c r="Z15" i="7"/>
  <c r="AA15" i="7"/>
  <c r="AB15" i="7"/>
  <c r="R15" i="7"/>
  <c r="S18" i="7"/>
  <c r="T18" i="7"/>
  <c r="U18" i="7"/>
  <c r="V18" i="7"/>
  <c r="W18" i="7"/>
  <c r="X18" i="7"/>
  <c r="Y18" i="7"/>
  <c r="Z18" i="7"/>
  <c r="AA18" i="7"/>
  <c r="AB18" i="7"/>
  <c r="AC18" i="7"/>
  <c r="R18" i="7"/>
  <c r="S17" i="7"/>
  <c r="T17" i="7"/>
  <c r="U17" i="7"/>
  <c r="V17" i="7"/>
  <c r="W17" i="7"/>
  <c r="X17" i="7"/>
  <c r="Y17" i="7"/>
  <c r="Z17" i="7"/>
  <c r="AA17" i="7"/>
  <c r="AB17" i="7"/>
  <c r="AC17" i="7"/>
  <c r="R17" i="7"/>
  <c r="U14" i="7"/>
  <c r="T14" i="7"/>
  <c r="S14" i="7"/>
  <c r="R14" i="7"/>
  <c r="N25" i="7"/>
  <c r="M25" i="7"/>
  <c r="N19" i="7"/>
  <c r="M19" i="7"/>
  <c r="I30" i="7"/>
  <c r="H30" i="7"/>
  <c r="I25" i="7"/>
  <c r="H25" i="7"/>
  <c r="I19" i="7"/>
  <c r="H19" i="7"/>
  <c r="C24" i="7"/>
  <c r="C20" i="7"/>
  <c r="C27" i="7"/>
  <c r="C29" i="7"/>
  <c r="C31" i="7"/>
  <c r="C35" i="7"/>
  <c r="AD4" i="7"/>
  <c r="AD3" i="7"/>
  <c r="E2" i="6"/>
  <c r="F2" i="6"/>
  <c r="F3" i="6"/>
  <c r="F4" i="6"/>
  <c r="F5" i="6"/>
  <c r="F6" i="6"/>
  <c r="F9" i="6"/>
  <c r="F39" i="6"/>
  <c r="E16" i="6"/>
  <c r="E3" i="6"/>
  <c r="E17" i="6"/>
  <c r="E22" i="6"/>
  <c r="E24" i="6"/>
  <c r="E35" i="6"/>
  <c r="E27" i="6"/>
  <c r="E26" i="6"/>
  <c r="B3" i="6"/>
  <c r="B4" i="6"/>
  <c r="B6" i="6"/>
  <c r="B9" i="6"/>
  <c r="B11" i="6"/>
  <c r="B12" i="6"/>
  <c r="B13" i="6"/>
  <c r="B33" i="6"/>
  <c r="C32" i="6"/>
  <c r="C3" i="6"/>
  <c r="C4" i="6"/>
  <c r="C6" i="6"/>
  <c r="C9" i="6"/>
  <c r="B16" i="6"/>
  <c r="B24" i="6"/>
  <c r="B35" i="6"/>
  <c r="B29" i="6"/>
  <c r="C10" i="6"/>
  <c r="C11" i="6"/>
  <c r="C12" i="6"/>
  <c r="C13" i="6"/>
  <c r="C33" i="6"/>
  <c r="D32" i="6"/>
  <c r="D3" i="6"/>
  <c r="D4" i="6"/>
  <c r="D6" i="6"/>
  <c r="D9" i="6"/>
  <c r="C24" i="6"/>
  <c r="C35" i="6"/>
  <c r="C29" i="6"/>
  <c r="D10" i="6"/>
  <c r="D11" i="6"/>
  <c r="D12" i="6"/>
  <c r="D13" i="6"/>
  <c r="D33" i="6"/>
  <c r="E32" i="6"/>
  <c r="E31" i="6"/>
  <c r="E4" i="6"/>
  <c r="E5" i="6"/>
  <c r="E6" i="6"/>
  <c r="E9" i="6"/>
  <c r="D24" i="6"/>
  <c r="D35" i="6"/>
  <c r="D29" i="6"/>
  <c r="E10" i="6"/>
  <c r="E11" i="6"/>
  <c r="E12" i="6"/>
  <c r="E13" i="6"/>
  <c r="E33" i="6"/>
  <c r="E29" i="6"/>
  <c r="F10" i="6"/>
  <c r="F11" i="6"/>
  <c r="F12" i="6"/>
  <c r="F40" i="6"/>
  <c r="F42" i="6"/>
  <c r="F16" i="6"/>
  <c r="F17" i="6"/>
  <c r="F26" i="6"/>
  <c r="F27" i="6"/>
  <c r="F43" i="6"/>
  <c r="E43" i="6"/>
  <c r="F44" i="6"/>
  <c r="F45" i="6"/>
  <c r="F48" i="6"/>
  <c r="F22" i="6"/>
  <c r="F24" i="6"/>
  <c r="F35" i="6"/>
  <c r="F32" i="6"/>
  <c r="F31" i="6"/>
  <c r="F13" i="6"/>
  <c r="F33" i="6"/>
  <c r="F29" i="6"/>
  <c r="F49" i="6"/>
  <c r="F50" i="6"/>
  <c r="F51" i="6"/>
  <c r="F53" i="6"/>
  <c r="F54" i="6"/>
  <c r="G2" i="6"/>
  <c r="G3" i="6"/>
  <c r="G4" i="6"/>
  <c r="G5" i="6"/>
  <c r="G6" i="6"/>
  <c r="G9" i="6"/>
  <c r="G39" i="6"/>
  <c r="G10" i="6"/>
  <c r="G11" i="6"/>
  <c r="G12" i="6"/>
  <c r="G40" i="6"/>
  <c r="G42" i="6"/>
  <c r="G16" i="6"/>
  <c r="G17" i="6"/>
  <c r="G26" i="6"/>
  <c r="G43" i="6"/>
  <c r="G22" i="6"/>
  <c r="G24" i="6"/>
  <c r="G35" i="6"/>
  <c r="G32" i="6"/>
  <c r="G31" i="6"/>
  <c r="G13" i="6"/>
  <c r="G33" i="6"/>
  <c r="G29" i="6"/>
  <c r="G49" i="6"/>
  <c r="G50" i="6"/>
  <c r="G53" i="6"/>
  <c r="E39" i="6"/>
  <c r="E40" i="6"/>
  <c r="E42" i="6"/>
  <c r="D43" i="6"/>
  <c r="E44" i="6"/>
  <c r="E45" i="6"/>
  <c r="E48" i="6"/>
  <c r="E49" i="6"/>
  <c r="E50" i="6"/>
  <c r="E51" i="6"/>
  <c r="E53" i="6"/>
  <c r="E54" i="6"/>
  <c r="C25" i="1"/>
  <c r="C26" i="1"/>
  <c r="C27" i="1"/>
  <c r="C28" i="1"/>
  <c r="D56" i="6"/>
  <c r="C56" i="6"/>
  <c r="B56" i="6"/>
  <c r="D52" i="6"/>
  <c r="C52" i="6"/>
  <c r="B52" i="6"/>
  <c r="B50" i="6"/>
  <c r="D46" i="6"/>
  <c r="C46" i="6"/>
  <c r="B46" i="6"/>
  <c r="C43" i="6"/>
  <c r="D41" i="6"/>
  <c r="C41" i="6"/>
  <c r="B41" i="6"/>
  <c r="H66" i="11"/>
  <c r="H68" i="11"/>
  <c r="H70" i="11"/>
  <c r="H73" i="11"/>
  <c r="H74" i="11"/>
  <c r="B32" i="11"/>
  <c r="B33" i="11"/>
  <c r="B25" i="11"/>
  <c r="C23" i="11"/>
  <c r="B22" i="11"/>
  <c r="B28" i="11"/>
  <c r="F38" i="11"/>
  <c r="C24" i="11"/>
  <c r="B55" i="11"/>
  <c r="B62" i="11"/>
  <c r="C50" i="11"/>
  <c r="C25" i="11"/>
  <c r="D49" i="11"/>
  <c r="C53" i="11"/>
  <c r="B46" i="11"/>
  <c r="C45" i="11"/>
  <c r="H66" i="10"/>
  <c r="C55" i="10"/>
  <c r="C57" i="10"/>
  <c r="C6" i="10"/>
  <c r="H4" i="9"/>
  <c r="G13" i="9"/>
  <c r="I18" i="9"/>
  <c r="I12" i="9"/>
  <c r="H18" i="9"/>
  <c r="H17" i="9"/>
  <c r="H12" i="9"/>
  <c r="G7" i="9"/>
  <c r="B13" i="9"/>
  <c r="B16" i="9"/>
  <c r="D13" i="9"/>
  <c r="D16" i="9"/>
  <c r="C13" i="9"/>
  <c r="C16" i="9"/>
  <c r="I10" i="9"/>
  <c r="H10" i="9"/>
  <c r="I5" i="9"/>
  <c r="H5" i="9"/>
  <c r="E2" i="8"/>
  <c r="E6" i="8"/>
  <c r="G25" i="7"/>
  <c r="G44" i="7"/>
  <c r="H44" i="7"/>
  <c r="G30" i="7"/>
  <c r="G11" i="7"/>
  <c r="G9" i="7"/>
  <c r="L10" i="7"/>
  <c r="L9" i="7"/>
  <c r="B22" i="7"/>
  <c r="G23" i="7"/>
  <c r="W12" i="7"/>
  <c r="W23" i="7"/>
  <c r="H42" i="7"/>
  <c r="O19" i="7"/>
  <c r="AC12" i="7"/>
  <c r="AC23" i="7"/>
  <c r="R12" i="7"/>
  <c r="R23" i="7"/>
  <c r="R30" i="7"/>
  <c r="O25" i="7"/>
  <c r="J30" i="7"/>
  <c r="J25" i="7"/>
  <c r="J19" i="7"/>
  <c r="H38" i="7"/>
  <c r="Y12" i="7"/>
  <c r="Y23" i="7"/>
  <c r="X12" i="7"/>
  <c r="X23" i="7"/>
  <c r="AB12" i="7"/>
  <c r="AB23" i="7"/>
  <c r="V12" i="7"/>
  <c r="V23" i="7"/>
  <c r="AA12" i="7"/>
  <c r="AA23" i="7"/>
  <c r="U12" i="7"/>
  <c r="U23" i="7"/>
  <c r="S12" i="7"/>
  <c r="S23" i="7"/>
  <c r="T12" i="7"/>
  <c r="T23" i="7"/>
  <c r="Z12" i="7"/>
  <c r="Z23" i="7"/>
  <c r="M34" i="7"/>
  <c r="N34" i="7"/>
  <c r="H34" i="7"/>
  <c r="I34" i="7"/>
  <c r="C36" i="7"/>
  <c r="G44" i="6"/>
  <c r="G45" i="6"/>
  <c r="G48" i="6"/>
  <c r="G51" i="6"/>
  <c r="G54" i="6"/>
  <c r="D44" i="6"/>
  <c r="B39" i="6"/>
  <c r="C39" i="6"/>
  <c r="D39" i="6"/>
  <c r="B43" i="6"/>
  <c r="B44" i="6"/>
  <c r="B31" i="11"/>
  <c r="B30" i="11"/>
  <c r="B57" i="11"/>
  <c r="B58" i="11"/>
  <c r="B64" i="11"/>
  <c r="B65" i="11"/>
  <c r="B68" i="11"/>
  <c r="B67" i="11"/>
  <c r="C51" i="11"/>
  <c r="D24" i="11"/>
  <c r="D23" i="11"/>
  <c r="G38" i="11"/>
  <c r="C33" i="11"/>
  <c r="C32" i="11"/>
  <c r="C67" i="11"/>
  <c r="C22" i="11"/>
  <c r="B59" i="11"/>
  <c r="B40" i="11"/>
  <c r="C54" i="11"/>
  <c r="C63" i="11"/>
  <c r="C44" i="11"/>
  <c r="C27" i="11"/>
  <c r="C26" i="11"/>
  <c r="D53" i="11"/>
  <c r="D52" i="11"/>
  <c r="D50" i="11"/>
  <c r="D25" i="11"/>
  <c r="E49" i="11"/>
  <c r="G15" i="9"/>
  <c r="G16" i="9"/>
  <c r="G19" i="9"/>
  <c r="H13" i="9"/>
  <c r="I13" i="9"/>
  <c r="I7" i="9"/>
  <c r="B17" i="9"/>
  <c r="H7" i="9"/>
  <c r="I17" i="9"/>
  <c r="E4" i="8"/>
  <c r="E5" i="8"/>
  <c r="E10" i="8"/>
  <c r="E12" i="8"/>
  <c r="E19" i="8"/>
  <c r="B17" i="8"/>
  <c r="L46" i="7"/>
  <c r="L8" i="7"/>
  <c r="G40" i="7"/>
  <c r="G19" i="7"/>
  <c r="M44" i="7"/>
  <c r="G8" i="7"/>
  <c r="G3" i="7"/>
  <c r="C37" i="7"/>
  <c r="H40" i="7"/>
  <c r="H41" i="7"/>
  <c r="H43" i="7"/>
  <c r="H46" i="7"/>
  <c r="H54" i="7"/>
  <c r="R31" i="7"/>
  <c r="S27" i="7"/>
  <c r="S30" i="7"/>
  <c r="R28" i="7"/>
  <c r="C44" i="6"/>
  <c r="B40" i="6"/>
  <c r="B42" i="6"/>
  <c r="B45" i="6"/>
  <c r="B48" i="6"/>
  <c r="C31" i="11"/>
  <c r="C55" i="11"/>
  <c r="C62" i="11"/>
  <c r="E24" i="11"/>
  <c r="E23" i="11"/>
  <c r="C39" i="11"/>
  <c r="B37" i="11"/>
  <c r="B41" i="11"/>
  <c r="D51" i="11"/>
  <c r="D33" i="11"/>
  <c r="D32" i="11"/>
  <c r="D67" i="11"/>
  <c r="C66" i="11"/>
  <c r="D22" i="11"/>
  <c r="C28" i="11"/>
  <c r="E53" i="11"/>
  <c r="D44" i="11"/>
  <c r="D27" i="11"/>
  <c r="D26" i="11"/>
  <c r="E52" i="11"/>
  <c r="E50" i="11"/>
  <c r="E25" i="11"/>
  <c r="F49" i="11"/>
  <c r="C46" i="11"/>
  <c r="C69" i="11"/>
  <c r="I15" i="9"/>
  <c r="I16" i="9"/>
  <c r="I19" i="9"/>
  <c r="H15" i="9"/>
  <c r="H16" i="9"/>
  <c r="H19" i="9"/>
  <c r="L38" i="7"/>
  <c r="L44" i="7"/>
  <c r="G16" i="7"/>
  <c r="G41" i="7"/>
  <c r="G34" i="7"/>
  <c r="L22" i="7"/>
  <c r="S28" i="7"/>
  <c r="S31" i="7"/>
  <c r="T27" i="7"/>
  <c r="T30" i="7"/>
  <c r="T28" i="7"/>
  <c r="C53" i="6"/>
  <c r="F24" i="11"/>
  <c r="F23" i="11"/>
  <c r="D28" i="11"/>
  <c r="E51" i="11"/>
  <c r="E33" i="11"/>
  <c r="E32" i="11"/>
  <c r="E67" i="11"/>
  <c r="D66" i="11"/>
  <c r="E22" i="11"/>
  <c r="D31" i="11"/>
  <c r="D45" i="11"/>
  <c r="F53" i="11"/>
  <c r="E44" i="11"/>
  <c r="E27" i="11"/>
  <c r="E26" i="11"/>
  <c r="F52" i="11"/>
  <c r="F50" i="11"/>
  <c r="F25" i="11"/>
  <c r="G49" i="11"/>
  <c r="G20" i="9"/>
  <c r="E22" i="8"/>
  <c r="L15" i="7"/>
  <c r="L12" i="7"/>
  <c r="L40" i="7"/>
  <c r="L7" i="7"/>
  <c r="L3" i="7"/>
  <c r="L19" i="7"/>
  <c r="M42" i="7"/>
  <c r="T29" i="7"/>
  <c r="G24" i="11"/>
  <c r="G23" i="11"/>
  <c r="E31" i="11"/>
  <c r="C57" i="11"/>
  <c r="E28" i="11"/>
  <c r="F51" i="11"/>
  <c r="F33" i="11"/>
  <c r="F32" i="11"/>
  <c r="F67" i="11"/>
  <c r="E66" i="11"/>
  <c r="F22" i="11"/>
  <c r="D46" i="11"/>
  <c r="D69" i="11"/>
  <c r="D54" i="11"/>
  <c r="D63" i="11"/>
  <c r="G50" i="11"/>
  <c r="G25" i="11"/>
  <c r="F44" i="11"/>
  <c r="F27" i="11"/>
  <c r="F26" i="11"/>
  <c r="H49" i="11"/>
  <c r="G52" i="11"/>
  <c r="G53" i="11"/>
  <c r="H22" i="8"/>
  <c r="L39" i="7"/>
  <c r="L49" i="7"/>
  <c r="L48" i="7"/>
  <c r="G42" i="7"/>
  <c r="G43" i="7"/>
  <c r="G46" i="7"/>
  <c r="G54" i="7"/>
  <c r="L16" i="7"/>
  <c r="L34" i="7"/>
  <c r="L43" i="7"/>
  <c r="T31" i="7"/>
  <c r="U27" i="7"/>
  <c r="U30" i="7"/>
  <c r="U31" i="7"/>
  <c r="V27" i="7"/>
  <c r="V30" i="7"/>
  <c r="V31" i="7"/>
  <c r="W27" i="7"/>
  <c r="W30" i="7"/>
  <c r="W28" i="7"/>
  <c r="B49" i="6"/>
  <c r="B51" i="6"/>
  <c r="B54" i="6"/>
  <c r="C50" i="6"/>
  <c r="G32" i="11"/>
  <c r="G33" i="11"/>
  <c r="G67" i="11"/>
  <c r="D55" i="11"/>
  <c r="D62" i="11"/>
  <c r="C58" i="11"/>
  <c r="C64" i="11"/>
  <c r="C65" i="11"/>
  <c r="C68" i="11"/>
  <c r="C70" i="11"/>
  <c r="G51" i="11"/>
  <c r="G31" i="11"/>
  <c r="G22" i="11"/>
  <c r="F28" i="11"/>
  <c r="F31" i="11"/>
  <c r="E45" i="11"/>
  <c r="G44" i="11"/>
  <c r="G27" i="11"/>
  <c r="G26" i="11"/>
  <c r="U28" i="7"/>
  <c r="V28" i="7"/>
  <c r="W29" i="7"/>
  <c r="C40" i="6"/>
  <c r="C42" i="6"/>
  <c r="C45" i="6"/>
  <c r="C48" i="6"/>
  <c r="F66" i="11"/>
  <c r="G66" i="11"/>
  <c r="C59" i="11"/>
  <c r="C40" i="11"/>
  <c r="D39" i="11"/>
  <c r="G28" i="11"/>
  <c r="E46" i="11"/>
  <c r="E69" i="11"/>
  <c r="E54" i="11"/>
  <c r="E63" i="11"/>
  <c r="W31" i="7"/>
  <c r="X27" i="7"/>
  <c r="X30" i="7"/>
  <c r="X31" i="7"/>
  <c r="Y27" i="7"/>
  <c r="D53" i="6"/>
  <c r="E55" i="11"/>
  <c r="E62" i="11"/>
  <c r="C37" i="11"/>
  <c r="F45" i="11"/>
  <c r="F46" i="11"/>
  <c r="F69" i="11"/>
  <c r="F54" i="11"/>
  <c r="F63" i="11"/>
  <c r="X28" i="7"/>
  <c r="Y30" i="7"/>
  <c r="Y31" i="7"/>
  <c r="Z27" i="7"/>
  <c r="Z30" i="7"/>
  <c r="Z28" i="7"/>
  <c r="C49" i="6"/>
  <c r="C51" i="6"/>
  <c r="C54" i="6"/>
  <c r="F55" i="11"/>
  <c r="F62" i="11"/>
  <c r="G45" i="11"/>
  <c r="G46" i="11"/>
  <c r="G69" i="11"/>
  <c r="C36" i="11"/>
  <c r="Y28" i="7"/>
  <c r="Z29" i="7"/>
  <c r="D50" i="6"/>
  <c r="G54" i="11"/>
  <c r="G63" i="11"/>
  <c r="G55" i="11"/>
  <c r="G62" i="11"/>
  <c r="D56" i="11"/>
  <c r="D72" i="11"/>
  <c r="C35" i="11"/>
  <c r="C71" i="11"/>
  <c r="C73" i="11"/>
  <c r="C74" i="11"/>
  <c r="Z31" i="7"/>
  <c r="AA27" i="7"/>
  <c r="AA30" i="7"/>
  <c r="AA28" i="7"/>
  <c r="D40" i="6"/>
  <c r="D42" i="6"/>
  <c r="D45" i="6"/>
  <c r="D48" i="6"/>
  <c r="C30" i="11"/>
  <c r="C41" i="11"/>
  <c r="D57" i="11"/>
  <c r="AA31" i="7"/>
  <c r="AB27" i="7"/>
  <c r="AB30" i="7"/>
  <c r="AB31" i="7"/>
  <c r="AC27" i="7"/>
  <c r="AC30" i="7"/>
  <c r="AC28" i="7"/>
  <c r="D49" i="6"/>
  <c r="D51" i="6"/>
  <c r="D54" i="6"/>
  <c r="D58" i="11"/>
  <c r="D64" i="11"/>
  <c r="D65" i="11"/>
  <c r="D68" i="11"/>
  <c r="D70" i="11"/>
  <c r="AB28" i="7"/>
  <c r="AC29" i="7"/>
  <c r="J25" i="5"/>
  <c r="L6" i="5"/>
  <c r="J24" i="5"/>
  <c r="J16" i="5"/>
  <c r="F23" i="5"/>
  <c r="F26" i="5"/>
  <c r="Q5" i="5"/>
  <c r="Q6" i="5"/>
  <c r="Q9" i="5"/>
  <c r="Q10" i="5"/>
  <c r="Q12" i="5"/>
  <c r="Q13" i="5"/>
  <c r="J29" i="5"/>
  <c r="Q14" i="5"/>
  <c r="Q7" i="5"/>
  <c r="Q4" i="5"/>
  <c r="L5" i="5"/>
  <c r="L9" i="5"/>
  <c r="L10" i="5"/>
  <c r="L11" i="5"/>
  <c r="L12" i="5"/>
  <c r="L4" i="5"/>
  <c r="E8" i="4"/>
  <c r="E10" i="4"/>
  <c r="E11" i="4"/>
  <c r="E15" i="4"/>
  <c r="M14" i="4"/>
  <c r="F11" i="4"/>
  <c r="G11" i="4"/>
  <c r="H11" i="4"/>
  <c r="I11" i="4"/>
  <c r="J11" i="4"/>
  <c r="K11" i="4"/>
  <c r="L11" i="4"/>
  <c r="M11" i="4"/>
  <c r="N11" i="4"/>
  <c r="F10" i="4"/>
  <c r="G10" i="4"/>
  <c r="H10" i="4"/>
  <c r="I10" i="4"/>
  <c r="J10" i="4"/>
  <c r="K10" i="4"/>
  <c r="L10" i="4"/>
  <c r="M10" i="4"/>
  <c r="N10" i="4"/>
  <c r="N8" i="4"/>
  <c r="H8" i="4"/>
  <c r="F8" i="4"/>
  <c r="G8" i="4"/>
  <c r="I8" i="4"/>
  <c r="I15" i="4"/>
  <c r="J8" i="4"/>
  <c r="J15" i="4"/>
  <c r="K8" i="4"/>
  <c r="K15" i="4"/>
  <c r="L8" i="4"/>
  <c r="M8" i="4"/>
  <c r="B16" i="1"/>
  <c r="C5" i="1"/>
  <c r="C16" i="1"/>
  <c r="C18" i="1"/>
  <c r="C13" i="1"/>
  <c r="C7" i="1"/>
  <c r="C10" i="1"/>
  <c r="C6" i="1"/>
  <c r="D59" i="11"/>
  <c r="D40" i="11"/>
  <c r="E39" i="11"/>
  <c r="AC31" i="7"/>
  <c r="AD29" i="7"/>
  <c r="J21" i="5"/>
  <c r="E20" i="4"/>
  <c r="E22" i="4"/>
  <c r="F18" i="4"/>
  <c r="F15" i="4"/>
  <c r="F21" i="4"/>
  <c r="F22" i="4"/>
  <c r="G18" i="4"/>
  <c r="L15" i="4"/>
  <c r="G15" i="4"/>
  <c r="N15" i="4"/>
  <c r="M15" i="4"/>
  <c r="H15" i="4"/>
  <c r="B6" i="1"/>
  <c r="B5" i="1"/>
  <c r="B7" i="1"/>
  <c r="B10" i="1"/>
  <c r="B13" i="1"/>
  <c r="B18" i="1"/>
  <c r="D37" i="11"/>
  <c r="D36" i="11"/>
  <c r="G21" i="4"/>
  <c r="G19" i="4"/>
  <c r="F19" i="4"/>
  <c r="E56" i="11"/>
  <c r="E72" i="11"/>
  <c r="D35" i="11"/>
  <c r="D71" i="11"/>
  <c r="D73" i="11"/>
  <c r="D74" i="11"/>
  <c r="G22" i="4"/>
  <c r="H18" i="4"/>
  <c r="D30" i="11"/>
  <c r="D41" i="11"/>
  <c r="E57" i="11"/>
  <c r="H21" i="4"/>
  <c r="H19" i="4"/>
  <c r="H20" i="4"/>
  <c r="H22" i="4"/>
  <c r="E58" i="11"/>
  <c r="E64" i="11"/>
  <c r="E65" i="11"/>
  <c r="E68" i="11"/>
  <c r="E70" i="11"/>
  <c r="I18" i="4"/>
  <c r="E59" i="11"/>
  <c r="E40" i="11"/>
  <c r="F39" i="11"/>
  <c r="I21" i="4"/>
  <c r="I19" i="4"/>
  <c r="E37" i="11"/>
  <c r="E36" i="11"/>
  <c r="F56" i="11"/>
  <c r="F72" i="11"/>
  <c r="I22" i="4"/>
  <c r="J18" i="4"/>
  <c r="E35" i="11"/>
  <c r="E71" i="11"/>
  <c r="E73" i="11"/>
  <c r="E74" i="11"/>
  <c r="E30" i="11"/>
  <c r="E41" i="11"/>
  <c r="F57" i="11"/>
  <c r="J21" i="4"/>
  <c r="J19" i="4"/>
  <c r="F58" i="11"/>
  <c r="F64" i="11"/>
  <c r="F65" i="11"/>
  <c r="F68" i="11"/>
  <c r="F70" i="11"/>
  <c r="J22" i="4"/>
  <c r="K18" i="4"/>
  <c r="F59" i="11"/>
  <c r="F40" i="11"/>
  <c r="G39" i="11"/>
  <c r="K21" i="4"/>
  <c r="K19" i="4"/>
  <c r="K20" i="4"/>
  <c r="K22" i="4"/>
  <c r="F37" i="11"/>
  <c r="F36" i="11"/>
  <c r="G56" i="11"/>
  <c r="G72" i="11"/>
  <c r="L18" i="4"/>
  <c r="F35" i="11"/>
  <c r="F71" i="11"/>
  <c r="F73" i="11"/>
  <c r="F74" i="11"/>
  <c r="G57" i="11"/>
  <c r="L21" i="4"/>
  <c r="L22" i="4"/>
  <c r="M18" i="4"/>
  <c r="M21" i="4"/>
  <c r="F30" i="11"/>
  <c r="F41" i="11"/>
  <c r="G58" i="11"/>
  <c r="G64" i="11"/>
  <c r="G65" i="11"/>
  <c r="G68" i="11"/>
  <c r="G70" i="11"/>
  <c r="L19" i="4"/>
  <c r="M19" i="4"/>
  <c r="M22" i="4"/>
  <c r="N18" i="4"/>
  <c r="G59" i="11"/>
  <c r="G40" i="11"/>
  <c r="N21" i="4"/>
  <c r="N19" i="4"/>
  <c r="N20" i="4"/>
  <c r="N22" i="4"/>
  <c r="J15" i="5"/>
  <c r="J18" i="5"/>
  <c r="J20" i="5"/>
  <c r="J23" i="5"/>
  <c r="J26" i="5"/>
  <c r="J31" i="5"/>
  <c r="F28" i="5"/>
  <c r="G37" i="11"/>
  <c r="G36" i="11"/>
  <c r="G35" i="11"/>
  <c r="G71" i="11"/>
  <c r="G73" i="11"/>
  <c r="G74" i="11"/>
  <c r="H57" i="7"/>
  <c r="G30" i="11"/>
  <c r="G41" i="11"/>
  <c r="G57" i="7"/>
</calcChain>
</file>

<file path=xl/sharedStrings.xml><?xml version="1.0" encoding="utf-8"?>
<sst xmlns="http://schemas.openxmlformats.org/spreadsheetml/2006/main" count="643" uniqueCount="337">
  <si>
    <t>EBIT</t>
  </si>
  <si>
    <t>D&amp;A</t>
  </si>
  <si>
    <t>Tax</t>
  </si>
  <si>
    <t>Potential Self Financing</t>
  </si>
  <si>
    <t>Net Self Financing</t>
  </si>
  <si>
    <t>Delta Investment</t>
  </si>
  <si>
    <t>Delta Divesment</t>
  </si>
  <si>
    <t>CF from operation</t>
  </si>
  <si>
    <t>Delta Financing</t>
  </si>
  <si>
    <t>Delta Repayment</t>
  </si>
  <si>
    <t>CF from operation and financing</t>
  </si>
  <si>
    <t>Interest expense</t>
  </si>
  <si>
    <t>Interest income</t>
  </si>
  <si>
    <t>Dividends</t>
  </si>
  <si>
    <t>Others</t>
  </si>
  <si>
    <t>CF</t>
  </si>
  <si>
    <t>Profitability</t>
  </si>
  <si>
    <t>ROI</t>
  </si>
  <si>
    <t>ROE</t>
  </si>
  <si>
    <t>ROA</t>
  </si>
  <si>
    <t>ROS</t>
  </si>
  <si>
    <t>ROIC</t>
  </si>
  <si>
    <r>
      <t>Delta WK</t>
    </r>
    <r>
      <rPr>
        <vertAlign val="subscript"/>
        <sz val="11"/>
        <color theme="1"/>
        <rFont val="Calibri"/>
        <family val="2"/>
        <scheme val="minor"/>
      </rPr>
      <t>C</t>
    </r>
  </si>
  <si>
    <t>The dividends are large compared to the outflow of cash in the year, which means the shareholders are very powerful in this company.</t>
  </si>
  <si>
    <t>Which indicates that the investment cannot be as large as it can be</t>
  </si>
  <si>
    <t>Feb</t>
  </si>
  <si>
    <t>Mar</t>
  </si>
  <si>
    <t>Apr</t>
  </si>
  <si>
    <t>Jan</t>
  </si>
  <si>
    <t>Cash Inflow</t>
  </si>
  <si>
    <t>Cash outflow</t>
  </si>
  <si>
    <t>Purchase</t>
  </si>
  <si>
    <t>Sales</t>
  </si>
  <si>
    <t>Salaries</t>
  </si>
  <si>
    <t>Coverage</t>
  </si>
  <si>
    <t>Cash in excess</t>
  </si>
  <si>
    <t>May</t>
  </si>
  <si>
    <t>Interest accrued</t>
  </si>
  <si>
    <t>Jun</t>
  </si>
  <si>
    <t>Jul</t>
  </si>
  <si>
    <t>Aug</t>
  </si>
  <si>
    <t>Sep</t>
  </si>
  <si>
    <t>Oct</t>
  </si>
  <si>
    <t>Nov</t>
  </si>
  <si>
    <t>Dec</t>
  </si>
  <si>
    <t>Receivables</t>
  </si>
  <si>
    <t>Payables</t>
  </si>
  <si>
    <t>Salaries and wages</t>
  </si>
  <si>
    <t>Severance liquidation</t>
  </si>
  <si>
    <t>Industrial cost</t>
  </si>
  <si>
    <t>Admin, general and commercial cost</t>
  </si>
  <si>
    <t>Purchase of fixed assets</t>
  </si>
  <si>
    <t>Tax payment 2014</t>
  </si>
  <si>
    <t>Tax advanced payment 2015</t>
  </si>
  <si>
    <t>Sales of assets</t>
  </si>
  <si>
    <t>Monthly cash balance</t>
  </si>
  <si>
    <t>Cash surplus (from 2014)</t>
  </si>
  <si>
    <t>Bank overdraft (initial)</t>
  </si>
  <si>
    <t>Interest</t>
  </si>
  <si>
    <t>Bank overdraft (final) after interest</t>
  </si>
  <si>
    <t>Bank overdraft (final) before interest</t>
  </si>
  <si>
    <t>Bank interest is paid on quarterly basis</t>
  </si>
  <si>
    <t>Paid interest</t>
  </si>
  <si>
    <t>Attachment I - Sunday &amp; Co. - Balance sheets</t>
  </si>
  <si>
    <t>year 0</t>
  </si>
  <si>
    <t>year 1</t>
  </si>
  <si>
    <t>Inventories</t>
  </si>
  <si>
    <t>Net Income</t>
  </si>
  <si>
    <t>Net Buildings</t>
  </si>
  <si>
    <t>Other short term assets</t>
  </si>
  <si>
    <t>Bonds</t>
  </si>
  <si>
    <t>Net machinery</t>
  </si>
  <si>
    <t>Wages payable</t>
  </si>
  <si>
    <t>Cash</t>
  </si>
  <si>
    <t>Loans</t>
  </si>
  <si>
    <t>Other short term liabil.</t>
  </si>
  <si>
    <t>Lands</t>
  </si>
  <si>
    <t>Capital share</t>
  </si>
  <si>
    <t>Total assets</t>
  </si>
  <si>
    <t>Reserves</t>
  </si>
  <si>
    <t>Tax payable</t>
  </si>
  <si>
    <t>TOT Liabilities+Equity</t>
  </si>
  <si>
    <t>Attachment II - Sunday &amp; Co. - Items from income statement</t>
  </si>
  <si>
    <t>(-)</t>
  </si>
  <si>
    <t>Purchases and inv.variation</t>
  </si>
  <si>
    <t>Salary and wages</t>
  </si>
  <si>
    <t>Other operating costs</t>
  </si>
  <si>
    <t>Depreciation &amp; Amortization</t>
  </si>
  <si>
    <t>Severance indemnity</t>
  </si>
  <si>
    <t>Taxes</t>
  </si>
  <si>
    <t>Financial Charges</t>
  </si>
  <si>
    <t>(+)</t>
  </si>
  <si>
    <t>Ancillary revenues</t>
  </si>
  <si>
    <t>EBT</t>
  </si>
  <si>
    <t>NI</t>
  </si>
  <si>
    <t>Delta</t>
  </si>
  <si>
    <t>Delta Depreciation</t>
  </si>
  <si>
    <t>Others revenue</t>
  </si>
  <si>
    <r>
      <t>Delta WK</t>
    </r>
    <r>
      <rPr>
        <vertAlign val="subscript"/>
        <sz val="9"/>
        <color theme="1"/>
        <rFont val="Segoe UI"/>
        <family val="2"/>
      </rPr>
      <t>C</t>
    </r>
  </si>
  <si>
    <t>INFO for 2022-2024</t>
  </si>
  <si>
    <t xml:space="preserve">Revenues </t>
  </si>
  <si>
    <t>Payout ratio</t>
  </si>
  <si>
    <t>COGS (Except D&amp;A)</t>
  </si>
  <si>
    <t>Gross industrial margin</t>
  </si>
  <si>
    <t>SG&amp;A Ex.</t>
  </si>
  <si>
    <t>EBITDA</t>
  </si>
  <si>
    <t xml:space="preserve">EBIT </t>
  </si>
  <si>
    <t>Interests</t>
  </si>
  <si>
    <t>Net income</t>
  </si>
  <si>
    <t xml:space="preserve">Receivables </t>
  </si>
  <si>
    <t xml:space="preserve">Inventories  </t>
  </si>
  <si>
    <t>Cash (5% Revenues)</t>
  </si>
  <si>
    <t xml:space="preserve">Payables  </t>
  </si>
  <si>
    <t>Severance fund</t>
  </si>
  <si>
    <t>Debt</t>
  </si>
  <si>
    <t>Capital</t>
  </si>
  <si>
    <t>Reserves/Ret.earnings</t>
  </si>
  <si>
    <t>Total Liab.+Equity</t>
  </si>
  <si>
    <t>Depreciation</t>
  </si>
  <si>
    <t>Potential self financing</t>
  </si>
  <si>
    <t>Net working capital</t>
  </si>
  <si>
    <t>Variation net working cap</t>
  </si>
  <si>
    <t>Net self financing</t>
  </si>
  <si>
    <t>Investments</t>
  </si>
  <si>
    <t>FCFO</t>
  </si>
  <si>
    <t>Variation Debt</t>
  </si>
  <si>
    <t>FCFE</t>
  </si>
  <si>
    <t xml:space="preserve">Increase in capital </t>
  </si>
  <si>
    <t>dividends</t>
  </si>
  <si>
    <t>Overall cash flows</t>
  </si>
  <si>
    <t>Variation in cash</t>
  </si>
  <si>
    <t>Old D&amp;A</t>
  </si>
  <si>
    <t>Additonal D&amp;A</t>
  </si>
  <si>
    <t>Net fixed assets (old)</t>
  </si>
  <si>
    <t>Net fixed assets (new)</t>
  </si>
  <si>
    <t>Investments (new)</t>
  </si>
  <si>
    <t>In this provisional statement, we minus interests directly from FCFO instead of FCFE</t>
  </si>
  <si>
    <r>
      <t xml:space="preserve">So instead of having </t>
    </r>
    <r>
      <rPr>
        <b/>
        <sz val="11"/>
        <color theme="1"/>
        <rFont val="Calibri"/>
        <family val="2"/>
        <scheme val="minor"/>
      </rPr>
      <t>Financing and Repayment</t>
    </r>
    <r>
      <rPr>
        <sz val="11"/>
        <color theme="1"/>
        <rFont val="Calibri"/>
        <family val="2"/>
        <scheme val="minor"/>
      </rPr>
      <t xml:space="preserve"> area and </t>
    </r>
    <r>
      <rPr>
        <b/>
        <sz val="11"/>
        <color theme="1"/>
        <rFont val="Calibri"/>
        <family val="2"/>
        <scheme val="minor"/>
      </rPr>
      <t xml:space="preserve">Cost and Revenue associated with financial structure plus other cost/revenue </t>
    </r>
    <r>
      <rPr>
        <sz val="11"/>
        <color theme="1"/>
        <rFont val="Calibri"/>
        <family val="2"/>
        <scheme val="minor"/>
      </rPr>
      <t xml:space="preserve">area, we have </t>
    </r>
    <r>
      <rPr>
        <b/>
        <sz val="11"/>
        <color theme="1"/>
        <rFont val="Calibri"/>
        <family val="2"/>
        <scheme val="minor"/>
      </rPr>
      <t>Debt</t>
    </r>
    <r>
      <rPr>
        <sz val="11"/>
        <color theme="1"/>
        <rFont val="Calibri"/>
        <family val="2"/>
        <scheme val="minor"/>
      </rPr>
      <t xml:space="preserve"> area and </t>
    </r>
    <r>
      <rPr>
        <b/>
        <sz val="11"/>
        <color theme="1"/>
        <rFont val="Calibri"/>
        <family val="2"/>
        <scheme val="minor"/>
      </rPr>
      <t>Equity</t>
    </r>
    <r>
      <rPr>
        <sz val="11"/>
        <color theme="1"/>
        <rFont val="Calibri"/>
        <family val="2"/>
        <scheme val="minor"/>
      </rPr>
      <t xml:space="preserve"> area</t>
    </r>
  </si>
  <si>
    <r>
      <t xml:space="preserve">Because this is provisional, and </t>
    </r>
    <r>
      <rPr>
        <b/>
        <sz val="11"/>
        <color theme="1"/>
        <rFont val="Calibri"/>
        <family val="2"/>
        <scheme val="minor"/>
      </rPr>
      <t>debt</t>
    </r>
    <r>
      <rPr>
        <sz val="11"/>
        <color theme="1"/>
        <rFont val="Calibri"/>
        <family val="2"/>
        <scheme val="minor"/>
      </rPr>
      <t xml:space="preserve"> is more compulsory to pay than </t>
    </r>
    <r>
      <rPr>
        <b/>
        <sz val="11"/>
        <color theme="1"/>
        <rFont val="Calibri"/>
        <family val="2"/>
        <scheme val="minor"/>
      </rPr>
      <t>equity</t>
    </r>
  </si>
  <si>
    <t>ASSETS</t>
  </si>
  <si>
    <t xml:space="preserve"> LIABILITIES + EQUITY</t>
  </si>
  <si>
    <t>Accessory costs</t>
  </si>
  <si>
    <t>Ending inventories</t>
  </si>
  <si>
    <t>Short-term assets</t>
  </si>
  <si>
    <t>Short-term liabilities</t>
  </si>
  <si>
    <t>Beginning inventories</t>
  </si>
  <si>
    <t>Revenues from sales</t>
  </si>
  <si>
    <t xml:space="preserve">Cash and equivalents </t>
  </si>
  <si>
    <t>Bank Overdraft</t>
  </si>
  <si>
    <t>Extraordinary costs</t>
  </si>
  <si>
    <t>Other receivables</t>
  </si>
  <si>
    <t>Accrued expenses</t>
  </si>
  <si>
    <t>Financial costs</t>
  </si>
  <si>
    <t>Accrued income</t>
  </si>
  <si>
    <t>Other industrial costs</t>
  </si>
  <si>
    <t xml:space="preserve">Inventories </t>
  </si>
  <si>
    <t>Long-term liabilities</t>
  </si>
  <si>
    <t>Purchases</t>
  </si>
  <si>
    <t>Long-term assets</t>
  </si>
  <si>
    <t xml:space="preserve">Plant and Equipment </t>
  </si>
  <si>
    <t>SG&amp;A expenses</t>
  </si>
  <si>
    <t>Patents</t>
  </si>
  <si>
    <t>Equity</t>
  </si>
  <si>
    <t>Taxes (on EBT)</t>
  </si>
  <si>
    <t>Holdings</t>
  </si>
  <si>
    <t>Total Liabilities + eq.</t>
  </si>
  <si>
    <t>TOT</t>
  </si>
  <si>
    <t>INCOME STATEMENT</t>
  </si>
  <si>
    <t>COGS</t>
  </si>
  <si>
    <t>Other industrial cost</t>
  </si>
  <si>
    <t>Financial cost</t>
  </si>
  <si>
    <t>Accessory cost</t>
  </si>
  <si>
    <t>Core-operating assets</t>
  </si>
  <si>
    <t>Non-core (oper) assets</t>
  </si>
  <si>
    <t>Non-core (non-oper) assets</t>
  </si>
  <si>
    <t>Core operating liabilities</t>
  </si>
  <si>
    <t>Cash inflow</t>
  </si>
  <si>
    <t>SG&amp;A Expense</t>
  </si>
  <si>
    <t>Buy new equipment</t>
  </si>
  <si>
    <t>Sales of old equipment</t>
  </si>
  <si>
    <t>Tax payment</t>
  </si>
  <si>
    <t>Buy shares from other company</t>
  </si>
  <si>
    <t>Loans and bonds</t>
  </si>
  <si>
    <t>Cash surplus (minus 15 minimum)</t>
  </si>
  <si>
    <t>CASH FLOW STATEMENT</t>
  </si>
  <si>
    <t>Potential Self-financing</t>
  </si>
  <si>
    <t>Delta working capital</t>
  </si>
  <si>
    <t>Net self-financing</t>
  </si>
  <si>
    <t>Delta bonds</t>
  </si>
  <si>
    <t>Delta capital</t>
  </si>
  <si>
    <t>Overall cash flow</t>
  </si>
  <si>
    <t>Extraordinary cost</t>
  </si>
  <si>
    <t>Cash in hand</t>
  </si>
  <si>
    <r>
      <t>TABLE 2</t>
    </r>
    <r>
      <rPr>
        <sz val="10"/>
        <color theme="1"/>
        <rFont val="Segoe UI"/>
        <family val="2"/>
      </rPr>
      <t xml:space="preserve">: </t>
    </r>
    <r>
      <rPr>
        <i/>
        <sz val="10"/>
        <color theme="1"/>
        <rFont val="Segoe UI"/>
        <family val="2"/>
      </rPr>
      <t xml:space="preserve">Blue Diamond S.p.A. </t>
    </r>
    <r>
      <rPr>
        <sz val="10"/>
        <color theme="1"/>
        <rFont val="Segoe UI"/>
        <family val="2"/>
      </rPr>
      <t>– Income Statement Items (alphabetical order)</t>
    </r>
  </si>
  <si>
    <t>Delta D&amp;A</t>
  </si>
  <si>
    <t>Delta loans</t>
  </si>
  <si>
    <t>Delta Investment in PPE</t>
  </si>
  <si>
    <t>If you invest in a company in the same field as you, you should put it in Operating ==&gt; before FCFO</t>
  </si>
  <si>
    <t>Otherwise, put it in Non-operating ==&gt; after FCFO</t>
  </si>
  <si>
    <t>Delta debt (bank overdraft)</t>
  </si>
  <si>
    <t>Delta holdings</t>
  </si>
  <si>
    <t>RATIO</t>
  </si>
  <si>
    <t>Leverage ratio</t>
  </si>
  <si>
    <t>Asset turnover ratio</t>
  </si>
  <si>
    <t>Interest coverage ratio</t>
  </si>
  <si>
    <t>Net Financial Position</t>
  </si>
  <si>
    <t>Acid Test</t>
  </si>
  <si>
    <t>Current ratio</t>
  </si>
  <si>
    <t>Asset turnover ratio (net investes capital)</t>
  </si>
  <si>
    <t>Non-core (financial) liabilities</t>
  </si>
  <si>
    <t>Financial revenue</t>
  </si>
  <si>
    <t>End inventories</t>
  </si>
  <si>
    <t>Other industrial expenses</t>
  </si>
  <si>
    <t>Energy</t>
  </si>
  <si>
    <t>Interest on debt</t>
  </si>
  <si>
    <t>Labour expenses</t>
  </si>
  <si>
    <t>Beginning</t>
  </si>
  <si>
    <t>Income Tax</t>
  </si>
  <si>
    <t>Year 01</t>
  </si>
  <si>
    <t xml:space="preserve">Delta debt </t>
  </si>
  <si>
    <t>Rent on subsidiary asset</t>
  </si>
  <si>
    <t>AR</t>
  </si>
  <si>
    <t>AP</t>
  </si>
  <si>
    <t>Delta AR</t>
  </si>
  <si>
    <t>Delta Inventories</t>
  </si>
  <si>
    <t>Delta AP</t>
  </si>
  <si>
    <t>Year 00</t>
  </si>
  <si>
    <t>New loan</t>
  </si>
  <si>
    <t>Repay loan</t>
  </si>
  <si>
    <t>Variables cost</t>
  </si>
  <si>
    <t>Profit of the policy</t>
  </si>
  <si>
    <t>Revenue</t>
  </si>
  <si>
    <t>Bad debt</t>
  </si>
  <si>
    <t>Secretary</t>
  </si>
  <si>
    <t>Potential self-financing</t>
  </si>
  <si>
    <t>PV</t>
  </si>
  <si>
    <t>AR level for the year</t>
  </si>
  <si>
    <t>Financial opportunity cost</t>
  </si>
  <si>
    <t>CASHFLOW STATEMENT</t>
  </si>
  <si>
    <t>ECONOMIC VALUATION</t>
  </si>
  <si>
    <t>EBIT for this policy</t>
  </si>
  <si>
    <t>Why do you stop at Net self-financing?</t>
  </si>
  <si>
    <t>Because Net self-financing represents the cash flow from the core-business</t>
  </si>
  <si>
    <t xml:space="preserve">And we care only about the effect of the policy on the core-business </t>
  </si>
  <si>
    <t>This is the EBIT of the company</t>
  </si>
  <si>
    <t>These are the expenses related to the implementation of the policy</t>
  </si>
  <si>
    <t>This is the EBIT of the policy</t>
  </si>
  <si>
    <t>If I don’t need to maintain this level of A/R, I can invest it into somewhere else.</t>
  </si>
  <si>
    <t>Thus, keeping A/R has an opportunity cost</t>
  </si>
  <si>
    <t>Multiple choices</t>
  </si>
  <si>
    <t>B</t>
  </si>
  <si>
    <t>Interest bearing debt</t>
  </si>
  <si>
    <t>Operating machine</t>
  </si>
  <si>
    <t>Working capital</t>
  </si>
  <si>
    <t>Delta RE</t>
  </si>
  <si>
    <t>Net profit (year X)</t>
  </si>
  <si>
    <t>Inflow</t>
  </si>
  <si>
    <t>Outflow</t>
  </si>
  <si>
    <t>a</t>
  </si>
  <si>
    <t>Revenues</t>
  </si>
  <si>
    <t>G&amp;A costs</t>
  </si>
  <si>
    <t>Cash balance</t>
  </si>
  <si>
    <t>b</t>
  </si>
  <si>
    <t>Cash needed</t>
  </si>
  <si>
    <t>c</t>
  </si>
  <si>
    <t>Beginning bank overdraft</t>
  </si>
  <si>
    <t>Ending bank overdraft</t>
  </si>
  <si>
    <t>Interest rate</t>
  </si>
  <si>
    <t>Interest for Jan</t>
  </si>
  <si>
    <t>Exercise</t>
  </si>
  <si>
    <t>Net Sales</t>
  </si>
  <si>
    <t>Industrial margin</t>
  </si>
  <si>
    <t>SG&amp;A</t>
  </si>
  <si>
    <t>Extraordinary expense</t>
  </si>
  <si>
    <t>Other expenses</t>
  </si>
  <si>
    <t>Net profit</t>
  </si>
  <si>
    <t>Net Self-financing</t>
  </si>
  <si>
    <t>Delta investment</t>
  </si>
  <si>
    <t>Cash flow from operation</t>
  </si>
  <si>
    <t>Delta financing</t>
  </si>
  <si>
    <t>Cash flow from operation and financing</t>
  </si>
  <si>
    <t>From debt</t>
  </si>
  <si>
    <t>From bonds</t>
  </si>
  <si>
    <t>From shares</t>
  </si>
  <si>
    <t>Interest expenses</t>
  </si>
  <si>
    <t>Other expense</t>
  </si>
  <si>
    <t>Net cash flow</t>
  </si>
  <si>
    <t>From reserve increase</t>
  </si>
  <si>
    <t>BALANCE SHEET</t>
  </si>
  <si>
    <t>ASSUMPTIONS</t>
  </si>
  <si>
    <t>Long-term debt</t>
  </si>
  <si>
    <t>Invest from venture</t>
  </si>
  <si>
    <t>Raise from family</t>
  </si>
  <si>
    <t>Cash and equivalent</t>
  </si>
  <si>
    <t>Long term assets</t>
  </si>
  <si>
    <t>Net fixed assets</t>
  </si>
  <si>
    <t>Wages paybale</t>
  </si>
  <si>
    <t>Accounts payable</t>
  </si>
  <si>
    <t>Taxes payable</t>
  </si>
  <si>
    <t>LIABILITIES</t>
  </si>
  <si>
    <t>EQUITY</t>
  </si>
  <si>
    <t>Capital (Common stock)</t>
  </si>
  <si>
    <t>Retained earning</t>
  </si>
  <si>
    <t>TOTAL ASSETS</t>
  </si>
  <si>
    <t>TOTAL LIABILITIES AND EQUITY</t>
  </si>
  <si>
    <t>Required assets (Net fixed assets)</t>
  </si>
  <si>
    <t>Sales growth</t>
  </si>
  <si>
    <t>Gross margin</t>
  </si>
  <si>
    <t>Less Selling expense</t>
  </si>
  <si>
    <t>G&amp;A expenses</t>
  </si>
  <si>
    <t>Operating income (EBIT)</t>
  </si>
  <si>
    <t>Interest to be paid</t>
  </si>
  <si>
    <t>Less Depreciation</t>
  </si>
  <si>
    <t>Assets required on sales of next year</t>
  </si>
  <si>
    <t>Depreciation rate</t>
  </si>
  <si>
    <t>COGS rate on sales</t>
  </si>
  <si>
    <t>CAPEX - Investment</t>
  </si>
  <si>
    <t>Selling expenses on sales</t>
  </si>
  <si>
    <t>G&amp;A rate on sales</t>
  </si>
  <si>
    <t>Tax rate</t>
  </si>
  <si>
    <t>Accounts receivable on sales</t>
  </si>
  <si>
    <t>Inventories on COGS</t>
  </si>
  <si>
    <t>Accounts payable on COGS</t>
  </si>
  <si>
    <t>Wages payable on COGS</t>
  </si>
  <si>
    <t>Cash balance on sales</t>
  </si>
  <si>
    <t>Working capital level</t>
  </si>
  <si>
    <t>Delta debt</t>
  </si>
  <si>
    <t>CALCULATE THE INVESTMENT</t>
  </si>
  <si>
    <t>BIG FAT NOTE</t>
  </si>
  <si>
    <r>
      <t xml:space="preserve">The amount of interest is calculated on the amount of debt of </t>
    </r>
    <r>
      <rPr>
        <b/>
        <sz val="10"/>
        <color theme="1"/>
        <rFont val="Segoe UI"/>
        <family val="2"/>
      </rPr>
      <t>last year</t>
    </r>
  </si>
  <si>
    <t>Amount of debt is calculated as the different between assets and total equity + liabilities (just make them balance, whatever)</t>
  </si>
  <si>
    <t>In order to maintain the required level of net fixed assets, we need to invest additional capex</t>
  </si>
  <si>
    <t>The depreciation is the depreciation of total capex invested over the years</t>
  </si>
  <si>
    <t>If the EBT is smaller than zero aka loss, we do not have tax</t>
  </si>
  <si>
    <t>Normally, we should have tax liabilities carried forward aka reduction in tax next year, but here it is not the case</t>
  </si>
  <si>
    <t>NOTE</t>
  </si>
  <si>
    <t>Don't bother doing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</si>
</sst>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_);_(* \(#,##0\);_(* &quot;   -&quot;?_);_(@_)"/>
    <numFmt numFmtId="165" formatCode="0.0%"/>
    <numFmt numFmtId="166" formatCode="_(* #,##0.00_);_(* \(#,##0.00\);_(* &quot;   -&quot;?_);_(@_)"/>
    <numFmt numFmtId="167" formatCode="_-* #,##0_-;\-* #,##0_-;_-* &quot;-&quot;??_-;_-@_-"/>
    <numFmt numFmtId="168" formatCode="_(* #,##0.0_);_(* \(#,##0.0\);_(* &quot;   -&quot;?_);_(@_)"/>
    <numFmt numFmtId="169" formatCode="&quot;Year &quot;0"/>
    <numFmt numFmtId="170" formatCode="&quot;Month &quot;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i/>
      <sz val="9"/>
      <color indexed="18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b/>
      <sz val="9"/>
      <name val="Segoe UI"/>
      <family val="2"/>
    </font>
    <font>
      <i/>
      <sz val="9"/>
      <name val="Segoe UI"/>
      <family val="2"/>
    </font>
    <font>
      <b/>
      <sz val="9"/>
      <color indexed="10"/>
      <name val="Segoe UI"/>
      <family val="2"/>
    </font>
    <font>
      <b/>
      <sz val="9"/>
      <color theme="1"/>
      <name val="Segoe UI"/>
      <family val="2"/>
    </font>
    <font>
      <vertAlign val="subscript"/>
      <sz val="9"/>
      <color theme="1"/>
      <name val="Segoe UI"/>
      <family val="2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i/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rgb="FFFF0000"/>
      <name val="Segoe UI"/>
      <family val="2"/>
    </font>
    <font>
      <sz val="10"/>
      <color rgb="FF0000FF"/>
      <name val="Segoe UI"/>
      <family val="2"/>
    </font>
    <font>
      <b/>
      <i/>
      <sz val="10"/>
      <color rgb="FF000000"/>
      <name val="Segoe UI"/>
      <family val="2"/>
    </font>
    <font>
      <b/>
      <sz val="10"/>
      <color rgb="FFFF0000"/>
      <name val="Segoe UI"/>
      <family val="2"/>
    </font>
    <font>
      <b/>
      <sz val="10"/>
      <color rgb="FFFFFFFF"/>
      <name val="Segoe U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Segoe UI"/>
      <family val="2"/>
    </font>
    <font>
      <sz val="10"/>
      <color indexed="12"/>
      <name val="Segoe UI"/>
      <family val="2"/>
    </font>
    <font>
      <b/>
      <sz val="10"/>
      <color indexed="12"/>
      <name val="Segoe UI"/>
      <family val="2"/>
    </font>
    <font>
      <i/>
      <sz val="10"/>
      <name val="Segoe UI"/>
      <family val="2"/>
    </font>
    <font>
      <sz val="10"/>
      <name val="Segoe UI"/>
      <family val="2"/>
    </font>
    <font>
      <b/>
      <sz val="10"/>
      <color rgb="FF000000"/>
      <name val="Segoe UI"/>
      <family val="2"/>
    </font>
    <font>
      <i/>
      <sz val="10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</cellStyleXfs>
  <cellXfs count="247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0" fontId="6" fillId="2" borderId="0" xfId="2" applyFont="1" applyFill="1" applyAlignment="1">
      <alignment vertical="center"/>
    </xf>
    <xf numFmtId="0" fontId="7" fillId="0" borderId="0" xfId="2" applyFont="1" applyAlignment="1">
      <alignment vertical="center"/>
    </xf>
    <xf numFmtId="0" fontId="8" fillId="0" borderId="0" xfId="0" applyFont="1" applyAlignment="1">
      <alignment vertical="center"/>
    </xf>
    <xf numFmtId="0" fontId="9" fillId="2" borderId="0" xfId="2" applyFont="1" applyFill="1" applyAlignment="1">
      <alignment horizontal="center" vertical="center" wrapText="1"/>
    </xf>
    <xf numFmtId="14" fontId="10" fillId="2" borderId="1" xfId="2" applyNumberFormat="1" applyFont="1" applyFill="1" applyBorder="1" applyAlignment="1">
      <alignment horizontal="right" vertical="center" wrapText="1"/>
    </xf>
    <xf numFmtId="14" fontId="10" fillId="2" borderId="0" xfId="2" applyNumberFormat="1" applyFont="1" applyFill="1" applyAlignment="1">
      <alignment horizontal="right" vertical="center" wrapText="1"/>
    </xf>
    <xf numFmtId="0" fontId="7" fillId="2" borderId="1" xfId="2" applyFont="1" applyFill="1" applyBorder="1" applyAlignment="1">
      <alignment horizontal="left" vertical="center" wrapText="1"/>
    </xf>
    <xf numFmtId="3" fontId="7" fillId="2" borderId="1" xfId="2" applyNumberFormat="1" applyFont="1" applyFill="1" applyBorder="1" applyAlignment="1">
      <alignment horizontal="right" vertical="center" wrapText="1"/>
    </xf>
    <xf numFmtId="164" fontId="8" fillId="0" borderId="0" xfId="0" applyNumberFormat="1" applyFont="1" applyAlignment="1">
      <alignment vertical="center"/>
    </xf>
    <xf numFmtId="0" fontId="11" fillId="2" borderId="1" xfId="2" applyFont="1" applyFill="1" applyBorder="1" applyAlignment="1">
      <alignment horizontal="left" vertical="center" wrapText="1"/>
    </xf>
    <xf numFmtId="0" fontId="10" fillId="2" borderId="0" xfId="2" applyFont="1" applyFill="1" applyAlignment="1">
      <alignment vertical="center"/>
    </xf>
    <xf numFmtId="0" fontId="7" fillId="2" borderId="1" xfId="2" applyFont="1" applyFill="1" applyBorder="1" applyAlignment="1">
      <alignment horizontal="justify" vertical="center" wrapText="1"/>
    </xf>
    <xf numFmtId="0" fontId="7" fillId="2" borderId="1" xfId="2" applyFont="1" applyFill="1" applyBorder="1" applyAlignment="1">
      <alignment vertical="center" wrapText="1"/>
    </xf>
    <xf numFmtId="0" fontId="7" fillId="2" borderId="0" xfId="2" applyFont="1" applyFill="1" applyAlignment="1">
      <alignment horizontal="justify" vertical="center" wrapText="1"/>
    </xf>
    <xf numFmtId="3" fontId="7" fillId="2" borderId="0" xfId="2" applyNumberFormat="1" applyFont="1" applyFill="1" applyAlignment="1">
      <alignment vertical="center"/>
    </xf>
    <xf numFmtId="0" fontId="9" fillId="2" borderId="1" xfId="2" applyFont="1" applyFill="1" applyBorder="1" applyAlignment="1">
      <alignment horizontal="justify" vertical="center" wrapText="1"/>
    </xf>
    <xf numFmtId="164" fontId="7" fillId="2" borderId="1" xfId="2" applyNumberFormat="1" applyFont="1" applyFill="1" applyBorder="1" applyAlignment="1">
      <alignment horizontal="right" vertical="center" wrapText="1"/>
    </xf>
    <xf numFmtId="164" fontId="11" fillId="2" borderId="1" xfId="2" applyNumberFormat="1" applyFont="1" applyFill="1" applyBorder="1" applyAlignment="1">
      <alignment horizontal="right" vertical="center" wrapText="1"/>
    </xf>
    <xf numFmtId="164" fontId="7" fillId="2" borderId="1" xfId="2" applyNumberFormat="1" applyFont="1" applyFill="1" applyBorder="1" applyAlignment="1">
      <alignment vertical="center"/>
    </xf>
    <xf numFmtId="0" fontId="9" fillId="2" borderId="1" xfId="2" applyFont="1" applyFill="1" applyBorder="1" applyAlignment="1">
      <alignment vertical="center" wrapText="1"/>
    </xf>
    <xf numFmtId="164" fontId="8" fillId="0" borderId="1" xfId="0" applyNumberFormat="1" applyFont="1" applyBorder="1" applyAlignment="1">
      <alignment vertical="center"/>
    </xf>
    <xf numFmtId="164" fontId="7" fillId="2" borderId="0" xfId="2" applyNumberFormat="1" applyFont="1" applyFill="1" applyAlignment="1">
      <alignment vertical="center"/>
    </xf>
    <xf numFmtId="164" fontId="7" fillId="0" borderId="0" xfId="2" applyNumberFormat="1" applyFont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164" fontId="12" fillId="0" borderId="0" xfId="0" applyNumberFormat="1" applyFont="1" applyAlignment="1">
      <alignment vertical="center"/>
    </xf>
    <xf numFmtId="0" fontId="0" fillId="3" borderId="0" xfId="0" applyFill="1"/>
    <xf numFmtId="0" fontId="15" fillId="4" borderId="0" xfId="0" applyFont="1" applyFill="1"/>
    <xf numFmtId="9" fontId="0" fillId="0" borderId="0" xfId="0" applyNumberFormat="1"/>
    <xf numFmtId="3" fontId="0" fillId="0" borderId="0" xfId="3" applyNumberFormat="1" applyFont="1"/>
    <xf numFmtId="3" fontId="16" fillId="0" borderId="0" xfId="3" applyNumberFormat="1" applyFont="1"/>
    <xf numFmtId="167" fontId="0" fillId="0" borderId="0" xfId="3" applyNumberFormat="1" applyFont="1"/>
    <xf numFmtId="167" fontId="2" fillId="0" borderId="0" xfId="3" applyNumberFormat="1" applyFont="1"/>
    <xf numFmtId="0" fontId="2" fillId="0" borderId="2" xfId="0" applyFont="1" applyBorder="1"/>
    <xf numFmtId="3" fontId="2" fillId="0" borderId="2" xfId="3" applyNumberFormat="1" applyFont="1" applyBorder="1"/>
    <xf numFmtId="3" fontId="14" fillId="0" borderId="2" xfId="3" applyNumberFormat="1" applyFont="1" applyBorder="1"/>
    <xf numFmtId="167" fontId="0" fillId="0" borderId="2" xfId="3" applyNumberFormat="1" applyFont="1" applyBorder="1"/>
    <xf numFmtId="0" fontId="16" fillId="0" borderId="0" xfId="0" applyFont="1"/>
    <xf numFmtId="0" fontId="14" fillId="0" borderId="0" xfId="0" applyFont="1"/>
    <xf numFmtId="0" fontId="17" fillId="0" borderId="0" xfId="0" applyFont="1"/>
    <xf numFmtId="164" fontId="0" fillId="0" borderId="0" xfId="3" applyNumberFormat="1" applyFont="1"/>
    <xf numFmtId="164" fontId="16" fillId="0" borderId="0" xfId="3" applyNumberFormat="1" applyFont="1"/>
    <xf numFmtId="164" fontId="2" fillId="0" borderId="0" xfId="3" applyNumberFormat="1" applyFont="1"/>
    <xf numFmtId="164" fontId="14" fillId="0" borderId="0" xfId="3" applyNumberFormat="1" applyFont="1"/>
    <xf numFmtId="164" fontId="16" fillId="0" borderId="0" xfId="0" applyNumberFormat="1" applyFont="1"/>
    <xf numFmtId="164" fontId="2" fillId="0" borderId="0" xfId="0" applyNumberFormat="1" applyFont="1"/>
    <xf numFmtId="164" fontId="14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164" fontId="0" fillId="0" borderId="0" xfId="3" applyNumberFormat="1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9" fillId="0" borderId="0" xfId="0" applyFont="1" applyAlignment="1">
      <alignment vertical="center" wrapText="1"/>
    </xf>
    <xf numFmtId="0" fontId="19" fillId="0" borderId="0" xfId="0" applyFont="1"/>
    <xf numFmtId="0" fontId="19" fillId="0" borderId="7" xfId="0" applyFont="1" applyBorder="1"/>
    <xf numFmtId="0" fontId="19" fillId="0" borderId="9" xfId="0" applyFont="1" applyBorder="1"/>
    <xf numFmtId="0" fontId="19" fillId="0" borderId="6" xfId="0" applyFont="1" applyBorder="1" applyAlignment="1">
      <alignment vertical="center" wrapText="1"/>
    </xf>
    <xf numFmtId="164" fontId="19" fillId="0" borderId="0" xfId="0" applyNumberFormat="1" applyFont="1" applyAlignment="1">
      <alignment vertical="center" wrapText="1"/>
    </xf>
    <xf numFmtId="0" fontId="19" fillId="0" borderId="8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164" fontId="19" fillId="0" borderId="2" xfId="0" applyNumberFormat="1" applyFont="1" applyBorder="1" applyAlignment="1">
      <alignment vertical="center" wrapText="1"/>
    </xf>
    <xf numFmtId="0" fontId="20" fillId="0" borderId="0" xfId="0" applyFont="1" applyAlignment="1">
      <alignment vertical="center"/>
    </xf>
    <xf numFmtId="0" fontId="22" fillId="5" borderId="0" xfId="0" applyFont="1" applyFill="1" applyAlignment="1">
      <alignment horizontal="left" vertical="center" wrapText="1" indent="1"/>
    </xf>
    <xf numFmtId="0" fontId="22" fillId="0" borderId="0" xfId="0" applyFont="1" applyAlignment="1">
      <alignment horizontal="center" vertical="center" wrapText="1"/>
    </xf>
    <xf numFmtId="0" fontId="22" fillId="5" borderId="0" xfId="0" applyFont="1" applyFill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horizontal="center"/>
    </xf>
    <xf numFmtId="0" fontId="23" fillId="0" borderId="3" xfId="0" applyFont="1" applyBorder="1" applyAlignment="1">
      <alignment horizontal="left" vertical="center" wrapText="1"/>
    </xf>
    <xf numFmtId="0" fontId="22" fillId="0" borderId="4" xfId="0" applyFont="1" applyBorder="1" applyAlignment="1">
      <alignment horizontal="right" vertical="center" wrapText="1"/>
    </xf>
    <xf numFmtId="0" fontId="24" fillId="0" borderId="5" xfId="0" applyFont="1" applyBorder="1" applyAlignment="1">
      <alignment vertical="center" wrapText="1"/>
    </xf>
    <xf numFmtId="0" fontId="25" fillId="0" borderId="3" xfId="0" applyFont="1" applyBorder="1" applyAlignment="1">
      <alignment vertical="center" wrapText="1"/>
    </xf>
    <xf numFmtId="0" fontId="25" fillId="0" borderId="5" xfId="0" applyFont="1" applyBorder="1" applyAlignment="1">
      <alignment vertical="center" wrapText="1"/>
    </xf>
    <xf numFmtId="164" fontId="25" fillId="0" borderId="5" xfId="0" applyNumberFormat="1" applyFont="1" applyBorder="1" applyAlignment="1">
      <alignment horizontal="right" vertical="center" wrapText="1"/>
    </xf>
    <xf numFmtId="0" fontId="25" fillId="0" borderId="5" xfId="0" applyFont="1" applyBorder="1" applyAlignment="1">
      <alignment horizontal="right" vertical="center" wrapText="1"/>
    </xf>
    <xf numFmtId="164" fontId="25" fillId="0" borderId="4" xfId="0" applyNumberFormat="1" applyFont="1" applyBorder="1" applyAlignment="1">
      <alignment horizontal="right" vertical="center" wrapText="1"/>
    </xf>
    <xf numFmtId="164" fontId="25" fillId="0" borderId="0" xfId="0" applyNumberFormat="1" applyFont="1" applyAlignment="1">
      <alignment horizontal="right" vertical="center" wrapText="1"/>
    </xf>
    <xf numFmtId="164" fontId="19" fillId="0" borderId="0" xfId="0" applyNumberFormat="1" applyFont="1"/>
    <xf numFmtId="164" fontId="19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0" fontId="24" fillId="0" borderId="6" xfId="0" applyFont="1" applyBorder="1" applyAlignment="1">
      <alignment vertical="center" wrapText="1"/>
    </xf>
    <xf numFmtId="0" fontId="22" fillId="0" borderId="7" xfId="0" applyFont="1" applyBorder="1" applyAlignment="1">
      <alignment horizontal="right" vertical="center" wrapText="1"/>
    </xf>
    <xf numFmtId="0" fontId="24" fillId="0" borderId="0" xfId="0" applyFont="1" applyAlignment="1">
      <alignment vertical="center" wrapText="1"/>
    </xf>
    <xf numFmtId="0" fontId="22" fillId="0" borderId="6" xfId="0" applyFont="1" applyBorder="1" applyAlignment="1">
      <alignment vertical="top" wrapText="1"/>
    </xf>
    <xf numFmtId="164" fontId="22" fillId="0" borderId="0" xfId="0" applyNumberFormat="1" applyFont="1" applyAlignment="1">
      <alignment horizontal="right" vertical="center" wrapText="1"/>
    </xf>
    <xf numFmtId="0" fontId="22" fillId="0" borderId="0" xfId="0" applyFont="1" applyAlignment="1">
      <alignment horizontal="right" vertical="center" wrapText="1"/>
    </xf>
    <xf numFmtId="164" fontId="22" fillId="0" borderId="7" xfId="0" applyNumberFormat="1" applyFont="1" applyBorder="1" applyAlignment="1">
      <alignment horizontal="right" vertical="center" wrapText="1"/>
    </xf>
    <xf numFmtId="0" fontId="22" fillId="0" borderId="6" xfId="0" applyFont="1" applyBorder="1" applyAlignment="1">
      <alignment vertical="center" wrapText="1"/>
    </xf>
    <xf numFmtId="0" fontId="23" fillId="0" borderId="6" xfId="0" applyFont="1" applyBorder="1" applyAlignment="1">
      <alignment vertical="center" wrapText="1"/>
    </xf>
    <xf numFmtId="0" fontId="19" fillId="0" borderId="3" xfId="0" applyFont="1" applyBorder="1"/>
    <xf numFmtId="0" fontId="20" fillId="7" borderId="5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164" fontId="23" fillId="0" borderId="0" xfId="0" applyNumberFormat="1" applyFont="1" applyAlignment="1">
      <alignment horizontal="right" vertical="center" wrapText="1"/>
    </xf>
    <xf numFmtId="0" fontId="20" fillId="0" borderId="6" xfId="0" applyFont="1" applyBorder="1"/>
    <xf numFmtId="164" fontId="20" fillId="0" borderId="0" xfId="0" applyNumberFormat="1" applyFont="1"/>
    <xf numFmtId="164" fontId="20" fillId="0" borderId="7" xfId="0" applyNumberFormat="1" applyFont="1" applyBorder="1"/>
    <xf numFmtId="0" fontId="25" fillId="0" borderId="0" xfId="0" applyFont="1" applyAlignment="1">
      <alignment vertical="center" wrapText="1"/>
    </xf>
    <xf numFmtId="164" fontId="25" fillId="0" borderId="7" xfId="0" applyNumberFormat="1" applyFont="1" applyBorder="1" applyAlignment="1">
      <alignment horizontal="right" vertical="center" wrapText="1"/>
    </xf>
    <xf numFmtId="0" fontId="19" fillId="0" borderId="6" xfId="0" applyFont="1" applyBorder="1" applyAlignment="1">
      <alignment horizontal="left" indent="1"/>
    </xf>
    <xf numFmtId="164" fontId="19" fillId="0" borderId="7" xfId="0" applyNumberFormat="1" applyFont="1" applyBorder="1"/>
    <xf numFmtId="0" fontId="25" fillId="0" borderId="6" xfId="0" applyFont="1" applyBorder="1" applyAlignment="1">
      <alignment vertical="center" wrapText="1"/>
    </xf>
    <xf numFmtId="3" fontId="25" fillId="0" borderId="0" xfId="0" applyNumberFormat="1" applyFont="1" applyAlignment="1">
      <alignment horizontal="right" vertical="center" wrapText="1"/>
    </xf>
    <xf numFmtId="164" fontId="22" fillId="0" borderId="0" xfId="0" applyNumberFormat="1" applyFont="1" applyAlignment="1">
      <alignment horizontal="right" vertical="center"/>
    </xf>
    <xf numFmtId="164" fontId="22" fillId="0" borderId="7" xfId="0" applyNumberFormat="1" applyFont="1" applyBorder="1" applyAlignment="1">
      <alignment horizontal="right" vertical="center"/>
    </xf>
    <xf numFmtId="0" fontId="22" fillId="0" borderId="0" xfId="0" applyFont="1"/>
    <xf numFmtId="164" fontId="26" fillId="0" borderId="0" xfId="0" applyNumberFormat="1" applyFont="1"/>
    <xf numFmtId="164" fontId="26" fillId="0" borderId="7" xfId="0" applyNumberFormat="1" applyFont="1" applyBorder="1"/>
    <xf numFmtId="0" fontId="23" fillId="0" borderId="8" xfId="0" applyFont="1" applyBorder="1" applyAlignment="1">
      <alignment vertical="center" wrapText="1"/>
    </xf>
    <xf numFmtId="9" fontId="22" fillId="0" borderId="9" xfId="0" applyNumberFormat="1" applyFont="1" applyBorder="1" applyAlignment="1">
      <alignment horizontal="right" vertical="center"/>
    </xf>
    <xf numFmtId="0" fontId="22" fillId="0" borderId="2" xfId="0" applyFont="1" applyBorder="1"/>
    <xf numFmtId="164" fontId="23" fillId="0" borderId="0" xfId="0" applyNumberFormat="1" applyFont="1"/>
    <xf numFmtId="164" fontId="23" fillId="0" borderId="0" xfId="0" applyNumberFormat="1" applyFont="1" applyAlignment="1">
      <alignment horizontal="center"/>
    </xf>
    <xf numFmtId="164" fontId="23" fillId="0" borderId="7" xfId="0" applyNumberFormat="1" applyFont="1" applyBorder="1" applyAlignment="1">
      <alignment horizontal="center"/>
    </xf>
    <xf numFmtId="168" fontId="23" fillId="0" borderId="0" xfId="0" applyNumberFormat="1" applyFont="1"/>
    <xf numFmtId="164" fontId="23" fillId="0" borderId="7" xfId="0" applyNumberFormat="1" applyFont="1" applyBorder="1"/>
    <xf numFmtId="0" fontId="22" fillId="0" borderId="2" xfId="0" applyFont="1" applyBorder="1" applyAlignment="1">
      <alignment vertical="center" wrapText="1"/>
    </xf>
    <xf numFmtId="164" fontId="22" fillId="0" borderId="2" xfId="0" applyNumberFormat="1" applyFont="1" applyBorder="1" applyAlignment="1">
      <alignment horizontal="right" vertical="center" wrapText="1"/>
    </xf>
    <xf numFmtId="164" fontId="22" fillId="0" borderId="9" xfId="0" applyNumberFormat="1" applyFont="1" applyBorder="1" applyAlignment="1">
      <alignment horizontal="right" vertical="center" wrapText="1"/>
    </xf>
    <xf numFmtId="166" fontId="23" fillId="0" borderId="0" xfId="0" applyNumberFormat="1" applyFont="1"/>
    <xf numFmtId="166" fontId="23" fillId="0" borderId="7" xfId="0" applyNumberFormat="1" applyFont="1" applyBorder="1"/>
    <xf numFmtId="0" fontId="27" fillId="6" borderId="0" xfId="0" applyFont="1" applyFill="1" applyAlignment="1">
      <alignment vertical="center" wrapText="1"/>
    </xf>
    <xf numFmtId="164" fontId="27" fillId="6" borderId="0" xfId="0" applyNumberFormat="1" applyFont="1" applyFill="1" applyAlignment="1">
      <alignment vertical="center" wrapText="1"/>
    </xf>
    <xf numFmtId="3" fontId="27" fillId="6" borderId="0" xfId="0" applyNumberFormat="1" applyFont="1" applyFill="1" applyAlignment="1">
      <alignment vertical="center" wrapText="1"/>
    </xf>
    <xf numFmtId="0" fontId="20" fillId="7" borderId="3" xfId="0" applyFont="1" applyFill="1" applyBorder="1"/>
    <xf numFmtId="0" fontId="22" fillId="0" borderId="0" xfId="0" applyFont="1" applyAlignment="1">
      <alignment horizontal="left" vertical="center" wrapText="1"/>
    </xf>
    <xf numFmtId="0" fontId="20" fillId="0" borderId="3" xfId="0" applyFont="1" applyBorder="1"/>
    <xf numFmtId="164" fontId="20" fillId="0" borderId="5" xfId="0" applyNumberFormat="1" applyFont="1" applyBorder="1"/>
    <xf numFmtId="0" fontId="20" fillId="0" borderId="5" xfId="0" applyFont="1" applyBorder="1"/>
    <xf numFmtId="164" fontId="20" fillId="0" borderId="4" xfId="0" applyNumberFormat="1" applyFont="1" applyBorder="1"/>
    <xf numFmtId="0" fontId="19" fillId="0" borderId="6" xfId="0" applyFont="1" applyBorder="1"/>
    <xf numFmtId="164" fontId="22" fillId="0" borderId="0" xfId="0" applyNumberFormat="1" applyFont="1"/>
    <xf numFmtId="0" fontId="20" fillId="0" borderId="6" xfId="0" applyFont="1" applyBorder="1" applyAlignment="1">
      <alignment horizontal="left"/>
    </xf>
    <xf numFmtId="166" fontId="20" fillId="0" borderId="0" xfId="0" applyNumberFormat="1" applyFont="1"/>
    <xf numFmtId="166" fontId="20" fillId="0" borderId="7" xfId="0" applyNumberFormat="1" applyFont="1" applyBorder="1"/>
    <xf numFmtId="166" fontId="19" fillId="0" borderId="0" xfId="0" applyNumberFormat="1" applyFont="1"/>
    <xf numFmtId="166" fontId="19" fillId="0" borderId="7" xfId="0" applyNumberFormat="1" applyFont="1" applyBorder="1"/>
    <xf numFmtId="0" fontId="20" fillId="0" borderId="0" xfId="0" applyFont="1"/>
    <xf numFmtId="166" fontId="26" fillId="0" borderId="0" xfId="0" applyNumberFormat="1" applyFont="1" applyAlignment="1">
      <alignment horizontal="right"/>
    </xf>
    <xf numFmtId="0" fontId="19" fillId="0" borderId="8" xfId="0" applyFont="1" applyBorder="1" applyAlignment="1">
      <alignment horizontal="left" indent="1"/>
    </xf>
    <xf numFmtId="166" fontId="23" fillId="0" borderId="2" xfId="0" applyNumberFormat="1" applyFont="1" applyBorder="1"/>
    <xf numFmtId="166" fontId="23" fillId="0" borderId="9" xfId="0" applyNumberFormat="1" applyFont="1" applyBorder="1"/>
    <xf numFmtId="0" fontId="20" fillId="0" borderId="8" xfId="0" applyFont="1" applyBorder="1"/>
    <xf numFmtId="164" fontId="20" fillId="0" borderId="2" xfId="0" applyNumberFormat="1" applyFont="1" applyBorder="1"/>
    <xf numFmtId="164" fontId="20" fillId="0" borderId="9" xfId="0" applyNumberFormat="1" applyFont="1" applyBorder="1"/>
    <xf numFmtId="0" fontId="19" fillId="0" borderId="0" xfId="0" applyFont="1" applyAlignment="1">
      <alignment horizontal="left" indent="1"/>
    </xf>
    <xf numFmtId="0" fontId="20" fillId="0" borderId="0" xfId="0" applyFont="1" applyAlignment="1">
      <alignment horizontal="left"/>
    </xf>
    <xf numFmtId="164" fontId="25" fillId="0" borderId="5" xfId="0" applyNumberFormat="1" applyFont="1" applyBorder="1" applyAlignment="1">
      <alignment vertical="center" wrapText="1"/>
    </xf>
    <xf numFmtId="164" fontId="22" fillId="0" borderId="0" xfId="0" applyNumberFormat="1" applyFont="1" applyAlignment="1">
      <alignment vertical="top" wrapText="1"/>
    </xf>
    <xf numFmtId="164" fontId="25" fillId="0" borderId="0" xfId="0" applyNumberFormat="1" applyFont="1" applyAlignment="1">
      <alignment vertical="center" wrapText="1"/>
    </xf>
    <xf numFmtId="164" fontId="22" fillId="0" borderId="0" xfId="0" applyNumberFormat="1" applyFont="1" applyAlignment="1">
      <alignment vertical="center" wrapText="1"/>
    </xf>
    <xf numFmtId="0" fontId="19" fillId="8" borderId="5" xfId="0" applyFont="1" applyFill="1" applyBorder="1"/>
    <xf numFmtId="0" fontId="22" fillId="5" borderId="4" xfId="0" applyFont="1" applyFill="1" applyBorder="1" applyAlignment="1">
      <alignment horizontal="right" vertical="center" wrapText="1"/>
    </xf>
    <xf numFmtId="164" fontId="19" fillId="0" borderId="0" xfId="0" applyNumberFormat="1" applyFont="1" applyAlignment="1">
      <alignment horizontal="left" indent="1"/>
    </xf>
    <xf numFmtId="0" fontId="19" fillId="4" borderId="0" xfId="0" applyFont="1" applyFill="1" applyAlignment="1">
      <alignment horizontal="left" indent="1"/>
    </xf>
    <xf numFmtId="0" fontId="23" fillId="0" borderId="0" xfId="0" applyFont="1"/>
    <xf numFmtId="9" fontId="19" fillId="0" borderId="0" xfId="1" applyFont="1"/>
    <xf numFmtId="9" fontId="19" fillId="0" borderId="0" xfId="0" applyNumberFormat="1" applyFont="1"/>
    <xf numFmtId="166" fontId="19" fillId="0" borderId="0" xfId="1" applyNumberFormat="1" applyFont="1"/>
    <xf numFmtId="0" fontId="2" fillId="0" borderId="0" xfId="0" applyFont="1" applyAlignment="1">
      <alignment horizontal="left"/>
    </xf>
    <xf numFmtId="0" fontId="19" fillId="0" borderId="0" xfId="0" applyFont="1" applyAlignment="1">
      <alignment horizontal="left" indent="2"/>
    </xf>
    <xf numFmtId="0" fontId="0" fillId="4" borderId="0" xfId="0" applyFill="1"/>
    <xf numFmtId="164" fontId="29" fillId="0" borderId="0" xfId="0" applyNumberFormat="1" applyFont="1"/>
    <xf numFmtId="164" fontId="28" fillId="0" borderId="0" xfId="0" applyNumberFormat="1" applyFont="1"/>
    <xf numFmtId="0" fontId="28" fillId="0" borderId="0" xfId="0" applyFont="1"/>
    <xf numFmtId="169" fontId="28" fillId="0" borderId="0" xfId="0" applyNumberFormat="1" applyFont="1"/>
    <xf numFmtId="169" fontId="0" fillId="7" borderId="5" xfId="0" applyNumberFormat="1" applyFill="1" applyBorder="1"/>
    <xf numFmtId="169" fontId="0" fillId="7" borderId="4" xfId="0" applyNumberFormat="1" applyFill="1" applyBorder="1"/>
    <xf numFmtId="0" fontId="2" fillId="0" borderId="6" xfId="0" applyFont="1" applyBorder="1"/>
    <xf numFmtId="164" fontId="2" fillId="0" borderId="7" xfId="0" applyNumberFormat="1" applyFont="1" applyBorder="1"/>
    <xf numFmtId="0" fontId="0" fillId="0" borderId="6" xfId="0" applyBorder="1"/>
    <xf numFmtId="164" fontId="0" fillId="0" borderId="7" xfId="0" applyNumberFormat="1" applyBorder="1"/>
    <xf numFmtId="0" fontId="2" fillId="0" borderId="8" xfId="0" applyFont="1" applyBorder="1"/>
    <xf numFmtId="164" fontId="2" fillId="0" borderId="2" xfId="0" applyNumberFormat="1" applyFont="1" applyBorder="1"/>
    <xf numFmtId="164" fontId="2" fillId="0" borderId="9" xfId="0" applyNumberFormat="1" applyFont="1" applyBorder="1"/>
    <xf numFmtId="0" fontId="0" fillId="0" borderId="7" xfId="0" applyBorder="1"/>
    <xf numFmtId="0" fontId="0" fillId="0" borderId="6" xfId="0" applyBorder="1" applyAlignment="1">
      <alignment horizontal="left" indent="1"/>
    </xf>
    <xf numFmtId="0" fontId="0" fillId="0" borderId="8" xfId="0" applyBorder="1"/>
    <xf numFmtId="164" fontId="0" fillId="0" borderId="2" xfId="0" applyNumberFormat="1" applyBorder="1"/>
    <xf numFmtId="0" fontId="0" fillId="0" borderId="2" xfId="0" applyBorder="1"/>
    <xf numFmtId="0" fontId="0" fillId="0" borderId="9" xfId="0" applyBorder="1"/>
    <xf numFmtId="0" fontId="0" fillId="4" borderId="3" xfId="0" applyFill="1" applyBorder="1"/>
    <xf numFmtId="0" fontId="0" fillId="7" borderId="0" xfId="0" applyFill="1"/>
    <xf numFmtId="0" fontId="28" fillId="7" borderId="0" xfId="0" applyFont="1" applyFill="1"/>
    <xf numFmtId="169" fontId="0" fillId="0" borderId="0" xfId="0" applyNumberFormat="1"/>
    <xf numFmtId="10" fontId="0" fillId="0" borderId="0" xfId="1" applyNumberFormat="1" applyFont="1"/>
    <xf numFmtId="170" fontId="0" fillId="0" borderId="0" xfId="0" applyNumberFormat="1"/>
    <xf numFmtId="166" fontId="30" fillId="0" borderId="0" xfId="0" applyNumberFormat="1" applyFont="1"/>
    <xf numFmtId="0" fontId="19" fillId="4" borderId="0" xfId="0" applyFont="1" applyFill="1"/>
    <xf numFmtId="164" fontId="32" fillId="0" borderId="0" xfId="0" applyNumberFormat="1" applyFont="1"/>
    <xf numFmtId="164" fontId="31" fillId="0" borderId="0" xfId="0" applyNumberFormat="1" applyFont="1"/>
    <xf numFmtId="164" fontId="35" fillId="0" borderId="0" xfId="0" applyNumberFormat="1" applyFont="1"/>
    <xf numFmtId="164" fontId="31" fillId="9" borderId="0" xfId="0" applyNumberFormat="1" applyFont="1" applyFill="1"/>
    <xf numFmtId="164" fontId="19" fillId="0" borderId="14" xfId="0" applyNumberFormat="1" applyFont="1" applyBorder="1"/>
    <xf numFmtId="164" fontId="35" fillId="0" borderId="16" xfId="0" applyNumberFormat="1" applyFont="1" applyBorder="1"/>
    <xf numFmtId="0" fontId="22" fillId="4" borderId="3" xfId="0" applyFont="1" applyFill="1" applyBorder="1"/>
    <xf numFmtId="169" fontId="37" fillId="7" borderId="5" xfId="0" applyNumberFormat="1" applyFont="1" applyFill="1" applyBorder="1"/>
    <xf numFmtId="169" fontId="34" fillId="7" borderId="5" xfId="0" applyNumberFormat="1" applyFont="1" applyFill="1" applyBorder="1"/>
    <xf numFmtId="169" fontId="34" fillId="7" borderId="4" xfId="0" applyNumberFormat="1" applyFont="1" applyFill="1" applyBorder="1"/>
    <xf numFmtId="0" fontId="36" fillId="0" borderId="6" xfId="0" applyFont="1" applyBorder="1"/>
    <xf numFmtId="164" fontId="31" fillId="0" borderId="7" xfId="0" applyNumberFormat="1" applyFont="1" applyBorder="1"/>
    <xf numFmtId="0" fontId="22" fillId="0" borderId="6" xfId="0" applyFont="1" applyBorder="1" applyAlignment="1">
      <alignment horizontal="left" indent="1"/>
    </xf>
    <xf numFmtId="164" fontId="35" fillId="0" borderId="7" xfId="0" applyNumberFormat="1" applyFont="1" applyBorder="1"/>
    <xf numFmtId="0" fontId="36" fillId="9" borderId="6" xfId="0" applyFont="1" applyFill="1" applyBorder="1"/>
    <xf numFmtId="164" fontId="31" fillId="9" borderId="7" xfId="0" applyNumberFormat="1" applyFont="1" applyFill="1" applyBorder="1"/>
    <xf numFmtId="0" fontId="22" fillId="0" borderId="6" xfId="0" applyFont="1" applyBorder="1"/>
    <xf numFmtId="164" fontId="32" fillId="0" borderId="7" xfId="0" applyNumberFormat="1" applyFont="1" applyBorder="1"/>
    <xf numFmtId="0" fontId="36" fillId="9" borderId="8" xfId="0" applyFont="1" applyFill="1" applyBorder="1"/>
    <xf numFmtId="164" fontId="31" fillId="9" borderId="2" xfId="0" applyNumberFormat="1" applyFont="1" applyFill="1" applyBorder="1"/>
    <xf numFmtId="164" fontId="31" fillId="9" borderId="9" xfId="0" applyNumberFormat="1" applyFont="1" applyFill="1" applyBorder="1"/>
    <xf numFmtId="0" fontId="22" fillId="4" borderId="10" xfId="0" applyFont="1" applyFill="1" applyBorder="1"/>
    <xf numFmtId="169" fontId="37" fillId="7" borderId="11" xfId="0" applyNumberFormat="1" applyFont="1" applyFill="1" applyBorder="1"/>
    <xf numFmtId="169" fontId="34" fillId="7" borderId="11" xfId="0" applyNumberFormat="1" applyFont="1" applyFill="1" applyBorder="1"/>
    <xf numFmtId="169" fontId="34" fillId="7" borderId="12" xfId="0" applyNumberFormat="1" applyFont="1" applyFill="1" applyBorder="1"/>
    <xf numFmtId="0" fontId="36" fillId="0" borderId="13" xfId="0" applyFont="1" applyBorder="1"/>
    <xf numFmtId="0" fontId="22" fillId="0" borderId="13" xfId="0" applyFont="1" applyBorder="1" applyAlignment="1">
      <alignment horizontal="left" indent="1"/>
    </xf>
    <xf numFmtId="164" fontId="35" fillId="0" borderId="14" xfId="0" applyNumberFormat="1" applyFont="1" applyBorder="1"/>
    <xf numFmtId="9" fontId="32" fillId="0" borderId="0" xfId="0" applyNumberFormat="1" applyFont="1"/>
    <xf numFmtId="9" fontId="32" fillId="0" borderId="7" xfId="0" applyNumberFormat="1" applyFont="1" applyBorder="1"/>
    <xf numFmtId="168" fontId="32" fillId="0" borderId="0" xfId="0" applyNumberFormat="1" applyFont="1"/>
    <xf numFmtId="0" fontId="32" fillId="0" borderId="0" xfId="0" applyFont="1"/>
    <xf numFmtId="0" fontId="32" fillId="0" borderId="7" xfId="0" applyFont="1" applyBorder="1"/>
    <xf numFmtId="0" fontId="22" fillId="0" borderId="8" xfId="0" applyFont="1" applyBorder="1"/>
    <xf numFmtId="9" fontId="32" fillId="0" borderId="2" xfId="0" applyNumberFormat="1" applyFont="1" applyBorder="1"/>
    <xf numFmtId="0" fontId="19" fillId="0" borderId="2" xfId="0" applyFont="1" applyBorder="1"/>
    <xf numFmtId="164" fontId="33" fillId="0" borderId="0" xfId="0" applyNumberFormat="1" applyFont="1"/>
    <xf numFmtId="0" fontId="22" fillId="0" borderId="13" xfId="0" applyFont="1" applyBorder="1" applyAlignment="1">
      <alignment horizontal="left" indent="2"/>
    </xf>
    <xf numFmtId="0" fontId="36" fillId="0" borderId="15" xfId="0" applyFont="1" applyBorder="1"/>
    <xf numFmtId="164" fontId="19" fillId="0" borderId="16" xfId="0" applyNumberFormat="1" applyFont="1" applyBorder="1"/>
    <xf numFmtId="164" fontId="35" fillId="0" borderId="17" xfId="0" applyNumberFormat="1" applyFont="1" applyBorder="1"/>
    <xf numFmtId="164" fontId="35" fillId="0" borderId="2" xfId="0" applyNumberFormat="1" applyFont="1" applyBorder="1"/>
    <xf numFmtId="164" fontId="19" fillId="0" borderId="9" xfId="0" applyNumberFormat="1" applyFont="1" applyBorder="1"/>
    <xf numFmtId="0" fontId="22" fillId="0" borderId="6" xfId="0" applyFont="1" applyBorder="1" applyAlignment="1">
      <alignment horizontal="left" indent="2"/>
    </xf>
    <xf numFmtId="0" fontId="36" fillId="0" borderId="8" xfId="0" applyFont="1" applyBorder="1"/>
    <xf numFmtId="164" fontId="31" fillId="0" borderId="2" xfId="0" applyNumberFormat="1" applyFont="1" applyBorder="1"/>
    <xf numFmtId="164" fontId="31" fillId="0" borderId="9" xfId="0" applyNumberFormat="1" applyFont="1" applyBorder="1"/>
    <xf numFmtId="169" fontId="19" fillId="4" borderId="0" xfId="0" applyNumberFormat="1" applyFont="1" applyFill="1"/>
    <xf numFmtId="0" fontId="19" fillId="7" borderId="0" xfId="0" applyFont="1" applyFill="1"/>
    <xf numFmtId="164" fontId="19" fillId="7" borderId="0" xfId="0" applyNumberFormat="1" applyFont="1" applyFill="1"/>
    <xf numFmtId="0" fontId="8" fillId="0" borderId="0" xfId="1" applyNumberFormat="1" applyFont="1" applyAlignment="1">
      <alignment vertical="center"/>
    </xf>
  </cellXfs>
  <cellStyles count="4">
    <cellStyle name="Comma 2" xfId="3" xr:uid="{D9D5EFE3-3D1C-4E74-9AE6-C1880501FE50}"/>
    <cellStyle name="Normal" xfId="0" builtinId="0"/>
    <cellStyle name="Normal 2" xfId="2" xr:uid="{E76BFFD4-8746-48C5-99CC-18DFBEDB6440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241300</xdr:rowOff>
    </xdr:from>
    <xdr:to>
      <xdr:col>0</xdr:col>
      <xdr:colOff>31750</xdr:colOff>
      <xdr:row>3</xdr:row>
      <xdr:rowOff>266700</xdr:rowOff>
    </xdr:to>
    <xdr:sp macro="" textlink="">
      <xdr:nvSpPr>
        <xdr:cNvPr id="2" name="Ink 62">
          <a:extLst>
            <a:ext uri="{FF2B5EF4-FFF2-40B4-BE49-F238E27FC236}">
              <a16:creationId xmlns:a16="http://schemas.microsoft.com/office/drawing/2014/main" id="{83B7DDCD-DBE2-4A43-8299-AA577C978677}"/>
            </a:ext>
          </a:extLst>
        </xdr:cNvPr>
        <xdr:cNvSpPr>
          <a:spLocks noRot="1" noChangeAspect="1" noEditPoints="1" noChangeArrowheads="1" noChangeShapeType="1" noTextEdit="1"/>
        </xdr:cNvSpPr>
      </xdr:nvSpPr>
      <xdr:spPr bwMode="auto">
        <a:xfrm>
          <a:off x="0" y="927100"/>
          <a:ext cx="31750" cy="2540"/>
        </a:xfrm>
        <a:custGeom>
          <a:avLst/>
          <a:gdLst>
            <a:gd name="T0" fmla="+- 0 -3 -3"/>
            <a:gd name="T1" fmla="*/ T0 w 35"/>
            <a:gd name="T2" fmla="+- 0 0 -2"/>
            <a:gd name="T3" fmla="*/ 0 h 24"/>
            <a:gd name="T4" fmla="+- 0 1 -3"/>
            <a:gd name="T5" fmla="*/ T4 w 35"/>
            <a:gd name="T6" fmla="+- 0 -1 -2"/>
            <a:gd name="T7" fmla="*/ -1 h 24"/>
            <a:gd name="T8" fmla="+- 0 6 -3"/>
            <a:gd name="T9" fmla="*/ T8 w 35"/>
            <a:gd name="T10" fmla="+- 0 -1 -2"/>
            <a:gd name="T11" fmla="*/ -1 h 24"/>
            <a:gd name="T12" fmla="+- 0 10 -3"/>
            <a:gd name="T13" fmla="*/ T12 w 35"/>
            <a:gd name="T14" fmla="+- 0 -2 -2"/>
            <a:gd name="T15" fmla="*/ -2 h 24"/>
            <a:gd name="T16" fmla="+- 0 -2 -3"/>
            <a:gd name="T17" fmla="*/ T16 w 35"/>
            <a:gd name="T18" fmla="+- 0 5 -2"/>
            <a:gd name="T19" fmla="*/ 5 h 24"/>
            <a:gd name="T20" fmla="+- 0 7 -3"/>
            <a:gd name="T21" fmla="*/ T20 w 35"/>
            <a:gd name="T22" fmla="+- 0 8 -2"/>
            <a:gd name="T23" fmla="*/ 8 h 24"/>
            <a:gd name="T24" fmla="+- 0 17 -3"/>
            <a:gd name="T25" fmla="*/ T24 w 35"/>
            <a:gd name="T26" fmla="+- 0 13 -2"/>
            <a:gd name="T27" fmla="*/ 13 h 24"/>
            <a:gd name="T28" fmla="+- 0 22 -3"/>
            <a:gd name="T29" fmla="*/ T28 w 35"/>
            <a:gd name="T30" fmla="+- 0 16 -2"/>
            <a:gd name="T31" fmla="*/ 16 h 24"/>
            <a:gd name="T32" fmla="+- 0 26 -3"/>
            <a:gd name="T33" fmla="*/ T32 w 35"/>
            <a:gd name="T34" fmla="+- 0 18 -2"/>
            <a:gd name="T35" fmla="*/ 18 h 24"/>
            <a:gd name="T36" fmla="+- 0 31 -3"/>
            <a:gd name="T37" fmla="*/ T36 w 35"/>
            <a:gd name="T38" fmla="+- 0 21 -2"/>
            <a:gd name="T39" fmla="*/ 21 h 24"/>
          </a:gdLst>
          <a:ahLst/>
          <a:cxnLst>
            <a:cxn ang="0">
              <a:pos x="T1" y="T3"/>
            </a:cxn>
            <a:cxn ang="0">
              <a:pos x="T5" y="T7"/>
            </a:cxn>
            <a:cxn ang="0">
              <a:pos x="T9" y="T11"/>
            </a:cxn>
            <a:cxn ang="0">
              <a:pos x="T13" y="T15"/>
            </a:cxn>
            <a:cxn ang="0">
              <a:pos x="T17" y="T19"/>
            </a:cxn>
            <a:cxn ang="0">
              <a:pos x="T21" y="T23"/>
            </a:cxn>
            <a:cxn ang="0">
              <a:pos x="T25" y="T27"/>
            </a:cxn>
            <a:cxn ang="0">
              <a:pos x="T29" y="T31"/>
            </a:cxn>
            <a:cxn ang="0">
              <a:pos x="T33" y="T35"/>
            </a:cxn>
            <a:cxn ang="0">
              <a:pos x="T37" y="T39"/>
            </a:cxn>
          </a:cxnLst>
          <a:rect l="0" t="0" r="r" b="b"/>
          <a:pathLst>
            <a:path w="35" h="24" extrusionOk="0">
              <a:moveTo>
                <a:pt x="0" y="2"/>
              </a:moveTo>
              <a:cubicBezTo>
                <a:pt x="4" y="1"/>
                <a:pt x="9" y="1"/>
                <a:pt x="13" y="0"/>
              </a:cubicBezTo>
              <a:cubicBezTo>
                <a:pt x="1" y="7"/>
                <a:pt x="10" y="10"/>
                <a:pt x="20" y="15"/>
              </a:cubicBezTo>
              <a:cubicBezTo>
                <a:pt x="25" y="18"/>
                <a:pt x="29" y="20"/>
                <a:pt x="34" y="23"/>
              </a:cubicBezTo>
            </a:path>
          </a:pathLst>
        </a:custGeom>
        <a:noFill/>
        <a:ln w="25200" cap="rnd" algn="ctr">
          <a:solidFill>
            <a:srgbClr val="177D3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120650</xdr:colOff>
      <xdr:row>12</xdr:row>
      <xdr:rowOff>0</xdr:rowOff>
    </xdr:from>
    <xdr:to>
      <xdr:col>1</xdr:col>
      <xdr:colOff>495300</xdr:colOff>
      <xdr:row>12</xdr:row>
      <xdr:rowOff>260350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68">
              <a:extLst>
                <a:ext uri="{FF2B5EF4-FFF2-40B4-BE49-F238E27FC236}">
                  <a16:creationId xmlns:a16="http://schemas.microsoft.com/office/drawing/2014/main" id="{B5E38D4C-3FDC-46C5-BBE9-DED0E4865508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730250" y="5524500"/>
            <a:ext cx="374650" cy="260350"/>
          </xdr14:xfrm>
        </xdr:contentPart>
      </mc:Choice>
      <mc:Fallback xmlns="">
        <xdr:pic>
          <xdr:nvPicPr>
            <xdr:cNvPr id="2" name="Ink 68"/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/>
</inkml:ink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F4B6-63D9-44B7-B323-E864C20A119F}">
  <dimension ref="A1:Q22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1.83203125" bestFit="1" customWidth="1"/>
    <col min="2" max="2" width="30.83203125" bestFit="1" customWidth="1"/>
    <col min="3" max="3" width="8.1640625" style="3" bestFit="1" customWidth="1"/>
    <col min="4" max="17" width="8.83203125" style="3"/>
  </cols>
  <sheetData>
    <row r="1" spans="1:17" x14ac:dyDescent="0.2">
      <c r="A1" s="7" t="s">
        <v>61</v>
      </c>
    </row>
    <row r="2" spans="1:17" x14ac:dyDescent="0.2">
      <c r="C2" s="6" t="s">
        <v>28</v>
      </c>
      <c r="D2" s="6" t="s">
        <v>25</v>
      </c>
      <c r="E2" s="6" t="s">
        <v>26</v>
      </c>
      <c r="F2" s="6" t="s">
        <v>27</v>
      </c>
      <c r="G2" s="6" t="s">
        <v>36</v>
      </c>
      <c r="H2" s="6" t="s">
        <v>38</v>
      </c>
      <c r="I2" s="6" t="s">
        <v>39</v>
      </c>
      <c r="J2" s="6" t="s">
        <v>40</v>
      </c>
      <c r="K2" s="6" t="s">
        <v>41</v>
      </c>
      <c r="L2" s="6" t="s">
        <v>42</v>
      </c>
      <c r="M2" s="6" t="s">
        <v>43</v>
      </c>
      <c r="N2" s="6" t="s">
        <v>44</v>
      </c>
      <c r="O2"/>
      <c r="P2"/>
      <c r="Q2"/>
    </row>
    <row r="3" spans="1:17" x14ac:dyDescent="0.2">
      <c r="A3" t="s">
        <v>29</v>
      </c>
      <c r="B3" t="s">
        <v>32</v>
      </c>
      <c r="F3" s="3">
        <v>250</v>
      </c>
      <c r="G3" s="3">
        <v>260</v>
      </c>
      <c r="H3" s="3">
        <v>270</v>
      </c>
      <c r="I3" s="3">
        <v>275</v>
      </c>
      <c r="J3" s="3">
        <v>300</v>
      </c>
      <c r="K3" s="3">
        <v>260</v>
      </c>
      <c r="L3" s="3">
        <v>250</v>
      </c>
      <c r="M3" s="3">
        <v>220</v>
      </c>
      <c r="N3" s="3">
        <v>220</v>
      </c>
      <c r="O3" s="3">
        <v>220</v>
      </c>
      <c r="P3" s="3">
        <v>280</v>
      </c>
      <c r="Q3" s="3">
        <v>270</v>
      </c>
    </row>
    <row r="4" spans="1:17" x14ac:dyDescent="0.2">
      <c r="B4" t="s">
        <v>45</v>
      </c>
      <c r="C4" s="3">
        <f>750*40%</f>
        <v>300</v>
      </c>
      <c r="D4" s="3">
        <f>750*30%</f>
        <v>225</v>
      </c>
      <c r="E4" s="3">
        <f>750*30%</f>
        <v>225</v>
      </c>
    </row>
    <row r="5" spans="1:17" x14ac:dyDescent="0.2">
      <c r="B5" t="s">
        <v>54</v>
      </c>
      <c r="N5" s="3">
        <v>35</v>
      </c>
    </row>
    <row r="6" spans="1:17" x14ac:dyDescent="0.2">
      <c r="A6" t="s">
        <v>30</v>
      </c>
      <c r="B6" t="s">
        <v>31</v>
      </c>
      <c r="D6" s="3">
        <v>-160</v>
      </c>
      <c r="E6" s="3">
        <v>-155</v>
      </c>
      <c r="F6" s="3">
        <v>-160</v>
      </c>
      <c r="G6" s="3">
        <v>-165</v>
      </c>
      <c r="H6" s="3">
        <v>-175</v>
      </c>
      <c r="I6" s="3">
        <v>-170</v>
      </c>
      <c r="J6" s="3">
        <v>-180</v>
      </c>
      <c r="K6" s="3">
        <v>-170</v>
      </c>
      <c r="L6" s="3">
        <v>-185</v>
      </c>
      <c r="M6" s="3">
        <v>-180</v>
      </c>
      <c r="N6" s="3">
        <v>-170</v>
      </c>
      <c r="O6" s="3">
        <v>-175</v>
      </c>
    </row>
    <row r="7" spans="1:17" x14ac:dyDescent="0.2">
      <c r="B7" t="s">
        <v>46</v>
      </c>
      <c r="C7" s="3">
        <v>-160</v>
      </c>
    </row>
    <row r="8" spans="1:17" x14ac:dyDescent="0.2">
      <c r="B8" t="s">
        <v>47</v>
      </c>
      <c r="C8" s="5">
        <f>-460/14</f>
        <v>-32.857142857142854</v>
      </c>
      <c r="D8" s="5">
        <f t="shared" ref="D8:M8" si="0">-460/14</f>
        <v>-32.857142857142854</v>
      </c>
      <c r="E8" s="5">
        <f t="shared" si="0"/>
        <v>-32.857142857142854</v>
      </c>
      <c r="F8" s="5">
        <f t="shared" si="0"/>
        <v>-32.857142857142854</v>
      </c>
      <c r="G8" s="5">
        <f t="shared" si="0"/>
        <v>-32.857142857142854</v>
      </c>
      <c r="H8" s="5">
        <f>-460/14*2</f>
        <v>-65.714285714285708</v>
      </c>
      <c r="I8" s="5">
        <f t="shared" si="0"/>
        <v>-32.857142857142854</v>
      </c>
      <c r="J8" s="5">
        <f t="shared" si="0"/>
        <v>-32.857142857142854</v>
      </c>
      <c r="K8" s="5">
        <f t="shared" si="0"/>
        <v>-32.857142857142854</v>
      </c>
      <c r="L8" s="5">
        <f t="shared" si="0"/>
        <v>-32.857142857142854</v>
      </c>
      <c r="M8" s="5">
        <f t="shared" si="0"/>
        <v>-32.857142857142854</v>
      </c>
      <c r="N8" s="5">
        <f>-460/14*2</f>
        <v>-65.714285714285708</v>
      </c>
    </row>
    <row r="9" spans="1:17" x14ac:dyDescent="0.2">
      <c r="B9" t="s">
        <v>48</v>
      </c>
      <c r="L9" s="3">
        <v>-20</v>
      </c>
    </row>
    <row r="10" spans="1:17" x14ac:dyDescent="0.2">
      <c r="B10" t="s">
        <v>49</v>
      </c>
      <c r="C10" s="5">
        <f>-225/12</f>
        <v>-18.75</v>
      </c>
      <c r="D10" s="5">
        <f t="shared" ref="D10:N10" si="1">-225/12</f>
        <v>-18.75</v>
      </c>
      <c r="E10" s="5">
        <f t="shared" si="1"/>
        <v>-18.75</v>
      </c>
      <c r="F10" s="5">
        <f t="shared" si="1"/>
        <v>-18.75</v>
      </c>
      <c r="G10" s="5">
        <f t="shared" si="1"/>
        <v>-18.75</v>
      </c>
      <c r="H10" s="5">
        <f t="shared" si="1"/>
        <v>-18.75</v>
      </c>
      <c r="I10" s="5">
        <f t="shared" si="1"/>
        <v>-18.75</v>
      </c>
      <c r="J10" s="5">
        <f t="shared" si="1"/>
        <v>-18.75</v>
      </c>
      <c r="K10" s="5">
        <f t="shared" si="1"/>
        <v>-18.75</v>
      </c>
      <c r="L10" s="5">
        <f t="shared" si="1"/>
        <v>-18.75</v>
      </c>
      <c r="M10" s="5">
        <f t="shared" si="1"/>
        <v>-18.75</v>
      </c>
      <c r="N10" s="5">
        <f t="shared" si="1"/>
        <v>-18.75</v>
      </c>
    </row>
    <row r="11" spans="1:17" x14ac:dyDescent="0.2">
      <c r="B11" t="s">
        <v>50</v>
      </c>
      <c r="C11" s="5">
        <f>-200/12</f>
        <v>-16.666666666666668</v>
      </c>
      <c r="D11" s="5">
        <f t="shared" ref="D11:N11" si="2">-200/12</f>
        <v>-16.666666666666668</v>
      </c>
      <c r="E11" s="5">
        <f t="shared" si="2"/>
        <v>-16.666666666666668</v>
      </c>
      <c r="F11" s="5">
        <f t="shared" si="2"/>
        <v>-16.666666666666668</v>
      </c>
      <c r="G11" s="5">
        <f t="shared" si="2"/>
        <v>-16.666666666666668</v>
      </c>
      <c r="H11" s="5">
        <f t="shared" si="2"/>
        <v>-16.666666666666668</v>
      </c>
      <c r="I11" s="5">
        <f t="shared" si="2"/>
        <v>-16.666666666666668</v>
      </c>
      <c r="J11" s="5">
        <f t="shared" si="2"/>
        <v>-16.666666666666668</v>
      </c>
      <c r="K11" s="5">
        <f t="shared" si="2"/>
        <v>-16.666666666666668</v>
      </c>
      <c r="L11" s="5">
        <f t="shared" si="2"/>
        <v>-16.666666666666668</v>
      </c>
      <c r="M11" s="5">
        <f t="shared" si="2"/>
        <v>-16.666666666666668</v>
      </c>
      <c r="N11" s="5">
        <f t="shared" si="2"/>
        <v>-16.666666666666668</v>
      </c>
    </row>
    <row r="12" spans="1:17" x14ac:dyDescent="0.2">
      <c r="B12" t="s">
        <v>51</v>
      </c>
      <c r="E12" s="3">
        <v>-60</v>
      </c>
      <c r="L12" s="3">
        <v>-50</v>
      </c>
    </row>
    <row r="13" spans="1:17" x14ac:dyDescent="0.2">
      <c r="B13" t="s">
        <v>52</v>
      </c>
      <c r="G13" s="3">
        <v>-15</v>
      </c>
      <c r="M13" s="3">
        <v>-20</v>
      </c>
    </row>
    <row r="14" spans="1:17" x14ac:dyDescent="0.2">
      <c r="B14" t="s">
        <v>53</v>
      </c>
      <c r="M14" s="3">
        <f>-70*0.1</f>
        <v>-7</v>
      </c>
    </row>
    <row r="15" spans="1:17" x14ac:dyDescent="0.2">
      <c r="A15" t="s">
        <v>55</v>
      </c>
      <c r="C15" s="5">
        <f>SUM(C3:C14)</f>
        <v>71.726190476190467</v>
      </c>
      <c r="D15" s="5">
        <f t="shared" ref="D15:N15" si="3">SUM(D3:D14)</f>
        <v>-3.2738095238095219</v>
      </c>
      <c r="E15" s="5">
        <f t="shared" si="3"/>
        <v>-58.273809523809518</v>
      </c>
      <c r="F15" s="5">
        <f t="shared" si="3"/>
        <v>21.726190476190478</v>
      </c>
      <c r="G15" s="5">
        <f t="shared" si="3"/>
        <v>11.726190476190478</v>
      </c>
      <c r="H15" s="5">
        <f t="shared" si="3"/>
        <v>-6.130952380952376</v>
      </c>
      <c r="I15" s="5">
        <f t="shared" si="3"/>
        <v>36.726190476190467</v>
      </c>
      <c r="J15" s="5">
        <f t="shared" si="3"/>
        <v>51.726190476190467</v>
      </c>
      <c r="K15" s="5">
        <f t="shared" si="3"/>
        <v>21.726190476190478</v>
      </c>
      <c r="L15" s="5">
        <f t="shared" si="3"/>
        <v>-73.273809523809518</v>
      </c>
      <c r="M15" s="5">
        <f t="shared" si="3"/>
        <v>-55.273809523809518</v>
      </c>
      <c r="N15" s="5">
        <f t="shared" si="3"/>
        <v>-16.130952380952376</v>
      </c>
    </row>
    <row r="16" spans="1:17" x14ac:dyDescent="0.2">
      <c r="A16" t="s">
        <v>34</v>
      </c>
      <c r="B16" t="s">
        <v>35</v>
      </c>
    </row>
    <row r="17" spans="1:14" x14ac:dyDescent="0.2">
      <c r="B17" t="s">
        <v>56</v>
      </c>
      <c r="C17" s="3">
        <v>7</v>
      </c>
    </row>
    <row r="18" spans="1:14" s="5" customFormat="1" x14ac:dyDescent="0.2">
      <c r="A18"/>
      <c r="B18" t="s">
        <v>57</v>
      </c>
      <c r="C18" s="3">
        <v>-280</v>
      </c>
      <c r="D18" s="5">
        <f>C22</f>
        <v>-201.27380952380952</v>
      </c>
      <c r="E18" s="5">
        <f>D22</f>
        <v>-204.54761904761904</v>
      </c>
      <c r="F18" s="5">
        <f t="shared" ref="F18:N18" si="4">E22</f>
        <v>-269.59375</v>
      </c>
      <c r="G18" s="5">
        <f t="shared" si="4"/>
        <v>-247.86755952380952</v>
      </c>
      <c r="H18" s="5">
        <f t="shared" si="4"/>
        <v>-236.14136904761904</v>
      </c>
      <c r="I18" s="5">
        <f t="shared" si="4"/>
        <v>-249.67174107142856</v>
      </c>
      <c r="J18" s="5">
        <f t="shared" si="4"/>
        <v>-212.9455505952381</v>
      </c>
      <c r="K18" s="5">
        <f t="shared" si="4"/>
        <v>-161.21936011904762</v>
      </c>
      <c r="L18" s="5">
        <f t="shared" si="4"/>
        <v>-145.18064330357143</v>
      </c>
      <c r="M18" s="5">
        <f t="shared" si="4"/>
        <v>-218.45445282738095</v>
      </c>
      <c r="N18" s="5">
        <f t="shared" si="4"/>
        <v>-273.72826235119044</v>
      </c>
    </row>
    <row r="19" spans="1:14" x14ac:dyDescent="0.2">
      <c r="B19" t="s">
        <v>58</v>
      </c>
      <c r="C19" s="5">
        <f>SUM(C18,C21)/2*12%/12</f>
        <v>-2.4063690476190476</v>
      </c>
      <c r="D19" s="5">
        <f>SUM(D18,D21)/2*12%/12</f>
        <v>-2.0291071428571428</v>
      </c>
      <c r="E19" s="5">
        <f>SUM(E18,E21)/2*12%/12</f>
        <v>-2.3368452380952376</v>
      </c>
      <c r="F19" s="5">
        <f t="shared" ref="C19:K19" si="5">SUM(F18,F21)/2*12%/12</f>
        <v>-2.5873065476190473</v>
      </c>
      <c r="G19" s="5">
        <f t="shared" si="5"/>
        <v>-2.4200446428571429</v>
      </c>
      <c r="H19" s="5">
        <f t="shared" si="5"/>
        <v>-2.3920684523809523</v>
      </c>
      <c r="I19" s="5">
        <f t="shared" si="5"/>
        <v>-2.3130864583333333</v>
      </c>
      <c r="J19" s="5">
        <f t="shared" si="5"/>
        <v>-1.8708245535714285</v>
      </c>
      <c r="K19" s="5">
        <f t="shared" si="5"/>
        <v>-1.5035626488095237</v>
      </c>
      <c r="L19" s="5">
        <f t="shared" ref="L19:N19" si="6">SUM(L18,L21)/2*12%/12</f>
        <v>-1.8181754806547616</v>
      </c>
      <c r="M19" s="5">
        <f t="shared" si="6"/>
        <v>-2.4609135758928566</v>
      </c>
      <c r="N19" s="5">
        <f t="shared" si="6"/>
        <v>-2.8179373854166658</v>
      </c>
    </row>
    <row r="20" spans="1:14" s="5" customFormat="1" x14ac:dyDescent="0.2">
      <c r="A20"/>
      <c r="B20" t="s">
        <v>62</v>
      </c>
      <c r="E20" s="5">
        <f>SUM(C19:E19)</f>
        <v>-6.7723214285714288</v>
      </c>
      <c r="H20" s="5">
        <f>SUM(F19:H19)</f>
        <v>-7.3994196428571426</v>
      </c>
      <c r="K20" s="5">
        <f>SUM(I19:K19)</f>
        <v>-5.6874736607142857</v>
      </c>
      <c r="N20" s="5">
        <f>SUM(L19:N19)</f>
        <v>-7.0970264419642834</v>
      </c>
    </row>
    <row r="21" spans="1:14" s="5" customFormat="1" x14ac:dyDescent="0.2">
      <c r="A21"/>
      <c r="B21" t="s">
        <v>60</v>
      </c>
      <c r="C21" s="5">
        <f>SUM(C15,C17:C18)</f>
        <v>-201.27380952380952</v>
      </c>
      <c r="D21" s="5">
        <f>SUM(D15,D17:D18)</f>
        <v>-204.54761904761904</v>
      </c>
      <c r="E21" s="5">
        <f>SUM(E15,E17:E18)</f>
        <v>-262.82142857142856</v>
      </c>
      <c r="F21" s="5">
        <f t="shared" ref="F21:N21" si="7">SUM(F15,F17:F18)</f>
        <v>-247.86755952380952</v>
      </c>
      <c r="G21" s="5">
        <f t="shared" si="7"/>
        <v>-236.14136904761904</v>
      </c>
      <c r="H21" s="5">
        <f t="shared" si="7"/>
        <v>-242.27232142857142</v>
      </c>
      <c r="I21" s="5">
        <f t="shared" si="7"/>
        <v>-212.9455505952381</v>
      </c>
      <c r="J21" s="5">
        <f t="shared" si="7"/>
        <v>-161.21936011904762</v>
      </c>
      <c r="K21" s="5">
        <f t="shared" si="7"/>
        <v>-139.49316964285714</v>
      </c>
      <c r="L21" s="5">
        <f t="shared" si="7"/>
        <v>-218.45445282738095</v>
      </c>
      <c r="M21" s="5">
        <f t="shared" si="7"/>
        <v>-273.72826235119044</v>
      </c>
      <c r="N21" s="5">
        <f t="shared" si="7"/>
        <v>-289.85921473214279</v>
      </c>
    </row>
    <row r="22" spans="1:14" s="5" customFormat="1" x14ac:dyDescent="0.2">
      <c r="A22"/>
      <c r="B22" t="s">
        <v>59</v>
      </c>
      <c r="C22" s="5">
        <f>C21</f>
        <v>-201.27380952380952</v>
      </c>
      <c r="D22" s="5">
        <f>D21</f>
        <v>-204.54761904761904</v>
      </c>
      <c r="E22" s="5">
        <f>SUM(E20:E21)</f>
        <v>-269.59375</v>
      </c>
      <c r="F22" s="5">
        <f>F21</f>
        <v>-247.86755952380952</v>
      </c>
      <c r="G22" s="5">
        <f>G21</f>
        <v>-236.14136904761904</v>
      </c>
      <c r="H22" s="5">
        <f>SUM(H20:H21)</f>
        <v>-249.67174107142856</v>
      </c>
      <c r="I22" s="5">
        <f>I21</f>
        <v>-212.9455505952381</v>
      </c>
      <c r="J22" s="5">
        <f>J21</f>
        <v>-161.21936011904762</v>
      </c>
      <c r="K22" s="5">
        <f>SUM(K20:K21)</f>
        <v>-145.18064330357143</v>
      </c>
      <c r="L22" s="5">
        <f>L21</f>
        <v>-218.45445282738095</v>
      </c>
      <c r="M22" s="5">
        <f>M21</f>
        <v>-273.72826235119044</v>
      </c>
      <c r="N22" s="5">
        <f>SUM(N20:N21)</f>
        <v>-296.95624117410705</v>
      </c>
    </row>
  </sheetData>
  <pageMargins left="0.7" right="0.7" top="0.75" bottom="0.75" header="0.3" footer="0.3"/>
  <ignoredErrors>
    <ignoredError sqref="H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AF69-3EA9-4E4A-B8EA-1D892AA094F4}">
  <dimension ref="A1:Q31"/>
  <sheetViews>
    <sheetView showGridLines="0" zoomScale="101" workbookViewId="0">
      <selection activeCell="F18" sqref="F18"/>
    </sheetView>
  </sheetViews>
  <sheetFormatPr baseColWidth="10" defaultColWidth="8.83203125" defaultRowHeight="11" x14ac:dyDescent="0.2"/>
  <cols>
    <col min="1" max="1" width="26.1640625" style="10" customWidth="1"/>
    <col min="2" max="2" width="9.6640625" style="10" bestFit="1" customWidth="1"/>
    <col min="3" max="3" width="9.1640625" style="10" bestFit="1" customWidth="1"/>
    <col min="4" max="4" width="8.83203125" style="10"/>
    <col min="5" max="5" width="21.5" style="10" customWidth="1"/>
    <col min="6" max="6" width="9.6640625" style="10" bestFit="1" customWidth="1"/>
    <col min="7" max="7" width="9.1640625" style="10" bestFit="1" customWidth="1"/>
    <col min="8" max="8" width="8.83203125" style="10"/>
    <col min="9" max="9" width="25.5" style="10" customWidth="1"/>
    <col min="10" max="10" width="11.83203125" style="10" customWidth="1"/>
    <col min="11" max="11" width="9" style="10" bestFit="1" customWidth="1"/>
    <col min="12" max="12" width="9.33203125" style="10" bestFit="1" customWidth="1"/>
    <col min="13" max="13" width="8.83203125" style="10"/>
    <col min="14" max="14" width="14" style="10" customWidth="1"/>
    <col min="15" max="17" width="9" style="10" bestFit="1" customWidth="1"/>
    <col min="18" max="16384" width="8.83203125" style="10"/>
  </cols>
  <sheetData>
    <row r="1" spans="1:17" x14ac:dyDescent="0.2">
      <c r="A1" s="8" t="s">
        <v>63</v>
      </c>
      <c r="B1" s="9"/>
      <c r="C1" s="9"/>
      <c r="D1" s="9"/>
      <c r="E1" s="9"/>
      <c r="F1" s="9"/>
      <c r="G1" s="9"/>
    </row>
    <row r="2" spans="1:17" x14ac:dyDescent="0.2">
      <c r="A2" s="8"/>
      <c r="B2" s="9"/>
      <c r="C2" s="9"/>
      <c r="D2" s="9"/>
      <c r="E2" s="9"/>
      <c r="F2" s="9"/>
      <c r="G2" s="9"/>
    </row>
    <row r="3" spans="1:17" ht="12" x14ac:dyDescent="0.2">
      <c r="A3" s="11"/>
      <c r="B3" s="12" t="s">
        <v>64</v>
      </c>
      <c r="C3" s="12" t="s">
        <v>65</v>
      </c>
      <c r="D3" s="9"/>
      <c r="E3" s="11"/>
      <c r="F3" s="12" t="s">
        <v>64</v>
      </c>
      <c r="G3" s="12" t="s">
        <v>65</v>
      </c>
      <c r="J3" s="12" t="s">
        <v>64</v>
      </c>
      <c r="K3" s="12" t="s">
        <v>65</v>
      </c>
      <c r="L3" s="13" t="s">
        <v>95</v>
      </c>
      <c r="O3" s="12" t="s">
        <v>64</v>
      </c>
      <c r="P3" s="12" t="s">
        <v>65</v>
      </c>
      <c r="Q3" s="13" t="s">
        <v>95</v>
      </c>
    </row>
    <row r="4" spans="1:17" ht="12" x14ac:dyDescent="0.2">
      <c r="A4" s="14" t="s">
        <v>66</v>
      </c>
      <c r="B4" s="24">
        <v>22000</v>
      </c>
      <c r="C4" s="24">
        <v>8000</v>
      </c>
      <c r="D4" s="9"/>
      <c r="E4" s="14" t="s">
        <v>67</v>
      </c>
      <c r="F4" s="24">
        <v>6650</v>
      </c>
      <c r="G4" s="24">
        <v>7000</v>
      </c>
      <c r="I4" s="14" t="s">
        <v>66</v>
      </c>
      <c r="J4" s="15">
        <v>22000</v>
      </c>
      <c r="K4" s="15">
        <v>8000</v>
      </c>
      <c r="L4" s="16">
        <f>K4-J4</f>
        <v>-14000</v>
      </c>
      <c r="N4" s="14" t="s">
        <v>46</v>
      </c>
      <c r="O4" s="15">
        <v>4000</v>
      </c>
      <c r="P4" s="15">
        <v>5000</v>
      </c>
      <c r="Q4" s="16">
        <f>P4-O4</f>
        <v>1000</v>
      </c>
    </row>
    <row r="5" spans="1:17" ht="12" x14ac:dyDescent="0.2">
      <c r="A5" s="14" t="s">
        <v>68</v>
      </c>
      <c r="B5" s="24">
        <v>20000</v>
      </c>
      <c r="C5" s="24">
        <v>26000</v>
      </c>
      <c r="D5" s="9"/>
      <c r="E5" s="14" t="s">
        <v>46</v>
      </c>
      <c r="F5" s="24">
        <v>4000</v>
      </c>
      <c r="G5" s="24">
        <v>5000</v>
      </c>
      <c r="I5" s="14" t="s">
        <v>45</v>
      </c>
      <c r="J5" s="15">
        <v>14000</v>
      </c>
      <c r="K5" s="15">
        <v>15000</v>
      </c>
      <c r="L5" s="16">
        <f t="shared" ref="L5" si="0">K5-J5</f>
        <v>1000</v>
      </c>
      <c r="N5" s="14" t="s">
        <v>72</v>
      </c>
      <c r="O5" s="15">
        <v>4000</v>
      </c>
      <c r="P5" s="15">
        <v>4000</v>
      </c>
      <c r="Q5" s="16">
        <f t="shared" ref="Q5:Q6" si="1">P5-O5</f>
        <v>0</v>
      </c>
    </row>
    <row r="6" spans="1:17" ht="12" x14ac:dyDescent="0.2">
      <c r="A6" s="14" t="s">
        <v>69</v>
      </c>
      <c r="B6" s="24">
        <v>650</v>
      </c>
      <c r="C6" s="24">
        <v>750</v>
      </c>
      <c r="D6" s="9"/>
      <c r="E6" s="14" t="s">
        <v>70</v>
      </c>
      <c r="F6" s="24">
        <v>10000</v>
      </c>
      <c r="G6" s="24">
        <v>11000</v>
      </c>
      <c r="I6" s="14" t="s">
        <v>69</v>
      </c>
      <c r="J6" s="15">
        <v>650</v>
      </c>
      <c r="K6" s="15">
        <v>750</v>
      </c>
      <c r="L6" s="16">
        <f>K6-J6</f>
        <v>100</v>
      </c>
      <c r="N6" s="14" t="s">
        <v>80</v>
      </c>
      <c r="O6" s="15">
        <v>6900</v>
      </c>
      <c r="P6" s="15">
        <v>7000</v>
      </c>
      <c r="Q6" s="16">
        <f t="shared" si="1"/>
        <v>100</v>
      </c>
    </row>
    <row r="7" spans="1:17" ht="24" x14ac:dyDescent="0.2">
      <c r="A7" s="14" t="s">
        <v>71</v>
      </c>
      <c r="B7" s="24">
        <v>10000</v>
      </c>
      <c r="C7" s="24">
        <v>22000</v>
      </c>
      <c r="D7" s="9"/>
      <c r="E7" s="14" t="s">
        <v>72</v>
      </c>
      <c r="F7" s="24">
        <v>4000</v>
      </c>
      <c r="G7" s="24">
        <v>4000</v>
      </c>
      <c r="L7" s="33">
        <f>SUM(L4:L6)</f>
        <v>-12900</v>
      </c>
      <c r="N7" s="14" t="s">
        <v>75</v>
      </c>
      <c r="O7" s="15">
        <v>2000</v>
      </c>
      <c r="P7" s="15">
        <v>3000</v>
      </c>
      <c r="Q7" s="16">
        <f>P7-O7</f>
        <v>1000</v>
      </c>
    </row>
    <row r="8" spans="1:17" ht="12" x14ac:dyDescent="0.2">
      <c r="A8" s="14" t="s">
        <v>73</v>
      </c>
      <c r="B8" s="24">
        <v>5000</v>
      </c>
      <c r="C8" s="24">
        <v>6000</v>
      </c>
      <c r="D8" s="9"/>
      <c r="E8" s="14" t="s">
        <v>74</v>
      </c>
      <c r="F8" s="24">
        <v>16000</v>
      </c>
      <c r="G8" s="24">
        <v>14000</v>
      </c>
      <c r="I8" s="14" t="s">
        <v>71</v>
      </c>
      <c r="J8" s="15">
        <v>10000</v>
      </c>
      <c r="K8" s="15">
        <v>22000</v>
      </c>
      <c r="L8" s="16">
        <f>K8-J8</f>
        <v>12000</v>
      </c>
      <c r="Q8" s="33">
        <f>SUM(Q4:Q7)</f>
        <v>2100</v>
      </c>
    </row>
    <row r="9" spans="1:17" ht="12" x14ac:dyDescent="0.2">
      <c r="A9" s="14" t="s">
        <v>45</v>
      </c>
      <c r="B9" s="24">
        <v>14000</v>
      </c>
      <c r="C9" s="24">
        <v>15000</v>
      </c>
      <c r="D9" s="9"/>
      <c r="E9" s="14" t="s">
        <v>75</v>
      </c>
      <c r="F9" s="24">
        <v>2000</v>
      </c>
      <c r="G9" s="24">
        <v>3000</v>
      </c>
      <c r="I9" s="14" t="s">
        <v>76</v>
      </c>
      <c r="J9" s="15">
        <v>4000</v>
      </c>
      <c r="K9" s="15">
        <v>8000</v>
      </c>
      <c r="L9" s="16">
        <f>K9-J9</f>
        <v>4000</v>
      </c>
      <c r="N9" s="14" t="s">
        <v>74</v>
      </c>
      <c r="O9" s="15">
        <v>16000</v>
      </c>
      <c r="P9" s="15">
        <v>14000</v>
      </c>
      <c r="Q9" s="16">
        <f>P9-O9</f>
        <v>-2000</v>
      </c>
    </row>
    <row r="10" spans="1:17" ht="12" x14ac:dyDescent="0.2">
      <c r="A10" s="14" t="s">
        <v>76</v>
      </c>
      <c r="B10" s="24">
        <v>4000</v>
      </c>
      <c r="C10" s="24">
        <v>8000</v>
      </c>
      <c r="D10" s="9"/>
      <c r="E10" s="14" t="s">
        <v>77</v>
      </c>
      <c r="F10" s="24">
        <v>21000</v>
      </c>
      <c r="G10" s="24">
        <v>29000</v>
      </c>
      <c r="I10" s="14" t="s">
        <v>68</v>
      </c>
      <c r="J10" s="15">
        <v>20000</v>
      </c>
      <c r="K10" s="15">
        <v>26000</v>
      </c>
      <c r="L10" s="16">
        <f>K10-J10</f>
        <v>6000</v>
      </c>
      <c r="N10" s="14" t="s">
        <v>70</v>
      </c>
      <c r="O10" s="15">
        <v>10000</v>
      </c>
      <c r="P10" s="15">
        <v>11000</v>
      </c>
      <c r="Q10" s="16">
        <f>P10-O10</f>
        <v>1000</v>
      </c>
    </row>
    <row r="11" spans="1:17" ht="12" x14ac:dyDescent="0.2">
      <c r="A11" s="17" t="s">
        <v>78</v>
      </c>
      <c r="B11" s="25">
        <v>75650</v>
      </c>
      <c r="C11" s="25">
        <v>85750</v>
      </c>
      <c r="D11" s="9"/>
      <c r="E11" s="14" t="s">
        <v>79</v>
      </c>
      <c r="F11" s="24">
        <v>5100</v>
      </c>
      <c r="G11" s="24">
        <v>5750</v>
      </c>
      <c r="L11" s="33">
        <f>SUM(L8:L10)</f>
        <v>22000</v>
      </c>
    </row>
    <row r="12" spans="1:17" ht="12" x14ac:dyDescent="0.2">
      <c r="A12" s="18"/>
      <c r="B12" s="9"/>
      <c r="C12" s="9"/>
      <c r="D12" s="9"/>
      <c r="E12" s="14" t="s">
        <v>80</v>
      </c>
      <c r="F12" s="24">
        <v>6900</v>
      </c>
      <c r="G12" s="24">
        <v>7000</v>
      </c>
      <c r="I12" s="14" t="s">
        <v>73</v>
      </c>
      <c r="J12" s="15">
        <v>5000</v>
      </c>
      <c r="K12" s="15">
        <v>6000</v>
      </c>
      <c r="L12" s="16">
        <f>K12-J12</f>
        <v>1000</v>
      </c>
      <c r="N12" s="14" t="s">
        <v>77</v>
      </c>
      <c r="O12" s="15">
        <v>21000</v>
      </c>
      <c r="P12" s="15">
        <v>29000</v>
      </c>
      <c r="Q12" s="16">
        <f>P12-O12</f>
        <v>8000</v>
      </c>
    </row>
    <row r="13" spans="1:17" ht="12" x14ac:dyDescent="0.2">
      <c r="A13" s="9"/>
      <c r="B13" s="9"/>
      <c r="C13" s="9"/>
      <c r="D13" s="9"/>
      <c r="E13" s="17" t="s">
        <v>81</v>
      </c>
      <c r="F13" s="25">
        <v>75650</v>
      </c>
      <c r="G13" s="25">
        <v>85750</v>
      </c>
      <c r="N13" s="14" t="s">
        <v>79</v>
      </c>
      <c r="O13" s="15">
        <v>5100</v>
      </c>
      <c r="P13" s="15">
        <v>5750</v>
      </c>
      <c r="Q13" s="16">
        <f>P13-O13</f>
        <v>650</v>
      </c>
    </row>
    <row r="14" spans="1:17" ht="12" x14ac:dyDescent="0.2">
      <c r="A14" s="9"/>
      <c r="B14" s="9"/>
      <c r="C14" s="9"/>
      <c r="D14" s="9"/>
      <c r="E14" s="9"/>
      <c r="F14" s="9"/>
      <c r="G14" s="9"/>
      <c r="N14" s="14" t="s">
        <v>67</v>
      </c>
      <c r="O14" s="15">
        <v>6650</v>
      </c>
      <c r="P14" s="15">
        <v>7000</v>
      </c>
      <c r="Q14" s="16">
        <f>P14-O14</f>
        <v>350</v>
      </c>
    </row>
    <row r="15" spans="1:17" x14ac:dyDescent="0.2">
      <c r="A15" s="8" t="s">
        <v>82</v>
      </c>
      <c r="B15" s="9"/>
      <c r="C15" s="9"/>
      <c r="D15" s="9"/>
      <c r="E15" s="9"/>
      <c r="F15" s="9"/>
      <c r="G15" s="9"/>
      <c r="I15" s="31" t="s">
        <v>0</v>
      </c>
      <c r="J15" s="28">
        <f>F23</f>
        <v>14500</v>
      </c>
    </row>
    <row r="16" spans="1:17" ht="12" x14ac:dyDescent="0.2">
      <c r="A16" s="11" t="s">
        <v>83</v>
      </c>
      <c r="B16" s="12" t="s">
        <v>65</v>
      </c>
      <c r="C16" s="9"/>
      <c r="D16" s="9"/>
      <c r="G16" s="9"/>
      <c r="I16" s="31" t="s">
        <v>1</v>
      </c>
      <c r="J16" s="28">
        <f>F21</f>
        <v>5000</v>
      </c>
    </row>
    <row r="17" spans="1:16" ht="12" x14ac:dyDescent="0.2">
      <c r="A17" s="19" t="s">
        <v>84</v>
      </c>
      <c r="B17" s="26">
        <v>163500</v>
      </c>
      <c r="C17" s="9"/>
      <c r="D17" s="9"/>
      <c r="E17" s="23" t="s">
        <v>32</v>
      </c>
      <c r="F17" s="26">
        <v>213000</v>
      </c>
      <c r="I17" s="31" t="s">
        <v>2</v>
      </c>
      <c r="J17" s="28">
        <v>-7000</v>
      </c>
    </row>
    <row r="18" spans="1:16" ht="12" x14ac:dyDescent="0.2">
      <c r="A18" s="19" t="s">
        <v>85</v>
      </c>
      <c r="B18" s="26">
        <v>20000</v>
      </c>
      <c r="C18" s="9"/>
      <c r="D18" s="9"/>
      <c r="E18" s="19" t="s">
        <v>84</v>
      </c>
      <c r="F18" s="26">
        <v>163500</v>
      </c>
      <c r="I18" s="32" t="s">
        <v>3</v>
      </c>
      <c r="J18" s="28">
        <f>SUM(J15:J17)</f>
        <v>12500</v>
      </c>
    </row>
    <row r="19" spans="1:16" ht="12" x14ac:dyDescent="0.2">
      <c r="A19" s="20" t="s">
        <v>86</v>
      </c>
      <c r="B19" s="26">
        <v>7000</v>
      </c>
      <c r="C19" s="21"/>
      <c r="D19" s="22"/>
      <c r="E19" s="19" t="s">
        <v>85</v>
      </c>
      <c r="F19" s="26">
        <v>20000</v>
      </c>
      <c r="I19" s="31" t="s">
        <v>98</v>
      </c>
      <c r="J19" s="28">
        <f>L7-Q8</f>
        <v>-15000</v>
      </c>
    </row>
    <row r="20" spans="1:16" ht="12" x14ac:dyDescent="0.2">
      <c r="A20" s="20" t="s">
        <v>87</v>
      </c>
      <c r="B20" s="26">
        <v>5000</v>
      </c>
      <c r="C20" s="21"/>
      <c r="D20" s="22"/>
      <c r="E20" s="20" t="s">
        <v>86</v>
      </c>
      <c r="F20" s="26">
        <v>7000</v>
      </c>
      <c r="I20" s="32" t="s">
        <v>4</v>
      </c>
      <c r="J20" s="28">
        <f>J18-J19</f>
        <v>27500</v>
      </c>
    </row>
    <row r="21" spans="1:16" ht="12" x14ac:dyDescent="0.2">
      <c r="A21" s="20" t="s">
        <v>88</v>
      </c>
      <c r="B21" s="26">
        <v>3000</v>
      </c>
      <c r="C21" s="21"/>
      <c r="D21" s="22"/>
      <c r="E21" s="20" t="s">
        <v>87</v>
      </c>
      <c r="F21" s="26">
        <v>5000</v>
      </c>
      <c r="I21" s="31" t="s">
        <v>5</v>
      </c>
      <c r="J21" s="28">
        <f>-SUM(L8,L9:L10)</f>
        <v>-22000</v>
      </c>
    </row>
    <row r="22" spans="1:16" ht="12" x14ac:dyDescent="0.2">
      <c r="A22" s="19" t="s">
        <v>89</v>
      </c>
      <c r="B22" s="26">
        <v>7000</v>
      </c>
      <c r="C22" s="21"/>
      <c r="D22" s="9"/>
      <c r="E22" s="20" t="s">
        <v>88</v>
      </c>
      <c r="F22" s="26">
        <v>3000</v>
      </c>
      <c r="I22" s="31" t="s">
        <v>96</v>
      </c>
      <c r="J22" s="28">
        <v>-5000</v>
      </c>
    </row>
    <row r="23" spans="1:16" ht="12" x14ac:dyDescent="0.2">
      <c r="A23" s="19" t="s">
        <v>90</v>
      </c>
      <c r="B23" s="26">
        <v>1500</v>
      </c>
      <c r="C23" s="21"/>
      <c r="D23" s="9"/>
      <c r="E23" s="27" t="s">
        <v>0</v>
      </c>
      <c r="F23" s="28">
        <f>F17-SUM(F18:F22)</f>
        <v>14500</v>
      </c>
      <c r="I23" s="32" t="s">
        <v>7</v>
      </c>
      <c r="J23" s="28">
        <f>SUM(J20:J22)</f>
        <v>500</v>
      </c>
    </row>
    <row r="24" spans="1:16" ht="12" x14ac:dyDescent="0.2">
      <c r="A24" s="9"/>
      <c r="B24" s="29"/>
      <c r="C24" s="9"/>
      <c r="D24" s="9"/>
      <c r="E24" s="19" t="s">
        <v>92</v>
      </c>
      <c r="F24" s="26">
        <v>1000</v>
      </c>
      <c r="I24" s="31" t="s">
        <v>8</v>
      </c>
      <c r="J24" s="28">
        <f>1000+8000</f>
        <v>9000</v>
      </c>
    </row>
    <row r="25" spans="1:16" ht="12" x14ac:dyDescent="0.2">
      <c r="A25" s="11" t="s">
        <v>91</v>
      </c>
      <c r="B25" s="30"/>
      <c r="C25" s="9"/>
      <c r="D25" s="9"/>
      <c r="E25" s="19" t="s">
        <v>90</v>
      </c>
      <c r="F25" s="26">
        <v>1500</v>
      </c>
      <c r="I25" s="31" t="s">
        <v>9</v>
      </c>
      <c r="J25" s="28">
        <f>-2000</f>
        <v>-2000</v>
      </c>
    </row>
    <row r="26" spans="1:16" ht="12" x14ac:dyDescent="0.2">
      <c r="A26" s="19" t="s">
        <v>32</v>
      </c>
      <c r="B26" s="26">
        <v>213000</v>
      </c>
      <c r="C26" s="9"/>
      <c r="D26" s="9"/>
      <c r="E26" s="27" t="s">
        <v>93</v>
      </c>
      <c r="F26" s="28">
        <f>F23-F25+F24</f>
        <v>14000</v>
      </c>
      <c r="I26" s="32" t="s">
        <v>10</v>
      </c>
      <c r="J26" s="28">
        <f>SUM(J23:J25)</f>
        <v>7500</v>
      </c>
    </row>
    <row r="27" spans="1:16" ht="12" x14ac:dyDescent="0.2">
      <c r="A27" s="19" t="s">
        <v>92</v>
      </c>
      <c r="B27" s="26">
        <v>1000</v>
      </c>
      <c r="C27" s="9"/>
      <c r="D27" s="9"/>
      <c r="E27" s="19" t="s">
        <v>89</v>
      </c>
      <c r="F27" s="26">
        <v>7000</v>
      </c>
      <c r="I27" s="31" t="s">
        <v>11</v>
      </c>
      <c r="J27" s="28">
        <v>-1500</v>
      </c>
      <c r="M27" s="10">
        <f>15458620/12</f>
        <v>1288218.3333333333</v>
      </c>
    </row>
    <row r="28" spans="1:16" ht="12" x14ac:dyDescent="0.2">
      <c r="A28" s="9"/>
      <c r="B28" s="9"/>
      <c r="C28" s="9"/>
      <c r="D28" s="9"/>
      <c r="E28" s="27" t="s">
        <v>94</v>
      </c>
      <c r="F28" s="28">
        <f>F26-F27</f>
        <v>7000</v>
      </c>
      <c r="I28" s="31" t="s">
        <v>12</v>
      </c>
      <c r="J28" s="28">
        <v>0</v>
      </c>
      <c r="M28" s="10">
        <f>M27*2</f>
        <v>2576436.6666666665</v>
      </c>
      <c r="O28" s="10">
        <f>0.028*1000000</f>
        <v>28000</v>
      </c>
    </row>
    <row r="29" spans="1:16" x14ac:dyDescent="0.2">
      <c r="A29" s="9"/>
      <c r="B29" s="9"/>
      <c r="C29" s="9"/>
      <c r="D29" s="9"/>
      <c r="I29" s="31" t="s">
        <v>13</v>
      </c>
      <c r="J29" s="28">
        <f>-(6650-Q13)</f>
        <v>-6000</v>
      </c>
      <c r="O29" s="246">
        <f>(4+4.2+4.8+4.2-3.2)/5</f>
        <v>2.8</v>
      </c>
      <c r="P29" s="10">
        <f>1000000*O29</f>
        <v>2800000</v>
      </c>
    </row>
    <row r="30" spans="1:16" x14ac:dyDescent="0.2">
      <c r="I30" s="31" t="s">
        <v>97</v>
      </c>
      <c r="J30" s="28">
        <v>1000</v>
      </c>
    </row>
    <row r="31" spans="1:16" x14ac:dyDescent="0.2">
      <c r="I31" s="32" t="s">
        <v>15</v>
      </c>
      <c r="J31" s="28">
        <f>SUM(J26:J30)</f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8834-D81C-42B4-9D2A-E6C157866768}">
  <dimension ref="A2:C28"/>
  <sheetViews>
    <sheetView zoomScale="91" zoomScaleNormal="242" workbookViewId="0">
      <selection activeCell="B9" sqref="B9"/>
    </sheetView>
  </sheetViews>
  <sheetFormatPr baseColWidth="10" defaultColWidth="8.83203125" defaultRowHeight="15" x14ac:dyDescent="0.2"/>
  <cols>
    <col min="1" max="1" width="28.5" bestFit="1" customWidth="1"/>
    <col min="2" max="2" width="11.83203125" bestFit="1" customWidth="1"/>
  </cols>
  <sheetData>
    <row r="2" spans="1:3" x14ac:dyDescent="0.2">
      <c r="A2" s="1" t="s">
        <v>0</v>
      </c>
      <c r="B2" s="3">
        <v>172600</v>
      </c>
    </row>
    <row r="3" spans="1:3" x14ac:dyDescent="0.2">
      <c r="A3" s="1" t="s">
        <v>1</v>
      </c>
      <c r="B3" s="3">
        <v>20000</v>
      </c>
    </row>
    <row r="4" spans="1:3" x14ac:dyDescent="0.2">
      <c r="A4" s="1" t="s">
        <v>2</v>
      </c>
      <c r="B4" s="3">
        <v>57300</v>
      </c>
    </row>
    <row r="5" spans="1:3" x14ac:dyDescent="0.2">
      <c r="A5" s="2" t="s">
        <v>3</v>
      </c>
      <c r="B5" s="3">
        <f>B2+B3-B4</f>
        <v>135300</v>
      </c>
      <c r="C5" t="str">
        <f t="shared" ref="C5:C18" ca="1" si="0">_xlfn.FORMULATEXT(B5)</f>
        <v>=B2+B3-B4</v>
      </c>
    </row>
    <row r="6" spans="1:3" ht="17" x14ac:dyDescent="0.25">
      <c r="A6" s="1" t="s">
        <v>22</v>
      </c>
      <c r="B6" s="3">
        <f>60300-19650</f>
        <v>40650</v>
      </c>
      <c r="C6" t="str">
        <f t="shared" ca="1" si="0"/>
        <v>=60300-19650</v>
      </c>
    </row>
    <row r="7" spans="1:3" x14ac:dyDescent="0.2">
      <c r="A7" s="2" t="s">
        <v>4</v>
      </c>
      <c r="B7" s="3">
        <f>B5-B6</f>
        <v>94650</v>
      </c>
      <c r="C7" t="str">
        <f t="shared" ca="1" si="0"/>
        <v>=B5-B6</v>
      </c>
    </row>
    <row r="8" spans="1:3" x14ac:dyDescent="0.2">
      <c r="A8" s="1" t="s">
        <v>5</v>
      </c>
      <c r="B8" s="3">
        <v>75000</v>
      </c>
    </row>
    <row r="9" spans="1:3" x14ac:dyDescent="0.2">
      <c r="A9" s="1" t="s">
        <v>6</v>
      </c>
      <c r="B9" s="3">
        <v>25000</v>
      </c>
    </row>
    <row r="10" spans="1:3" x14ac:dyDescent="0.2">
      <c r="A10" s="2" t="s">
        <v>7</v>
      </c>
      <c r="B10" s="3">
        <f>B7-B8+B9</f>
        <v>44650</v>
      </c>
      <c r="C10" t="str">
        <f t="shared" ca="1" si="0"/>
        <v>=B7-B8+B9</v>
      </c>
    </row>
    <row r="11" spans="1:3" x14ac:dyDescent="0.2">
      <c r="A11" s="1" t="s">
        <v>8</v>
      </c>
      <c r="B11" s="3">
        <v>0</v>
      </c>
    </row>
    <row r="12" spans="1:3" x14ac:dyDescent="0.2">
      <c r="A12" s="1" t="s">
        <v>9</v>
      </c>
      <c r="B12" s="3">
        <v>18000</v>
      </c>
    </row>
    <row r="13" spans="1:3" x14ac:dyDescent="0.2">
      <c r="A13" s="2" t="s">
        <v>10</v>
      </c>
      <c r="B13" s="3">
        <f>B10+B11-B12</f>
        <v>26650</v>
      </c>
      <c r="C13" t="str">
        <f t="shared" ca="1" si="0"/>
        <v>=B10+B11-B12</v>
      </c>
    </row>
    <row r="14" spans="1:3" x14ac:dyDescent="0.2">
      <c r="A14" s="1" t="s">
        <v>11</v>
      </c>
      <c r="B14" s="3">
        <v>9000</v>
      </c>
    </row>
    <row r="15" spans="1:3" x14ac:dyDescent="0.2">
      <c r="A15" s="1" t="s">
        <v>12</v>
      </c>
      <c r="B15" s="3">
        <v>0</v>
      </c>
    </row>
    <row r="16" spans="1:3" x14ac:dyDescent="0.2">
      <c r="A16" s="1" t="s">
        <v>13</v>
      </c>
      <c r="B16" s="3">
        <f>106300-86300</f>
        <v>20000</v>
      </c>
      <c r="C16" t="str">
        <f t="shared" ca="1" si="0"/>
        <v>=106300-86300</v>
      </c>
    </row>
    <row r="17" spans="1:3" x14ac:dyDescent="0.2">
      <c r="A17" s="1" t="s">
        <v>14</v>
      </c>
      <c r="B17" s="3"/>
    </row>
    <row r="18" spans="1:3" x14ac:dyDescent="0.2">
      <c r="A18" s="2" t="s">
        <v>15</v>
      </c>
      <c r="B18" s="3">
        <f>B13-B14+B15-B16-B17</f>
        <v>-2350</v>
      </c>
      <c r="C18" t="str">
        <f t="shared" ca="1" si="0"/>
        <v>=B13-B14+B15-B16-B17</v>
      </c>
    </row>
    <row r="20" spans="1:3" x14ac:dyDescent="0.2">
      <c r="A20" s="1" t="s">
        <v>23</v>
      </c>
    </row>
    <row r="21" spans="1:3" x14ac:dyDescent="0.2">
      <c r="A21" s="1" t="s">
        <v>24</v>
      </c>
    </row>
    <row r="23" spans="1:3" x14ac:dyDescent="0.2">
      <c r="A23" t="s">
        <v>16</v>
      </c>
    </row>
    <row r="24" spans="1:3" x14ac:dyDescent="0.2">
      <c r="B24" t="s">
        <v>17</v>
      </c>
      <c r="C24" s="4"/>
    </row>
    <row r="25" spans="1:3" x14ac:dyDescent="0.2">
      <c r="B25" t="s">
        <v>18</v>
      </c>
      <c r="C25" s="4">
        <f>106300/466000</f>
        <v>0.22811158798283263</v>
      </c>
    </row>
    <row r="26" spans="1:3" x14ac:dyDescent="0.2">
      <c r="B26" t="s">
        <v>19</v>
      </c>
      <c r="C26" s="4">
        <f>106300/1185600</f>
        <v>8.9659244264507429E-2</v>
      </c>
    </row>
    <row r="27" spans="1:3" x14ac:dyDescent="0.2">
      <c r="B27" t="s">
        <v>20</v>
      </c>
      <c r="C27" s="4">
        <f>172800/2181250</f>
        <v>7.9220630372492842E-2</v>
      </c>
    </row>
    <row r="28" spans="1:3" x14ac:dyDescent="0.2">
      <c r="B28" t="s">
        <v>21</v>
      </c>
      <c r="C28" s="4">
        <f>(172600*(1-0.35))/(154000+466000)</f>
        <v>0.18095161290322581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77EB-3D3A-4414-ABAF-FE2A25F0229D}">
  <dimension ref="A1:R61"/>
  <sheetViews>
    <sheetView showGridLines="0" zoomScale="80" workbookViewId="0">
      <selection activeCell="A49" sqref="A49"/>
    </sheetView>
  </sheetViews>
  <sheetFormatPr baseColWidth="10" defaultColWidth="8.83203125" defaultRowHeight="15" x14ac:dyDescent="0.2"/>
  <cols>
    <col min="1" max="1" width="23" bestFit="1" customWidth="1"/>
    <col min="2" max="2" width="11.1640625" bestFit="1" customWidth="1"/>
    <col min="3" max="3" width="10.5" bestFit="1" customWidth="1"/>
    <col min="4" max="7" width="11.1640625" bestFit="1" customWidth="1"/>
    <col min="8" max="8" width="4.5" customWidth="1"/>
    <col min="9" max="9" width="72" customWidth="1"/>
    <col min="11" max="11" width="4.5" bestFit="1" customWidth="1"/>
    <col min="12" max="12" width="9.5" bestFit="1" customWidth="1"/>
    <col min="17" max="17" width="23.1640625" customWidth="1"/>
  </cols>
  <sheetData>
    <row r="1" spans="1:18" x14ac:dyDescent="0.2">
      <c r="B1" s="34">
        <v>2019</v>
      </c>
      <c r="C1" s="34">
        <v>2020</v>
      </c>
      <c r="D1" s="34">
        <v>2021</v>
      </c>
      <c r="E1" s="35">
        <v>2022</v>
      </c>
      <c r="F1" s="35">
        <v>2023</v>
      </c>
      <c r="G1" s="35">
        <v>2024</v>
      </c>
      <c r="I1" s="2" t="s">
        <v>99</v>
      </c>
      <c r="L1" s="4"/>
      <c r="M1" s="36"/>
      <c r="R1" s="36"/>
    </row>
    <row r="2" spans="1:18" x14ac:dyDescent="0.2">
      <c r="A2" t="s">
        <v>100</v>
      </c>
      <c r="B2" s="48">
        <v>1000000</v>
      </c>
      <c r="C2" s="48">
        <v>1300000</v>
      </c>
      <c r="D2" s="48">
        <v>1450000</v>
      </c>
      <c r="E2" s="49">
        <f>D2*(1+8.13%)</f>
        <v>1567885</v>
      </c>
      <c r="F2" s="49">
        <f t="shared" ref="F2:G2" si="0">E2*(1+8.13%)</f>
        <v>1695354.0504999999</v>
      </c>
      <c r="G2" s="49">
        <f t="shared" si="0"/>
        <v>1833186.3348056497</v>
      </c>
      <c r="H2" s="39"/>
      <c r="I2" t="s">
        <v>101</v>
      </c>
      <c r="J2" s="4"/>
      <c r="K2" s="36">
        <v>0.4</v>
      </c>
      <c r="L2" s="36"/>
    </row>
    <row r="3" spans="1:18" x14ac:dyDescent="0.2">
      <c r="A3" t="s">
        <v>102</v>
      </c>
      <c r="B3" s="48">
        <f>-72%*B2</f>
        <v>-720000</v>
      </c>
      <c r="C3" s="48">
        <f t="shared" ref="C3:D3" si="1">-72%*C2</f>
        <v>-936000</v>
      </c>
      <c r="D3" s="48">
        <f t="shared" si="1"/>
        <v>-1044000</v>
      </c>
      <c r="E3" s="49">
        <f>72%*-E2</f>
        <v>-1128877.2</v>
      </c>
      <c r="F3" s="49">
        <f t="shared" ref="F3:G3" si="2">72%*-F2</f>
        <v>-1220654.9163599999</v>
      </c>
      <c r="G3" s="49">
        <f t="shared" si="2"/>
        <v>-1319894.1610600678</v>
      </c>
      <c r="H3" s="39"/>
      <c r="J3" s="36"/>
      <c r="L3" s="4"/>
    </row>
    <row r="4" spans="1:18" x14ac:dyDescent="0.2">
      <c r="A4" s="2" t="s">
        <v>103</v>
      </c>
      <c r="B4" s="50">
        <f>B2+B3</f>
        <v>280000</v>
      </c>
      <c r="C4" s="50">
        <f t="shared" ref="C4:D4" si="3">C2+C3</f>
        <v>364000</v>
      </c>
      <c r="D4" s="50">
        <f t="shared" si="3"/>
        <v>406000</v>
      </c>
      <c r="E4" s="51">
        <f>SUM(E2:E3)</f>
        <v>439007.80000000005</v>
      </c>
      <c r="F4" s="51">
        <f t="shared" ref="F4:G4" si="4">SUM(F2:F3)</f>
        <v>474699.13413999998</v>
      </c>
      <c r="G4" s="51">
        <f t="shared" si="4"/>
        <v>513292.17374558188</v>
      </c>
      <c r="H4" s="40"/>
      <c r="J4" s="4"/>
    </row>
    <row r="5" spans="1:18" x14ac:dyDescent="0.2">
      <c r="A5" t="s">
        <v>104</v>
      </c>
      <c r="B5" s="48">
        <v>-98000</v>
      </c>
      <c r="C5" s="48">
        <v>-126000</v>
      </c>
      <c r="D5" s="48">
        <v>-140000</v>
      </c>
      <c r="E5" s="49">
        <f>9.7%*-E2</f>
        <v>-152084.84499999997</v>
      </c>
      <c r="F5" s="49">
        <f t="shared" ref="F5:G5" si="5">9.7%*-F2</f>
        <v>-164449.34289849998</v>
      </c>
      <c r="G5" s="49">
        <f t="shared" si="5"/>
        <v>-177819.074476148</v>
      </c>
      <c r="H5" s="39"/>
      <c r="L5" s="4"/>
    </row>
    <row r="6" spans="1:18" x14ac:dyDescent="0.2">
      <c r="A6" s="2" t="s">
        <v>105</v>
      </c>
      <c r="B6" s="50">
        <f>B4+B5</f>
        <v>182000</v>
      </c>
      <c r="C6" s="50">
        <f>C4+C5</f>
        <v>238000</v>
      </c>
      <c r="D6" s="50">
        <f>D4+D5</f>
        <v>266000</v>
      </c>
      <c r="E6" s="51">
        <f>SUM(E4:E5)</f>
        <v>286922.95500000007</v>
      </c>
      <c r="F6" s="51">
        <f t="shared" ref="F6:G6" si="6">SUM(F4:F5)</f>
        <v>310249.7912415</v>
      </c>
      <c r="G6" s="51">
        <f t="shared" si="6"/>
        <v>335473.09926943388</v>
      </c>
      <c r="H6" s="40"/>
    </row>
    <row r="7" spans="1:18" x14ac:dyDescent="0.2">
      <c r="A7" t="s">
        <v>131</v>
      </c>
      <c r="B7" s="48">
        <v>-100000</v>
      </c>
      <c r="C7" s="48">
        <v>-100000</v>
      </c>
      <c r="D7" s="48">
        <v>-100000</v>
      </c>
      <c r="E7" s="48">
        <v>-100000</v>
      </c>
      <c r="F7" s="48">
        <v>-100000</v>
      </c>
      <c r="G7" s="48">
        <v>-100000</v>
      </c>
      <c r="H7" s="39"/>
    </row>
    <row r="8" spans="1:18" x14ac:dyDescent="0.2">
      <c r="A8" t="s">
        <v>132</v>
      </c>
      <c r="B8" s="48"/>
      <c r="C8" s="48"/>
      <c r="D8" s="48"/>
      <c r="E8" s="49">
        <v>-5000</v>
      </c>
      <c r="F8" s="49">
        <v>-5000</v>
      </c>
      <c r="G8" s="49">
        <v>-5000</v>
      </c>
      <c r="H8" s="39"/>
    </row>
    <row r="9" spans="1:18" x14ac:dyDescent="0.2">
      <c r="A9" s="2" t="s">
        <v>106</v>
      </c>
      <c r="B9" s="50">
        <f>B6+B7</f>
        <v>82000</v>
      </c>
      <c r="C9" s="50">
        <f>C6+C7</f>
        <v>138000</v>
      </c>
      <c r="D9" s="50">
        <f>D6+D7</f>
        <v>166000</v>
      </c>
      <c r="E9" s="51">
        <f>SUM(E6:E8)</f>
        <v>181922.95500000007</v>
      </c>
      <c r="F9" s="51">
        <f t="shared" ref="F9:G9" si="7">SUM(F6:F8)</f>
        <v>205249.7912415</v>
      </c>
      <c r="G9" s="51">
        <f t="shared" si="7"/>
        <v>230473.09926943388</v>
      </c>
      <c r="H9" s="40"/>
    </row>
    <row r="10" spans="1:18" x14ac:dyDescent="0.2">
      <c r="A10" t="s">
        <v>107</v>
      </c>
      <c r="B10" s="48">
        <v>-15000</v>
      </c>
      <c r="C10" s="48">
        <f>-4%*B29</f>
        <v>-15324</v>
      </c>
      <c r="D10" s="48">
        <f>-4%*C29</f>
        <v>-13839.472</v>
      </c>
      <c r="E10" s="48">
        <f>-4%*D29</f>
        <v>-11112.948415999999</v>
      </c>
      <c r="F10" s="48">
        <f t="shared" ref="F10:G10" si="8">-4%*E29</f>
        <v>-9536.9548119146621</v>
      </c>
      <c r="G10" s="48">
        <f t="shared" si="8"/>
        <v>-6062.9477942270787</v>
      </c>
      <c r="H10" s="39"/>
    </row>
    <row r="11" spans="1:18" x14ac:dyDescent="0.2">
      <c r="A11" s="2" t="s">
        <v>93</v>
      </c>
      <c r="B11" s="50">
        <f>B9+B10</f>
        <v>67000</v>
      </c>
      <c r="C11" s="50">
        <f t="shared" ref="C11:D11" si="9">C9+C10</f>
        <v>122676</v>
      </c>
      <c r="D11" s="50">
        <f t="shared" si="9"/>
        <v>152160.52799999999</v>
      </c>
      <c r="E11" s="51">
        <f>SUM(E9:E10)</f>
        <v>170810.00658400008</v>
      </c>
      <c r="F11" s="51">
        <f t="shared" ref="F11:G11" si="10">SUM(F9:F10)</f>
        <v>195712.83642958535</v>
      </c>
      <c r="G11" s="51">
        <f t="shared" si="10"/>
        <v>224410.1514752068</v>
      </c>
      <c r="H11" s="40"/>
    </row>
    <row r="12" spans="1:18" x14ac:dyDescent="0.2">
      <c r="A12" t="s">
        <v>89</v>
      </c>
      <c r="B12" s="48">
        <f>-30%*B11</f>
        <v>-20100</v>
      </c>
      <c r="C12" s="48">
        <f t="shared" ref="C12:E12" si="11">-30%*C11</f>
        <v>-36802.799999999996</v>
      </c>
      <c r="D12" s="48">
        <f t="shared" si="11"/>
        <v>-45648.158399999993</v>
      </c>
      <c r="E12" s="48">
        <f t="shared" si="11"/>
        <v>-51243.001975200023</v>
      </c>
      <c r="F12" s="48">
        <f t="shared" ref="F12:G12" si="12">-30%*F11</f>
        <v>-58713.850928875603</v>
      </c>
      <c r="G12" s="48">
        <f t="shared" si="12"/>
        <v>-67323.045442562041</v>
      </c>
      <c r="H12" s="39"/>
    </row>
    <row r="13" spans="1:18" x14ac:dyDescent="0.2">
      <c r="A13" s="2" t="s">
        <v>108</v>
      </c>
      <c r="B13" s="50">
        <f>B11+B12</f>
        <v>46900</v>
      </c>
      <c r="C13" s="50">
        <f t="shared" ref="C13:D13" si="13">C11+C12</f>
        <v>85873.200000000012</v>
      </c>
      <c r="D13" s="50">
        <f t="shared" si="13"/>
        <v>106512.36960000001</v>
      </c>
      <c r="E13" s="51">
        <f>SUM(E11:E12)</f>
        <v>119567.00460880005</v>
      </c>
      <c r="F13" s="51">
        <f t="shared" ref="F13:G13" si="14">SUM(F11:F12)</f>
        <v>136998.98550070974</v>
      </c>
      <c r="G13" s="51">
        <f t="shared" si="14"/>
        <v>157087.10603264475</v>
      </c>
      <c r="H13" s="40"/>
    </row>
    <row r="14" spans="1:18" x14ac:dyDescent="0.2">
      <c r="B14" s="37"/>
      <c r="C14" s="37"/>
      <c r="D14" s="37"/>
      <c r="E14" s="37"/>
      <c r="F14" s="37"/>
      <c r="G14" s="37"/>
      <c r="H14" s="39"/>
    </row>
    <row r="15" spans="1:18" x14ac:dyDescent="0.2">
      <c r="B15" s="34">
        <v>2019</v>
      </c>
      <c r="C15" s="34">
        <v>2020</v>
      </c>
      <c r="D15" s="34">
        <v>2021</v>
      </c>
      <c r="E15" s="35">
        <v>2022</v>
      </c>
      <c r="F15" s="35">
        <v>2023</v>
      </c>
      <c r="G15" s="35">
        <v>2024</v>
      </c>
    </row>
    <row r="16" spans="1:18" x14ac:dyDescent="0.2">
      <c r="A16" t="s">
        <v>109</v>
      </c>
      <c r="B16" s="48">
        <f>17%*B2</f>
        <v>170000</v>
      </c>
      <c r="C16" s="48">
        <v>220000</v>
      </c>
      <c r="D16" s="48">
        <v>240000</v>
      </c>
      <c r="E16" s="49">
        <f>2/12*E2</f>
        <v>261314.16666666666</v>
      </c>
      <c r="F16" s="49">
        <f t="shared" ref="F16:G16" si="15">2/12*F2</f>
        <v>282559.00841666665</v>
      </c>
      <c r="G16" s="49">
        <f t="shared" si="15"/>
        <v>305531.0558009416</v>
      </c>
      <c r="H16" s="39"/>
      <c r="L16" s="4"/>
    </row>
    <row r="17" spans="1:12" x14ac:dyDescent="0.2">
      <c r="A17" t="s">
        <v>110</v>
      </c>
      <c r="B17" s="48">
        <v>55000</v>
      </c>
      <c r="C17" s="48">
        <v>70000</v>
      </c>
      <c r="D17" s="48">
        <v>77000</v>
      </c>
      <c r="E17" s="49">
        <f>-1/12*E3</f>
        <v>94073.099999999991</v>
      </c>
      <c r="F17" s="49">
        <f t="shared" ref="F17:G17" si="16">-1/12*F3</f>
        <v>101721.24302999998</v>
      </c>
      <c r="G17" s="49">
        <f t="shared" si="16"/>
        <v>109991.18008833898</v>
      </c>
      <c r="H17" s="39"/>
      <c r="J17" s="4"/>
      <c r="L17" s="4"/>
    </row>
    <row r="18" spans="1:12" x14ac:dyDescent="0.2">
      <c r="B18" s="48"/>
      <c r="C18" s="48"/>
      <c r="D18" s="48"/>
      <c r="E18" s="49"/>
      <c r="F18" s="49"/>
      <c r="G18" s="49"/>
      <c r="H18" s="39"/>
      <c r="J18" s="4"/>
    </row>
    <row r="19" spans="1:12" x14ac:dyDescent="0.2">
      <c r="A19" t="s">
        <v>133</v>
      </c>
      <c r="B19" s="48">
        <v>1000000</v>
      </c>
      <c r="C19" s="48">
        <v>1000000</v>
      </c>
      <c r="D19" s="57">
        <v>1000000</v>
      </c>
      <c r="E19" s="57">
        <v>1000000</v>
      </c>
      <c r="F19" s="57">
        <v>1000000</v>
      </c>
      <c r="G19" s="57">
        <v>1000000</v>
      </c>
      <c r="H19" s="39"/>
    </row>
    <row r="20" spans="1:12" x14ac:dyDescent="0.2">
      <c r="A20" t="s">
        <v>134</v>
      </c>
      <c r="B20" s="48"/>
      <c r="C20" s="48"/>
      <c r="D20" s="48"/>
      <c r="E20" s="49">
        <v>45000</v>
      </c>
      <c r="F20" s="49">
        <v>40000</v>
      </c>
      <c r="G20" s="49">
        <v>35000</v>
      </c>
      <c r="H20" s="39"/>
    </row>
    <row r="21" spans="1:12" x14ac:dyDescent="0.2">
      <c r="B21" s="48"/>
      <c r="C21" s="48"/>
      <c r="D21" s="48"/>
      <c r="E21" s="49"/>
      <c r="F21" s="49"/>
      <c r="G21" s="49"/>
      <c r="H21" s="39"/>
    </row>
    <row r="22" spans="1:12" x14ac:dyDescent="0.2">
      <c r="A22" t="s">
        <v>111</v>
      </c>
      <c r="B22" s="48">
        <v>50000</v>
      </c>
      <c r="C22" s="48">
        <v>65000</v>
      </c>
      <c r="D22" s="48">
        <v>72000</v>
      </c>
      <c r="E22" s="49">
        <f>5%*E2</f>
        <v>78394.25</v>
      </c>
      <c r="F22" s="49">
        <f t="shared" ref="F22:G22" si="17">5%*F2</f>
        <v>84767.702525000001</v>
      </c>
      <c r="G22" s="49">
        <f t="shared" si="17"/>
        <v>91659.316740282491</v>
      </c>
      <c r="H22" s="39"/>
      <c r="L22" s="4"/>
    </row>
    <row r="23" spans="1:12" x14ac:dyDescent="0.2">
      <c r="B23" s="37"/>
      <c r="C23" s="37"/>
      <c r="D23" s="37"/>
      <c r="E23" s="38"/>
      <c r="F23" s="38"/>
      <c r="G23" s="38"/>
      <c r="H23" s="39"/>
      <c r="J23" s="4"/>
    </row>
    <row r="24" spans="1:12" x14ac:dyDescent="0.2">
      <c r="A24" s="41" t="s">
        <v>78</v>
      </c>
      <c r="B24" s="42">
        <f>SUM(B16:B23)</f>
        <v>1275000</v>
      </c>
      <c r="C24" s="42">
        <f t="shared" ref="C24:D24" si="18">SUM(C16:C23)</f>
        <v>1355000</v>
      </c>
      <c r="D24" s="42">
        <f t="shared" si="18"/>
        <v>1389000</v>
      </c>
      <c r="E24" s="43">
        <f>SUM(E16:E23)</f>
        <v>1478781.5166666666</v>
      </c>
      <c r="F24" s="43">
        <f t="shared" ref="F24:G24" si="19">SUM(F16:F23)</f>
        <v>1509047.9539716667</v>
      </c>
      <c r="G24" s="43">
        <f t="shared" si="19"/>
        <v>1542181.5526295633</v>
      </c>
      <c r="H24" s="44"/>
    </row>
    <row r="25" spans="1:12" x14ac:dyDescent="0.2">
      <c r="B25" s="34">
        <v>2019</v>
      </c>
      <c r="C25" s="34">
        <v>2020</v>
      </c>
      <c r="D25" s="34">
        <v>2021</v>
      </c>
      <c r="E25" s="35">
        <v>2022</v>
      </c>
      <c r="F25" s="35">
        <v>2023</v>
      </c>
      <c r="G25" s="35">
        <v>2024</v>
      </c>
    </row>
    <row r="26" spans="1:12" x14ac:dyDescent="0.2">
      <c r="A26" t="s">
        <v>112</v>
      </c>
      <c r="B26" s="48">
        <v>165000</v>
      </c>
      <c r="C26" s="48">
        <v>210000</v>
      </c>
      <c r="D26" s="48">
        <v>235000</v>
      </c>
      <c r="E26" s="49">
        <f>-3/12*E3</f>
        <v>282219.3</v>
      </c>
      <c r="F26" s="49">
        <f t="shared" ref="F26:G26" si="20">-3/12*F3</f>
        <v>305163.72908999998</v>
      </c>
      <c r="G26" s="49">
        <f t="shared" si="20"/>
        <v>329973.54026501696</v>
      </c>
      <c r="H26" s="39"/>
      <c r="I26" s="39"/>
      <c r="L26" s="4"/>
    </row>
    <row r="27" spans="1:12" x14ac:dyDescent="0.2">
      <c r="A27" t="s">
        <v>113</v>
      </c>
      <c r="B27" s="48">
        <v>80000</v>
      </c>
      <c r="C27" s="48">
        <v>85000</v>
      </c>
      <c r="D27" s="48">
        <v>90000</v>
      </c>
      <c r="E27" s="49">
        <f>D27+5000</f>
        <v>95000</v>
      </c>
      <c r="F27" s="49">
        <f>E27+5000</f>
        <v>100000</v>
      </c>
      <c r="G27" s="49">
        <v>100000</v>
      </c>
      <c r="H27" s="39"/>
      <c r="I27" s="39"/>
    </row>
    <row r="28" spans="1:12" x14ac:dyDescent="0.2">
      <c r="B28" s="48"/>
      <c r="C28" s="48"/>
      <c r="D28" s="48"/>
      <c r="E28" s="49"/>
      <c r="F28" s="49"/>
      <c r="G28" s="49"/>
      <c r="H28" s="39"/>
      <c r="I28" s="39"/>
    </row>
    <row r="29" spans="1:12" x14ac:dyDescent="0.2">
      <c r="A29" t="s">
        <v>114</v>
      </c>
      <c r="B29" s="48">
        <f>B35-B27-B26-B32-B31-B33</f>
        <v>383100</v>
      </c>
      <c r="C29" s="48">
        <f t="shared" ref="C29" si="21">C35-C27-C26-C32-C31-C33</f>
        <v>345986.8</v>
      </c>
      <c r="D29" s="48">
        <f>D35-D27-D26-D32-D31-D33</f>
        <v>277823.71039999998</v>
      </c>
      <c r="E29" s="48">
        <f t="shared" ref="E29:G29" si="22">E35-E27-E26-E32-E31-E33</f>
        <v>238423.87029786652</v>
      </c>
      <c r="F29" s="48">
        <f t="shared" si="22"/>
        <v>151573.69485567696</v>
      </c>
      <c r="G29" s="48">
        <f t="shared" si="22"/>
        <v>57609.970506195677</v>
      </c>
      <c r="H29" s="39"/>
      <c r="I29" s="39"/>
      <c r="L29" s="4"/>
    </row>
    <row r="30" spans="1:12" x14ac:dyDescent="0.2">
      <c r="B30" s="48"/>
      <c r="C30" s="48"/>
      <c r="D30" s="48"/>
      <c r="E30" s="49"/>
      <c r="F30" s="49"/>
      <c r="G30" s="49"/>
      <c r="H30" s="39"/>
      <c r="I30" s="39"/>
    </row>
    <row r="31" spans="1:12" x14ac:dyDescent="0.2">
      <c r="A31" t="s">
        <v>115</v>
      </c>
      <c r="B31" s="48">
        <v>600000</v>
      </c>
      <c r="C31" s="48">
        <v>600000</v>
      </c>
      <c r="D31" s="48">
        <v>600000</v>
      </c>
      <c r="E31" s="49">
        <f>D31</f>
        <v>600000</v>
      </c>
      <c r="F31" s="49">
        <f t="shared" ref="F31:G31" si="23">E31</f>
        <v>600000</v>
      </c>
      <c r="G31" s="49">
        <f t="shared" si="23"/>
        <v>600000</v>
      </c>
      <c r="H31" s="39"/>
      <c r="I31" s="39"/>
    </row>
    <row r="32" spans="1:12" x14ac:dyDescent="0.2">
      <c r="A32" t="s">
        <v>116</v>
      </c>
      <c r="B32" s="48">
        <v>0</v>
      </c>
      <c r="C32" s="48">
        <f>B32+B33*(1-$K$2)</f>
        <v>28140</v>
      </c>
      <c r="D32" s="48">
        <f>C32+C33*(1-$K$2)</f>
        <v>79663.920000000013</v>
      </c>
      <c r="E32" s="48">
        <f t="shared" ref="E32:G32" si="24">D32+D33*(1-$K$2)</f>
        <v>143571.34176000001</v>
      </c>
      <c r="F32" s="48">
        <f t="shared" si="24"/>
        <v>215311.54452528004</v>
      </c>
      <c r="G32" s="48">
        <f t="shared" si="24"/>
        <v>297510.93582570588</v>
      </c>
      <c r="H32" s="39"/>
      <c r="I32" s="39"/>
    </row>
    <row r="33" spans="1:9" x14ac:dyDescent="0.2">
      <c r="A33" t="s">
        <v>108</v>
      </c>
      <c r="B33" s="48">
        <f>B13</f>
        <v>46900</v>
      </c>
      <c r="C33" s="48">
        <f>C13</f>
        <v>85873.200000000012</v>
      </c>
      <c r="D33" s="48">
        <f>D13</f>
        <v>106512.36960000001</v>
      </c>
      <c r="E33" s="48">
        <f t="shared" ref="E33:G33" si="25">E13</f>
        <v>119567.00460880005</v>
      </c>
      <c r="F33" s="48">
        <f t="shared" si="25"/>
        <v>136998.98550070974</v>
      </c>
      <c r="G33" s="48">
        <f t="shared" si="25"/>
        <v>157087.10603264475</v>
      </c>
      <c r="H33" s="39"/>
      <c r="I33" s="39"/>
    </row>
    <row r="34" spans="1:9" x14ac:dyDescent="0.2">
      <c r="B34" s="37"/>
      <c r="C34" s="37"/>
      <c r="D34" s="37"/>
      <c r="E34" s="38"/>
      <c r="F34" s="38"/>
      <c r="G34" s="38"/>
      <c r="H34" s="39"/>
      <c r="I34" s="39"/>
    </row>
    <row r="35" spans="1:9" x14ac:dyDescent="0.2">
      <c r="A35" s="41" t="s">
        <v>117</v>
      </c>
      <c r="B35" s="42">
        <f>B24</f>
        <v>1275000</v>
      </c>
      <c r="C35" s="42">
        <f t="shared" ref="C35:D35" si="26">C24</f>
        <v>1355000</v>
      </c>
      <c r="D35" s="42">
        <f t="shared" si="26"/>
        <v>1389000</v>
      </c>
      <c r="E35" s="43">
        <f>E24</f>
        <v>1478781.5166666666</v>
      </c>
      <c r="F35" s="43">
        <f t="shared" ref="F35:G35" si="27">F24</f>
        <v>1509047.9539716667</v>
      </c>
      <c r="G35" s="43">
        <f t="shared" si="27"/>
        <v>1542181.5526295633</v>
      </c>
      <c r="H35" s="44"/>
      <c r="I35" s="44"/>
    </row>
    <row r="38" spans="1:9" x14ac:dyDescent="0.2">
      <c r="B38" s="34">
        <v>2019</v>
      </c>
      <c r="C38" s="34">
        <v>2020</v>
      </c>
      <c r="D38" s="34">
        <v>2021</v>
      </c>
      <c r="E38" s="35">
        <v>2022</v>
      </c>
      <c r="F38" s="35">
        <v>2023</v>
      </c>
      <c r="G38" s="35">
        <v>2024</v>
      </c>
    </row>
    <row r="39" spans="1:9" x14ac:dyDescent="0.2">
      <c r="A39" t="s">
        <v>0</v>
      </c>
      <c r="B39" s="3">
        <f>B9</f>
        <v>82000</v>
      </c>
      <c r="C39" s="3">
        <f>C9</f>
        <v>138000</v>
      </c>
      <c r="D39" s="3">
        <f>D9</f>
        <v>166000</v>
      </c>
      <c r="E39" s="52">
        <f>E9</f>
        <v>181922.95500000007</v>
      </c>
      <c r="F39" s="52">
        <f t="shared" ref="F39:G39" si="28">F9</f>
        <v>205249.7912415</v>
      </c>
      <c r="G39" s="52">
        <f t="shared" si="28"/>
        <v>230473.09926943388</v>
      </c>
      <c r="H39" s="45"/>
    </row>
    <row r="40" spans="1:9" x14ac:dyDescent="0.2">
      <c r="A40" t="s">
        <v>89</v>
      </c>
      <c r="B40" s="3">
        <f>B12</f>
        <v>-20100</v>
      </c>
      <c r="C40" s="3">
        <f>C12</f>
        <v>-36802.799999999996</v>
      </c>
      <c r="D40" s="3">
        <f>D12</f>
        <v>-45648.158399999993</v>
      </c>
      <c r="E40" s="3">
        <f>E12</f>
        <v>-51243.001975200023</v>
      </c>
      <c r="F40" s="3">
        <f t="shared" ref="F40:G40" si="29">F12</f>
        <v>-58713.850928875603</v>
      </c>
      <c r="G40" s="3">
        <f t="shared" si="29"/>
        <v>-67323.045442562041</v>
      </c>
      <c r="H40" s="45"/>
    </row>
    <row r="41" spans="1:9" x14ac:dyDescent="0.2">
      <c r="A41" t="s">
        <v>118</v>
      </c>
      <c r="B41" s="3">
        <f>-B7</f>
        <v>100000</v>
      </c>
      <c r="C41" s="3">
        <f>-C7</f>
        <v>100000</v>
      </c>
      <c r="D41" s="3">
        <f>-D7</f>
        <v>100000</v>
      </c>
      <c r="E41" s="52">
        <v>105000</v>
      </c>
      <c r="F41" s="52">
        <v>105000</v>
      </c>
      <c r="G41" s="52">
        <v>105000</v>
      </c>
      <c r="H41" s="45"/>
    </row>
    <row r="42" spans="1:9" s="2" customFormat="1" x14ac:dyDescent="0.2">
      <c r="A42" s="2" t="s">
        <v>119</v>
      </c>
      <c r="B42" s="53">
        <f>B39+B40+B41</f>
        <v>161900</v>
      </c>
      <c r="C42" s="53">
        <f>C39+C40+C41</f>
        <v>201197.2</v>
      </c>
      <c r="D42" s="53">
        <f>D39+D40+D41</f>
        <v>220351.84160000001</v>
      </c>
      <c r="E42" s="54">
        <f>SUM(E39:E41)</f>
        <v>235679.95302480005</v>
      </c>
      <c r="F42" s="54">
        <f t="shared" ref="F42:G42" si="30">SUM(F39:F41)</f>
        <v>251535.94031262439</v>
      </c>
      <c r="G42" s="54">
        <f t="shared" si="30"/>
        <v>268150.05382687185</v>
      </c>
      <c r="H42" s="46"/>
    </row>
    <row r="43" spans="1:9" x14ac:dyDescent="0.2">
      <c r="A43" s="47" t="s">
        <v>120</v>
      </c>
      <c r="B43" s="55">
        <f>B16+B17-B27-B26</f>
        <v>-20000</v>
      </c>
      <c r="C43" s="55">
        <f>C16+C17-C27-C26</f>
        <v>-5000</v>
      </c>
      <c r="D43" s="55">
        <f>D16+D17-D27-D26</f>
        <v>-8000</v>
      </c>
      <c r="E43" s="56">
        <f>SUM(E16:E17)-SUM(E26:E27)</f>
        <v>-21832.033333333326</v>
      </c>
      <c r="F43" s="56">
        <f t="shared" ref="F43:G43" si="31">SUM(F16:F17)-SUM(F26:F27)</f>
        <v>-20883.477643333317</v>
      </c>
      <c r="G43" s="56">
        <f t="shared" si="31"/>
        <v>-14451.304375736392</v>
      </c>
      <c r="H43" s="45"/>
    </row>
    <row r="44" spans="1:9" x14ac:dyDescent="0.2">
      <c r="A44" t="s">
        <v>121</v>
      </c>
      <c r="B44" s="3">
        <f>B43-0</f>
        <v>-20000</v>
      </c>
      <c r="C44" s="3">
        <f>C43-B43</f>
        <v>15000</v>
      </c>
      <c r="D44" s="3">
        <f t="shared" ref="D44:E44" si="32">D43-C43</f>
        <v>-3000</v>
      </c>
      <c r="E44" s="3">
        <f t="shared" si="32"/>
        <v>-13832.033333333326</v>
      </c>
      <c r="F44" s="3">
        <f t="shared" ref="F44" si="33">F43-E43</f>
        <v>948.55569000000833</v>
      </c>
      <c r="G44" s="3">
        <f t="shared" ref="G44" si="34">G43-F43</f>
        <v>6432.1732675969251</v>
      </c>
      <c r="H44" s="45"/>
    </row>
    <row r="45" spans="1:9" s="2" customFormat="1" x14ac:dyDescent="0.2">
      <c r="A45" s="2" t="s">
        <v>122</v>
      </c>
      <c r="B45" s="53">
        <f t="shared" ref="B45:E45" si="35">B42-B44</f>
        <v>181900</v>
      </c>
      <c r="C45" s="53">
        <f t="shared" si="35"/>
        <v>186197.2</v>
      </c>
      <c r="D45" s="53">
        <f t="shared" si="35"/>
        <v>223351.84160000001</v>
      </c>
      <c r="E45" s="53">
        <f t="shared" si="35"/>
        <v>249511.98635813338</v>
      </c>
      <c r="F45" s="53">
        <f t="shared" ref="F45:G45" si="36">F42-F44</f>
        <v>250587.38462262438</v>
      </c>
      <c r="G45" s="53">
        <f t="shared" si="36"/>
        <v>261717.88055927493</v>
      </c>
      <c r="H45" s="46"/>
    </row>
    <row r="46" spans="1:9" x14ac:dyDescent="0.2">
      <c r="A46" t="s">
        <v>123</v>
      </c>
      <c r="B46" s="3">
        <f>-(B19-0-B7)</f>
        <v>-1100000</v>
      </c>
      <c r="C46" s="3">
        <f>-(C19-B19-C7)</f>
        <v>-100000</v>
      </c>
      <c r="D46" s="3">
        <f>-(D19-C19-D7)</f>
        <v>-100000</v>
      </c>
      <c r="E46" s="52">
        <v>-100000</v>
      </c>
      <c r="F46" s="52">
        <v>-100000</v>
      </c>
      <c r="G46" s="52">
        <v>-100000</v>
      </c>
      <c r="H46" s="45"/>
    </row>
    <row r="47" spans="1:9" x14ac:dyDescent="0.2">
      <c r="A47" t="s">
        <v>135</v>
      </c>
      <c r="B47" s="3"/>
      <c r="C47" s="3"/>
      <c r="D47" s="3"/>
      <c r="E47" s="52">
        <v>-50000</v>
      </c>
      <c r="F47" s="52"/>
      <c r="G47" s="52"/>
      <c r="H47" s="45"/>
    </row>
    <row r="48" spans="1:9" s="2" customFormat="1" ht="16" x14ac:dyDescent="0.2">
      <c r="A48" s="2" t="s">
        <v>124</v>
      </c>
      <c r="B48" s="53">
        <f t="shared" ref="B48:D48" si="37">B45+B46</f>
        <v>-918100</v>
      </c>
      <c r="C48" s="53">
        <f t="shared" si="37"/>
        <v>86197.200000000012</v>
      </c>
      <c r="D48" s="53">
        <f t="shared" si="37"/>
        <v>123351.84160000001</v>
      </c>
      <c r="E48" s="54">
        <f>SUM(E45:E47)</f>
        <v>99511.986358133378</v>
      </c>
      <c r="F48" s="54">
        <f t="shared" ref="F48:G48" si="38">SUM(F45:F47)</f>
        <v>150587.38462262438</v>
      </c>
      <c r="G48" s="54">
        <f t="shared" si="38"/>
        <v>161717.88055927493</v>
      </c>
      <c r="H48" s="46"/>
      <c r="I48" s="58" t="s">
        <v>136</v>
      </c>
    </row>
    <row r="49" spans="1:9" ht="16" x14ac:dyDescent="0.2">
      <c r="A49" t="s">
        <v>125</v>
      </c>
      <c r="B49" s="3">
        <f>B29-0</f>
        <v>383100</v>
      </c>
      <c r="C49" s="3">
        <f>C29-B29</f>
        <v>-37113.200000000012</v>
      </c>
      <c r="D49" s="3">
        <f>D29-C29</f>
        <v>-68163.089600000007</v>
      </c>
      <c r="E49" s="52">
        <f>E29-D29</f>
        <v>-39399.840102133458</v>
      </c>
      <c r="F49" s="52">
        <f t="shared" ref="F49:G49" si="39">F29-E29</f>
        <v>-86850.17544218956</v>
      </c>
      <c r="G49" s="52">
        <f t="shared" si="39"/>
        <v>-93963.724349481286</v>
      </c>
      <c r="H49" s="45"/>
      <c r="I49" s="59" t="s">
        <v>138</v>
      </c>
    </row>
    <row r="50" spans="1:9" ht="32" x14ac:dyDescent="0.2">
      <c r="A50" t="s">
        <v>107</v>
      </c>
      <c r="B50" s="3">
        <f>B10</f>
        <v>-15000</v>
      </c>
      <c r="C50" s="3">
        <f>C10</f>
        <v>-15324</v>
      </c>
      <c r="D50" s="3">
        <f>D10</f>
        <v>-13839.472</v>
      </c>
      <c r="E50" s="52">
        <f>E10</f>
        <v>-11112.948415999999</v>
      </c>
      <c r="F50" s="52">
        <f t="shared" ref="F50:G50" si="40">F10</f>
        <v>-9536.9548119146621</v>
      </c>
      <c r="G50" s="52">
        <f t="shared" si="40"/>
        <v>-6062.9477942270787</v>
      </c>
      <c r="H50" s="45"/>
      <c r="I50" s="59" t="s">
        <v>137</v>
      </c>
    </row>
    <row r="51" spans="1:9" s="2" customFormat="1" x14ac:dyDescent="0.2">
      <c r="A51" s="2" t="s">
        <v>126</v>
      </c>
      <c r="B51" s="53">
        <f t="shared" ref="B51:D51" si="41">B48+B49+B50</f>
        <v>-550000</v>
      </c>
      <c r="C51" s="53">
        <f t="shared" si="41"/>
        <v>33760</v>
      </c>
      <c r="D51" s="53">
        <f t="shared" si="41"/>
        <v>41349.280000000006</v>
      </c>
      <c r="E51" s="54">
        <f>SUM(E48:E50)</f>
        <v>48999.197839999921</v>
      </c>
      <c r="F51" s="54">
        <f t="shared" ref="F51:G51" si="42">SUM(F48:F50)</f>
        <v>54200.254368520153</v>
      </c>
      <c r="G51" s="54">
        <f t="shared" si="42"/>
        <v>61691.208415566565</v>
      </c>
      <c r="H51" s="46"/>
    </row>
    <row r="52" spans="1:9" x14ac:dyDescent="0.2">
      <c r="A52" t="s">
        <v>127</v>
      </c>
      <c r="B52" s="3">
        <f>B31-0</f>
        <v>600000</v>
      </c>
      <c r="C52" s="3">
        <f>C31-B31</f>
        <v>0</v>
      </c>
      <c r="D52" s="3">
        <f>D31-C31</f>
        <v>0</v>
      </c>
      <c r="E52" s="52">
        <v>0</v>
      </c>
      <c r="F52" s="52">
        <v>0</v>
      </c>
      <c r="G52" s="52">
        <v>0</v>
      </c>
      <c r="H52" s="45"/>
    </row>
    <row r="53" spans="1:9" x14ac:dyDescent="0.2">
      <c r="A53" t="s">
        <v>128</v>
      </c>
      <c r="B53" s="3">
        <v>0</v>
      </c>
      <c r="C53" s="3">
        <f>-40%*B33</f>
        <v>-18760</v>
      </c>
      <c r="D53" s="48">
        <f>-40%*C33</f>
        <v>-34349.280000000006</v>
      </c>
      <c r="E53" s="52">
        <f>-D33*40%</f>
        <v>-42604.947840000008</v>
      </c>
      <c r="F53" s="52">
        <f t="shared" ref="F53:G53" si="43">-E33*40%</f>
        <v>-47826.801843520021</v>
      </c>
      <c r="G53" s="52">
        <f t="shared" si="43"/>
        <v>-54799.5942002839</v>
      </c>
      <c r="H53" s="45"/>
    </row>
    <row r="54" spans="1:9" s="2" customFormat="1" x14ac:dyDescent="0.2">
      <c r="A54" s="2" t="s">
        <v>129</v>
      </c>
      <c r="B54" s="53">
        <f t="shared" ref="B54:D54" si="44">SUM(B51:B53)</f>
        <v>50000</v>
      </c>
      <c r="C54" s="53">
        <f t="shared" si="44"/>
        <v>15000</v>
      </c>
      <c r="D54" s="53">
        <f t="shared" si="44"/>
        <v>7000</v>
      </c>
      <c r="E54" s="54">
        <f>SUM(E51:E53)</f>
        <v>6394.2499999999127</v>
      </c>
      <c r="F54" s="54">
        <f t="shared" ref="F54:G54" si="45">SUM(F51:F53)</f>
        <v>6373.4525250001316</v>
      </c>
      <c r="G54" s="54">
        <f t="shared" si="45"/>
        <v>6891.6142152826651</v>
      </c>
      <c r="H54" s="46"/>
    </row>
    <row r="55" spans="1:9" x14ac:dyDescent="0.2">
      <c r="B55" s="3"/>
      <c r="C55" s="3"/>
      <c r="D55" s="3"/>
      <c r="E55" s="52"/>
      <c r="F55" s="52"/>
      <c r="G55" s="52"/>
      <c r="H55" s="45"/>
    </row>
    <row r="56" spans="1:9" s="2" customFormat="1" x14ac:dyDescent="0.2">
      <c r="A56" s="2" t="s">
        <v>130</v>
      </c>
      <c r="B56" s="53">
        <f>B22-0</f>
        <v>50000</v>
      </c>
      <c r="C56" s="53">
        <f t="shared" ref="C56:D56" si="46">C22-B22</f>
        <v>15000</v>
      </c>
      <c r="D56" s="53">
        <f t="shared" si="46"/>
        <v>7000</v>
      </c>
      <c r="E56" s="54"/>
      <c r="F56" s="54"/>
      <c r="G56" s="54"/>
      <c r="H56" s="46"/>
    </row>
    <row r="57" spans="1:9" x14ac:dyDescent="0.2">
      <c r="B57" s="3"/>
      <c r="C57" s="3"/>
      <c r="D57" s="3"/>
      <c r="E57" s="52"/>
      <c r="F57" s="52"/>
      <c r="G57" s="52"/>
      <c r="H57" s="45"/>
    </row>
    <row r="58" spans="1:9" x14ac:dyDescent="0.2">
      <c r="B58" s="3"/>
      <c r="C58" s="3"/>
      <c r="D58" s="3"/>
      <c r="E58" s="52"/>
      <c r="F58" s="52"/>
      <c r="G58" s="52"/>
      <c r="H58" s="45"/>
    </row>
    <row r="59" spans="1:9" x14ac:dyDescent="0.2">
      <c r="B59" s="3"/>
      <c r="C59" s="3"/>
      <c r="D59" s="3"/>
      <c r="E59" s="3"/>
      <c r="F59" s="3"/>
      <c r="G59" s="3"/>
    </row>
    <row r="60" spans="1:9" x14ac:dyDescent="0.2">
      <c r="B60" s="3"/>
      <c r="C60" s="3"/>
      <c r="D60" s="3"/>
      <c r="E60" s="3"/>
      <c r="F60" s="3"/>
      <c r="G60" s="3"/>
    </row>
    <row r="61" spans="1:9" x14ac:dyDescent="0.2">
      <c r="B61" s="3"/>
      <c r="C61" s="3"/>
      <c r="D61" s="3"/>
      <c r="E61" s="3"/>
      <c r="F61" s="3"/>
      <c r="G61" s="3"/>
    </row>
  </sheetData>
  <pageMargins left="0.7" right="0.7" top="0.75" bottom="0.75" header="0.3" footer="0.3"/>
  <pageSetup paperSize="9" orientation="portrait" r:id="rId1"/>
  <ignoredErrors>
    <ignoredError sqref="E5 B12:E1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E045-B716-46B3-ACB8-580598356049}">
  <sheetPr>
    <tabColor rgb="FFFFC000"/>
  </sheetPr>
  <dimension ref="A1:AG58"/>
  <sheetViews>
    <sheetView tabSelected="1" topLeftCell="A10" zoomScaleNormal="70" workbookViewId="0">
      <selection activeCell="B37" sqref="B37"/>
    </sheetView>
  </sheetViews>
  <sheetFormatPr baseColWidth="10" defaultColWidth="8.83203125" defaultRowHeight="13" x14ac:dyDescent="0.2"/>
  <cols>
    <col min="1" max="1" width="23" style="61" customWidth="1"/>
    <col min="2" max="2" width="13.1640625" style="61" customWidth="1"/>
    <col min="3" max="3" width="14.33203125" style="61" customWidth="1"/>
    <col min="4" max="4" width="9" style="61" bestFit="1" customWidth="1"/>
    <col min="5" max="5" width="8.83203125" style="61"/>
    <col min="6" max="6" width="25.83203125" style="61" customWidth="1"/>
    <col min="7" max="7" width="10" style="61" customWidth="1"/>
    <col min="8" max="9" width="9" style="61" bestFit="1" customWidth="1"/>
    <col min="10" max="10" width="6.6640625" style="61" customWidth="1"/>
    <col min="11" max="11" width="27.5" style="61" customWidth="1"/>
    <col min="12" max="12" width="10.1640625" style="61" customWidth="1"/>
    <col min="13" max="13" width="15.83203125" style="61" customWidth="1"/>
    <col min="14" max="15" width="9" style="61" bestFit="1" customWidth="1"/>
    <col min="16" max="16" width="8.83203125" style="61"/>
    <col min="17" max="17" width="35" style="61" bestFit="1" customWidth="1"/>
    <col min="18" max="29" width="9.1640625" style="84" customWidth="1"/>
    <col min="30" max="30" width="9.83203125" style="61" bestFit="1" customWidth="1"/>
    <col min="31" max="33" width="9" style="61" bestFit="1" customWidth="1"/>
    <col min="34" max="16384" width="8.83203125" style="61"/>
  </cols>
  <sheetData>
    <row r="1" spans="1:33" x14ac:dyDescent="0.2">
      <c r="A1" s="69" t="s">
        <v>193</v>
      </c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</row>
    <row r="2" spans="1:33" ht="14" x14ac:dyDescent="0.2">
      <c r="A2" s="60"/>
      <c r="B2" s="70">
        <v>2019</v>
      </c>
      <c r="D2" s="70">
        <v>2019</v>
      </c>
      <c r="F2" s="71" t="s">
        <v>139</v>
      </c>
      <c r="G2" s="72">
        <v>2020</v>
      </c>
      <c r="H2" s="72">
        <v>2019</v>
      </c>
      <c r="I2" s="72">
        <v>2018</v>
      </c>
      <c r="J2" s="72"/>
      <c r="K2" s="73" t="s">
        <v>140</v>
      </c>
      <c r="L2" s="72">
        <v>2020</v>
      </c>
      <c r="M2" s="72">
        <v>2019</v>
      </c>
      <c r="N2" s="72">
        <v>2018</v>
      </c>
      <c r="O2" s="72"/>
      <c r="R2" s="74" t="s">
        <v>28</v>
      </c>
      <c r="S2" s="74" t="s">
        <v>25</v>
      </c>
      <c r="T2" s="74" t="s">
        <v>26</v>
      </c>
      <c r="U2" s="74" t="s">
        <v>27</v>
      </c>
      <c r="V2" s="74" t="s">
        <v>36</v>
      </c>
      <c r="W2" s="74" t="s">
        <v>38</v>
      </c>
      <c r="X2" s="74" t="s">
        <v>39</v>
      </c>
      <c r="Y2" s="74" t="s">
        <v>40</v>
      </c>
      <c r="Z2" s="74" t="s">
        <v>41</v>
      </c>
      <c r="AA2" s="74" t="s">
        <v>42</v>
      </c>
      <c r="AB2" s="74" t="s">
        <v>43</v>
      </c>
      <c r="AC2" s="74" t="s">
        <v>44</v>
      </c>
      <c r="AD2" s="74" t="s">
        <v>166</v>
      </c>
    </row>
    <row r="3" spans="1:33" ht="15" customHeight="1" x14ac:dyDescent="0.2">
      <c r="A3" s="75" t="s">
        <v>141</v>
      </c>
      <c r="B3" s="76">
        <v>13</v>
      </c>
      <c r="C3" s="77" t="s">
        <v>142</v>
      </c>
      <c r="D3" s="76">
        <v>180</v>
      </c>
      <c r="F3" s="78" t="s">
        <v>143</v>
      </c>
      <c r="G3" s="154">
        <f>SUM(G4:G8)</f>
        <v>782.45</v>
      </c>
      <c r="H3" s="80">
        <v>927</v>
      </c>
      <c r="I3" s="80">
        <v>888</v>
      </c>
      <c r="J3" s="81"/>
      <c r="K3" s="79" t="s">
        <v>144</v>
      </c>
      <c r="L3" s="154">
        <f>SUM(L4:L7)</f>
        <v>1395.1931694920324</v>
      </c>
      <c r="M3" s="80">
        <v>1366</v>
      </c>
      <c r="N3" s="82">
        <v>1317</v>
      </c>
      <c r="O3" s="83"/>
      <c r="P3" s="84"/>
      <c r="Q3" s="61" t="s">
        <v>32</v>
      </c>
      <c r="R3" s="85">
        <v>155</v>
      </c>
      <c r="S3" s="85">
        <v>158</v>
      </c>
      <c r="T3" s="85">
        <v>169</v>
      </c>
      <c r="U3" s="85">
        <v>188</v>
      </c>
      <c r="V3" s="85">
        <v>195</v>
      </c>
      <c r="W3" s="85">
        <v>190</v>
      </c>
      <c r="X3" s="85">
        <v>195</v>
      </c>
      <c r="Y3" s="85">
        <v>210</v>
      </c>
      <c r="Z3" s="85">
        <v>202</v>
      </c>
      <c r="AA3" s="85">
        <v>191</v>
      </c>
      <c r="AB3" s="85">
        <v>182</v>
      </c>
      <c r="AC3" s="85">
        <v>180</v>
      </c>
      <c r="AD3" s="86">
        <f>SUM(R3:AC3)</f>
        <v>2215</v>
      </c>
    </row>
    <row r="4" spans="1:33" ht="15" customHeight="1" x14ac:dyDescent="0.2">
      <c r="A4" s="87" t="s">
        <v>145</v>
      </c>
      <c r="B4" s="88">
        <v>200</v>
      </c>
      <c r="C4" s="89" t="s">
        <v>146</v>
      </c>
      <c r="D4" s="88">
        <v>1.629</v>
      </c>
      <c r="F4" s="90" t="s">
        <v>147</v>
      </c>
      <c r="G4" s="155">
        <f>VLOOKUP(F4,$F$19:$G$34,2,0)</f>
        <v>15</v>
      </c>
      <c r="H4" s="91">
        <v>18</v>
      </c>
      <c r="I4" s="91">
        <v>13</v>
      </c>
      <c r="J4" s="92"/>
      <c r="K4" s="73" t="s">
        <v>148</v>
      </c>
      <c r="L4" s="157">
        <f>VLOOKUP(K4,$K$18:$L$34,2,0)</f>
        <v>518</v>
      </c>
      <c r="M4" s="91">
        <v>510</v>
      </c>
      <c r="N4" s="93">
        <v>501</v>
      </c>
      <c r="O4" s="91"/>
      <c r="P4" s="84"/>
      <c r="Q4" s="61" t="s">
        <v>157</v>
      </c>
      <c r="R4" s="85">
        <v>85</v>
      </c>
      <c r="S4" s="85">
        <v>88</v>
      </c>
      <c r="T4" s="85">
        <v>77</v>
      </c>
      <c r="U4" s="85">
        <v>75</v>
      </c>
      <c r="V4" s="85">
        <v>78</v>
      </c>
      <c r="W4" s="85">
        <v>83</v>
      </c>
      <c r="X4" s="85">
        <v>85</v>
      </c>
      <c r="Y4" s="85">
        <v>92</v>
      </c>
      <c r="Z4" s="85">
        <v>98</v>
      </c>
      <c r="AA4" s="85">
        <v>99</v>
      </c>
      <c r="AB4" s="85">
        <v>85</v>
      </c>
      <c r="AC4" s="85">
        <v>92</v>
      </c>
      <c r="AD4" s="86">
        <f>SUM(R4:AC4)</f>
        <v>1037</v>
      </c>
    </row>
    <row r="5" spans="1:33" ht="15" customHeight="1" x14ac:dyDescent="0.2">
      <c r="A5" s="87" t="s">
        <v>118</v>
      </c>
      <c r="B5" s="88">
        <v>82</v>
      </c>
      <c r="D5" s="62"/>
      <c r="F5" s="94" t="s">
        <v>45</v>
      </c>
      <c r="G5" s="155">
        <f t="shared" ref="G5:G13" si="0">VLOOKUP(F5,$F$19:$G$34,2,0)</f>
        <v>553</v>
      </c>
      <c r="H5" s="91">
        <v>600</v>
      </c>
      <c r="I5" s="91">
        <v>578</v>
      </c>
      <c r="J5" s="92"/>
      <c r="K5" s="73" t="s">
        <v>46</v>
      </c>
      <c r="L5" s="157">
        <f t="shared" ref="L5:L15" si="1">VLOOKUP(K5,$K$18:$L$34,2,0)</f>
        <v>374</v>
      </c>
      <c r="M5" s="91">
        <v>425</v>
      </c>
      <c r="N5" s="93">
        <v>788</v>
      </c>
      <c r="O5" s="91"/>
      <c r="P5" s="84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</row>
    <row r="6" spans="1:33" ht="15" customHeight="1" x14ac:dyDescent="0.2">
      <c r="A6" s="95" t="s">
        <v>149</v>
      </c>
      <c r="B6" s="88">
        <v>22</v>
      </c>
      <c r="D6" s="62"/>
      <c r="F6" s="94" t="s">
        <v>150</v>
      </c>
      <c r="G6" s="155">
        <f t="shared" si="0"/>
        <v>15</v>
      </c>
      <c r="H6" s="91">
        <v>15</v>
      </c>
      <c r="I6" s="91">
        <v>15</v>
      </c>
      <c r="J6" s="92"/>
      <c r="K6" s="73" t="s">
        <v>151</v>
      </c>
      <c r="L6" s="157">
        <f t="shared" si="1"/>
        <v>213</v>
      </c>
      <c r="M6" s="91">
        <v>213</v>
      </c>
      <c r="N6" s="93">
        <v>13</v>
      </c>
      <c r="O6" s="91"/>
      <c r="P6" s="84"/>
      <c r="Q6" s="96"/>
      <c r="R6" s="97" t="s">
        <v>28</v>
      </c>
      <c r="S6" s="97" t="s">
        <v>25</v>
      </c>
      <c r="T6" s="97" t="s">
        <v>26</v>
      </c>
      <c r="U6" s="97" t="s">
        <v>27</v>
      </c>
      <c r="V6" s="97" t="s">
        <v>36</v>
      </c>
      <c r="W6" s="97" t="s">
        <v>38</v>
      </c>
      <c r="X6" s="97" t="s">
        <v>39</v>
      </c>
      <c r="Y6" s="97" t="s">
        <v>40</v>
      </c>
      <c r="Z6" s="97" t="s">
        <v>41</v>
      </c>
      <c r="AA6" s="97" t="s">
        <v>42</v>
      </c>
      <c r="AB6" s="97" t="s">
        <v>43</v>
      </c>
      <c r="AC6" s="98" t="s">
        <v>44</v>
      </c>
      <c r="AD6" s="99"/>
    </row>
    <row r="7" spans="1:33" s="84" customFormat="1" ht="15" customHeight="1" x14ac:dyDescent="0.2">
      <c r="A7" s="95" t="s">
        <v>152</v>
      </c>
      <c r="B7" s="88">
        <v>85</v>
      </c>
      <c r="C7" s="61"/>
      <c r="D7" s="62"/>
      <c r="E7" s="61"/>
      <c r="F7" s="94" t="s">
        <v>153</v>
      </c>
      <c r="G7" s="155">
        <f t="shared" si="0"/>
        <v>114</v>
      </c>
      <c r="H7" s="100">
        <v>114</v>
      </c>
      <c r="I7" s="91">
        <v>82</v>
      </c>
      <c r="J7" s="92"/>
      <c r="K7" s="73" t="s">
        <v>80</v>
      </c>
      <c r="L7" s="157">
        <f t="shared" si="1"/>
        <v>290.1931694920325</v>
      </c>
      <c r="M7" s="91">
        <v>218</v>
      </c>
      <c r="N7" s="93">
        <v>15</v>
      </c>
      <c r="O7" s="91"/>
      <c r="Q7" s="101" t="s">
        <v>176</v>
      </c>
      <c r="R7" s="102">
        <f>SUM(R8:R11)</f>
        <v>200</v>
      </c>
      <c r="S7" s="102">
        <f t="shared" ref="S7:AC7" si="2">SUM(S8:S11)</f>
        <v>200</v>
      </c>
      <c r="T7" s="102">
        <f t="shared" si="2"/>
        <v>200</v>
      </c>
      <c r="U7" s="102">
        <f t="shared" si="2"/>
        <v>155</v>
      </c>
      <c r="V7" s="102">
        <f t="shared" si="2"/>
        <v>158</v>
      </c>
      <c r="W7" s="102">
        <f t="shared" si="2"/>
        <v>169</v>
      </c>
      <c r="X7" s="102">
        <f t="shared" si="2"/>
        <v>188</v>
      </c>
      <c r="Y7" s="102">
        <f t="shared" si="2"/>
        <v>195</v>
      </c>
      <c r="Z7" s="102">
        <f t="shared" si="2"/>
        <v>190</v>
      </c>
      <c r="AA7" s="102">
        <f t="shared" si="2"/>
        <v>250</v>
      </c>
      <c r="AB7" s="102">
        <f t="shared" si="2"/>
        <v>290</v>
      </c>
      <c r="AC7" s="103">
        <f t="shared" si="2"/>
        <v>202</v>
      </c>
    </row>
    <row r="8" spans="1:33" s="84" customFormat="1" ht="15" customHeight="1" x14ac:dyDescent="0.2">
      <c r="A8" s="87" t="s">
        <v>154</v>
      </c>
      <c r="B8" s="88">
        <v>32</v>
      </c>
      <c r="C8" s="61"/>
      <c r="D8" s="62"/>
      <c r="E8" s="61"/>
      <c r="F8" s="94" t="s">
        <v>155</v>
      </c>
      <c r="G8" s="155">
        <f t="shared" si="0"/>
        <v>85.450000000000045</v>
      </c>
      <c r="H8" s="100">
        <v>180</v>
      </c>
      <c r="I8" s="91">
        <v>200</v>
      </c>
      <c r="J8" s="92"/>
      <c r="K8" s="104" t="s">
        <v>156</v>
      </c>
      <c r="L8" s="156">
        <f>SUM(L9:L11)</f>
        <v>258</v>
      </c>
      <c r="M8" s="83">
        <v>161</v>
      </c>
      <c r="N8" s="105">
        <v>160</v>
      </c>
      <c r="O8" s="83"/>
      <c r="Q8" s="106" t="s">
        <v>32</v>
      </c>
      <c r="U8" s="84">
        <v>155</v>
      </c>
      <c r="V8" s="84">
        <v>158</v>
      </c>
      <c r="W8" s="84">
        <v>169</v>
      </c>
      <c r="X8" s="84">
        <v>188</v>
      </c>
      <c r="Y8" s="84">
        <v>195</v>
      </c>
      <c r="Z8" s="84">
        <v>190</v>
      </c>
      <c r="AA8" s="84">
        <v>195</v>
      </c>
      <c r="AB8" s="84">
        <v>210</v>
      </c>
      <c r="AC8" s="107">
        <v>202</v>
      </c>
      <c r="AD8" s="85">
        <v>191</v>
      </c>
      <c r="AE8" s="85">
        <v>182</v>
      </c>
      <c r="AF8" s="85">
        <v>180</v>
      </c>
    </row>
    <row r="9" spans="1:33" s="84" customFormat="1" ht="15" customHeight="1" x14ac:dyDescent="0.2">
      <c r="A9" s="87" t="s">
        <v>157</v>
      </c>
      <c r="B9" s="88">
        <v>920</v>
      </c>
      <c r="C9" s="61"/>
      <c r="D9" s="62"/>
      <c r="E9" s="61"/>
      <c r="F9" s="108" t="s">
        <v>158</v>
      </c>
      <c r="G9" s="156">
        <f>SUM(G10:G13)</f>
        <v>1602</v>
      </c>
      <c r="H9" s="83">
        <v>1110</v>
      </c>
      <c r="I9" s="83">
        <v>1065</v>
      </c>
      <c r="J9" s="109"/>
      <c r="K9" s="73" t="s">
        <v>74</v>
      </c>
      <c r="L9" s="157">
        <f t="shared" si="1"/>
        <v>108</v>
      </c>
      <c r="M9" s="91">
        <v>60</v>
      </c>
      <c r="N9" s="93">
        <v>57</v>
      </c>
      <c r="O9" s="91"/>
      <c r="Q9" s="106" t="s">
        <v>45</v>
      </c>
      <c r="R9" s="84">
        <v>200</v>
      </c>
      <c r="S9" s="84">
        <v>200</v>
      </c>
      <c r="T9" s="84">
        <v>200</v>
      </c>
      <c r="AC9" s="107"/>
    </row>
    <row r="10" spans="1:33" s="84" customFormat="1" ht="15" customHeight="1" x14ac:dyDescent="0.2">
      <c r="A10" s="87" t="s">
        <v>47</v>
      </c>
      <c r="B10" s="88">
        <v>180</v>
      </c>
      <c r="C10" s="61"/>
      <c r="D10" s="62"/>
      <c r="E10" s="61"/>
      <c r="F10" s="94" t="s">
        <v>76</v>
      </c>
      <c r="G10" s="155">
        <f t="shared" si="0"/>
        <v>55</v>
      </c>
      <c r="H10" s="91">
        <v>55</v>
      </c>
      <c r="I10" s="91">
        <v>50</v>
      </c>
      <c r="J10" s="92"/>
      <c r="K10" s="73" t="s">
        <v>70</v>
      </c>
      <c r="L10" s="157">
        <f t="shared" si="1"/>
        <v>2</v>
      </c>
      <c r="M10" s="91">
        <v>20</v>
      </c>
      <c r="N10" s="93">
        <v>22</v>
      </c>
      <c r="O10" s="91"/>
      <c r="Q10" s="106" t="s">
        <v>179</v>
      </c>
      <c r="AA10" s="84">
        <v>55</v>
      </c>
      <c r="AC10" s="107"/>
    </row>
    <row r="11" spans="1:33" s="84" customFormat="1" ht="15" customHeight="1" x14ac:dyDescent="0.2">
      <c r="A11" s="87" t="s">
        <v>88</v>
      </c>
      <c r="B11" s="88">
        <v>55</v>
      </c>
      <c r="C11" s="61"/>
      <c r="D11" s="62"/>
      <c r="E11" s="61"/>
      <c r="F11" s="94" t="s">
        <v>159</v>
      </c>
      <c r="G11" s="155">
        <f t="shared" si="0"/>
        <v>900</v>
      </c>
      <c r="H11" s="91">
        <v>520</v>
      </c>
      <c r="I11" s="91">
        <v>490</v>
      </c>
      <c r="J11" s="92"/>
      <c r="K11" s="73" t="s">
        <v>72</v>
      </c>
      <c r="L11" s="157">
        <f t="shared" si="1"/>
        <v>148</v>
      </c>
      <c r="M11" s="110">
        <v>81</v>
      </c>
      <c r="N11" s="111">
        <v>81</v>
      </c>
      <c r="O11" s="110"/>
      <c r="Q11" s="106" t="s">
        <v>182</v>
      </c>
      <c r="AB11" s="84">
        <v>80</v>
      </c>
      <c r="AC11" s="107"/>
    </row>
    <row r="12" spans="1:33" s="84" customFormat="1" ht="15" customHeight="1" x14ac:dyDescent="0.2">
      <c r="A12" s="87" t="s">
        <v>160</v>
      </c>
      <c r="B12" s="88">
        <v>113</v>
      </c>
      <c r="C12" s="112"/>
      <c r="D12" s="62"/>
      <c r="E12" s="61"/>
      <c r="F12" s="94" t="s">
        <v>161</v>
      </c>
      <c r="G12" s="155">
        <f t="shared" si="0"/>
        <v>400</v>
      </c>
      <c r="H12" s="91">
        <v>410</v>
      </c>
      <c r="I12" s="91">
        <v>400</v>
      </c>
      <c r="J12" s="92"/>
      <c r="K12" s="104" t="s">
        <v>162</v>
      </c>
      <c r="L12" s="156">
        <f>SUM(L13:L15)</f>
        <v>730.78975423804877</v>
      </c>
      <c r="M12" s="83">
        <v>510</v>
      </c>
      <c r="N12" s="105">
        <v>476</v>
      </c>
      <c r="O12" s="83"/>
      <c r="Q12" s="101" t="s">
        <v>30</v>
      </c>
      <c r="R12" s="113">
        <f t="shared" ref="R12:AC12" si="3">SUM(R13:R22)</f>
        <v>-419.61410256410255</v>
      </c>
      <c r="S12" s="113">
        <f t="shared" si="3"/>
        <v>-159.88410256410256</v>
      </c>
      <c r="T12" s="113">
        <f t="shared" si="3"/>
        <v>-118.37410256410256</v>
      </c>
      <c r="U12" s="113">
        <f t="shared" si="3"/>
        <v>-170.08410256410258</v>
      </c>
      <c r="V12" s="113">
        <f t="shared" si="3"/>
        <v>-155.71410256410257</v>
      </c>
      <c r="W12" s="113">
        <f t="shared" si="3"/>
        <v>-131.26410256410256</v>
      </c>
      <c r="X12" s="113">
        <f t="shared" si="3"/>
        <v>-112.71410256410256</v>
      </c>
      <c r="Y12" s="113">
        <f t="shared" si="3"/>
        <v>-112.06410256410257</v>
      </c>
      <c r="Z12" s="113">
        <f t="shared" si="3"/>
        <v>-496.34410256410257</v>
      </c>
      <c r="AA12" s="113">
        <f t="shared" si="3"/>
        <v>-118.35410256410256</v>
      </c>
      <c r="AB12" s="113">
        <f t="shared" si="3"/>
        <v>-159.54410256410256</v>
      </c>
      <c r="AC12" s="114">
        <f t="shared" si="3"/>
        <v>-141.59487179487181</v>
      </c>
    </row>
    <row r="13" spans="1:33" s="84" customFormat="1" ht="15" customHeight="1" x14ac:dyDescent="0.2">
      <c r="A13" s="115" t="s">
        <v>163</v>
      </c>
      <c r="B13" s="116">
        <v>0.4</v>
      </c>
      <c r="C13" s="117"/>
      <c r="D13" s="63"/>
      <c r="E13" s="61"/>
      <c r="F13" s="94" t="s">
        <v>164</v>
      </c>
      <c r="G13" s="155">
        <f t="shared" si="0"/>
        <v>247</v>
      </c>
      <c r="H13" s="91">
        <v>125</v>
      </c>
      <c r="I13" s="91">
        <v>125</v>
      </c>
      <c r="J13" s="92"/>
      <c r="K13" s="73" t="s">
        <v>115</v>
      </c>
      <c r="L13" s="157">
        <f t="shared" si="1"/>
        <v>322</v>
      </c>
      <c r="M13" s="91">
        <v>322</v>
      </c>
      <c r="N13" s="93">
        <v>322</v>
      </c>
      <c r="O13" s="91"/>
      <c r="Q13" s="106" t="s">
        <v>31</v>
      </c>
      <c r="R13" s="118"/>
      <c r="S13" s="118"/>
      <c r="T13" s="118"/>
      <c r="U13" s="118"/>
      <c r="V13" s="119">
        <v>-85</v>
      </c>
      <c r="W13" s="119">
        <v>-88</v>
      </c>
      <c r="X13" s="119">
        <v>-77</v>
      </c>
      <c r="Y13" s="119">
        <v>-75</v>
      </c>
      <c r="Z13" s="119">
        <v>-78</v>
      </c>
      <c r="AA13" s="119">
        <v>-83</v>
      </c>
      <c r="AB13" s="119">
        <v>-85</v>
      </c>
      <c r="AC13" s="120">
        <v>-92</v>
      </c>
      <c r="AD13" s="84">
        <v>98</v>
      </c>
      <c r="AE13" s="84">
        <v>99</v>
      </c>
      <c r="AF13" s="84">
        <v>85</v>
      </c>
      <c r="AG13" s="84">
        <v>92</v>
      </c>
    </row>
    <row r="14" spans="1:33" s="84" customFormat="1" ht="14" x14ac:dyDescent="0.2">
      <c r="A14" s="61"/>
      <c r="B14" s="61"/>
      <c r="C14" s="61"/>
      <c r="D14" s="61"/>
      <c r="E14" s="61"/>
      <c r="F14" s="64"/>
      <c r="G14" s="65"/>
      <c r="H14" s="65"/>
      <c r="I14" s="65"/>
      <c r="J14" s="60"/>
      <c r="K14" s="73" t="s">
        <v>79</v>
      </c>
      <c r="L14" s="157">
        <f t="shared" si="1"/>
        <v>188</v>
      </c>
      <c r="M14" s="91">
        <v>124</v>
      </c>
      <c r="N14" s="93">
        <v>104</v>
      </c>
      <c r="O14" s="91"/>
      <c r="Q14" s="106" t="s">
        <v>46</v>
      </c>
      <c r="R14" s="121">
        <f>-$M$5*30%</f>
        <v>-127.5</v>
      </c>
      <c r="S14" s="121">
        <f t="shared" ref="S14" si="4">-$M$5*30%</f>
        <v>-127.5</v>
      </c>
      <c r="T14" s="121">
        <f>-$M$5*20%</f>
        <v>-85</v>
      </c>
      <c r="U14" s="121">
        <f>-$M$5*20%</f>
        <v>-85</v>
      </c>
      <c r="V14" s="118"/>
      <c r="W14" s="118"/>
      <c r="X14" s="118"/>
      <c r="Y14" s="118"/>
      <c r="Z14" s="118"/>
      <c r="AA14" s="118"/>
      <c r="AB14" s="118"/>
      <c r="AC14" s="122"/>
      <c r="AD14" s="85"/>
      <c r="AE14" s="85"/>
      <c r="AF14" s="85"/>
      <c r="AG14" s="85"/>
    </row>
    <row r="15" spans="1:33" s="84" customFormat="1" ht="14" x14ac:dyDescent="0.2">
      <c r="A15" s="61"/>
      <c r="B15" s="61"/>
      <c r="C15" s="61"/>
      <c r="D15" s="61"/>
      <c r="E15" s="61"/>
      <c r="F15" s="66"/>
      <c r="G15" s="68"/>
      <c r="H15" s="68"/>
      <c r="I15" s="68"/>
      <c r="J15" s="67"/>
      <c r="K15" s="123" t="s">
        <v>108</v>
      </c>
      <c r="L15" s="157">
        <f t="shared" si="1"/>
        <v>220.78975423804872</v>
      </c>
      <c r="M15" s="124">
        <v>64</v>
      </c>
      <c r="N15" s="125">
        <v>50</v>
      </c>
      <c r="O15" s="91"/>
      <c r="Q15" s="106" t="s">
        <v>33</v>
      </c>
      <c r="R15" s="126">
        <f>-180*1.1/13</f>
        <v>-15.230769230769234</v>
      </c>
      <c r="S15" s="126">
        <f t="shared" ref="S15:AB15" si="5">-180*1.1/13</f>
        <v>-15.230769230769234</v>
      </c>
      <c r="T15" s="126">
        <f t="shared" si="5"/>
        <v>-15.230769230769234</v>
      </c>
      <c r="U15" s="126">
        <f t="shared" si="5"/>
        <v>-15.230769230769234</v>
      </c>
      <c r="V15" s="126">
        <f t="shared" si="5"/>
        <v>-15.230769230769234</v>
      </c>
      <c r="W15" s="126">
        <f t="shared" si="5"/>
        <v>-15.230769230769234</v>
      </c>
      <c r="X15" s="126">
        <f t="shared" si="5"/>
        <v>-15.230769230769234</v>
      </c>
      <c r="Y15" s="126">
        <f t="shared" si="5"/>
        <v>-15.230769230769234</v>
      </c>
      <c r="Z15" s="126">
        <f t="shared" si="5"/>
        <v>-15.230769230769234</v>
      </c>
      <c r="AA15" s="126">
        <f t="shared" si="5"/>
        <v>-15.230769230769234</v>
      </c>
      <c r="AB15" s="126">
        <f t="shared" si="5"/>
        <v>-15.230769230769234</v>
      </c>
      <c r="AC15" s="127">
        <f>-180*1.1/13*2</f>
        <v>-30.461538461538467</v>
      </c>
    </row>
    <row r="16" spans="1:33" ht="14" x14ac:dyDescent="0.2">
      <c r="F16" s="128" t="s">
        <v>78</v>
      </c>
      <c r="G16" s="129">
        <f>SUM(G3,G9)</f>
        <v>2384.4499999999998</v>
      </c>
      <c r="H16" s="129">
        <v>2037</v>
      </c>
      <c r="I16" s="129">
        <v>1953</v>
      </c>
      <c r="J16" s="130"/>
      <c r="K16" s="128" t="s">
        <v>165</v>
      </c>
      <c r="L16" s="129">
        <f>SUM(L3,L8,L12)</f>
        <v>2383.982923730081</v>
      </c>
      <c r="M16" s="129">
        <v>2037</v>
      </c>
      <c r="N16" s="129">
        <v>1953</v>
      </c>
      <c r="O16" s="129"/>
      <c r="P16" s="84"/>
      <c r="Q16" s="106" t="s">
        <v>48</v>
      </c>
      <c r="R16" s="126"/>
      <c r="S16" s="126"/>
      <c r="T16" s="126"/>
      <c r="U16" s="126"/>
      <c r="V16" s="126"/>
      <c r="W16" s="126">
        <v>-8</v>
      </c>
      <c r="X16" s="126"/>
      <c r="Y16" s="126"/>
      <c r="Z16" s="126"/>
      <c r="AA16" s="126"/>
      <c r="AB16" s="126"/>
      <c r="AC16" s="127"/>
    </row>
    <row r="17" spans="1:30" x14ac:dyDescent="0.2">
      <c r="H17" s="84"/>
      <c r="I17" s="84"/>
      <c r="M17" s="84"/>
      <c r="N17" s="84"/>
      <c r="O17" s="84"/>
      <c r="P17" s="84"/>
      <c r="Q17" s="106" t="s">
        <v>169</v>
      </c>
      <c r="R17" s="126">
        <f>-32*1.1/12</f>
        <v>-2.9333333333333336</v>
      </c>
      <c r="S17" s="126">
        <f t="shared" ref="S17:AC17" si="6">-32*1.1/12</f>
        <v>-2.9333333333333336</v>
      </c>
      <c r="T17" s="126">
        <f t="shared" si="6"/>
        <v>-2.9333333333333336</v>
      </c>
      <c r="U17" s="126">
        <f t="shared" si="6"/>
        <v>-2.9333333333333336</v>
      </c>
      <c r="V17" s="126">
        <f t="shared" si="6"/>
        <v>-2.9333333333333336</v>
      </c>
      <c r="W17" s="126">
        <f t="shared" si="6"/>
        <v>-2.9333333333333336</v>
      </c>
      <c r="X17" s="126">
        <f t="shared" si="6"/>
        <v>-2.9333333333333336</v>
      </c>
      <c r="Y17" s="126">
        <f t="shared" si="6"/>
        <v>-2.9333333333333336</v>
      </c>
      <c r="Z17" s="126">
        <f t="shared" si="6"/>
        <v>-2.9333333333333336</v>
      </c>
      <c r="AA17" s="126">
        <f t="shared" si="6"/>
        <v>-2.9333333333333336</v>
      </c>
      <c r="AB17" s="126">
        <f t="shared" si="6"/>
        <v>-2.9333333333333336</v>
      </c>
      <c r="AC17" s="127">
        <f t="shared" si="6"/>
        <v>-2.9333333333333336</v>
      </c>
    </row>
    <row r="18" spans="1:30" ht="14" x14ac:dyDescent="0.2">
      <c r="A18" s="131" t="s">
        <v>167</v>
      </c>
      <c r="B18" s="158">
        <v>2020</v>
      </c>
      <c r="C18" s="159">
        <v>2019</v>
      </c>
      <c r="F18" s="132" t="s">
        <v>139</v>
      </c>
      <c r="G18" s="72">
        <v>2020</v>
      </c>
      <c r="H18" s="72">
        <v>2019</v>
      </c>
      <c r="I18" s="72">
        <v>2018</v>
      </c>
      <c r="J18" s="72"/>
      <c r="K18" s="73" t="s">
        <v>140</v>
      </c>
      <c r="L18" s="72">
        <v>2020</v>
      </c>
      <c r="M18" s="72">
        <v>2019</v>
      </c>
      <c r="N18" s="72">
        <v>2018</v>
      </c>
      <c r="O18" s="72"/>
      <c r="Q18" s="106" t="s">
        <v>177</v>
      </c>
      <c r="R18" s="126">
        <f t="shared" ref="R18:AC18" si="7">-9%*R3</f>
        <v>-13.95</v>
      </c>
      <c r="S18" s="126">
        <f t="shared" si="7"/>
        <v>-14.219999999999999</v>
      </c>
      <c r="T18" s="126">
        <f t="shared" si="7"/>
        <v>-15.209999999999999</v>
      </c>
      <c r="U18" s="126">
        <f t="shared" si="7"/>
        <v>-16.919999999999998</v>
      </c>
      <c r="V18" s="126">
        <f t="shared" si="7"/>
        <v>-17.55</v>
      </c>
      <c r="W18" s="126">
        <f t="shared" si="7"/>
        <v>-17.099999999999998</v>
      </c>
      <c r="X18" s="126">
        <f t="shared" si="7"/>
        <v>-17.55</v>
      </c>
      <c r="Y18" s="126">
        <f t="shared" si="7"/>
        <v>-18.899999999999999</v>
      </c>
      <c r="Z18" s="126">
        <f t="shared" si="7"/>
        <v>-18.18</v>
      </c>
      <c r="AA18" s="126">
        <f t="shared" si="7"/>
        <v>-17.189999999999998</v>
      </c>
      <c r="AB18" s="126">
        <f t="shared" si="7"/>
        <v>-16.38</v>
      </c>
      <c r="AC18" s="127">
        <f t="shared" si="7"/>
        <v>-16.2</v>
      </c>
    </row>
    <row r="19" spans="1:30" x14ac:dyDescent="0.2">
      <c r="A19" s="101" t="s">
        <v>146</v>
      </c>
      <c r="B19" s="102">
        <v>2215</v>
      </c>
      <c r="C19" s="103">
        <v>1629</v>
      </c>
      <c r="F19" s="133" t="s">
        <v>172</v>
      </c>
      <c r="G19" s="134">
        <f>SUM(G20:G23)</f>
        <v>767.45</v>
      </c>
      <c r="H19" s="134">
        <f>SUM(H20:H23)</f>
        <v>909</v>
      </c>
      <c r="I19" s="134">
        <f>SUM(I20:I23)</f>
        <v>875</v>
      </c>
      <c r="J19" s="134">
        <f>H19-I19</f>
        <v>34</v>
      </c>
      <c r="K19" s="135" t="s">
        <v>175</v>
      </c>
      <c r="L19" s="134">
        <f>SUM(L20:L23)</f>
        <v>1025.1931694920324</v>
      </c>
      <c r="M19" s="134">
        <f>SUM(M20:M23)</f>
        <v>937</v>
      </c>
      <c r="N19" s="136">
        <f>SUM(N20:N23)</f>
        <v>897</v>
      </c>
      <c r="O19" s="102">
        <f>M19-N19</f>
        <v>40</v>
      </c>
      <c r="Q19" s="106" t="s">
        <v>181</v>
      </c>
      <c r="R19" s="126"/>
      <c r="S19" s="126"/>
      <c r="T19" s="126"/>
      <c r="U19" s="126"/>
      <c r="V19" s="126"/>
      <c r="W19" s="126"/>
      <c r="X19" s="126"/>
      <c r="Y19" s="126"/>
      <c r="Z19" s="118">
        <v>-122</v>
      </c>
      <c r="AA19" s="126"/>
      <c r="AB19" s="126"/>
      <c r="AC19" s="127"/>
    </row>
    <row r="20" spans="1:30" x14ac:dyDescent="0.2">
      <c r="A20" s="101" t="s">
        <v>168</v>
      </c>
      <c r="B20" s="102">
        <f>-65%*B19</f>
        <v>-1439.75</v>
      </c>
      <c r="C20" s="103">
        <f>SUM(C21:C26)</f>
        <v>-1207</v>
      </c>
      <c r="F20" s="137" t="s">
        <v>45</v>
      </c>
      <c r="G20" s="138">
        <v>553</v>
      </c>
      <c r="H20" s="84">
        <v>600</v>
      </c>
      <c r="I20" s="84">
        <v>578</v>
      </c>
      <c r="J20" s="84">
        <f>H20-I20</f>
        <v>22</v>
      </c>
      <c r="K20" s="61" t="s">
        <v>46</v>
      </c>
      <c r="L20" s="84">
        <v>374</v>
      </c>
      <c r="M20" s="84">
        <v>425</v>
      </c>
      <c r="N20" s="107">
        <v>788</v>
      </c>
      <c r="O20" s="84">
        <f>M20-N20</f>
        <v>-363</v>
      </c>
      <c r="Q20" s="106" t="s">
        <v>178</v>
      </c>
      <c r="R20" s="118">
        <f>-520/2</f>
        <v>-260</v>
      </c>
      <c r="S20" s="118"/>
      <c r="T20" s="118"/>
      <c r="U20" s="118"/>
      <c r="V20" s="118"/>
      <c r="W20" s="118"/>
      <c r="X20" s="118"/>
      <c r="Y20" s="118"/>
      <c r="Z20" s="118">
        <v>-260</v>
      </c>
      <c r="AA20" s="118"/>
      <c r="AB20" s="118"/>
      <c r="AC20" s="127"/>
    </row>
    <row r="21" spans="1:30" x14ac:dyDescent="0.2">
      <c r="A21" s="106" t="s">
        <v>145</v>
      </c>
      <c r="B21" s="84">
        <v>-180</v>
      </c>
      <c r="C21" s="107">
        <v>-200</v>
      </c>
      <c r="F21" s="137" t="s">
        <v>150</v>
      </c>
      <c r="G21" s="84">
        <v>15</v>
      </c>
      <c r="H21" s="84">
        <v>15</v>
      </c>
      <c r="I21" s="84">
        <v>15</v>
      </c>
      <c r="J21" s="84">
        <f t="shared" ref="J21:J23" si="8">H21-I21</f>
        <v>0</v>
      </c>
      <c r="K21" s="61" t="s">
        <v>151</v>
      </c>
      <c r="L21" s="84">
        <v>213</v>
      </c>
      <c r="M21" s="84">
        <v>213</v>
      </c>
      <c r="N21" s="107">
        <v>13</v>
      </c>
      <c r="O21" s="84">
        <f t="shared" ref="O21:O23" si="9">M21-N21</f>
        <v>200</v>
      </c>
      <c r="Q21" s="106" t="s">
        <v>182</v>
      </c>
      <c r="R21" s="118"/>
      <c r="S21" s="118"/>
      <c r="T21" s="118"/>
      <c r="U21" s="118">
        <f>-32-18</f>
        <v>-50</v>
      </c>
      <c r="V21" s="118"/>
      <c r="W21" s="118"/>
      <c r="X21" s="118"/>
      <c r="Y21" s="118"/>
      <c r="Z21" s="118"/>
      <c r="AA21" s="118"/>
      <c r="AB21" s="118"/>
      <c r="AC21" s="127"/>
    </row>
    <row r="22" spans="1:30" x14ac:dyDescent="0.2">
      <c r="A22" s="106" t="s">
        <v>142</v>
      </c>
      <c r="B22" s="84">
        <f>B20-SUM(B21,B23:B26)</f>
        <v>85.450000000000045</v>
      </c>
      <c r="C22" s="107">
        <v>180</v>
      </c>
      <c r="F22" s="137" t="s">
        <v>153</v>
      </c>
      <c r="G22" s="84">
        <v>114</v>
      </c>
      <c r="H22" s="84">
        <v>114</v>
      </c>
      <c r="I22" s="84">
        <v>82</v>
      </c>
      <c r="J22" s="84">
        <f t="shared" si="8"/>
        <v>32</v>
      </c>
      <c r="K22" s="61" t="s">
        <v>80</v>
      </c>
      <c r="L22" s="84">
        <f>218+(-B36)-(-SUM(V22,AB22))</f>
        <v>290.1931694920325</v>
      </c>
      <c r="M22" s="84">
        <v>218</v>
      </c>
      <c r="N22" s="107">
        <v>15</v>
      </c>
      <c r="O22" s="84">
        <f t="shared" si="9"/>
        <v>203</v>
      </c>
      <c r="Q22" s="106" t="s">
        <v>180</v>
      </c>
      <c r="R22" s="118"/>
      <c r="S22" s="118"/>
      <c r="T22" s="118"/>
      <c r="U22" s="118"/>
      <c r="V22" s="118">
        <v>-35</v>
      </c>
      <c r="W22" s="118"/>
      <c r="X22" s="118"/>
      <c r="Y22" s="118"/>
      <c r="Z22" s="118"/>
      <c r="AA22" s="118"/>
      <c r="AB22" s="118">
        <v>-40</v>
      </c>
      <c r="AC22" s="127"/>
    </row>
    <row r="23" spans="1:30" x14ac:dyDescent="0.2">
      <c r="A23" s="106" t="s">
        <v>157</v>
      </c>
      <c r="B23" s="84">
        <v>-1037</v>
      </c>
      <c r="C23" s="107">
        <v>-920</v>
      </c>
      <c r="F23" s="137" t="s">
        <v>155</v>
      </c>
      <c r="G23" s="84">
        <f>B22</f>
        <v>85.450000000000045</v>
      </c>
      <c r="H23" s="84">
        <v>180</v>
      </c>
      <c r="I23" s="84">
        <v>200</v>
      </c>
      <c r="J23" s="84">
        <f t="shared" si="8"/>
        <v>-20</v>
      </c>
      <c r="K23" s="61" t="s">
        <v>72</v>
      </c>
      <c r="L23" s="84">
        <f>81+-(B25)-(-W16)</f>
        <v>148</v>
      </c>
      <c r="M23" s="84">
        <v>81</v>
      </c>
      <c r="N23" s="107">
        <v>81</v>
      </c>
      <c r="O23" s="84">
        <f t="shared" si="9"/>
        <v>0</v>
      </c>
      <c r="Q23" s="139" t="s">
        <v>55</v>
      </c>
      <c r="R23" s="140">
        <f t="shared" ref="R23:AC23" si="10">SUM(R7,R12)</f>
        <v>-219.61410256410255</v>
      </c>
      <c r="S23" s="140">
        <f t="shared" si="10"/>
        <v>40.115897435897438</v>
      </c>
      <c r="T23" s="140">
        <f t="shared" si="10"/>
        <v>81.625897435897443</v>
      </c>
      <c r="U23" s="140">
        <f t="shared" si="10"/>
        <v>-15.084102564102579</v>
      </c>
      <c r="V23" s="140">
        <f t="shared" si="10"/>
        <v>2.2858974358974251</v>
      </c>
      <c r="W23" s="140">
        <f t="shared" si="10"/>
        <v>37.735897435897442</v>
      </c>
      <c r="X23" s="140">
        <f t="shared" si="10"/>
        <v>75.285897435897439</v>
      </c>
      <c r="Y23" s="140">
        <f t="shared" si="10"/>
        <v>82.935897435897431</v>
      </c>
      <c r="Z23" s="140">
        <f t="shared" si="10"/>
        <v>-306.34410256410257</v>
      </c>
      <c r="AA23" s="140">
        <f t="shared" si="10"/>
        <v>131.64589743589744</v>
      </c>
      <c r="AB23" s="140">
        <f t="shared" si="10"/>
        <v>130.45589743589744</v>
      </c>
      <c r="AC23" s="141">
        <f t="shared" si="10"/>
        <v>60.405128205128193</v>
      </c>
    </row>
    <row r="24" spans="1:30" x14ac:dyDescent="0.2">
      <c r="A24" s="106" t="s">
        <v>47</v>
      </c>
      <c r="B24" s="84">
        <f>-180*110%</f>
        <v>-198.00000000000003</v>
      </c>
      <c r="C24" s="107">
        <f>-180</f>
        <v>-180</v>
      </c>
      <c r="F24" s="137"/>
      <c r="G24" s="84"/>
      <c r="H24" s="84"/>
      <c r="I24" s="84"/>
      <c r="L24" s="84"/>
      <c r="M24" s="84"/>
      <c r="N24" s="107"/>
      <c r="O24" s="84"/>
      <c r="Q24" s="139" t="s">
        <v>34</v>
      </c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3"/>
    </row>
    <row r="25" spans="1:30" x14ac:dyDescent="0.2">
      <c r="A25" s="106" t="s">
        <v>88</v>
      </c>
      <c r="B25" s="84">
        <v>-75</v>
      </c>
      <c r="C25" s="107">
        <v>-55</v>
      </c>
      <c r="F25" s="101" t="s">
        <v>173</v>
      </c>
      <c r="G25" s="102">
        <f>SUM(G26:G28)</f>
        <v>1355</v>
      </c>
      <c r="H25" s="102">
        <f>SUM(H26:H28)</f>
        <v>985</v>
      </c>
      <c r="I25" s="102">
        <f>SUM(I26:I28)</f>
        <v>940</v>
      </c>
      <c r="J25" s="102">
        <f>H25-I25</f>
        <v>45</v>
      </c>
      <c r="K25" s="144" t="s">
        <v>209</v>
      </c>
      <c r="L25" s="102">
        <f>SUM(L26:L28)</f>
        <v>628</v>
      </c>
      <c r="M25" s="102">
        <f>SUM(M26:M28)</f>
        <v>590</v>
      </c>
      <c r="N25" s="103">
        <f>SUM(N26:N28)</f>
        <v>580</v>
      </c>
      <c r="O25" s="102">
        <f>M25-N25</f>
        <v>10</v>
      </c>
      <c r="Q25" s="106" t="s">
        <v>192</v>
      </c>
      <c r="R25" s="84">
        <v>18</v>
      </c>
      <c r="AC25" s="107"/>
    </row>
    <row r="26" spans="1:30" x14ac:dyDescent="0.2">
      <c r="A26" s="106" t="s">
        <v>169</v>
      </c>
      <c r="B26" s="84">
        <f>-32*110%</f>
        <v>-35.200000000000003</v>
      </c>
      <c r="C26" s="107">
        <v>-32</v>
      </c>
      <c r="F26" s="137" t="s">
        <v>76</v>
      </c>
      <c r="G26" s="84">
        <v>55</v>
      </c>
      <c r="H26" s="84">
        <v>55</v>
      </c>
      <c r="I26" s="84">
        <v>50</v>
      </c>
      <c r="J26" s="84">
        <f>H26-I26</f>
        <v>5</v>
      </c>
      <c r="K26" s="61" t="s">
        <v>148</v>
      </c>
      <c r="L26" s="84">
        <v>518</v>
      </c>
      <c r="M26" s="84">
        <v>510</v>
      </c>
      <c r="N26" s="107">
        <v>501</v>
      </c>
      <c r="O26" s="84">
        <f>M26-N26</f>
        <v>9</v>
      </c>
      <c r="Q26" s="106" t="s">
        <v>183</v>
      </c>
      <c r="R26" s="84">
        <v>3</v>
      </c>
      <c r="AC26" s="107"/>
    </row>
    <row r="27" spans="1:30" x14ac:dyDescent="0.2">
      <c r="A27" s="139" t="s">
        <v>103</v>
      </c>
      <c r="B27" s="102">
        <f>SUM(B19:B20)</f>
        <v>775.25</v>
      </c>
      <c r="C27" s="103">
        <f>SUM(C19:C20)</f>
        <v>422</v>
      </c>
      <c r="F27" s="137" t="s">
        <v>159</v>
      </c>
      <c r="G27" s="84">
        <f>520+520-55-85</f>
        <v>900</v>
      </c>
      <c r="H27" s="84">
        <v>520</v>
      </c>
      <c r="I27" s="84">
        <v>490</v>
      </c>
      <c r="J27" s="84">
        <f t="shared" ref="J27:J28" si="11">H27-I27</f>
        <v>30</v>
      </c>
      <c r="K27" s="61" t="s">
        <v>74</v>
      </c>
      <c r="L27" s="84">
        <f>60-32+80</f>
        <v>108</v>
      </c>
      <c r="M27" s="84">
        <v>60</v>
      </c>
      <c r="N27" s="107">
        <v>57</v>
      </c>
      <c r="O27" s="84">
        <f t="shared" ref="O27:O28" si="12">M27-N27</f>
        <v>3</v>
      </c>
      <c r="Q27" s="106" t="s">
        <v>57</v>
      </c>
      <c r="R27" s="126">
        <v>-510</v>
      </c>
      <c r="S27" s="126">
        <f>R31</f>
        <v>-726.6141025641025</v>
      </c>
      <c r="T27" s="126">
        <f t="shared" ref="T27:AC27" si="13">S31</f>
        <v>-686.49820512820509</v>
      </c>
      <c r="U27" s="126">
        <f t="shared" si="13"/>
        <v>-634.43053461538466</v>
      </c>
      <c r="V27" s="126">
        <f t="shared" si="13"/>
        <v>-649.51463717948718</v>
      </c>
      <c r="W27" s="126">
        <f t="shared" si="13"/>
        <v>-647.22873974358981</v>
      </c>
      <c r="X27" s="126">
        <f t="shared" si="13"/>
        <v>-638.27341828846158</v>
      </c>
      <c r="Y27" s="126">
        <f t="shared" si="13"/>
        <v>-562.9875208525641</v>
      </c>
      <c r="Z27" s="126">
        <f t="shared" si="13"/>
        <v>-480.05162341666664</v>
      </c>
      <c r="AA27" s="126">
        <f t="shared" si="13"/>
        <v>-812.72633172682686</v>
      </c>
      <c r="AB27" s="126">
        <f t="shared" si="13"/>
        <v>-681.08043429092936</v>
      </c>
      <c r="AC27" s="127">
        <f t="shared" si="13"/>
        <v>-550.62453685503192</v>
      </c>
    </row>
    <row r="28" spans="1:30" x14ac:dyDescent="0.2">
      <c r="A28" s="106" t="s">
        <v>160</v>
      </c>
      <c r="B28" s="84">
        <f>-9%*B19</f>
        <v>-199.35</v>
      </c>
      <c r="C28" s="107">
        <v>-113</v>
      </c>
      <c r="F28" s="137" t="s">
        <v>161</v>
      </c>
      <c r="G28" s="84">
        <f>410-10</f>
        <v>400</v>
      </c>
      <c r="H28" s="84">
        <v>410</v>
      </c>
      <c r="I28" s="84">
        <v>400</v>
      </c>
      <c r="J28" s="84">
        <f t="shared" si="11"/>
        <v>10</v>
      </c>
      <c r="K28" s="61" t="s">
        <v>70</v>
      </c>
      <c r="L28" s="84">
        <f>20-18</f>
        <v>2</v>
      </c>
      <c r="M28" s="84">
        <v>20</v>
      </c>
      <c r="N28" s="107">
        <v>22</v>
      </c>
      <c r="O28" s="84">
        <f t="shared" si="12"/>
        <v>-2</v>
      </c>
      <c r="Q28" s="106" t="s">
        <v>37</v>
      </c>
      <c r="R28" s="126">
        <f>SUM(R27,R30)/2*1.5%</f>
        <v>-9.2746057692307691</v>
      </c>
      <c r="S28" s="126">
        <f t="shared" ref="S28:AC28" si="14">SUM(S27,S30)/2*1.5%</f>
        <v>-10.598342307692308</v>
      </c>
      <c r="T28" s="126">
        <f t="shared" si="14"/>
        <v>-9.6852788461538459</v>
      </c>
      <c r="U28" s="126">
        <f t="shared" si="14"/>
        <v>-9.6295887884615379</v>
      </c>
      <c r="V28" s="126">
        <f t="shared" si="14"/>
        <v>-9.7255753269230762</v>
      </c>
      <c r="W28" s="126">
        <f t="shared" si="14"/>
        <v>-9.425411865384616</v>
      </c>
      <c r="X28" s="126">
        <f t="shared" si="14"/>
        <v>-9.0094570435576919</v>
      </c>
      <c r="Y28" s="126">
        <f t="shared" si="14"/>
        <v>-7.82279358201923</v>
      </c>
      <c r="Z28" s="126">
        <f t="shared" si="14"/>
        <v>-9.4983551204807686</v>
      </c>
      <c r="AA28" s="126">
        <f t="shared" si="14"/>
        <v>-11.203550745133171</v>
      </c>
      <c r="AB28" s="126">
        <f t="shared" si="14"/>
        <v>-9.2377872835947095</v>
      </c>
      <c r="AC28" s="127">
        <f t="shared" si="14"/>
        <v>-7.8063295912870165</v>
      </c>
    </row>
    <row r="29" spans="1:30" x14ac:dyDescent="0.2">
      <c r="A29" s="139" t="s">
        <v>105</v>
      </c>
      <c r="B29" s="102">
        <f>SUM(B27:B28)</f>
        <v>575.9</v>
      </c>
      <c r="C29" s="103">
        <f>SUM(C27:C28)</f>
        <v>309</v>
      </c>
      <c r="F29" s="137"/>
      <c r="N29" s="62"/>
      <c r="Q29" s="106" t="s">
        <v>62</v>
      </c>
      <c r="R29" s="126"/>
      <c r="S29" s="126"/>
      <c r="T29" s="126">
        <f>SUM(R28:T28)</f>
        <v>-29.558226923076923</v>
      </c>
      <c r="U29" s="126"/>
      <c r="V29" s="126"/>
      <c r="W29" s="126">
        <f>SUM(U28:W28)</f>
        <v>-28.780575980769228</v>
      </c>
      <c r="X29" s="126"/>
      <c r="Y29" s="126"/>
      <c r="Z29" s="126">
        <f>SUM(X28:Z28)</f>
        <v>-26.330605746057692</v>
      </c>
      <c r="AA29" s="126"/>
      <c r="AB29" s="126"/>
      <c r="AC29" s="127">
        <f>SUM(AA28:AC28)</f>
        <v>-28.247667620014898</v>
      </c>
      <c r="AD29" s="145">
        <f>SUM(R29:AC29)</f>
        <v>-112.91707626991874</v>
      </c>
    </row>
    <row r="30" spans="1:30" x14ac:dyDescent="0.2">
      <c r="A30" s="106" t="s">
        <v>118</v>
      </c>
      <c r="B30" s="84">
        <f>-85-10</f>
        <v>-95</v>
      </c>
      <c r="C30" s="107">
        <v>-82</v>
      </c>
      <c r="F30" s="101" t="s">
        <v>174</v>
      </c>
      <c r="G30" s="102">
        <f>SUM(G31:G32)</f>
        <v>262</v>
      </c>
      <c r="H30" s="102">
        <f>SUM(H31:H32)</f>
        <v>143</v>
      </c>
      <c r="I30" s="102">
        <f>SUM(I31:I32)</f>
        <v>138</v>
      </c>
      <c r="J30" s="102">
        <f>H30-I30</f>
        <v>5</v>
      </c>
      <c r="K30" s="144" t="s">
        <v>162</v>
      </c>
      <c r="L30" s="102">
        <f>SUM(L31:L33)</f>
        <v>730.78975423804877</v>
      </c>
      <c r="M30" s="102">
        <v>510</v>
      </c>
      <c r="N30" s="103">
        <v>476</v>
      </c>
      <c r="O30" s="102">
        <f>M30-N30</f>
        <v>34</v>
      </c>
      <c r="Q30" s="106" t="s">
        <v>60</v>
      </c>
      <c r="R30" s="126">
        <f>SUM(R26:R27,R23)</f>
        <v>-726.6141025641025</v>
      </c>
      <c r="S30" s="126">
        <f>SUM(S26:S27,S23)</f>
        <v>-686.49820512820509</v>
      </c>
      <c r="T30" s="126">
        <f>SUM(T26:T27,T23)</f>
        <v>-604.87230769230769</v>
      </c>
      <c r="U30" s="126">
        <f t="shared" ref="U30:AC30" si="15">SUM(U26:U27,U23)</f>
        <v>-649.51463717948718</v>
      </c>
      <c r="V30" s="126">
        <f t="shared" si="15"/>
        <v>-647.22873974358981</v>
      </c>
      <c r="W30" s="126">
        <f t="shared" si="15"/>
        <v>-609.4928423076924</v>
      </c>
      <c r="X30" s="126">
        <f t="shared" si="15"/>
        <v>-562.9875208525641</v>
      </c>
      <c r="Y30" s="126">
        <f t="shared" si="15"/>
        <v>-480.05162341666664</v>
      </c>
      <c r="Z30" s="126">
        <f t="shared" si="15"/>
        <v>-786.39572598076916</v>
      </c>
      <c r="AA30" s="126">
        <f t="shared" si="15"/>
        <v>-681.08043429092936</v>
      </c>
      <c r="AB30" s="126">
        <f t="shared" si="15"/>
        <v>-550.62453685503192</v>
      </c>
      <c r="AC30" s="127">
        <f t="shared" si="15"/>
        <v>-490.2194086499037</v>
      </c>
    </row>
    <row r="31" spans="1:30" x14ac:dyDescent="0.2">
      <c r="A31" s="139" t="s">
        <v>0</v>
      </c>
      <c r="B31" s="102">
        <f>SUM(B29:B30)</f>
        <v>480.9</v>
      </c>
      <c r="C31" s="103">
        <f>SUM(C29:C30)</f>
        <v>227</v>
      </c>
      <c r="F31" s="137" t="s">
        <v>164</v>
      </c>
      <c r="G31" s="84">
        <f>125+122</f>
        <v>247</v>
      </c>
      <c r="H31" s="84">
        <v>125</v>
      </c>
      <c r="I31" s="84">
        <v>125</v>
      </c>
      <c r="J31" s="84">
        <f>H31-I31</f>
        <v>0</v>
      </c>
      <c r="K31" s="61" t="s">
        <v>115</v>
      </c>
      <c r="L31" s="84">
        <v>322</v>
      </c>
      <c r="M31" s="84">
        <v>322</v>
      </c>
      <c r="N31" s="107">
        <v>322</v>
      </c>
      <c r="O31" s="84">
        <f>M31-N31</f>
        <v>0</v>
      </c>
      <c r="Q31" s="146" t="s">
        <v>59</v>
      </c>
      <c r="R31" s="147">
        <f>R30</f>
        <v>-726.6141025641025</v>
      </c>
      <c r="S31" s="147">
        <f>S30</f>
        <v>-686.49820512820509</v>
      </c>
      <c r="T31" s="147">
        <f>SUM(T29:T30)</f>
        <v>-634.43053461538466</v>
      </c>
      <c r="U31" s="147">
        <f>U30</f>
        <v>-649.51463717948718</v>
      </c>
      <c r="V31" s="147">
        <f>V30</f>
        <v>-647.22873974358981</v>
      </c>
      <c r="W31" s="147">
        <f>SUM(W29:W30)</f>
        <v>-638.27341828846158</v>
      </c>
      <c r="X31" s="147">
        <f>X30</f>
        <v>-562.9875208525641</v>
      </c>
      <c r="Y31" s="147">
        <f>Y30</f>
        <v>-480.05162341666664</v>
      </c>
      <c r="Z31" s="147">
        <f>SUM(Z29:Z30)</f>
        <v>-812.72633172682686</v>
      </c>
      <c r="AA31" s="147">
        <f>AA30</f>
        <v>-681.08043429092936</v>
      </c>
      <c r="AB31" s="147">
        <f>AB30</f>
        <v>-550.62453685503192</v>
      </c>
      <c r="AC31" s="148">
        <f>SUM(AC29:AC30)</f>
        <v>-518.46707626991861</v>
      </c>
    </row>
    <row r="32" spans="1:30" x14ac:dyDescent="0.2">
      <c r="A32" s="106" t="s">
        <v>170</v>
      </c>
      <c r="B32" s="84">
        <v>-112.91707626991874</v>
      </c>
      <c r="C32" s="107">
        <v>-85</v>
      </c>
      <c r="F32" s="137" t="s">
        <v>147</v>
      </c>
      <c r="G32" s="84">
        <v>15</v>
      </c>
      <c r="H32" s="84">
        <v>18</v>
      </c>
      <c r="I32" s="84">
        <v>13</v>
      </c>
      <c r="J32" s="84">
        <f>H32-I32</f>
        <v>5</v>
      </c>
      <c r="K32" s="61" t="s">
        <v>79</v>
      </c>
      <c r="L32" s="84">
        <f>124+64</f>
        <v>188</v>
      </c>
      <c r="M32" s="84">
        <v>124</v>
      </c>
      <c r="N32" s="107">
        <v>104</v>
      </c>
      <c r="O32" s="84">
        <f t="shared" ref="O32:O33" si="16">M32-N32</f>
        <v>20</v>
      </c>
    </row>
    <row r="33" spans="1:15" x14ac:dyDescent="0.2">
      <c r="A33" s="106" t="s">
        <v>149</v>
      </c>
      <c r="B33" s="84">
        <v>0</v>
      </c>
      <c r="C33" s="107">
        <v>-22</v>
      </c>
      <c r="F33" s="137"/>
      <c r="K33" s="61" t="s">
        <v>108</v>
      </c>
      <c r="L33" s="84">
        <f>B37</f>
        <v>220.78975423804872</v>
      </c>
      <c r="M33" s="84">
        <v>64</v>
      </c>
      <c r="N33" s="107">
        <v>50</v>
      </c>
      <c r="O33" s="84">
        <f t="shared" si="16"/>
        <v>14</v>
      </c>
    </row>
    <row r="34" spans="1:15" ht="14" x14ac:dyDescent="0.2">
      <c r="A34" s="106" t="s">
        <v>171</v>
      </c>
      <c r="B34" s="84">
        <v>0</v>
      </c>
      <c r="C34" s="107">
        <v>-13</v>
      </c>
      <c r="F34" s="128" t="s">
        <v>78</v>
      </c>
      <c r="G34" s="129">
        <f>SUM(G19,G25,G30)</f>
        <v>2384.4499999999998</v>
      </c>
      <c r="H34" s="129">
        <f>SUM(H19,H25,H30)</f>
        <v>2037</v>
      </c>
      <c r="I34" s="129">
        <f>SUM(I19,I25,I30)</f>
        <v>1953</v>
      </c>
      <c r="J34" s="130"/>
      <c r="K34" s="128" t="s">
        <v>165</v>
      </c>
      <c r="L34" s="129">
        <f>SUM(L19,L25,L30)</f>
        <v>2383.982923730081</v>
      </c>
      <c r="M34" s="129">
        <f>SUM(M19,M25,M30)</f>
        <v>2037</v>
      </c>
      <c r="N34" s="129">
        <f>SUM(N19,N25,N30)</f>
        <v>1953</v>
      </c>
      <c r="O34" s="129"/>
    </row>
    <row r="35" spans="1:15" x14ac:dyDescent="0.2">
      <c r="A35" s="101" t="s">
        <v>93</v>
      </c>
      <c r="B35" s="102">
        <f>SUM(B31:B34)</f>
        <v>367.98292373008121</v>
      </c>
      <c r="C35" s="103">
        <f>SUM(C31:C34)</f>
        <v>107</v>
      </c>
      <c r="M35" s="84"/>
      <c r="N35" s="84"/>
      <c r="O35" s="84"/>
    </row>
    <row r="36" spans="1:15" x14ac:dyDescent="0.2">
      <c r="A36" s="106" t="s">
        <v>2</v>
      </c>
      <c r="B36" s="84">
        <f>B35*-40%</f>
        <v>-147.1931694920325</v>
      </c>
      <c r="C36" s="107">
        <f>C35*-40%</f>
        <v>-42.800000000000004</v>
      </c>
      <c r="L36" s="84"/>
    </row>
    <row r="37" spans="1:15" x14ac:dyDescent="0.2">
      <c r="A37" s="149" t="s">
        <v>67</v>
      </c>
      <c r="B37" s="150">
        <f>SUM(B35:B36)</f>
        <v>220.78975423804872</v>
      </c>
      <c r="C37" s="151">
        <f>SUM(C35:C36)</f>
        <v>64.199999999999989</v>
      </c>
      <c r="F37" s="61" t="s">
        <v>184</v>
      </c>
      <c r="G37" s="72">
        <v>2020</v>
      </c>
      <c r="H37" s="72">
        <v>2019</v>
      </c>
      <c r="J37" s="84"/>
      <c r="K37" s="144" t="s">
        <v>201</v>
      </c>
    </row>
    <row r="38" spans="1:15" ht="15" x14ac:dyDescent="0.2">
      <c r="C38" s="102"/>
      <c r="F38" s="144" t="s">
        <v>0</v>
      </c>
      <c r="G38" s="102">
        <f>B31</f>
        <v>480.9</v>
      </c>
      <c r="H38" s="102">
        <f>C31</f>
        <v>227</v>
      </c>
      <c r="K38" t="s">
        <v>17</v>
      </c>
      <c r="L38" s="163">
        <f>B31/SUM(G19,G25)</f>
        <v>0.2265777756837617</v>
      </c>
    </row>
    <row r="39" spans="1:15" ht="15" x14ac:dyDescent="0.2">
      <c r="F39" s="152" t="s">
        <v>118</v>
      </c>
      <c r="G39" s="160">
        <v>95</v>
      </c>
      <c r="H39" s="84">
        <f>82</f>
        <v>82</v>
      </c>
      <c r="K39" t="s">
        <v>18</v>
      </c>
      <c r="L39" s="163">
        <f>B37/L30</f>
        <v>0.3021248628044233</v>
      </c>
    </row>
    <row r="40" spans="1:15" ht="15" x14ac:dyDescent="0.2">
      <c r="F40" s="152" t="s">
        <v>2</v>
      </c>
      <c r="G40" s="160">
        <f>B36</f>
        <v>-147.1931694920325</v>
      </c>
      <c r="H40" s="84">
        <f>C36</f>
        <v>-42.800000000000004</v>
      </c>
      <c r="K40" t="s">
        <v>19</v>
      </c>
      <c r="L40" s="163">
        <f>B37/G34</f>
        <v>9.2595673735263367E-2</v>
      </c>
    </row>
    <row r="41" spans="1:15" ht="15" x14ac:dyDescent="0.2">
      <c r="A41" s="162" t="s">
        <v>197</v>
      </c>
      <c r="F41" s="144" t="s">
        <v>185</v>
      </c>
      <c r="G41" s="102">
        <f>SUM(G38:G40)</f>
        <v>428.70683050796748</v>
      </c>
      <c r="H41" s="102">
        <f>SUM(H38:H40)</f>
        <v>266.2</v>
      </c>
      <c r="K41" t="s">
        <v>20</v>
      </c>
      <c r="L41" s="163">
        <f>B31/B19</f>
        <v>0.21711060948081262</v>
      </c>
    </row>
    <row r="42" spans="1:15" ht="15" x14ac:dyDescent="0.2">
      <c r="A42" s="162" t="s">
        <v>198</v>
      </c>
      <c r="F42" s="152" t="s">
        <v>186</v>
      </c>
      <c r="G42" s="160">
        <f>(G19-L19)-(H19-M19)</f>
        <v>-229.74316949203239</v>
      </c>
      <c r="H42" s="84">
        <f>(H19-I19)-(M19-N19)</f>
        <v>-6</v>
      </c>
      <c r="K42" t="s">
        <v>21</v>
      </c>
      <c r="L42" s="163">
        <f>(G38*(1-40%))/(SUM(L26:L28)+L30)</f>
        <v>0.21235073277528566</v>
      </c>
      <c r="M42" s="164">
        <f>L42+(L42-18%*(1-40%))*(SUM(L25)/L30)</f>
        <v>0.30202393878678208</v>
      </c>
    </row>
    <row r="43" spans="1:15" x14ac:dyDescent="0.2">
      <c r="F43" s="144" t="s">
        <v>187</v>
      </c>
      <c r="G43" s="102">
        <f>G41-G42</f>
        <v>658.44999999999982</v>
      </c>
      <c r="H43" s="102">
        <f>H41-H42</f>
        <v>272.2</v>
      </c>
      <c r="K43" s="61" t="s">
        <v>202</v>
      </c>
      <c r="L43" s="163">
        <f>SUM(L25)/L34</f>
        <v>0.26342470566752402</v>
      </c>
    </row>
    <row r="44" spans="1:15" x14ac:dyDescent="0.2">
      <c r="F44" s="152" t="s">
        <v>196</v>
      </c>
      <c r="G44" s="160">
        <f>-(G25-H25)</f>
        <v>-370</v>
      </c>
      <c r="H44" s="160">
        <f>-(H25-I25)</f>
        <v>-45</v>
      </c>
      <c r="K44" s="61" t="s">
        <v>203</v>
      </c>
      <c r="L44" s="163">
        <f>L38/L41</f>
        <v>1.0436052674974676</v>
      </c>
      <c r="M44" s="163">
        <f>B19/SUM(G19,G25)</f>
        <v>1.0436052674974676</v>
      </c>
    </row>
    <row r="45" spans="1:15" x14ac:dyDescent="0.2">
      <c r="F45" s="152" t="s">
        <v>194</v>
      </c>
      <c r="G45" s="160">
        <v>-95</v>
      </c>
      <c r="H45" s="84">
        <v>-82</v>
      </c>
      <c r="K45" s="61" t="s">
        <v>208</v>
      </c>
      <c r="L45" s="163"/>
      <c r="M45" s="163">
        <f>L42/L41</f>
        <v>0.9780762592997666</v>
      </c>
    </row>
    <row r="46" spans="1:15" x14ac:dyDescent="0.2">
      <c r="F46" s="144" t="s">
        <v>124</v>
      </c>
      <c r="G46" s="102">
        <f>SUM(G43:G45)</f>
        <v>193.44999999999982</v>
      </c>
      <c r="H46" s="102">
        <f>SUM(H43:H45)</f>
        <v>145.19999999999999</v>
      </c>
      <c r="K46" s="61" t="s">
        <v>204</v>
      </c>
      <c r="L46" s="165">
        <f>B31/-B32</f>
        <v>4.2588775399253977</v>
      </c>
    </row>
    <row r="47" spans="1:15" x14ac:dyDescent="0.2">
      <c r="F47" s="161" t="s">
        <v>200</v>
      </c>
      <c r="G47" s="160">
        <v>-122</v>
      </c>
      <c r="H47" s="160">
        <v>0</v>
      </c>
      <c r="K47" s="61" t="s">
        <v>205</v>
      </c>
      <c r="L47" s="142">
        <f>(L25-G32)/B29</f>
        <v>1.0644209064073624</v>
      </c>
    </row>
    <row r="48" spans="1:15" x14ac:dyDescent="0.2">
      <c r="F48" s="152" t="s">
        <v>199</v>
      </c>
      <c r="G48" s="160">
        <v>48</v>
      </c>
      <c r="H48" s="84">
        <v>9</v>
      </c>
      <c r="K48" s="61" t="s">
        <v>206</v>
      </c>
      <c r="L48" s="163">
        <f>(G3-G8)/L3</f>
        <v>0.4995723998948236</v>
      </c>
    </row>
    <row r="49" spans="6:12" x14ac:dyDescent="0.2">
      <c r="F49" s="152" t="s">
        <v>195</v>
      </c>
      <c r="G49" s="160">
        <v>8</v>
      </c>
      <c r="H49" s="84">
        <v>3</v>
      </c>
      <c r="K49" s="61" t="s">
        <v>207</v>
      </c>
      <c r="L49" s="163">
        <f>G3/L3</f>
        <v>0.56081839927934685</v>
      </c>
    </row>
    <row r="50" spans="6:12" x14ac:dyDescent="0.2">
      <c r="F50" s="152" t="s">
        <v>188</v>
      </c>
      <c r="G50" s="160">
        <v>-18</v>
      </c>
      <c r="H50" s="84">
        <f>-2</f>
        <v>-2</v>
      </c>
    </row>
    <row r="51" spans="6:12" x14ac:dyDescent="0.2">
      <c r="F51" s="152" t="s">
        <v>58</v>
      </c>
      <c r="G51" s="160">
        <f>B32</f>
        <v>-112.91707626991874</v>
      </c>
      <c r="H51" s="84">
        <v>-85</v>
      </c>
    </row>
    <row r="52" spans="6:12" x14ac:dyDescent="0.2">
      <c r="F52" s="152" t="s">
        <v>191</v>
      </c>
      <c r="G52" s="160">
        <v>0</v>
      </c>
      <c r="H52" s="84">
        <v>-22</v>
      </c>
    </row>
    <row r="53" spans="6:12" x14ac:dyDescent="0.2">
      <c r="F53" s="152" t="s">
        <v>171</v>
      </c>
      <c r="G53" s="160">
        <v>0</v>
      </c>
      <c r="H53" s="84">
        <v>-13</v>
      </c>
    </row>
    <row r="54" spans="6:12" x14ac:dyDescent="0.2">
      <c r="F54" s="144" t="s">
        <v>126</v>
      </c>
      <c r="G54" s="102">
        <f>SUM(G46:G53)</f>
        <v>-3.4670762699189197</v>
      </c>
      <c r="H54" s="102">
        <f>SUM(H46:H53)</f>
        <v>35.199999999999989</v>
      </c>
    </row>
    <row r="55" spans="6:12" x14ac:dyDescent="0.2">
      <c r="F55" s="152" t="s">
        <v>189</v>
      </c>
      <c r="G55" s="160">
        <v>0</v>
      </c>
      <c r="H55" s="84">
        <v>0</v>
      </c>
    </row>
    <row r="56" spans="6:12" x14ac:dyDescent="0.2">
      <c r="F56" s="152" t="s">
        <v>13</v>
      </c>
      <c r="G56" s="160">
        <v>0</v>
      </c>
      <c r="H56" s="84">
        <f>-(N33-(M32-N32))</f>
        <v>-30</v>
      </c>
    </row>
    <row r="57" spans="6:12" x14ac:dyDescent="0.2">
      <c r="F57" s="153" t="s">
        <v>190</v>
      </c>
      <c r="G57" s="102">
        <f>SUM(G54:G56)</f>
        <v>-3.4670762699189197</v>
      </c>
      <c r="H57" s="102">
        <f>SUM(H54:H56)</f>
        <v>5.1999999999999886</v>
      </c>
    </row>
    <row r="58" spans="6:12" x14ac:dyDescent="0.2">
      <c r="H58" s="84"/>
    </row>
  </sheetData>
  <pageMargins left="0.70866141732283472" right="0.70866141732283472" top="0.74803149606299213" bottom="0.74803149606299213" header="0.31496062992125984" footer="0.31496062992125984"/>
  <pageSetup paperSize="9" scale="85" orientation="landscape" r:id="rId1"/>
  <ignoredErrors>
    <ignoredError sqref="M25:N25 R30" formulaRange="1"/>
    <ignoredError sqref="T31:AC31 G9 L8 L12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8079-78D9-4411-B7D6-9E8D3F9413A4}">
  <dimension ref="A1:P22"/>
  <sheetViews>
    <sheetView zoomScale="84" workbookViewId="0">
      <selection activeCell="B5" sqref="B5"/>
    </sheetView>
  </sheetViews>
  <sheetFormatPr baseColWidth="10" defaultColWidth="8.83203125" defaultRowHeight="15" x14ac:dyDescent="0.2"/>
  <cols>
    <col min="1" max="1" width="23.1640625" bestFit="1" customWidth="1"/>
    <col min="4" max="4" width="23.33203125" customWidth="1"/>
    <col min="5" max="5" width="13.5" customWidth="1"/>
    <col min="6" max="6" width="8.83203125" customWidth="1"/>
    <col min="7" max="7" width="30.5" customWidth="1"/>
    <col min="8" max="8" width="16.5" customWidth="1"/>
    <col min="10" max="10" width="10.1640625" bestFit="1" customWidth="1"/>
  </cols>
  <sheetData>
    <row r="1" spans="1:16" x14ac:dyDescent="0.2">
      <c r="A1" t="s">
        <v>167</v>
      </c>
      <c r="B1" s="72" t="s">
        <v>218</v>
      </c>
      <c r="D1" s="61" t="s">
        <v>184</v>
      </c>
      <c r="E1" s="72" t="s">
        <v>218</v>
      </c>
      <c r="F1" s="102"/>
      <c r="G1" s="61" t="s">
        <v>184</v>
      </c>
      <c r="H1" s="72" t="s">
        <v>218</v>
      </c>
    </row>
    <row r="2" spans="1:16" x14ac:dyDescent="0.2">
      <c r="A2" s="2" t="s">
        <v>32</v>
      </c>
      <c r="B2" s="53">
        <v>13300</v>
      </c>
      <c r="D2" s="144" t="s">
        <v>0</v>
      </c>
      <c r="E2" s="102">
        <f>$B$11</f>
        <v>2300</v>
      </c>
      <c r="F2" s="160"/>
      <c r="G2" s="144" t="s">
        <v>0</v>
      </c>
      <c r="H2" s="102">
        <f>$B$11</f>
        <v>2300</v>
      </c>
      <c r="K2" s="72" t="s">
        <v>226</v>
      </c>
      <c r="L2" s="72" t="s">
        <v>218</v>
      </c>
      <c r="O2" s="72" t="s">
        <v>226</v>
      </c>
      <c r="P2" s="72" t="s">
        <v>218</v>
      </c>
    </row>
    <row r="3" spans="1:16" x14ac:dyDescent="0.2">
      <c r="A3" s="2" t="s">
        <v>168</v>
      </c>
      <c r="B3" s="53">
        <v>-11000</v>
      </c>
      <c r="D3" s="152" t="s">
        <v>118</v>
      </c>
      <c r="E3" s="160">
        <f>-$B$6</f>
        <v>1280</v>
      </c>
      <c r="F3" s="160"/>
      <c r="G3" s="152" t="s">
        <v>118</v>
      </c>
      <c r="H3" s="160">
        <f>-$B$6</f>
        <v>1280</v>
      </c>
      <c r="J3" t="s">
        <v>221</v>
      </c>
      <c r="K3" s="3">
        <v>2100</v>
      </c>
      <c r="L3" s="3">
        <v>2230</v>
      </c>
      <c r="N3" t="s">
        <v>222</v>
      </c>
      <c r="O3" s="3">
        <v>2540</v>
      </c>
      <c r="P3" s="3">
        <v>2630</v>
      </c>
    </row>
    <row r="4" spans="1:16" x14ac:dyDescent="0.2">
      <c r="A4" s="1" t="s">
        <v>216</v>
      </c>
      <c r="B4" s="3">
        <v>-1700</v>
      </c>
      <c r="D4" s="152" t="s">
        <v>2</v>
      </c>
      <c r="E4" s="160">
        <f>$B$16</f>
        <v>-510</v>
      </c>
      <c r="F4" s="102"/>
      <c r="G4" s="152" t="s">
        <v>2</v>
      </c>
      <c r="H4" s="160">
        <f>$B$16</f>
        <v>-510</v>
      </c>
      <c r="J4" t="s">
        <v>66</v>
      </c>
      <c r="K4" s="3">
        <v>1700</v>
      </c>
      <c r="L4" s="3">
        <v>1780</v>
      </c>
    </row>
    <row r="5" spans="1:16" x14ac:dyDescent="0.2">
      <c r="A5" s="1" t="s">
        <v>31</v>
      </c>
      <c r="B5" s="3">
        <v>-3600</v>
      </c>
      <c r="D5" s="144" t="s">
        <v>185</v>
      </c>
      <c r="E5" s="102">
        <f>SUM(E2:E4)</f>
        <v>3070</v>
      </c>
      <c r="F5" s="160"/>
      <c r="G5" s="144" t="s">
        <v>185</v>
      </c>
      <c r="H5" s="102">
        <f>SUM(H2:H4)</f>
        <v>3070</v>
      </c>
    </row>
    <row r="6" spans="1:16" x14ac:dyDescent="0.2">
      <c r="A6" s="1" t="s">
        <v>118</v>
      </c>
      <c r="B6" s="3">
        <v>-1280</v>
      </c>
      <c r="D6" s="152" t="s">
        <v>186</v>
      </c>
      <c r="E6" s="160">
        <f>SUM(E7:E8)-E9</f>
        <v>120</v>
      </c>
      <c r="F6" s="160"/>
      <c r="G6" s="152" t="s">
        <v>186</v>
      </c>
      <c r="H6" s="160">
        <f>SUM(H7:H8)-H9</f>
        <v>120</v>
      </c>
    </row>
    <row r="7" spans="1:16" x14ac:dyDescent="0.2">
      <c r="A7" s="1" t="s">
        <v>213</v>
      </c>
      <c r="B7" s="3">
        <v>-1300</v>
      </c>
      <c r="D7" s="167" t="s">
        <v>223</v>
      </c>
      <c r="E7" s="160">
        <f>$L$3-$K$3</f>
        <v>130</v>
      </c>
      <c r="F7" s="160"/>
      <c r="G7" s="167" t="s">
        <v>223</v>
      </c>
      <c r="H7" s="160">
        <f>$L$3-$K$3</f>
        <v>130</v>
      </c>
    </row>
    <row r="8" spans="1:16" x14ac:dyDescent="0.2">
      <c r="A8" s="1" t="s">
        <v>215</v>
      </c>
      <c r="B8" s="3">
        <v>-2500</v>
      </c>
      <c r="D8" s="167" t="s">
        <v>224</v>
      </c>
      <c r="E8" s="160">
        <f>$L$4-$K$4</f>
        <v>80</v>
      </c>
      <c r="F8" s="160"/>
      <c r="G8" s="167" t="s">
        <v>224</v>
      </c>
      <c r="H8" s="160">
        <f>$L$4-$K$4</f>
        <v>80</v>
      </c>
    </row>
    <row r="9" spans="1:16" x14ac:dyDescent="0.2">
      <c r="A9" s="1" t="s">
        <v>212</v>
      </c>
      <c r="B9" s="3">
        <v>-2400</v>
      </c>
      <c r="D9" s="167" t="s">
        <v>225</v>
      </c>
      <c r="E9" s="160">
        <f>$P$3-$O$3</f>
        <v>90</v>
      </c>
      <c r="F9" s="102"/>
      <c r="G9" s="167" t="s">
        <v>225</v>
      </c>
      <c r="H9" s="160">
        <f>$P$3-$O$3</f>
        <v>90</v>
      </c>
    </row>
    <row r="10" spans="1:16" x14ac:dyDescent="0.2">
      <c r="A10" s="1" t="s">
        <v>211</v>
      </c>
      <c r="B10" s="3">
        <v>1780</v>
      </c>
      <c r="D10" s="144" t="s">
        <v>187</v>
      </c>
      <c r="E10" s="102">
        <f>E5-E6</f>
        <v>2950</v>
      </c>
      <c r="F10" s="160"/>
      <c r="G10" s="144" t="s">
        <v>187</v>
      </c>
      <c r="H10" s="102">
        <f>H5-H6</f>
        <v>2950</v>
      </c>
    </row>
    <row r="11" spans="1:16" x14ac:dyDescent="0.2">
      <c r="A11" s="2" t="s">
        <v>0</v>
      </c>
      <c r="B11" s="53">
        <f>SUM(B2:B3)</f>
        <v>2300</v>
      </c>
      <c r="C11" s="3"/>
      <c r="D11" s="152" t="s">
        <v>196</v>
      </c>
      <c r="E11" s="160">
        <v>-1750</v>
      </c>
      <c r="F11" s="160"/>
      <c r="G11" s="152" t="s">
        <v>196</v>
      </c>
      <c r="H11" s="160">
        <v>-1750</v>
      </c>
    </row>
    <row r="12" spans="1:16" x14ac:dyDescent="0.2">
      <c r="A12" s="1" t="s">
        <v>210</v>
      </c>
      <c r="B12" s="3">
        <v>1100</v>
      </c>
      <c r="D12" s="144" t="s">
        <v>124</v>
      </c>
      <c r="E12" s="102">
        <f>SUM(E10:E11)</f>
        <v>1200</v>
      </c>
      <c r="F12" s="160"/>
      <c r="G12" s="144" t="s">
        <v>124</v>
      </c>
      <c r="H12" s="102">
        <f>SUM(H10:H11)</f>
        <v>1200</v>
      </c>
    </row>
    <row r="13" spans="1:16" x14ac:dyDescent="0.2">
      <c r="A13" s="1" t="s">
        <v>214</v>
      </c>
      <c r="B13" s="3">
        <v>-3200</v>
      </c>
      <c r="D13" s="152" t="s">
        <v>219</v>
      </c>
      <c r="E13" s="160">
        <f>SUM(E14:E15)</f>
        <v>-450</v>
      </c>
      <c r="F13" s="160"/>
      <c r="G13" s="152" t="s">
        <v>9</v>
      </c>
      <c r="H13" s="160">
        <f>SUM(H14:H15)</f>
        <v>-450</v>
      </c>
    </row>
    <row r="14" spans="1:16" x14ac:dyDescent="0.2">
      <c r="A14" s="1" t="s">
        <v>220</v>
      </c>
      <c r="B14" s="3">
        <v>1500</v>
      </c>
      <c r="D14" s="167" t="s">
        <v>227</v>
      </c>
      <c r="E14" s="160">
        <v>1350</v>
      </c>
      <c r="F14" s="160"/>
      <c r="G14" s="167" t="s">
        <v>227</v>
      </c>
      <c r="H14" s="160">
        <v>1350</v>
      </c>
    </row>
    <row r="15" spans="1:16" x14ac:dyDescent="0.2">
      <c r="A15" s="166" t="s">
        <v>93</v>
      </c>
      <c r="B15" s="53">
        <f>SUM(B11:B14)</f>
        <v>1700</v>
      </c>
      <c r="D15" s="167" t="s">
        <v>228</v>
      </c>
      <c r="E15" s="160">
        <v>-1800</v>
      </c>
      <c r="F15" s="160"/>
      <c r="G15" s="167" t="s">
        <v>228</v>
      </c>
      <c r="H15" s="160">
        <v>-1800</v>
      </c>
    </row>
    <row r="16" spans="1:16" x14ac:dyDescent="0.2">
      <c r="A16" s="1" t="s">
        <v>217</v>
      </c>
      <c r="B16" s="3">
        <f>-B15*30%</f>
        <v>-510</v>
      </c>
      <c r="D16" s="152" t="s">
        <v>214</v>
      </c>
      <c r="E16" s="160">
        <f>B13</f>
        <v>-3200</v>
      </c>
      <c r="F16" s="102"/>
      <c r="G16" s="152" t="s">
        <v>8</v>
      </c>
      <c r="H16" s="160">
        <v>1150</v>
      </c>
    </row>
    <row r="17" spans="1:8" x14ac:dyDescent="0.2">
      <c r="A17" s="166" t="s">
        <v>67</v>
      </c>
      <c r="B17" s="53">
        <f>SUM(B15:B16)</f>
        <v>1190</v>
      </c>
      <c r="D17" s="152" t="s">
        <v>210</v>
      </c>
      <c r="E17" s="3">
        <v>1100</v>
      </c>
      <c r="F17" s="160"/>
      <c r="G17" s="144" t="s">
        <v>10</v>
      </c>
      <c r="H17" s="102">
        <f>SUM(H12,H13,H16)</f>
        <v>1900</v>
      </c>
    </row>
    <row r="18" spans="1:8" x14ac:dyDescent="0.2">
      <c r="D18" s="152" t="s">
        <v>220</v>
      </c>
      <c r="E18" s="3">
        <v>1500</v>
      </c>
      <c r="F18" s="160"/>
      <c r="G18" s="152" t="s">
        <v>11</v>
      </c>
      <c r="H18" s="160">
        <f>B13</f>
        <v>-3200</v>
      </c>
    </row>
    <row r="19" spans="1:8" x14ac:dyDescent="0.2">
      <c r="D19" s="144" t="s">
        <v>126</v>
      </c>
      <c r="E19" s="102">
        <f>SUM(E12,E13,E16,E17,E18)</f>
        <v>150</v>
      </c>
      <c r="F19" s="102"/>
      <c r="G19" s="152" t="s">
        <v>12</v>
      </c>
      <c r="H19" s="160">
        <f>B12</f>
        <v>1100</v>
      </c>
    </row>
    <row r="20" spans="1:8" x14ac:dyDescent="0.2">
      <c r="D20" s="152" t="s">
        <v>189</v>
      </c>
      <c r="E20" s="160">
        <v>1150</v>
      </c>
      <c r="G20" s="152" t="s">
        <v>220</v>
      </c>
      <c r="H20" s="160">
        <v>1500</v>
      </c>
    </row>
    <row r="21" spans="1:8" x14ac:dyDescent="0.2">
      <c r="D21" s="152" t="s">
        <v>13</v>
      </c>
      <c r="E21" s="160">
        <f>-5100*20%</f>
        <v>-1020</v>
      </c>
      <c r="G21" s="152" t="s">
        <v>13</v>
      </c>
      <c r="H21" s="160">
        <f>-5100*20%</f>
        <v>-1020</v>
      </c>
    </row>
    <row r="22" spans="1:8" x14ac:dyDescent="0.2">
      <c r="D22" s="153" t="s">
        <v>190</v>
      </c>
      <c r="E22" s="102">
        <f>SUM(E19:E21)</f>
        <v>280</v>
      </c>
      <c r="G22" s="153" t="s">
        <v>190</v>
      </c>
      <c r="H22" s="102">
        <f>SUM(H17:H21)</f>
        <v>280</v>
      </c>
    </row>
  </sheetData>
  <pageMargins left="0.7" right="0.7" top="0.75" bottom="0.75" header="0.3" footer="0.3"/>
  <ignoredErrors>
    <ignoredError sqref="B11 H1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7B49D-FED5-4C03-8D17-840D80802A29}">
  <dimension ref="A1:R24"/>
  <sheetViews>
    <sheetView zoomScale="77" workbookViewId="0">
      <selection activeCell="G20" sqref="G20"/>
    </sheetView>
  </sheetViews>
  <sheetFormatPr baseColWidth="10" defaultColWidth="8.83203125" defaultRowHeight="15" x14ac:dyDescent="0.2"/>
  <cols>
    <col min="1" max="1" width="24.5" bestFit="1" customWidth="1"/>
    <col min="2" max="4" width="11.5" bestFit="1" customWidth="1"/>
    <col min="5" max="5" width="5.1640625" style="171" customWidth="1"/>
    <col min="6" max="6" width="31" customWidth="1"/>
    <col min="7" max="9" width="11.5" bestFit="1" customWidth="1"/>
    <col min="10" max="10" width="2.6640625" customWidth="1"/>
  </cols>
  <sheetData>
    <row r="1" spans="1:18" x14ac:dyDescent="0.2">
      <c r="A1" s="188" t="s">
        <v>239</v>
      </c>
      <c r="B1" s="173">
        <v>1</v>
      </c>
      <c r="C1" s="173">
        <v>2</v>
      </c>
      <c r="D1" s="174">
        <v>3</v>
      </c>
      <c r="E1" s="172"/>
      <c r="F1" s="188" t="s">
        <v>239</v>
      </c>
      <c r="G1" s="173">
        <v>1</v>
      </c>
      <c r="H1" s="173">
        <v>2</v>
      </c>
      <c r="I1" s="174">
        <v>3</v>
      </c>
      <c r="J1" s="191"/>
    </row>
    <row r="2" spans="1:18" x14ac:dyDescent="0.2">
      <c r="A2" s="175" t="s">
        <v>231</v>
      </c>
      <c r="B2" s="53">
        <v>15000000</v>
      </c>
      <c r="C2" s="53">
        <v>12000000</v>
      </c>
      <c r="D2" s="176">
        <v>10000000</v>
      </c>
      <c r="E2" s="169"/>
      <c r="F2" s="175" t="s">
        <v>231</v>
      </c>
      <c r="G2" s="53">
        <v>17000000</v>
      </c>
      <c r="H2" s="53">
        <f>18*10^6</f>
        <v>18000000</v>
      </c>
      <c r="I2" s="176">
        <f>20*10^6</f>
        <v>20000000</v>
      </c>
      <c r="J2" s="53"/>
    </row>
    <row r="3" spans="1:18" x14ac:dyDescent="0.2">
      <c r="A3" s="177" t="s">
        <v>229</v>
      </c>
      <c r="B3" s="3">
        <f>-65%*B2</f>
        <v>-9750000</v>
      </c>
      <c r="C3" s="3">
        <f t="shared" ref="C3:D3" si="0">-65%*C2</f>
        <v>-7800000</v>
      </c>
      <c r="D3" s="178">
        <f t="shared" si="0"/>
        <v>-6500000</v>
      </c>
      <c r="E3" s="170"/>
      <c r="F3" s="177" t="s">
        <v>229</v>
      </c>
      <c r="G3" s="3">
        <f>-65%*G2</f>
        <v>-11050000</v>
      </c>
      <c r="H3" s="3">
        <f t="shared" ref="H3:I3" si="1">-65%*H2</f>
        <v>-11700000</v>
      </c>
      <c r="I3" s="178">
        <f t="shared" si="1"/>
        <v>-13000000</v>
      </c>
      <c r="J3" s="3"/>
    </row>
    <row r="4" spans="1:18" x14ac:dyDescent="0.2">
      <c r="A4" s="177" t="s">
        <v>237</v>
      </c>
      <c r="B4" s="3">
        <v>0</v>
      </c>
      <c r="C4" s="3">
        <v>0</v>
      </c>
      <c r="D4" s="178">
        <v>0</v>
      </c>
      <c r="E4" s="170"/>
      <c r="F4" s="177" t="s">
        <v>237</v>
      </c>
      <c r="G4" s="3">
        <f>-(30/365*G2)*12%</f>
        <v>-167671.23287671231</v>
      </c>
      <c r="H4" s="3">
        <f t="shared" ref="H4:I4" si="2">-(30/365*H2)*12%</f>
        <v>-177534.24657534243</v>
      </c>
      <c r="I4" s="178">
        <f t="shared" si="2"/>
        <v>-197260.27397260271</v>
      </c>
      <c r="J4" s="3"/>
      <c r="K4" s="189" t="s">
        <v>247</v>
      </c>
      <c r="L4" s="189"/>
      <c r="M4" s="189"/>
      <c r="N4" s="189"/>
      <c r="O4" s="189"/>
      <c r="P4" s="189"/>
      <c r="Q4" s="189"/>
      <c r="R4" s="189"/>
    </row>
    <row r="5" spans="1:18" x14ac:dyDescent="0.2">
      <c r="A5" s="177" t="s">
        <v>232</v>
      </c>
      <c r="D5" s="182"/>
      <c r="F5" s="177" t="s">
        <v>232</v>
      </c>
      <c r="G5" s="3">
        <f>-0.5%*G2</f>
        <v>-85000</v>
      </c>
      <c r="H5" s="3">
        <f t="shared" ref="H5:I5" si="3">-0.5%*H2</f>
        <v>-90000</v>
      </c>
      <c r="I5" s="178">
        <f t="shared" si="3"/>
        <v>-100000</v>
      </c>
      <c r="J5" s="3"/>
      <c r="K5" s="189" t="s">
        <v>248</v>
      </c>
      <c r="L5" s="189"/>
      <c r="M5" s="189"/>
      <c r="N5" s="189"/>
      <c r="O5" s="189"/>
      <c r="P5" s="189"/>
      <c r="Q5" s="189"/>
      <c r="R5" s="189"/>
    </row>
    <row r="6" spans="1:18" x14ac:dyDescent="0.2">
      <c r="A6" s="177" t="s">
        <v>233</v>
      </c>
      <c r="D6" s="182"/>
      <c r="F6" s="177" t="s">
        <v>233</v>
      </c>
      <c r="G6" s="3">
        <v>-35000</v>
      </c>
      <c r="H6" s="3">
        <v>-35000</v>
      </c>
      <c r="I6" s="178">
        <v>-35000</v>
      </c>
      <c r="J6" s="3"/>
    </row>
    <row r="7" spans="1:18" x14ac:dyDescent="0.2">
      <c r="A7" s="179" t="s">
        <v>230</v>
      </c>
      <c r="B7" s="180">
        <f>SUM(B2:B6)</f>
        <v>5250000</v>
      </c>
      <c r="C7" s="180">
        <f t="shared" ref="C7:G7" si="4">SUM(C2:C6)</f>
        <v>4200000</v>
      </c>
      <c r="D7" s="181">
        <f t="shared" si="4"/>
        <v>3500000</v>
      </c>
      <c r="E7" s="169"/>
      <c r="F7" s="179" t="s">
        <v>230</v>
      </c>
      <c r="G7" s="180">
        <f t="shared" si="4"/>
        <v>5662328.7671232875</v>
      </c>
      <c r="H7" s="180">
        <f t="shared" ref="H7" si="5">SUM(H2:H6)</f>
        <v>5997465.7534246575</v>
      </c>
      <c r="I7" s="181">
        <f t="shared" ref="I7" si="6">SUM(I2:I6)</f>
        <v>6667739.7260273974</v>
      </c>
      <c r="J7" s="53"/>
    </row>
    <row r="9" spans="1:18" x14ac:dyDescent="0.2">
      <c r="A9" s="188" t="s">
        <v>238</v>
      </c>
      <c r="B9" s="173">
        <v>1</v>
      </c>
      <c r="C9" s="173">
        <v>2</v>
      </c>
      <c r="D9" s="174">
        <v>3</v>
      </c>
      <c r="E9" s="172"/>
      <c r="F9" s="188" t="s">
        <v>238</v>
      </c>
      <c r="G9" s="173">
        <v>1</v>
      </c>
      <c r="H9" s="173">
        <v>2</v>
      </c>
      <c r="I9" s="174">
        <v>3</v>
      </c>
      <c r="J9" s="191"/>
    </row>
    <row r="10" spans="1:18" x14ac:dyDescent="0.2">
      <c r="A10" s="175" t="s">
        <v>0</v>
      </c>
      <c r="B10" s="53">
        <f>30%*B2</f>
        <v>4500000</v>
      </c>
      <c r="C10" s="53">
        <f t="shared" ref="C10:I10" si="7">30%*C2</f>
        <v>3600000</v>
      </c>
      <c r="D10" s="176">
        <f t="shared" si="7"/>
        <v>3000000</v>
      </c>
      <c r="E10" s="169"/>
      <c r="F10" s="175" t="s">
        <v>0</v>
      </c>
      <c r="G10" s="53">
        <f t="shared" si="7"/>
        <v>5100000</v>
      </c>
      <c r="H10" s="53">
        <f t="shared" si="7"/>
        <v>5400000</v>
      </c>
      <c r="I10" s="176">
        <f t="shared" si="7"/>
        <v>6000000</v>
      </c>
      <c r="J10" s="53"/>
      <c r="K10" s="189" t="s">
        <v>244</v>
      </c>
      <c r="L10" s="189"/>
      <c r="M10" s="189"/>
    </row>
    <row r="11" spans="1:18" x14ac:dyDescent="0.2">
      <c r="A11" s="177" t="s">
        <v>87</v>
      </c>
      <c r="B11" s="3">
        <v>30000</v>
      </c>
      <c r="C11" s="3">
        <v>30000</v>
      </c>
      <c r="D11" s="178">
        <v>30000</v>
      </c>
      <c r="E11" s="170"/>
      <c r="F11" s="177" t="s">
        <v>232</v>
      </c>
      <c r="G11" s="3">
        <v>-35000</v>
      </c>
      <c r="H11" s="3">
        <v>-35000</v>
      </c>
      <c r="I11" s="178">
        <v>-35000</v>
      </c>
      <c r="J11" s="3"/>
      <c r="K11" s="168" t="s">
        <v>245</v>
      </c>
      <c r="L11" s="168"/>
      <c r="M11" s="168"/>
      <c r="N11" s="168"/>
      <c r="O11" s="168"/>
      <c r="P11" s="168"/>
      <c r="Q11" s="168"/>
    </row>
    <row r="12" spans="1:18" x14ac:dyDescent="0.2">
      <c r="A12" s="177" t="s">
        <v>2</v>
      </c>
      <c r="B12" s="3">
        <f>-50%*B10</f>
        <v>-2250000</v>
      </c>
      <c r="C12" s="3">
        <f t="shared" ref="C12:D12" si="8">-50%*C10</f>
        <v>-1800000</v>
      </c>
      <c r="D12" s="178">
        <f t="shared" si="8"/>
        <v>-1500000</v>
      </c>
      <c r="E12" s="170"/>
      <c r="F12" s="177" t="s">
        <v>233</v>
      </c>
      <c r="G12" s="3">
        <f>-0.5%*G2</f>
        <v>-85000</v>
      </c>
      <c r="H12" s="3">
        <f t="shared" ref="H12:I12" si="9">-0.5%*H2</f>
        <v>-90000</v>
      </c>
      <c r="I12" s="178">
        <f t="shared" si="9"/>
        <v>-100000</v>
      </c>
      <c r="J12" s="3"/>
      <c r="K12" s="168"/>
      <c r="L12" s="168"/>
      <c r="M12" s="168"/>
      <c r="N12" s="168"/>
      <c r="O12" s="168"/>
      <c r="P12" s="168"/>
      <c r="Q12" s="168"/>
    </row>
    <row r="13" spans="1:18" x14ac:dyDescent="0.2">
      <c r="A13" s="175" t="s">
        <v>234</v>
      </c>
      <c r="B13" s="53">
        <f>SUM(B10:B12)</f>
        <v>2280000</v>
      </c>
      <c r="C13" s="53">
        <f t="shared" ref="C13:D13" si="10">SUM(C10:C12)</f>
        <v>1830000</v>
      </c>
      <c r="D13" s="176">
        <f t="shared" si="10"/>
        <v>1530000</v>
      </c>
      <c r="E13" s="169"/>
      <c r="F13" s="175" t="s">
        <v>240</v>
      </c>
      <c r="G13" s="53">
        <f>SUM(G10:G12)</f>
        <v>4980000</v>
      </c>
      <c r="H13" s="53">
        <f t="shared" ref="H13:I13" si="11">SUM(H10:H12)</f>
        <v>5275000</v>
      </c>
      <c r="I13" s="176">
        <f t="shared" si="11"/>
        <v>5865000</v>
      </c>
      <c r="J13" s="53"/>
      <c r="K13" s="189" t="s">
        <v>246</v>
      </c>
      <c r="L13" s="189"/>
      <c r="M13" s="189"/>
    </row>
    <row r="14" spans="1:18" x14ac:dyDescent="0.2">
      <c r="A14" s="177" t="s">
        <v>223</v>
      </c>
      <c r="B14" s="3">
        <v>0</v>
      </c>
      <c r="C14" s="3">
        <v>0</v>
      </c>
      <c r="D14" s="178">
        <v>0</v>
      </c>
      <c r="E14" s="170"/>
      <c r="F14" s="177" t="s">
        <v>87</v>
      </c>
      <c r="G14" s="3">
        <v>30000</v>
      </c>
      <c r="H14" s="3">
        <v>30000</v>
      </c>
      <c r="I14" s="178">
        <v>30000</v>
      </c>
      <c r="J14" s="3"/>
    </row>
    <row r="15" spans="1:18" x14ac:dyDescent="0.2">
      <c r="A15" s="183" t="s">
        <v>236</v>
      </c>
      <c r="B15" s="3">
        <v>0</v>
      </c>
      <c r="C15" s="3">
        <v>0</v>
      </c>
      <c r="D15" s="178">
        <v>0</v>
      </c>
      <c r="E15" s="170"/>
      <c r="F15" s="177" t="s">
        <v>2</v>
      </c>
      <c r="G15" s="3">
        <f>-50%*G13</f>
        <v>-2490000</v>
      </c>
      <c r="H15" s="3">
        <f t="shared" ref="H15:I15" si="12">-50%*H13</f>
        <v>-2637500</v>
      </c>
      <c r="I15" s="178">
        <f t="shared" si="12"/>
        <v>-2932500</v>
      </c>
      <c r="J15" s="3"/>
    </row>
    <row r="16" spans="1:18" x14ac:dyDescent="0.2">
      <c r="A16" s="175" t="s">
        <v>187</v>
      </c>
      <c r="B16" s="53">
        <f>SUM(B13:B15)</f>
        <v>2280000</v>
      </c>
      <c r="C16" s="53">
        <f>SUM(C13:C15)</f>
        <v>1830000</v>
      </c>
      <c r="D16" s="176">
        <f>SUM(D13:D15)</f>
        <v>1530000</v>
      </c>
      <c r="E16" s="170"/>
      <c r="F16" s="175" t="s">
        <v>234</v>
      </c>
      <c r="G16" s="53">
        <f>SUM(G13:G15)</f>
        <v>2520000</v>
      </c>
      <c r="H16" s="53">
        <f t="shared" ref="H16:I16" si="13">SUM(H13:H15)</f>
        <v>2667500</v>
      </c>
      <c r="I16" s="176">
        <f t="shared" si="13"/>
        <v>2962500</v>
      </c>
      <c r="J16" s="53"/>
    </row>
    <row r="17" spans="1:10" x14ac:dyDescent="0.2">
      <c r="A17" s="177" t="s">
        <v>235</v>
      </c>
      <c r="B17" s="3">
        <f>NPV(12%,B16:D16)</f>
        <v>4583602.8607871709</v>
      </c>
      <c r="D17" s="182"/>
      <c r="F17" s="177" t="s">
        <v>223</v>
      </c>
      <c r="G17" s="3">
        <f>-G18</f>
        <v>-1397260.2739726026</v>
      </c>
      <c r="H17" s="3">
        <f>-(H18-G18)</f>
        <v>-82191.780821917811</v>
      </c>
      <c r="I17" s="178">
        <f>-(I18-H18)</f>
        <v>-164383.56164383562</v>
      </c>
      <c r="J17" s="3"/>
    </row>
    <row r="18" spans="1:10" x14ac:dyDescent="0.2">
      <c r="A18" s="177"/>
      <c r="D18" s="182"/>
      <c r="F18" s="183" t="s">
        <v>236</v>
      </c>
      <c r="G18" s="3">
        <f>30/365*G2</f>
        <v>1397260.2739726026</v>
      </c>
      <c r="H18" s="3">
        <f t="shared" ref="H18:I18" si="14">30/365*H2</f>
        <v>1479452.0547945204</v>
      </c>
      <c r="I18" s="178">
        <f t="shared" si="14"/>
        <v>1643835.616438356</v>
      </c>
      <c r="J18" s="3"/>
    </row>
    <row r="19" spans="1:10" x14ac:dyDescent="0.2">
      <c r="A19" s="177"/>
      <c r="D19" s="182"/>
      <c r="F19" s="175" t="s">
        <v>187</v>
      </c>
      <c r="G19" s="53">
        <f>SUM(G16,G17)</f>
        <v>1122739.7260273974</v>
      </c>
      <c r="H19" s="53">
        <f>SUM(H16,H17)</f>
        <v>2585308.2191780824</v>
      </c>
      <c r="I19" s="176">
        <f>SUM(I16,I17)</f>
        <v>2798116.4383561644</v>
      </c>
      <c r="J19" s="53"/>
    </row>
    <row r="20" spans="1:10" x14ac:dyDescent="0.2">
      <c r="A20" s="184"/>
      <c r="B20" s="186"/>
      <c r="C20" s="186"/>
      <c r="D20" s="187"/>
      <c r="F20" s="184" t="s">
        <v>235</v>
      </c>
      <c r="G20" s="185">
        <f>NPV(12%,G19:I19)</f>
        <v>5055082.0797680616</v>
      </c>
      <c r="H20" s="186"/>
      <c r="I20" s="187"/>
    </row>
    <row r="22" spans="1:10" x14ac:dyDescent="0.2">
      <c r="A22" s="168" t="s">
        <v>241</v>
      </c>
      <c r="B22" s="168"/>
    </row>
    <row r="23" spans="1:10" x14ac:dyDescent="0.2">
      <c r="A23" s="189" t="s">
        <v>242</v>
      </c>
      <c r="B23" s="189"/>
      <c r="C23" s="189"/>
      <c r="D23" s="189"/>
      <c r="E23" s="190"/>
    </row>
    <row r="24" spans="1:10" x14ac:dyDescent="0.2">
      <c r="A24" s="189" t="s">
        <v>243</v>
      </c>
      <c r="B24" s="189"/>
      <c r="C24" s="189"/>
      <c r="D24" s="189"/>
      <c r="E24" s="19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7537-0942-4FA5-9790-0E953E505641}">
  <sheetPr>
    <tabColor theme="7" tint="0.39997558519241921"/>
  </sheetPr>
  <dimension ref="A1:N66"/>
  <sheetViews>
    <sheetView topLeftCell="A14" workbookViewId="0">
      <selection activeCell="E40" sqref="E40"/>
    </sheetView>
  </sheetViews>
  <sheetFormatPr baseColWidth="10" defaultColWidth="8.83203125" defaultRowHeight="15" x14ac:dyDescent="0.2"/>
  <cols>
    <col min="1" max="1" width="2.6640625" style="6" customWidth="1"/>
    <col min="2" max="2" width="22.1640625" customWidth="1"/>
    <col min="7" max="7" width="35.33203125" customWidth="1"/>
  </cols>
  <sheetData>
    <row r="1" spans="1:3" x14ac:dyDescent="0.2">
      <c r="A1" t="s">
        <v>249</v>
      </c>
    </row>
    <row r="2" spans="1:3" x14ac:dyDescent="0.2">
      <c r="A2" s="6">
        <v>1</v>
      </c>
      <c r="B2" t="s">
        <v>67</v>
      </c>
      <c r="C2" s="3">
        <f>900*70%</f>
        <v>630</v>
      </c>
    </row>
    <row r="3" spans="1:3" x14ac:dyDescent="0.2">
      <c r="B3" t="s">
        <v>18</v>
      </c>
      <c r="C3" s="192">
        <f>C2/8000</f>
        <v>7.8750000000000001E-2</v>
      </c>
    </row>
    <row r="4" spans="1:3" x14ac:dyDescent="0.2">
      <c r="A4" s="6">
        <v>2</v>
      </c>
      <c r="B4" t="s">
        <v>250</v>
      </c>
    </row>
    <row r="5" spans="1:3" x14ac:dyDescent="0.2">
      <c r="A5" s="6">
        <v>3</v>
      </c>
      <c r="B5" t="s">
        <v>250</v>
      </c>
    </row>
    <row r="6" spans="1:3" x14ac:dyDescent="0.2">
      <c r="A6" s="6">
        <v>4</v>
      </c>
      <c r="B6" t="s">
        <v>21</v>
      </c>
      <c r="C6" s="4">
        <f>(700*(1-40%)/SUM(C7:C8))</f>
        <v>0.10396039603960396</v>
      </c>
    </row>
    <row r="7" spans="1:3" x14ac:dyDescent="0.2">
      <c r="B7" t="s">
        <v>251</v>
      </c>
      <c r="C7" s="3">
        <f>800+600</f>
        <v>1400</v>
      </c>
    </row>
    <row r="8" spans="1:3" x14ac:dyDescent="0.2">
      <c r="B8" t="s">
        <v>162</v>
      </c>
      <c r="C8" s="3">
        <f>2640</f>
        <v>2640</v>
      </c>
    </row>
    <row r="9" spans="1:3" x14ac:dyDescent="0.2">
      <c r="A9" s="6">
        <v>5</v>
      </c>
    </row>
    <row r="10" spans="1:3" x14ac:dyDescent="0.2">
      <c r="B10" t="s">
        <v>221</v>
      </c>
      <c r="C10" s="3">
        <v>100</v>
      </c>
    </row>
    <row r="11" spans="1:3" x14ac:dyDescent="0.2">
      <c r="B11" t="s">
        <v>66</v>
      </c>
      <c r="C11" s="3">
        <v>70</v>
      </c>
    </row>
    <row r="12" spans="1:3" x14ac:dyDescent="0.2">
      <c r="B12" t="s">
        <v>252</v>
      </c>
      <c r="C12" s="3">
        <v>30</v>
      </c>
    </row>
    <row r="13" spans="1:3" x14ac:dyDescent="0.2">
      <c r="B13" t="s">
        <v>222</v>
      </c>
      <c r="C13" s="3">
        <v>100</v>
      </c>
    </row>
    <row r="14" spans="1:3" x14ac:dyDescent="0.2">
      <c r="B14" t="s">
        <v>113</v>
      </c>
      <c r="C14" s="3">
        <v>60</v>
      </c>
    </row>
    <row r="15" spans="1:3" x14ac:dyDescent="0.2">
      <c r="B15" t="s">
        <v>253</v>
      </c>
      <c r="C15" s="53">
        <f>SUM(C10:C12)-SUM(C13:C14)</f>
        <v>40</v>
      </c>
    </row>
    <row r="16" spans="1:3" x14ac:dyDescent="0.2">
      <c r="A16" s="6">
        <v>6</v>
      </c>
    </row>
    <row r="17" spans="1:14" x14ac:dyDescent="0.2">
      <c r="B17" t="s">
        <v>105</v>
      </c>
      <c r="C17" s="3">
        <v>40000</v>
      </c>
    </row>
    <row r="18" spans="1:14" x14ac:dyDescent="0.2">
      <c r="B18" t="s">
        <v>2</v>
      </c>
      <c r="C18" s="3">
        <f>-15000</f>
        <v>-15000</v>
      </c>
    </row>
    <row r="19" spans="1:14" x14ac:dyDescent="0.2">
      <c r="B19" t="s">
        <v>185</v>
      </c>
      <c r="C19" s="3">
        <f>SUM(C17:C18)</f>
        <v>25000</v>
      </c>
    </row>
    <row r="20" spans="1:14" x14ac:dyDescent="0.2">
      <c r="A20" s="6">
        <v>7</v>
      </c>
    </row>
    <row r="21" spans="1:14" x14ac:dyDescent="0.2">
      <c r="B21" t="s">
        <v>254</v>
      </c>
      <c r="C21" s="3">
        <f>60-80</f>
        <v>-20</v>
      </c>
    </row>
    <row r="22" spans="1:14" x14ac:dyDescent="0.2">
      <c r="B22" t="s">
        <v>255</v>
      </c>
      <c r="C22" s="3">
        <v>20</v>
      </c>
    </row>
    <row r="23" spans="1:14" x14ac:dyDescent="0.2">
      <c r="B23" t="s">
        <v>13</v>
      </c>
      <c r="C23" s="53">
        <f>C22-C21</f>
        <v>40</v>
      </c>
    </row>
    <row r="24" spans="1:14" x14ac:dyDescent="0.2">
      <c r="A24" s="6">
        <v>8</v>
      </c>
    </row>
    <row r="25" spans="1:14" x14ac:dyDescent="0.2">
      <c r="C25" s="193">
        <v>1</v>
      </c>
      <c r="D25" s="193">
        <f>C25+1</f>
        <v>2</v>
      </c>
      <c r="E25" s="193"/>
      <c r="F25" s="193"/>
      <c r="G25" s="193"/>
      <c r="H25" s="193"/>
      <c r="I25" s="193"/>
      <c r="J25" s="193"/>
      <c r="K25" s="193"/>
      <c r="L25" s="193"/>
      <c r="M25" s="193"/>
      <c r="N25" s="193"/>
    </row>
    <row r="26" spans="1:14" x14ac:dyDescent="0.2">
      <c r="B26" t="s">
        <v>257</v>
      </c>
      <c r="C26" s="3">
        <v>12000</v>
      </c>
      <c r="D26" s="3">
        <v>14000</v>
      </c>
      <c r="E26" s="3"/>
    </row>
    <row r="27" spans="1:14" x14ac:dyDescent="0.2">
      <c r="A27" s="6">
        <v>9</v>
      </c>
    </row>
    <row r="28" spans="1:14" x14ac:dyDescent="0.2">
      <c r="A28" s="6" t="s">
        <v>258</v>
      </c>
    </row>
    <row r="29" spans="1:14" x14ac:dyDescent="0.2">
      <c r="C29" t="s">
        <v>28</v>
      </c>
      <c r="D29" t="s">
        <v>25</v>
      </c>
      <c r="E29" t="s">
        <v>26</v>
      </c>
      <c r="F29" t="s">
        <v>27</v>
      </c>
    </row>
    <row r="30" spans="1:14" x14ac:dyDescent="0.2">
      <c r="B30" s="2" t="s">
        <v>256</v>
      </c>
    </row>
    <row r="31" spans="1:14" x14ac:dyDescent="0.2">
      <c r="B31" t="s">
        <v>259</v>
      </c>
      <c r="C31" s="3">
        <v>20000</v>
      </c>
      <c r="D31" s="3">
        <v>50000</v>
      </c>
      <c r="E31" s="3">
        <v>50000</v>
      </c>
      <c r="F31" s="3">
        <v>40000</v>
      </c>
    </row>
    <row r="32" spans="1:14" x14ac:dyDescent="0.2">
      <c r="B32" s="2" t="s">
        <v>257</v>
      </c>
    </row>
    <row r="33" spans="1:8" x14ac:dyDescent="0.2">
      <c r="B33" t="s">
        <v>157</v>
      </c>
      <c r="C33" s="3">
        <v>-30000</v>
      </c>
      <c r="D33" s="3">
        <v>-30000</v>
      </c>
      <c r="E33" s="3">
        <v>-30000</v>
      </c>
      <c r="F33" s="3">
        <v>-22000</v>
      </c>
    </row>
    <row r="34" spans="1:8" x14ac:dyDescent="0.2">
      <c r="B34" t="s">
        <v>33</v>
      </c>
      <c r="C34" s="3">
        <v>-9000</v>
      </c>
      <c r="D34" s="3">
        <v>-9000</v>
      </c>
      <c r="E34" s="3">
        <v>-9000</v>
      </c>
      <c r="F34" s="3">
        <v>-11000</v>
      </c>
    </row>
    <row r="35" spans="1:8" x14ac:dyDescent="0.2">
      <c r="B35" t="s">
        <v>260</v>
      </c>
      <c r="C35" s="3">
        <v>-2000</v>
      </c>
      <c r="D35" s="3">
        <v>-2000</v>
      </c>
      <c r="E35" s="3">
        <v>-2000</v>
      </c>
      <c r="F35" s="3">
        <v>-4000</v>
      </c>
    </row>
    <row r="36" spans="1:8" x14ac:dyDescent="0.2">
      <c r="B36" s="2" t="s">
        <v>261</v>
      </c>
      <c r="C36" s="3">
        <f>SUM(C31,C33:C35)</f>
        <v>-21000</v>
      </c>
      <c r="D36" s="3">
        <f>SUM(D31,D33:D35)</f>
        <v>9000</v>
      </c>
      <c r="E36" s="3">
        <f>SUM(E31,E33:E35)</f>
        <v>9000</v>
      </c>
      <c r="F36" s="3">
        <f>SUM(F31,F33:F35)</f>
        <v>3000</v>
      </c>
    </row>
    <row r="37" spans="1:8" x14ac:dyDescent="0.2">
      <c r="A37" s="6" t="s">
        <v>262</v>
      </c>
    </row>
    <row r="38" spans="1:8" x14ac:dyDescent="0.2">
      <c r="B38" t="s">
        <v>263</v>
      </c>
      <c r="C38" s="3">
        <f>21000-2500</f>
        <v>18500</v>
      </c>
    </row>
    <row r="39" spans="1:8" x14ac:dyDescent="0.2">
      <c r="A39" s="6" t="s">
        <v>264</v>
      </c>
    </row>
    <row r="40" spans="1:8" x14ac:dyDescent="0.2">
      <c r="B40" t="s">
        <v>265</v>
      </c>
      <c r="C40">
        <v>100</v>
      </c>
    </row>
    <row r="41" spans="1:8" x14ac:dyDescent="0.2">
      <c r="B41" t="s">
        <v>266</v>
      </c>
      <c r="C41" s="3">
        <f>C38</f>
        <v>18500</v>
      </c>
    </row>
    <row r="42" spans="1:8" x14ac:dyDescent="0.2">
      <c r="B42" t="s">
        <v>267</v>
      </c>
      <c r="C42" s="36">
        <v>0.1</v>
      </c>
    </row>
    <row r="43" spans="1:8" x14ac:dyDescent="0.2">
      <c r="B43" t="s">
        <v>268</v>
      </c>
      <c r="C43" s="194">
        <f>(SUM(C40:C41)/2)*(C42/12)</f>
        <v>77.5</v>
      </c>
    </row>
    <row r="45" spans="1:8" x14ac:dyDescent="0.2">
      <c r="A45" t="s">
        <v>269</v>
      </c>
    </row>
    <row r="46" spans="1:8" x14ac:dyDescent="0.2">
      <c r="B46" t="s">
        <v>167</v>
      </c>
      <c r="G46" t="s">
        <v>184</v>
      </c>
    </row>
    <row r="47" spans="1:8" x14ac:dyDescent="0.2">
      <c r="B47" t="s">
        <v>270</v>
      </c>
      <c r="C47" s="3">
        <v>700</v>
      </c>
      <c r="G47" s="2" t="s">
        <v>0</v>
      </c>
      <c r="H47" s="3">
        <f>C51</f>
        <v>92</v>
      </c>
    </row>
    <row r="48" spans="1:8" x14ac:dyDescent="0.2">
      <c r="B48" t="s">
        <v>168</v>
      </c>
      <c r="C48" s="3">
        <v>-555</v>
      </c>
      <c r="G48" t="s">
        <v>118</v>
      </c>
      <c r="H48" s="3">
        <f>C59</f>
        <v>39</v>
      </c>
    </row>
    <row r="49" spans="2:8" x14ac:dyDescent="0.2">
      <c r="B49" t="s">
        <v>271</v>
      </c>
      <c r="C49" s="3">
        <f>SUM(C47:C48)</f>
        <v>145</v>
      </c>
      <c r="G49" t="s">
        <v>2</v>
      </c>
      <c r="H49" s="3">
        <f>C56</f>
        <v>-5</v>
      </c>
    </row>
    <row r="50" spans="2:8" x14ac:dyDescent="0.2">
      <c r="B50" t="s">
        <v>272</v>
      </c>
      <c r="C50" s="3">
        <v>-53</v>
      </c>
      <c r="G50" s="2" t="s">
        <v>185</v>
      </c>
      <c r="H50" s="3">
        <f>SUM(H47:H49)</f>
        <v>126</v>
      </c>
    </row>
    <row r="51" spans="2:8" x14ac:dyDescent="0.2">
      <c r="B51" t="s">
        <v>0</v>
      </c>
      <c r="C51" s="3">
        <f>SUM(C49:C50)</f>
        <v>92</v>
      </c>
      <c r="G51" t="s">
        <v>186</v>
      </c>
      <c r="H51" s="3">
        <f>105-27</f>
        <v>78</v>
      </c>
    </row>
    <row r="52" spans="2:8" x14ac:dyDescent="0.2">
      <c r="B52" t="s">
        <v>58</v>
      </c>
      <c r="C52" s="3">
        <v>-39</v>
      </c>
      <c r="G52" s="2" t="s">
        <v>276</v>
      </c>
      <c r="H52" s="3">
        <f>H50-H51</f>
        <v>48</v>
      </c>
    </row>
    <row r="53" spans="2:8" x14ac:dyDescent="0.2">
      <c r="B53" t="s">
        <v>273</v>
      </c>
      <c r="C53" s="3">
        <v>-1</v>
      </c>
      <c r="G53" t="s">
        <v>277</v>
      </c>
      <c r="H53" s="3">
        <v>-86</v>
      </c>
    </row>
    <row r="54" spans="2:8" x14ac:dyDescent="0.2">
      <c r="B54" t="s">
        <v>274</v>
      </c>
      <c r="C54" s="3">
        <v>-14</v>
      </c>
      <c r="G54" t="s">
        <v>118</v>
      </c>
      <c r="H54" s="3">
        <f>-C59</f>
        <v>-39</v>
      </c>
    </row>
    <row r="55" spans="2:8" x14ac:dyDescent="0.2">
      <c r="B55" t="s">
        <v>93</v>
      </c>
      <c r="C55" s="3">
        <f>SUM(C51:C54)</f>
        <v>38</v>
      </c>
      <c r="G55" s="2" t="s">
        <v>278</v>
      </c>
      <c r="H55" s="3">
        <f>SUM(H52:H54)</f>
        <v>-77</v>
      </c>
    </row>
    <row r="56" spans="2:8" x14ac:dyDescent="0.2">
      <c r="B56" t="s">
        <v>2</v>
      </c>
      <c r="C56" s="3">
        <v>-5</v>
      </c>
      <c r="G56" t="s">
        <v>279</v>
      </c>
      <c r="H56" s="3">
        <f>SUM(H57:H60)</f>
        <v>135</v>
      </c>
    </row>
    <row r="57" spans="2:8" x14ac:dyDescent="0.2">
      <c r="B57" t="s">
        <v>275</v>
      </c>
      <c r="C57" s="3">
        <f>SUM(C55:C56)</f>
        <v>33</v>
      </c>
      <c r="G57" s="1" t="s">
        <v>281</v>
      </c>
      <c r="H57" s="3">
        <f>31+14</f>
        <v>45</v>
      </c>
    </row>
    <row r="58" spans="2:8" x14ac:dyDescent="0.2">
      <c r="G58" s="1" t="s">
        <v>282</v>
      </c>
      <c r="H58" s="3">
        <f>11</f>
        <v>11</v>
      </c>
    </row>
    <row r="59" spans="2:8" x14ac:dyDescent="0.2">
      <c r="B59" t="s">
        <v>118</v>
      </c>
      <c r="C59" s="3">
        <v>39</v>
      </c>
      <c r="G59" s="1" t="s">
        <v>283</v>
      </c>
      <c r="H59" s="3">
        <f>40</f>
        <v>40</v>
      </c>
    </row>
    <row r="60" spans="2:8" x14ac:dyDescent="0.2">
      <c r="G60" s="1" t="s">
        <v>287</v>
      </c>
      <c r="H60" s="3">
        <v>39</v>
      </c>
    </row>
    <row r="61" spans="2:8" x14ac:dyDescent="0.2">
      <c r="G61" s="2" t="s">
        <v>280</v>
      </c>
      <c r="H61" s="3">
        <f>SUM(H55,H56,)</f>
        <v>58</v>
      </c>
    </row>
    <row r="62" spans="2:8" x14ac:dyDescent="0.2">
      <c r="G62" t="s">
        <v>284</v>
      </c>
      <c r="H62" s="3">
        <f>C52</f>
        <v>-39</v>
      </c>
    </row>
    <row r="63" spans="2:8" x14ac:dyDescent="0.2">
      <c r="G63" t="s">
        <v>273</v>
      </c>
      <c r="H63" s="3">
        <f>C53</f>
        <v>-1</v>
      </c>
    </row>
    <row r="64" spans="2:8" x14ac:dyDescent="0.2">
      <c r="G64" t="s">
        <v>285</v>
      </c>
      <c r="H64" s="3">
        <f>C54</f>
        <v>-14</v>
      </c>
    </row>
    <row r="65" spans="7:8" x14ac:dyDescent="0.2">
      <c r="G65" t="s">
        <v>13</v>
      </c>
      <c r="H65" s="3">
        <f>-(24-19)</f>
        <v>-5</v>
      </c>
    </row>
    <row r="66" spans="7:8" x14ac:dyDescent="0.2">
      <c r="G66" s="2" t="s">
        <v>286</v>
      </c>
      <c r="H66" s="3">
        <f>SUM(H61:H65)</f>
        <v>-1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CB86-620F-4225-A562-4158BFF41943}">
  <dimension ref="A1:U74"/>
  <sheetViews>
    <sheetView showGridLines="0" zoomScale="80" zoomScaleNormal="80"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D24" sqref="D24"/>
    </sheetView>
  </sheetViews>
  <sheetFormatPr baseColWidth="10" defaultColWidth="8.83203125" defaultRowHeight="13" x14ac:dyDescent="0.2"/>
  <cols>
    <col min="1" max="1" width="40.5" style="61" bestFit="1" customWidth="1"/>
    <col min="2" max="2" width="11.6640625" style="84" bestFit="1" customWidth="1"/>
    <col min="3" max="3" width="10.1640625" style="84" bestFit="1" customWidth="1"/>
    <col min="4" max="7" width="11.5" style="84" bestFit="1" customWidth="1"/>
    <col min="8" max="8" width="11.6640625" style="84" bestFit="1" customWidth="1"/>
    <col min="9" max="9" width="3.1640625" style="61" customWidth="1"/>
    <col min="10" max="16384" width="8.83203125" style="61"/>
  </cols>
  <sheetData>
    <row r="1" spans="1:21" x14ac:dyDescent="0.2">
      <c r="A1" s="202" t="s">
        <v>289</v>
      </c>
      <c r="B1" s="203">
        <v>0</v>
      </c>
      <c r="C1" s="204">
        <f>B1+1</f>
        <v>1</v>
      </c>
      <c r="D1" s="204">
        <f t="shared" ref="D1:H1" si="0">C1+1</f>
        <v>2</v>
      </c>
      <c r="E1" s="204">
        <f t="shared" si="0"/>
        <v>3</v>
      </c>
      <c r="F1" s="204">
        <f t="shared" si="0"/>
        <v>4</v>
      </c>
      <c r="G1" s="204">
        <f t="shared" si="0"/>
        <v>5</v>
      </c>
      <c r="H1" s="205">
        <f t="shared" si="0"/>
        <v>6</v>
      </c>
      <c r="J1" s="243" t="s">
        <v>328</v>
      </c>
      <c r="K1" s="243"/>
    </row>
    <row r="2" spans="1:21" s="84" customFormat="1" x14ac:dyDescent="0.2">
      <c r="A2" s="212" t="s">
        <v>291</v>
      </c>
      <c r="B2" s="196">
        <v>300000</v>
      </c>
      <c r="H2" s="107"/>
      <c r="J2" s="244" t="s">
        <v>329</v>
      </c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</row>
    <row r="3" spans="1:21" s="84" customFormat="1" x14ac:dyDescent="0.2">
      <c r="A3" s="212" t="s">
        <v>292</v>
      </c>
      <c r="B3" s="196">
        <v>150000</v>
      </c>
      <c r="H3" s="107"/>
      <c r="J3" s="244" t="s">
        <v>330</v>
      </c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</row>
    <row r="4" spans="1:21" s="84" customFormat="1" x14ac:dyDescent="0.2">
      <c r="A4" s="212" t="s">
        <v>290</v>
      </c>
      <c r="B4" s="196">
        <v>200000</v>
      </c>
      <c r="H4" s="107"/>
    </row>
    <row r="5" spans="1:21" x14ac:dyDescent="0.2">
      <c r="A5" s="212" t="s">
        <v>32</v>
      </c>
      <c r="B5" s="61"/>
      <c r="C5" s="196">
        <v>250000</v>
      </c>
      <c r="D5" s="61"/>
      <c r="E5" s="61"/>
      <c r="F5" s="61"/>
      <c r="G5" s="61"/>
      <c r="H5" s="62"/>
    </row>
    <row r="6" spans="1:21" x14ac:dyDescent="0.2">
      <c r="A6" s="212" t="s">
        <v>306</v>
      </c>
      <c r="B6" s="61"/>
      <c r="C6" s="61"/>
      <c r="D6" s="224">
        <v>1</v>
      </c>
      <c r="E6" s="224">
        <v>1</v>
      </c>
      <c r="F6" s="224">
        <v>0.5</v>
      </c>
      <c r="G6" s="224">
        <v>0.2</v>
      </c>
      <c r="H6" s="225">
        <v>0.2</v>
      </c>
    </row>
    <row r="7" spans="1:21" x14ac:dyDescent="0.2">
      <c r="A7" s="212" t="s">
        <v>313</v>
      </c>
      <c r="B7" s="226">
        <v>1.2</v>
      </c>
      <c r="C7" s="227">
        <v>1.2</v>
      </c>
      <c r="D7" s="227">
        <v>1.2</v>
      </c>
      <c r="E7" s="227">
        <v>1.2</v>
      </c>
      <c r="F7" s="227">
        <v>1.2</v>
      </c>
      <c r="G7" s="227">
        <v>1.2</v>
      </c>
      <c r="H7" s="228">
        <v>1.2</v>
      </c>
    </row>
    <row r="8" spans="1:21" x14ac:dyDescent="0.2">
      <c r="A8" s="212" t="s">
        <v>314</v>
      </c>
      <c r="B8" s="224">
        <v>0.2</v>
      </c>
      <c r="C8" s="61"/>
      <c r="D8" s="61"/>
      <c r="E8" s="61"/>
      <c r="F8" s="61"/>
      <c r="G8" s="61"/>
      <c r="H8" s="62"/>
    </row>
    <row r="9" spans="1:21" x14ac:dyDescent="0.2">
      <c r="A9" s="212" t="s">
        <v>315</v>
      </c>
      <c r="B9" s="224">
        <v>0.25</v>
      </c>
      <c r="C9" s="61"/>
      <c r="D9" s="61"/>
      <c r="E9" s="61"/>
      <c r="F9" s="61"/>
      <c r="G9" s="61"/>
      <c r="H9" s="62"/>
    </row>
    <row r="10" spans="1:21" x14ac:dyDescent="0.2">
      <c r="A10" s="212" t="s">
        <v>317</v>
      </c>
      <c r="B10" s="224">
        <v>0.12</v>
      </c>
      <c r="C10" s="61"/>
      <c r="D10" s="61"/>
      <c r="E10" s="61"/>
      <c r="F10" s="61"/>
      <c r="G10" s="61"/>
      <c r="H10" s="62"/>
    </row>
    <row r="11" spans="1:21" x14ac:dyDescent="0.2">
      <c r="A11" s="212" t="s">
        <v>318</v>
      </c>
      <c r="B11" s="224">
        <v>7.0000000000000007E-2</v>
      </c>
      <c r="C11" s="61"/>
      <c r="D11" s="61"/>
      <c r="E11" s="61"/>
      <c r="F11" s="61"/>
      <c r="G11" s="61"/>
      <c r="H11" s="62"/>
    </row>
    <row r="12" spans="1:21" x14ac:dyDescent="0.2">
      <c r="A12" s="212" t="s">
        <v>267</v>
      </c>
      <c r="B12" s="224">
        <v>0.09</v>
      </c>
      <c r="C12" s="61"/>
      <c r="D12" s="61"/>
      <c r="F12" s="61"/>
      <c r="G12" s="61"/>
      <c r="H12" s="62"/>
    </row>
    <row r="13" spans="1:21" x14ac:dyDescent="0.2">
      <c r="A13" s="212" t="s">
        <v>319</v>
      </c>
      <c r="B13" s="224">
        <v>0.35</v>
      </c>
      <c r="C13" s="61"/>
      <c r="D13" s="61"/>
      <c r="F13" s="61"/>
      <c r="G13" s="61"/>
      <c r="H13" s="62"/>
    </row>
    <row r="14" spans="1:21" x14ac:dyDescent="0.2">
      <c r="A14" s="212" t="s">
        <v>320</v>
      </c>
      <c r="B14" s="224">
        <v>0.2</v>
      </c>
      <c r="C14" s="61"/>
      <c r="D14" s="61"/>
      <c r="F14" s="61"/>
      <c r="G14" s="61"/>
      <c r="H14" s="62"/>
    </row>
    <row r="15" spans="1:21" x14ac:dyDescent="0.2">
      <c r="A15" s="212" t="s">
        <v>321</v>
      </c>
      <c r="B15" s="224">
        <v>0.15</v>
      </c>
      <c r="C15" s="61"/>
      <c r="D15" s="61"/>
      <c r="E15" s="61"/>
      <c r="F15" s="61"/>
      <c r="G15" s="61"/>
      <c r="H15" s="62"/>
    </row>
    <row r="16" spans="1:21" x14ac:dyDescent="0.2">
      <c r="A16" s="212" t="s">
        <v>322</v>
      </c>
      <c r="B16" s="224">
        <v>0.08</v>
      </c>
      <c r="C16" s="61"/>
      <c r="D16" s="61"/>
      <c r="E16" s="61"/>
      <c r="F16" s="61"/>
      <c r="G16" s="61"/>
      <c r="H16" s="62"/>
    </row>
    <row r="17" spans="1:8" x14ac:dyDescent="0.2">
      <c r="A17" s="212" t="s">
        <v>323</v>
      </c>
      <c r="B17" s="224">
        <v>0.05</v>
      </c>
      <c r="C17" s="61"/>
      <c r="D17" s="61"/>
      <c r="E17" s="61"/>
      <c r="F17" s="61"/>
      <c r="G17" s="61"/>
      <c r="H17" s="62"/>
    </row>
    <row r="18" spans="1:8" x14ac:dyDescent="0.2">
      <c r="A18" s="229" t="s">
        <v>324</v>
      </c>
      <c r="B18" s="230">
        <v>0.2</v>
      </c>
      <c r="C18" s="231"/>
      <c r="D18" s="231"/>
      <c r="E18" s="231"/>
      <c r="F18" s="231"/>
      <c r="G18" s="231"/>
      <c r="H18" s="63"/>
    </row>
    <row r="19" spans="1:8" x14ac:dyDescent="0.2">
      <c r="A19" s="112"/>
      <c r="B19" s="61"/>
      <c r="C19" s="61"/>
      <c r="D19" s="61"/>
      <c r="E19" s="61"/>
      <c r="F19" s="61"/>
      <c r="G19" s="61"/>
      <c r="H19" s="61"/>
    </row>
    <row r="20" spans="1:8" x14ac:dyDescent="0.2">
      <c r="A20" s="202" t="s">
        <v>288</v>
      </c>
      <c r="B20" s="203">
        <v>0</v>
      </c>
      <c r="C20" s="204">
        <f>B20+1</f>
        <v>1</v>
      </c>
      <c r="D20" s="204">
        <f t="shared" ref="D20:H20" si="1">C20+1</f>
        <v>2</v>
      </c>
      <c r="E20" s="204">
        <f t="shared" si="1"/>
        <v>3</v>
      </c>
      <c r="F20" s="204">
        <f t="shared" si="1"/>
        <v>4</v>
      </c>
      <c r="G20" s="204">
        <f t="shared" si="1"/>
        <v>5</v>
      </c>
      <c r="H20" s="205">
        <f t="shared" si="1"/>
        <v>6</v>
      </c>
    </row>
    <row r="21" spans="1:8" x14ac:dyDescent="0.2">
      <c r="A21" s="206" t="s">
        <v>139</v>
      </c>
      <c r="B21" s="61"/>
      <c r="C21" s="61"/>
      <c r="D21" s="61"/>
      <c r="E21" s="61"/>
      <c r="F21" s="61"/>
      <c r="G21" s="61"/>
      <c r="H21" s="62"/>
    </row>
    <row r="22" spans="1:8" s="144" customFormat="1" x14ac:dyDescent="0.2">
      <c r="A22" s="206" t="s">
        <v>143</v>
      </c>
      <c r="B22" s="197">
        <f>SUM(B23:B25)</f>
        <v>50000</v>
      </c>
      <c r="C22" s="197">
        <f t="shared" ref="C22:G22" si="2">SUM(C23:C25)</f>
        <v>109375</v>
      </c>
      <c r="D22" s="197">
        <f t="shared" si="2"/>
        <v>168750</v>
      </c>
      <c r="E22" s="197">
        <f t="shared" si="2"/>
        <v>287500</v>
      </c>
      <c r="F22" s="197">
        <f t="shared" si="2"/>
        <v>406250</v>
      </c>
      <c r="G22" s="197">
        <f t="shared" si="2"/>
        <v>477500</v>
      </c>
      <c r="H22" s="207"/>
    </row>
    <row r="23" spans="1:8" x14ac:dyDescent="0.2">
      <c r="A23" s="208" t="s">
        <v>293</v>
      </c>
      <c r="B23" s="196">
        <v>50000</v>
      </c>
      <c r="C23" s="198">
        <f>IF($B$18*C49&gt;50000,50000,$B$18*C49)</f>
        <v>50000</v>
      </c>
      <c r="D23" s="198">
        <f t="shared" ref="D23:G23" si="3">IF($B$18*D49&gt;50000,50000,$B$18*D49)</f>
        <v>50000</v>
      </c>
      <c r="E23" s="198">
        <f t="shared" si="3"/>
        <v>50000</v>
      </c>
      <c r="F23" s="198">
        <f t="shared" si="3"/>
        <v>50000</v>
      </c>
      <c r="G23" s="198">
        <f t="shared" si="3"/>
        <v>50000</v>
      </c>
      <c r="H23" s="209"/>
    </row>
    <row r="24" spans="1:8" x14ac:dyDescent="0.2">
      <c r="A24" s="208" t="s">
        <v>45</v>
      </c>
      <c r="B24" s="198">
        <f>$B$14*B49</f>
        <v>0</v>
      </c>
      <c r="C24" s="198">
        <f t="shared" ref="C24:G24" si="4">$B$14*C49</f>
        <v>50000</v>
      </c>
      <c r="D24" s="198">
        <f t="shared" si="4"/>
        <v>100000</v>
      </c>
      <c r="E24" s="198">
        <f t="shared" si="4"/>
        <v>200000</v>
      </c>
      <c r="F24" s="198">
        <f t="shared" si="4"/>
        <v>300000</v>
      </c>
      <c r="G24" s="198">
        <f t="shared" si="4"/>
        <v>360000</v>
      </c>
      <c r="H24" s="209"/>
    </row>
    <row r="25" spans="1:8" x14ac:dyDescent="0.2">
      <c r="A25" s="208" t="s">
        <v>66</v>
      </c>
      <c r="B25" s="198">
        <f>-$B$15*B50</f>
        <v>0</v>
      </c>
      <c r="C25" s="198">
        <f t="shared" ref="C25:G25" si="5">-$B$15*C50</f>
        <v>9375</v>
      </c>
      <c r="D25" s="198">
        <f t="shared" si="5"/>
        <v>18750</v>
      </c>
      <c r="E25" s="198">
        <f t="shared" si="5"/>
        <v>37500</v>
      </c>
      <c r="F25" s="198">
        <f t="shared" si="5"/>
        <v>56250</v>
      </c>
      <c r="G25" s="198">
        <f t="shared" si="5"/>
        <v>67500</v>
      </c>
      <c r="H25" s="209"/>
    </row>
    <row r="26" spans="1:8" s="144" customFormat="1" x14ac:dyDescent="0.2">
      <c r="A26" s="206" t="s">
        <v>294</v>
      </c>
      <c r="B26" s="197">
        <f>B27</f>
        <v>600000</v>
      </c>
      <c r="C26" s="197">
        <f t="shared" ref="C26:G26" si="6">C27</f>
        <v>600000</v>
      </c>
      <c r="D26" s="197">
        <f t="shared" si="6"/>
        <v>1200000</v>
      </c>
      <c r="E26" s="197">
        <f t="shared" si="6"/>
        <v>1800000</v>
      </c>
      <c r="F26" s="197">
        <f t="shared" si="6"/>
        <v>2160000</v>
      </c>
      <c r="G26" s="197">
        <f t="shared" si="6"/>
        <v>2592000</v>
      </c>
      <c r="H26" s="207"/>
    </row>
    <row r="27" spans="1:8" x14ac:dyDescent="0.2">
      <c r="A27" s="208" t="s">
        <v>295</v>
      </c>
      <c r="B27" s="198">
        <f>B44</f>
        <v>600000</v>
      </c>
      <c r="C27" s="198">
        <f>C44</f>
        <v>600000</v>
      </c>
      <c r="D27" s="198">
        <f t="shared" ref="D27:G27" si="7">D44</f>
        <v>1200000</v>
      </c>
      <c r="E27" s="198">
        <f t="shared" si="7"/>
        <v>1800000</v>
      </c>
      <c r="F27" s="198">
        <f t="shared" si="7"/>
        <v>2160000</v>
      </c>
      <c r="G27" s="198">
        <f t="shared" si="7"/>
        <v>2592000</v>
      </c>
      <c r="H27" s="209"/>
    </row>
    <row r="28" spans="1:8" s="144" customFormat="1" x14ac:dyDescent="0.2">
      <c r="A28" s="210" t="s">
        <v>303</v>
      </c>
      <c r="B28" s="199">
        <f t="shared" ref="B28:G28" si="8">SUM(B26,B22)</f>
        <v>650000</v>
      </c>
      <c r="C28" s="199">
        <f t="shared" si="8"/>
        <v>709375</v>
      </c>
      <c r="D28" s="199">
        <f t="shared" si="8"/>
        <v>1368750</v>
      </c>
      <c r="E28" s="199">
        <f t="shared" si="8"/>
        <v>2087500</v>
      </c>
      <c r="F28" s="199">
        <f t="shared" si="8"/>
        <v>2566250</v>
      </c>
      <c r="G28" s="199">
        <f t="shared" si="8"/>
        <v>3069500</v>
      </c>
      <c r="H28" s="211"/>
    </row>
    <row r="29" spans="1:8" x14ac:dyDescent="0.2">
      <c r="A29" s="212"/>
      <c r="H29" s="107"/>
    </row>
    <row r="30" spans="1:8" x14ac:dyDescent="0.2">
      <c r="A30" s="206" t="s">
        <v>299</v>
      </c>
      <c r="B30" s="197">
        <f>SUM(B31,B35)</f>
        <v>200000</v>
      </c>
      <c r="C30" s="197">
        <f t="shared" ref="C30:G30" si="9">SUM(C31,C35)</f>
        <v>357375</v>
      </c>
      <c r="D30" s="197">
        <f t="shared" si="9"/>
        <v>1013781.125</v>
      </c>
      <c r="E30" s="197">
        <f t="shared" si="9"/>
        <v>1682206.6958125001</v>
      </c>
      <c r="F30" s="197">
        <f t="shared" si="9"/>
        <v>2082848.5375175313</v>
      </c>
      <c r="G30" s="197">
        <f t="shared" si="9"/>
        <v>2529354.1019623065</v>
      </c>
      <c r="H30" s="207"/>
    </row>
    <row r="31" spans="1:8" s="144" customFormat="1" x14ac:dyDescent="0.2">
      <c r="A31" s="206" t="s">
        <v>144</v>
      </c>
      <c r="B31" s="197">
        <f>SUM(B32:B34)</f>
        <v>0</v>
      </c>
      <c r="C31" s="197">
        <f t="shared" ref="C31:G31" si="10">SUM(C32:C34)</f>
        <v>8125</v>
      </c>
      <c r="D31" s="197">
        <f t="shared" si="10"/>
        <v>16250</v>
      </c>
      <c r="E31" s="197">
        <f t="shared" si="10"/>
        <v>32500</v>
      </c>
      <c r="F31" s="197">
        <f t="shared" si="10"/>
        <v>48750</v>
      </c>
      <c r="G31" s="197">
        <f t="shared" si="10"/>
        <v>58500</v>
      </c>
      <c r="H31" s="207"/>
    </row>
    <row r="32" spans="1:8" x14ac:dyDescent="0.2">
      <c r="A32" s="208" t="s">
        <v>297</v>
      </c>
      <c r="B32" s="198">
        <f>-$B$16*B50</f>
        <v>0</v>
      </c>
      <c r="C32" s="198">
        <f t="shared" ref="C32:G32" si="11">-$B$16*C50</f>
        <v>5000</v>
      </c>
      <c r="D32" s="198">
        <f t="shared" si="11"/>
        <v>10000</v>
      </c>
      <c r="E32" s="198">
        <f t="shared" si="11"/>
        <v>20000</v>
      </c>
      <c r="F32" s="198">
        <f t="shared" si="11"/>
        <v>30000</v>
      </c>
      <c r="G32" s="198">
        <f t="shared" si="11"/>
        <v>36000</v>
      </c>
      <c r="H32" s="209"/>
    </row>
    <row r="33" spans="1:18" x14ac:dyDescent="0.2">
      <c r="A33" s="208" t="s">
        <v>296</v>
      </c>
      <c r="B33" s="198">
        <f>-$B$17*B50</f>
        <v>0</v>
      </c>
      <c r="C33" s="198">
        <f t="shared" ref="C33:G33" si="12">-$B$17*C50</f>
        <v>3125</v>
      </c>
      <c r="D33" s="198">
        <f t="shared" si="12"/>
        <v>6250</v>
      </c>
      <c r="E33" s="198">
        <f t="shared" si="12"/>
        <v>12500</v>
      </c>
      <c r="F33" s="198">
        <f t="shared" si="12"/>
        <v>18750</v>
      </c>
      <c r="G33" s="198">
        <f t="shared" si="12"/>
        <v>22500</v>
      </c>
      <c r="H33" s="209"/>
    </row>
    <row r="34" spans="1:18" x14ac:dyDescent="0.2">
      <c r="A34" s="208" t="s">
        <v>298</v>
      </c>
      <c r="B34" s="196">
        <v>0</v>
      </c>
      <c r="C34" s="196">
        <v>0</v>
      </c>
      <c r="D34" s="196">
        <v>0</v>
      </c>
      <c r="E34" s="196">
        <v>0</v>
      </c>
      <c r="F34" s="196">
        <v>0</v>
      </c>
      <c r="G34" s="196">
        <v>0</v>
      </c>
      <c r="H34" s="213"/>
    </row>
    <row r="35" spans="1:18" s="144" customFormat="1" x14ac:dyDescent="0.2">
      <c r="A35" s="206" t="s">
        <v>156</v>
      </c>
      <c r="B35" s="197">
        <f>B36</f>
        <v>200000</v>
      </c>
      <c r="C35" s="197">
        <f t="shared" ref="C35:G35" si="13">C36</f>
        <v>349250</v>
      </c>
      <c r="D35" s="197">
        <f t="shared" si="13"/>
        <v>997531.125</v>
      </c>
      <c r="E35" s="197">
        <f t="shared" si="13"/>
        <v>1649706.6958125001</v>
      </c>
      <c r="F35" s="197">
        <f t="shared" si="13"/>
        <v>2034098.5375175313</v>
      </c>
      <c r="G35" s="197">
        <f t="shared" si="13"/>
        <v>2470854.1019623065</v>
      </c>
      <c r="H35" s="207"/>
    </row>
    <row r="36" spans="1:18" x14ac:dyDescent="0.2">
      <c r="A36" s="208" t="s">
        <v>290</v>
      </c>
      <c r="B36" s="196">
        <v>200000</v>
      </c>
      <c r="C36" s="138">
        <f>C28-C31-C37</f>
        <v>349250</v>
      </c>
      <c r="D36" s="138">
        <f t="shared" ref="D36:G36" si="14">D28-D31-D37</f>
        <v>997531.125</v>
      </c>
      <c r="E36" s="138">
        <f t="shared" si="14"/>
        <v>1649706.6958125001</v>
      </c>
      <c r="F36" s="138">
        <f t="shared" si="14"/>
        <v>2034098.5375175313</v>
      </c>
      <c r="G36" s="138">
        <f t="shared" si="14"/>
        <v>2470854.1019623065</v>
      </c>
      <c r="H36" s="107"/>
    </row>
    <row r="37" spans="1:18" s="144" customFormat="1" x14ac:dyDescent="0.2">
      <c r="A37" s="206" t="s">
        <v>300</v>
      </c>
      <c r="B37" s="197">
        <f>SUM(B38:B40)</f>
        <v>450000</v>
      </c>
      <c r="C37" s="197">
        <f t="shared" ref="C37:G37" si="15">SUM(C38:C40)</f>
        <v>352000</v>
      </c>
      <c r="D37" s="197">
        <f t="shared" si="15"/>
        <v>354968.875</v>
      </c>
      <c r="E37" s="197">
        <f t="shared" si="15"/>
        <v>405293.30418750003</v>
      </c>
      <c r="F37" s="197">
        <f t="shared" si="15"/>
        <v>483401.46248246881</v>
      </c>
      <c r="G37" s="197">
        <f t="shared" si="15"/>
        <v>540145.89803769323</v>
      </c>
      <c r="H37" s="207"/>
    </row>
    <row r="38" spans="1:18" x14ac:dyDescent="0.2">
      <c r="A38" s="208" t="s">
        <v>301</v>
      </c>
      <c r="B38" s="198">
        <f>SUM(B2:B3)</f>
        <v>450000</v>
      </c>
      <c r="C38" s="198">
        <f>B38</f>
        <v>450000</v>
      </c>
      <c r="D38" s="198">
        <f t="shared" ref="D38:G38" si="16">C38</f>
        <v>450000</v>
      </c>
      <c r="E38" s="198">
        <f t="shared" si="16"/>
        <v>450000</v>
      </c>
      <c r="F38" s="198">
        <f t="shared" si="16"/>
        <v>450000</v>
      </c>
      <c r="G38" s="198">
        <f t="shared" si="16"/>
        <v>450000</v>
      </c>
      <c r="H38" s="209"/>
    </row>
    <row r="39" spans="1:18" x14ac:dyDescent="0.2">
      <c r="A39" s="208" t="s">
        <v>302</v>
      </c>
      <c r="B39" s="196">
        <v>0</v>
      </c>
      <c r="C39" s="198">
        <f>B40+B39</f>
        <v>0</v>
      </c>
      <c r="D39" s="198">
        <f t="shared" ref="D39:G39" si="17">C40+C39</f>
        <v>-98000</v>
      </c>
      <c r="E39" s="198">
        <f t="shared" si="17"/>
        <v>-95031.125</v>
      </c>
      <c r="F39" s="198">
        <f t="shared" si="17"/>
        <v>-44706.695812499995</v>
      </c>
      <c r="G39" s="198">
        <f t="shared" si="17"/>
        <v>33401.462482468749</v>
      </c>
      <c r="H39" s="209"/>
    </row>
    <row r="40" spans="1:18" x14ac:dyDescent="0.2">
      <c r="A40" s="208" t="s">
        <v>108</v>
      </c>
      <c r="B40" s="198">
        <f>B59</f>
        <v>0</v>
      </c>
      <c r="C40" s="198">
        <f t="shared" ref="C40:G40" si="18">C59</f>
        <v>-98000</v>
      </c>
      <c r="D40" s="198">
        <f t="shared" si="18"/>
        <v>2968.875</v>
      </c>
      <c r="E40" s="198">
        <f t="shared" si="18"/>
        <v>50324.429187500005</v>
      </c>
      <c r="F40" s="198">
        <f t="shared" si="18"/>
        <v>78108.158294968744</v>
      </c>
      <c r="G40" s="198">
        <f t="shared" si="18"/>
        <v>56744.435555224438</v>
      </c>
      <c r="H40" s="209"/>
    </row>
    <row r="41" spans="1:18" s="144" customFormat="1" x14ac:dyDescent="0.2">
      <c r="A41" s="214" t="s">
        <v>304</v>
      </c>
      <c r="B41" s="215">
        <f>SUM(B37,B30)</f>
        <v>650000</v>
      </c>
      <c r="C41" s="215">
        <f t="shared" ref="C41:G41" si="19">SUM(C37,C30)</f>
        <v>709375</v>
      </c>
      <c r="D41" s="215">
        <f t="shared" si="19"/>
        <v>1368750</v>
      </c>
      <c r="E41" s="215">
        <f t="shared" si="19"/>
        <v>2087500</v>
      </c>
      <c r="F41" s="215">
        <f t="shared" si="19"/>
        <v>2566250</v>
      </c>
      <c r="G41" s="215">
        <f t="shared" si="19"/>
        <v>3069500</v>
      </c>
      <c r="H41" s="216"/>
    </row>
    <row r="42" spans="1:18" x14ac:dyDescent="0.2">
      <c r="A42" s="112"/>
    </row>
    <row r="43" spans="1:18" x14ac:dyDescent="0.2">
      <c r="A43" s="202" t="s">
        <v>327</v>
      </c>
      <c r="B43" s="203">
        <v>0</v>
      </c>
      <c r="C43" s="204">
        <f>B43+1</f>
        <v>1</v>
      </c>
      <c r="D43" s="204">
        <f t="shared" ref="D43:H43" si="20">C43+1</f>
        <v>2</v>
      </c>
      <c r="E43" s="204">
        <f t="shared" si="20"/>
        <v>3</v>
      </c>
      <c r="F43" s="204">
        <f t="shared" si="20"/>
        <v>4</v>
      </c>
      <c r="G43" s="204">
        <f t="shared" si="20"/>
        <v>5</v>
      </c>
      <c r="H43" s="205">
        <f t="shared" si="20"/>
        <v>6</v>
      </c>
      <c r="J43" s="195" t="s">
        <v>335</v>
      </c>
    </row>
    <row r="44" spans="1:18" x14ac:dyDescent="0.2">
      <c r="A44" s="212" t="s">
        <v>305</v>
      </c>
      <c r="B44" s="196">
        <v>600000</v>
      </c>
      <c r="C44" s="198">
        <f>D49*C7</f>
        <v>600000</v>
      </c>
      <c r="D44" s="198">
        <f>E49*D7</f>
        <v>1200000</v>
      </c>
      <c r="E44" s="198">
        <f>F49*E7</f>
        <v>1800000</v>
      </c>
      <c r="F44" s="198">
        <f>G49*F7</f>
        <v>2160000</v>
      </c>
      <c r="G44" s="198">
        <f>H49*G7</f>
        <v>2592000</v>
      </c>
      <c r="H44" s="209"/>
      <c r="J44" s="244" t="s">
        <v>331</v>
      </c>
      <c r="K44" s="244"/>
      <c r="L44" s="244"/>
      <c r="M44" s="244"/>
      <c r="N44" s="244"/>
      <c r="O44" s="244"/>
      <c r="P44" s="244"/>
      <c r="Q44" s="244"/>
      <c r="R44" s="244"/>
    </row>
    <row r="45" spans="1:18" x14ac:dyDescent="0.2">
      <c r="A45" s="212" t="s">
        <v>312</v>
      </c>
      <c r="B45" s="196">
        <v>0</v>
      </c>
      <c r="C45" s="198">
        <f>-SUM($B$46:B46)*$B$8</f>
        <v>-120000</v>
      </c>
      <c r="D45" s="198">
        <f>-SUM($B$46:C46)*$B$8</f>
        <v>-144000</v>
      </c>
      <c r="E45" s="198">
        <f>-SUM($B$46:D46)*$B$8</f>
        <v>-292800</v>
      </c>
      <c r="F45" s="198">
        <f>-SUM($B$46:E46)*$B$8</f>
        <v>-471360</v>
      </c>
      <c r="G45" s="198">
        <f>-SUM($B$46:F46)*$B$8</f>
        <v>-637632</v>
      </c>
      <c r="H45" s="107"/>
      <c r="J45" s="244" t="s">
        <v>332</v>
      </c>
      <c r="K45" s="244"/>
      <c r="L45" s="244"/>
      <c r="M45" s="244"/>
      <c r="N45" s="244"/>
      <c r="O45" s="244"/>
      <c r="P45" s="244"/>
      <c r="Q45" s="244"/>
      <c r="R45" s="244"/>
    </row>
    <row r="46" spans="1:18" x14ac:dyDescent="0.2">
      <c r="A46" s="229" t="s">
        <v>316</v>
      </c>
      <c r="B46" s="237">
        <f>B27</f>
        <v>600000</v>
      </c>
      <c r="C46" s="237">
        <f>C44-SUM(B44,C45)</f>
        <v>120000</v>
      </c>
      <c r="D46" s="237">
        <f>D44-SUM(C44,D45)</f>
        <v>744000</v>
      </c>
      <c r="E46" s="237">
        <f t="shared" ref="E46:G46" si="21">E44-SUM(D44,E45)</f>
        <v>892800</v>
      </c>
      <c r="F46" s="237">
        <f t="shared" si="21"/>
        <v>831360</v>
      </c>
      <c r="G46" s="237">
        <f t="shared" si="21"/>
        <v>1069632</v>
      </c>
      <c r="H46" s="238"/>
    </row>
    <row r="47" spans="1:18" x14ac:dyDescent="0.2">
      <c r="A47" s="112"/>
    </row>
    <row r="48" spans="1:18" x14ac:dyDescent="0.2">
      <c r="A48" s="202" t="s">
        <v>167</v>
      </c>
      <c r="B48" s="203">
        <v>0</v>
      </c>
      <c r="C48" s="204">
        <f>B48+1</f>
        <v>1</v>
      </c>
      <c r="D48" s="204">
        <f t="shared" ref="D48:H48" si="22">C48+1</f>
        <v>2</v>
      </c>
      <c r="E48" s="204">
        <f t="shared" si="22"/>
        <v>3</v>
      </c>
      <c r="F48" s="204">
        <f t="shared" si="22"/>
        <v>4</v>
      </c>
      <c r="G48" s="204">
        <f t="shared" si="22"/>
        <v>5</v>
      </c>
      <c r="H48" s="205">
        <f t="shared" si="22"/>
        <v>6</v>
      </c>
    </row>
    <row r="49" spans="1:20" x14ac:dyDescent="0.2">
      <c r="A49" s="206" t="s">
        <v>32</v>
      </c>
      <c r="B49" s="232">
        <v>0</v>
      </c>
      <c r="C49" s="197">
        <f>C5</f>
        <v>250000</v>
      </c>
      <c r="D49" s="197">
        <f>C49*(1+D6)</f>
        <v>500000</v>
      </c>
      <c r="E49" s="197">
        <f>D49*(1+E6)</f>
        <v>1000000</v>
      </c>
      <c r="F49" s="197">
        <f>E49*(1+F6)</f>
        <v>1500000</v>
      </c>
      <c r="G49" s="197">
        <f>F49*(1+G6)</f>
        <v>1800000</v>
      </c>
      <c r="H49" s="207">
        <f>G49*(1+H6)</f>
        <v>2160000</v>
      </c>
    </row>
    <row r="50" spans="1:20" x14ac:dyDescent="0.2">
      <c r="A50" s="208" t="s">
        <v>168</v>
      </c>
      <c r="B50" s="198">
        <f>-B49*$B$9</f>
        <v>0</v>
      </c>
      <c r="C50" s="198">
        <f t="shared" ref="C50:G50" si="23">-C49*$B$9</f>
        <v>-62500</v>
      </c>
      <c r="D50" s="198">
        <f t="shared" si="23"/>
        <v>-125000</v>
      </c>
      <c r="E50" s="198">
        <f t="shared" si="23"/>
        <v>-250000</v>
      </c>
      <c r="F50" s="198">
        <f t="shared" si="23"/>
        <v>-375000</v>
      </c>
      <c r="G50" s="198">
        <f t="shared" si="23"/>
        <v>-450000</v>
      </c>
      <c r="H50" s="209"/>
    </row>
    <row r="51" spans="1:20" x14ac:dyDescent="0.2">
      <c r="A51" s="206" t="s">
        <v>307</v>
      </c>
      <c r="B51" s="197">
        <f>SUM(B49:B50)</f>
        <v>0</v>
      </c>
      <c r="C51" s="197">
        <f t="shared" ref="C51:G51" si="24">SUM(C49:C50)</f>
        <v>187500</v>
      </c>
      <c r="D51" s="197">
        <f t="shared" si="24"/>
        <v>375000</v>
      </c>
      <c r="E51" s="197">
        <f t="shared" si="24"/>
        <v>750000</v>
      </c>
      <c r="F51" s="197">
        <f t="shared" si="24"/>
        <v>1125000</v>
      </c>
      <c r="G51" s="197">
        <f t="shared" si="24"/>
        <v>1350000</v>
      </c>
      <c r="H51" s="207"/>
    </row>
    <row r="52" spans="1:20" x14ac:dyDescent="0.2">
      <c r="A52" s="208" t="s">
        <v>308</v>
      </c>
      <c r="B52" s="198">
        <f>-B49*$B$10</f>
        <v>0</v>
      </c>
      <c r="C52" s="198">
        <f t="shared" ref="C52:G52" si="25">-C49*$B$10</f>
        <v>-30000</v>
      </c>
      <c r="D52" s="198">
        <f t="shared" si="25"/>
        <v>-60000</v>
      </c>
      <c r="E52" s="198">
        <f t="shared" si="25"/>
        <v>-120000</v>
      </c>
      <c r="F52" s="198">
        <f t="shared" si="25"/>
        <v>-180000</v>
      </c>
      <c r="G52" s="198">
        <f t="shared" si="25"/>
        <v>-216000</v>
      </c>
      <c r="H52" s="209"/>
    </row>
    <row r="53" spans="1:20" x14ac:dyDescent="0.2">
      <c r="A53" s="239" t="s">
        <v>309</v>
      </c>
      <c r="C53" s="198">
        <f t="shared" ref="C53:G53" si="26">-(100000+C49*$B$11)</f>
        <v>-117500</v>
      </c>
      <c r="D53" s="198">
        <f t="shared" si="26"/>
        <v>-135000</v>
      </c>
      <c r="E53" s="198">
        <f t="shared" si="26"/>
        <v>-170000</v>
      </c>
      <c r="F53" s="198">
        <f t="shared" si="26"/>
        <v>-205000</v>
      </c>
      <c r="G53" s="198">
        <f t="shared" si="26"/>
        <v>-226000</v>
      </c>
      <c r="H53" s="209"/>
    </row>
    <row r="54" spans="1:20" x14ac:dyDescent="0.2">
      <c r="A54" s="239" t="s">
        <v>118</v>
      </c>
      <c r="B54" s="198">
        <f t="shared" ref="B54:G54" si="27">B45</f>
        <v>0</v>
      </c>
      <c r="C54" s="198">
        <f t="shared" si="27"/>
        <v>-120000</v>
      </c>
      <c r="D54" s="198">
        <f t="shared" si="27"/>
        <v>-144000</v>
      </c>
      <c r="E54" s="198">
        <f t="shared" si="27"/>
        <v>-292800</v>
      </c>
      <c r="F54" s="198">
        <f t="shared" si="27"/>
        <v>-471360</v>
      </c>
      <c r="G54" s="198">
        <f t="shared" si="27"/>
        <v>-637632</v>
      </c>
      <c r="H54" s="209"/>
    </row>
    <row r="55" spans="1:20" x14ac:dyDescent="0.2">
      <c r="A55" s="206" t="s">
        <v>310</v>
      </c>
      <c r="B55" s="197">
        <f>SUM(B51:B54)</f>
        <v>0</v>
      </c>
      <c r="C55" s="197">
        <f t="shared" ref="C55:G55" si="28">SUM(C51:C54)</f>
        <v>-80000</v>
      </c>
      <c r="D55" s="197">
        <f t="shared" si="28"/>
        <v>36000</v>
      </c>
      <c r="E55" s="197">
        <f t="shared" si="28"/>
        <v>167200</v>
      </c>
      <c r="F55" s="197">
        <f t="shared" si="28"/>
        <v>268640</v>
      </c>
      <c r="G55" s="197">
        <f t="shared" si="28"/>
        <v>270368</v>
      </c>
      <c r="H55" s="207"/>
    </row>
    <row r="56" spans="1:20" x14ac:dyDescent="0.2">
      <c r="A56" s="208" t="s">
        <v>311</v>
      </c>
      <c r="C56" s="198">
        <f>-$B$12*B36</f>
        <v>-18000</v>
      </c>
      <c r="D56" s="198">
        <f>-$B$12*C36</f>
        <v>-31432.5</v>
      </c>
      <c r="E56" s="198">
        <f>-$B$12*D36</f>
        <v>-89777.80124999999</v>
      </c>
      <c r="F56" s="198">
        <f>-$B$12*E36</f>
        <v>-148473.60262312501</v>
      </c>
      <c r="G56" s="198">
        <f>-$B$12*F36</f>
        <v>-183068.8683765778</v>
      </c>
      <c r="H56" s="209"/>
    </row>
    <row r="57" spans="1:20" x14ac:dyDescent="0.2">
      <c r="A57" s="206" t="s">
        <v>93</v>
      </c>
      <c r="B57" s="197">
        <f>SUM(B55:B56)</f>
        <v>0</v>
      </c>
      <c r="C57" s="197">
        <f t="shared" ref="C57:G57" si="29">SUM(C55:C56)</f>
        <v>-98000</v>
      </c>
      <c r="D57" s="197">
        <f t="shared" si="29"/>
        <v>4567.5</v>
      </c>
      <c r="E57" s="197">
        <f t="shared" si="29"/>
        <v>77422.19875000001</v>
      </c>
      <c r="F57" s="197">
        <f t="shared" si="29"/>
        <v>120166.39737687499</v>
      </c>
      <c r="G57" s="197">
        <f t="shared" si="29"/>
        <v>87299.131623422203</v>
      </c>
      <c r="H57" s="207"/>
      <c r="J57" s="195" t="s">
        <v>335</v>
      </c>
    </row>
    <row r="58" spans="1:20" x14ac:dyDescent="0.2">
      <c r="A58" s="208" t="s">
        <v>89</v>
      </c>
      <c r="B58" s="198">
        <f>-B57*$B$13</f>
        <v>0</v>
      </c>
      <c r="C58" s="198">
        <f>IF(-C57*$B$13&gt;0,0,-C57*$B$13)</f>
        <v>0</v>
      </c>
      <c r="D58" s="198">
        <f t="shared" ref="D58:G58" si="30">IF(-D57*$B$13&gt;0,0,-D57*$B$13)</f>
        <v>-1598.625</v>
      </c>
      <c r="E58" s="198">
        <f t="shared" si="30"/>
        <v>-27097.769562500001</v>
      </c>
      <c r="F58" s="198">
        <f t="shared" si="30"/>
        <v>-42058.239081906242</v>
      </c>
      <c r="G58" s="198">
        <f t="shared" si="30"/>
        <v>-30554.696068197769</v>
      </c>
      <c r="H58" s="209"/>
      <c r="J58" s="244" t="s">
        <v>333</v>
      </c>
      <c r="K58" s="244"/>
      <c r="L58" s="244"/>
      <c r="M58" s="244"/>
      <c r="N58" s="244"/>
      <c r="O58" s="244"/>
      <c r="P58" s="244"/>
      <c r="Q58" s="244"/>
      <c r="R58" s="244"/>
      <c r="S58" s="244"/>
      <c r="T58" s="244"/>
    </row>
    <row r="59" spans="1:20" x14ac:dyDescent="0.2">
      <c r="A59" s="240" t="s">
        <v>108</v>
      </c>
      <c r="B59" s="241">
        <f>SUM(B57:B58)</f>
        <v>0</v>
      </c>
      <c r="C59" s="241">
        <f t="shared" ref="C59:G59" si="31">SUM(C57:C58)</f>
        <v>-98000</v>
      </c>
      <c r="D59" s="241">
        <f t="shared" si="31"/>
        <v>2968.875</v>
      </c>
      <c r="E59" s="241">
        <f t="shared" si="31"/>
        <v>50324.429187500005</v>
      </c>
      <c r="F59" s="241">
        <f t="shared" si="31"/>
        <v>78108.158294968744</v>
      </c>
      <c r="G59" s="241">
        <f t="shared" si="31"/>
        <v>56744.435555224438</v>
      </c>
      <c r="H59" s="242"/>
      <c r="J59" s="244" t="s">
        <v>334</v>
      </c>
      <c r="K59" s="244"/>
      <c r="L59" s="244"/>
      <c r="M59" s="244"/>
      <c r="N59" s="244"/>
      <c r="O59" s="244"/>
      <c r="P59" s="244"/>
      <c r="Q59" s="244"/>
      <c r="R59" s="244"/>
      <c r="S59" s="244"/>
      <c r="T59" s="244"/>
    </row>
    <row r="60" spans="1:20" ht="14" thickBot="1" x14ac:dyDescent="0.25">
      <c r="A60" s="112"/>
    </row>
    <row r="61" spans="1:20" x14ac:dyDescent="0.2">
      <c r="A61" s="217" t="s">
        <v>184</v>
      </c>
      <c r="B61" s="218">
        <v>0</v>
      </c>
      <c r="C61" s="219">
        <f>B61+1</f>
        <v>1</v>
      </c>
      <c r="D61" s="219">
        <f t="shared" ref="D61:H61" si="32">C61+1</f>
        <v>2</v>
      </c>
      <c r="E61" s="219">
        <f t="shared" si="32"/>
        <v>3</v>
      </c>
      <c r="F61" s="219">
        <f t="shared" si="32"/>
        <v>4</v>
      </c>
      <c r="G61" s="219">
        <f t="shared" si="32"/>
        <v>5</v>
      </c>
      <c r="H61" s="220">
        <f t="shared" si="32"/>
        <v>6</v>
      </c>
      <c r="J61" s="195" t="s">
        <v>335</v>
      </c>
    </row>
    <row r="62" spans="1:20" x14ac:dyDescent="0.2">
      <c r="A62" s="221" t="s">
        <v>310</v>
      </c>
      <c r="B62" s="198">
        <f>B55</f>
        <v>0</v>
      </c>
      <c r="C62" s="198">
        <f t="shared" ref="C62:H62" si="33">C55</f>
        <v>-80000</v>
      </c>
      <c r="D62" s="198">
        <f t="shared" si="33"/>
        <v>36000</v>
      </c>
      <c r="E62" s="198">
        <f t="shared" si="33"/>
        <v>167200</v>
      </c>
      <c r="F62" s="198">
        <f t="shared" si="33"/>
        <v>268640</v>
      </c>
      <c r="G62" s="198">
        <f t="shared" si="33"/>
        <v>270368</v>
      </c>
      <c r="H62" s="223">
        <f t="shared" si="33"/>
        <v>0</v>
      </c>
      <c r="J62" s="244" t="s">
        <v>336</v>
      </c>
      <c r="K62" s="244"/>
      <c r="L62" s="244"/>
    </row>
    <row r="63" spans="1:20" x14ac:dyDescent="0.2">
      <c r="A63" s="222" t="s">
        <v>118</v>
      </c>
      <c r="B63" s="198">
        <f>-B54</f>
        <v>0</v>
      </c>
      <c r="C63" s="198">
        <f t="shared" ref="C63:H63" si="34">-C54</f>
        <v>120000</v>
      </c>
      <c r="D63" s="198">
        <f t="shared" si="34"/>
        <v>144000</v>
      </c>
      <c r="E63" s="198">
        <f t="shared" si="34"/>
        <v>292800</v>
      </c>
      <c r="F63" s="198">
        <f t="shared" si="34"/>
        <v>471360</v>
      </c>
      <c r="G63" s="198">
        <f t="shared" si="34"/>
        <v>637632</v>
      </c>
      <c r="H63" s="223">
        <f t="shared" si="34"/>
        <v>0</v>
      </c>
    </row>
    <row r="64" spans="1:20" x14ac:dyDescent="0.2">
      <c r="A64" s="222" t="s">
        <v>89</v>
      </c>
      <c r="B64" s="198">
        <f>B58</f>
        <v>0</v>
      </c>
      <c r="C64" s="198">
        <f t="shared" ref="C64:G64" si="35">C58</f>
        <v>0</v>
      </c>
      <c r="D64" s="198">
        <f t="shared" si="35"/>
        <v>-1598.625</v>
      </c>
      <c r="E64" s="198">
        <f t="shared" si="35"/>
        <v>-27097.769562500001</v>
      </c>
      <c r="F64" s="198">
        <f t="shared" si="35"/>
        <v>-42058.239081906242</v>
      </c>
      <c r="G64" s="198">
        <f t="shared" si="35"/>
        <v>-30554.696068197769</v>
      </c>
      <c r="H64" s="223">
        <f t="shared" ref="H64" si="36">H58</f>
        <v>0</v>
      </c>
    </row>
    <row r="65" spans="1:8" x14ac:dyDescent="0.2">
      <c r="A65" s="221" t="s">
        <v>185</v>
      </c>
      <c r="B65" s="198">
        <f>SUM(B62:B64)</f>
        <v>0</v>
      </c>
      <c r="C65" s="198">
        <f t="shared" ref="C65:H65" si="37">SUM(C62:C64)</f>
        <v>40000</v>
      </c>
      <c r="D65" s="198">
        <f t="shared" si="37"/>
        <v>178401.375</v>
      </c>
      <c r="E65" s="198">
        <f t="shared" si="37"/>
        <v>432902.23043749999</v>
      </c>
      <c r="F65" s="198">
        <f t="shared" si="37"/>
        <v>697941.76091809373</v>
      </c>
      <c r="G65" s="198">
        <f t="shared" si="37"/>
        <v>877445.30393180228</v>
      </c>
      <c r="H65" s="223">
        <f t="shared" si="37"/>
        <v>0</v>
      </c>
    </row>
    <row r="66" spans="1:8" x14ac:dyDescent="0.2">
      <c r="A66" s="222" t="s">
        <v>186</v>
      </c>
      <c r="C66" s="198">
        <f t="shared" ref="C66:H66" si="38">D67-C67</f>
        <v>51250</v>
      </c>
      <c r="D66" s="198">
        <f t="shared" si="38"/>
        <v>102500</v>
      </c>
      <c r="E66" s="198">
        <f t="shared" si="38"/>
        <v>102500</v>
      </c>
      <c r="F66" s="198">
        <f t="shared" si="38"/>
        <v>61500</v>
      </c>
      <c r="G66" s="198">
        <f t="shared" si="38"/>
        <v>-369000</v>
      </c>
      <c r="H66" s="223">
        <f t="shared" si="38"/>
        <v>0</v>
      </c>
    </row>
    <row r="67" spans="1:8" x14ac:dyDescent="0.2">
      <c r="A67" s="233" t="s">
        <v>325</v>
      </c>
      <c r="B67" s="198">
        <f t="shared" ref="B67:H67" si="39">SUM(B24,B25)-SUM(B32,B33,B34)</f>
        <v>0</v>
      </c>
      <c r="C67" s="198">
        <f t="shared" si="39"/>
        <v>51250</v>
      </c>
      <c r="D67" s="198">
        <f t="shared" si="39"/>
        <v>102500</v>
      </c>
      <c r="E67" s="198">
        <f t="shared" si="39"/>
        <v>205000</v>
      </c>
      <c r="F67" s="198">
        <f t="shared" si="39"/>
        <v>307500</v>
      </c>
      <c r="G67" s="198">
        <f t="shared" si="39"/>
        <v>369000</v>
      </c>
      <c r="H67" s="223">
        <f t="shared" si="39"/>
        <v>0</v>
      </c>
    </row>
    <row r="68" spans="1:8" x14ac:dyDescent="0.2">
      <c r="A68" s="221" t="s">
        <v>276</v>
      </c>
      <c r="B68" s="198">
        <f>B65-B66</f>
        <v>0</v>
      </c>
      <c r="C68" s="198">
        <f t="shared" ref="C68:H68" si="40">C65-C66</f>
        <v>-11250</v>
      </c>
      <c r="D68" s="198">
        <f t="shared" si="40"/>
        <v>75901.375</v>
      </c>
      <c r="E68" s="198">
        <f t="shared" si="40"/>
        <v>330402.23043749999</v>
      </c>
      <c r="F68" s="198">
        <f t="shared" si="40"/>
        <v>636441.76091809373</v>
      </c>
      <c r="G68" s="198">
        <f t="shared" si="40"/>
        <v>1246445.3039318023</v>
      </c>
      <c r="H68" s="223">
        <f t="shared" si="40"/>
        <v>0</v>
      </c>
    </row>
    <row r="69" spans="1:8" x14ac:dyDescent="0.2">
      <c r="A69" s="222" t="s">
        <v>277</v>
      </c>
      <c r="C69" s="198">
        <f t="shared" ref="C69:H69" si="41">-C46</f>
        <v>-120000</v>
      </c>
      <c r="D69" s="198">
        <f t="shared" si="41"/>
        <v>-744000</v>
      </c>
      <c r="E69" s="198">
        <f t="shared" si="41"/>
        <v>-892800</v>
      </c>
      <c r="F69" s="198">
        <f t="shared" si="41"/>
        <v>-831360</v>
      </c>
      <c r="G69" s="198">
        <f t="shared" si="41"/>
        <v>-1069632</v>
      </c>
      <c r="H69" s="223">
        <f t="shared" si="41"/>
        <v>0</v>
      </c>
    </row>
    <row r="70" spans="1:8" x14ac:dyDescent="0.2">
      <c r="A70" s="221" t="s">
        <v>124</v>
      </c>
      <c r="C70" s="198">
        <f>SUM(C68:C69)</f>
        <v>-131250</v>
      </c>
      <c r="D70" s="198">
        <f t="shared" ref="D70:H70" si="42">SUM(D68:D69)</f>
        <v>-668098.625</v>
      </c>
      <c r="E70" s="198">
        <f t="shared" si="42"/>
        <v>-562397.76956250006</v>
      </c>
      <c r="F70" s="198">
        <f t="shared" si="42"/>
        <v>-194918.23908190627</v>
      </c>
      <c r="G70" s="198">
        <f t="shared" si="42"/>
        <v>176813.30393180228</v>
      </c>
      <c r="H70" s="223">
        <f t="shared" si="42"/>
        <v>0</v>
      </c>
    </row>
    <row r="71" spans="1:8" x14ac:dyDescent="0.2">
      <c r="A71" s="222" t="s">
        <v>326</v>
      </c>
      <c r="C71" s="198">
        <f>C35-B35</f>
        <v>149250</v>
      </c>
      <c r="D71" s="198">
        <f>D35-C35</f>
        <v>648281.125</v>
      </c>
      <c r="E71" s="198">
        <f>E35-D35</f>
        <v>652175.57081250008</v>
      </c>
      <c r="F71" s="198">
        <f>F35-E35</f>
        <v>384391.84170503123</v>
      </c>
      <c r="G71" s="198">
        <f>G35-F35</f>
        <v>436755.56444477523</v>
      </c>
      <c r="H71" s="200"/>
    </row>
    <row r="72" spans="1:8" x14ac:dyDescent="0.2">
      <c r="A72" s="222" t="s">
        <v>58</v>
      </c>
      <c r="C72" s="198">
        <f>C56</f>
        <v>-18000</v>
      </c>
      <c r="D72" s="198">
        <f t="shared" ref="D72:G72" si="43">D56</f>
        <v>-31432.5</v>
      </c>
      <c r="E72" s="198">
        <f t="shared" si="43"/>
        <v>-89777.80124999999</v>
      </c>
      <c r="F72" s="198">
        <f t="shared" si="43"/>
        <v>-148473.60262312501</v>
      </c>
      <c r="G72" s="198">
        <f t="shared" si="43"/>
        <v>-183068.8683765778</v>
      </c>
      <c r="H72" s="200"/>
    </row>
    <row r="73" spans="1:8" x14ac:dyDescent="0.2">
      <c r="A73" s="221" t="s">
        <v>126</v>
      </c>
      <c r="C73" s="198">
        <f>SUM(C70:C72)</f>
        <v>0</v>
      </c>
      <c r="D73" s="198">
        <f t="shared" ref="D73:H73" si="44">SUM(D70:D72)</f>
        <v>-51250</v>
      </c>
      <c r="E73" s="198">
        <f t="shared" si="44"/>
        <v>0</v>
      </c>
      <c r="F73" s="198">
        <f t="shared" si="44"/>
        <v>40999.999999999942</v>
      </c>
      <c r="G73" s="198">
        <f t="shared" si="44"/>
        <v>430499.99999999971</v>
      </c>
      <c r="H73" s="223">
        <f t="shared" si="44"/>
        <v>0</v>
      </c>
    </row>
    <row r="74" spans="1:8" ht="14" thickBot="1" x14ac:dyDescent="0.25">
      <c r="A74" s="234" t="s">
        <v>286</v>
      </c>
      <c r="B74" s="235"/>
      <c r="C74" s="201">
        <f>C73</f>
        <v>0</v>
      </c>
      <c r="D74" s="201">
        <f t="shared" ref="D74:H74" si="45">D73</f>
        <v>-51250</v>
      </c>
      <c r="E74" s="201">
        <f t="shared" si="45"/>
        <v>0</v>
      </c>
      <c r="F74" s="201">
        <f t="shared" si="45"/>
        <v>40999.999999999942</v>
      </c>
      <c r="G74" s="201">
        <f t="shared" si="45"/>
        <v>430499.99999999971</v>
      </c>
      <c r="H74" s="236">
        <f t="shared" si="45"/>
        <v>0</v>
      </c>
    </row>
  </sheetData>
  <pageMargins left="0.7" right="0.7" top="0.75" bottom="0.75" header="0.3" footer="0.3"/>
  <pageSetup scale="75" orientation="portrait" r:id="rId1"/>
  <colBreaks count="1" manualBreakCount="1">
    <brk id="8" max="1048575" man="1"/>
  </colBreaks>
  <ignoredErrors>
    <ignoredError sqref="B58 C58:G58" formula="1"/>
    <ignoredError sqref="B3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Solvent case</vt:lpstr>
      <vt:lpstr>Sunday&amp;Co</vt:lpstr>
      <vt:lpstr>North Mountain</vt:lpstr>
      <vt:lpstr>Financial Plan</vt:lpstr>
      <vt:lpstr>Blue Diamond</vt:lpstr>
      <vt:lpstr>Teti-tutoring</vt:lpstr>
      <vt:lpstr>Lucilla-tutoring</vt:lpstr>
      <vt:lpstr>MCF23 Test</vt:lpstr>
      <vt:lpstr>Financial Plan 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Minh</dc:creator>
  <cp:lastModifiedBy>Renata T</cp:lastModifiedBy>
  <cp:lastPrinted>2023-11-22T16:08:02Z</cp:lastPrinted>
  <dcterms:created xsi:type="dcterms:W3CDTF">2023-11-06T10:14:20Z</dcterms:created>
  <dcterms:modified xsi:type="dcterms:W3CDTF">2023-11-27T11:05:05Z</dcterms:modified>
</cp:coreProperties>
</file>