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356E7DA-A4F5-40DB-833D-063A7F6F88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Прибыль и убытки" sheetId="4" r:id="rId1"/>
    <sheet name="Баланс" sheetId="2" r:id="rId2"/>
    <sheet name="Коэффиценты" sheetId="3" r:id="rId3"/>
    <sheet name="Среднеотраслевые показатели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J19" i="3"/>
  <c r="J3" i="3"/>
  <c r="J13" i="3"/>
  <c r="D44" i="3"/>
  <c r="C18" i="3"/>
  <c r="D18" i="3"/>
  <c r="E18" i="3"/>
  <c r="F18" i="3"/>
  <c r="B18" i="3" l="1"/>
  <c r="N11" i="3"/>
  <c r="M11" i="3"/>
  <c r="L11" i="3"/>
  <c r="K11" i="3"/>
  <c r="J20" i="3"/>
  <c r="J17" i="3"/>
  <c r="J4" i="3"/>
  <c r="J7" i="3"/>
  <c r="L7" i="3"/>
  <c r="M7" i="3"/>
  <c r="N7" i="3"/>
  <c r="K7" i="3"/>
  <c r="B10" i="3"/>
  <c r="B7" i="3"/>
  <c r="B4" i="3"/>
  <c r="B16" i="3"/>
  <c r="B35" i="3"/>
  <c r="B29" i="3"/>
  <c r="B51" i="3"/>
  <c r="B48" i="3"/>
  <c r="B50" i="3"/>
  <c r="C50" i="3"/>
  <c r="D50" i="3"/>
  <c r="E50" i="3"/>
  <c r="F50" i="3"/>
  <c r="B47" i="3"/>
  <c r="C47" i="3"/>
  <c r="D47" i="3"/>
  <c r="E47" i="3"/>
  <c r="F47" i="3"/>
  <c r="C44" i="3"/>
  <c r="E44" i="3"/>
  <c r="F44" i="3"/>
  <c r="B44" i="3"/>
  <c r="C37" i="3"/>
  <c r="D37" i="3"/>
  <c r="E37" i="3"/>
  <c r="F37" i="3"/>
  <c r="B37" i="3"/>
  <c r="B34" i="3"/>
  <c r="C34" i="3"/>
  <c r="D34" i="3"/>
  <c r="E34" i="3"/>
  <c r="F34" i="3"/>
  <c r="D31" i="3"/>
  <c r="E31" i="3"/>
  <c r="F31" i="3"/>
  <c r="C31" i="3"/>
  <c r="B31" i="3"/>
  <c r="C28" i="3"/>
  <c r="D28" i="3"/>
  <c r="E28" i="3"/>
  <c r="F28" i="3"/>
  <c r="B28" i="3"/>
  <c r="C26" i="3"/>
  <c r="D26" i="3"/>
  <c r="E26" i="3"/>
  <c r="F26" i="3"/>
  <c r="K19" i="3"/>
  <c r="L19" i="3"/>
  <c r="M19" i="3"/>
  <c r="N19" i="3"/>
  <c r="K16" i="3"/>
  <c r="L16" i="3"/>
  <c r="M16" i="3"/>
  <c r="N16" i="3"/>
  <c r="J16" i="3"/>
  <c r="F72" i="2"/>
  <c r="C72" i="2"/>
  <c r="D72" i="2"/>
  <c r="E72" i="2"/>
  <c r="B72" i="2"/>
  <c r="C15" i="3"/>
  <c r="D15" i="3"/>
  <c r="E15" i="3"/>
  <c r="F15" i="3"/>
  <c r="B15" i="3"/>
  <c r="B3" i="3"/>
  <c r="N13" i="3"/>
  <c r="M13" i="3"/>
  <c r="L13" i="3"/>
  <c r="K13" i="3"/>
  <c r="J11" i="3"/>
  <c r="N10" i="3"/>
  <c r="M10" i="3"/>
  <c r="L10" i="3"/>
  <c r="K10" i="3"/>
  <c r="J10" i="3"/>
  <c r="N3" i="3"/>
  <c r="N6" i="3" s="1"/>
  <c r="M3" i="3"/>
  <c r="M6" i="3" s="1"/>
  <c r="L3" i="3"/>
  <c r="L6" i="3" s="1"/>
  <c r="K3" i="3"/>
  <c r="K6" i="3" s="1"/>
  <c r="J6" i="3"/>
  <c r="F9" i="3"/>
  <c r="E9" i="3"/>
  <c r="D9" i="3"/>
  <c r="C9" i="3"/>
  <c r="B9" i="3"/>
  <c r="F6" i="3"/>
  <c r="E6" i="3"/>
  <c r="D6" i="3"/>
  <c r="C6" i="3"/>
  <c r="B6" i="3"/>
  <c r="F3" i="3"/>
  <c r="E3" i="3"/>
  <c r="D3" i="3"/>
  <c r="C3" i="3"/>
  <c r="F7" i="4"/>
  <c r="E17" i="4"/>
  <c r="F17" i="4"/>
  <c r="E8" i="4"/>
  <c r="F8" i="4"/>
  <c r="E7" i="4"/>
  <c r="C17" i="4"/>
  <c r="D17" i="4"/>
  <c r="B17" i="4"/>
  <c r="C7" i="4"/>
  <c r="C8" i="4" s="1"/>
  <c r="D7" i="4"/>
  <c r="D8" i="4" s="1"/>
  <c r="B7" i="4"/>
  <c r="B8" i="4" s="1"/>
  <c r="F68" i="2"/>
  <c r="F69" i="2" s="1"/>
  <c r="E68" i="2"/>
  <c r="E69" i="2" s="1"/>
  <c r="D68" i="2"/>
  <c r="D69" i="2" s="1"/>
  <c r="F66" i="2"/>
  <c r="E66" i="2"/>
  <c r="D66" i="2"/>
  <c r="C66" i="2"/>
  <c r="C68" i="2" s="1"/>
  <c r="B66" i="2"/>
  <c r="B68" i="2" s="1"/>
  <c r="B69" i="2" s="1"/>
  <c r="F52" i="2"/>
  <c r="E52" i="2"/>
  <c r="C52" i="2"/>
  <c r="B52" i="2"/>
  <c r="F39" i="2"/>
  <c r="E39" i="2"/>
  <c r="D39" i="2"/>
  <c r="B39" i="2"/>
  <c r="F37" i="2"/>
  <c r="E37" i="2"/>
  <c r="D37" i="2"/>
  <c r="B37" i="2"/>
  <c r="C33" i="2"/>
  <c r="C37" i="2" s="1"/>
  <c r="C39" i="2" s="1"/>
  <c r="F25" i="2"/>
  <c r="E25" i="2"/>
  <c r="F24" i="2"/>
  <c r="E24" i="2"/>
  <c r="D24" i="2"/>
  <c r="C24" i="2"/>
  <c r="C25" i="2" s="1"/>
  <c r="B24" i="2"/>
  <c r="B25" i="2" s="1"/>
  <c r="F13" i="2"/>
  <c r="E13" i="2"/>
  <c r="D13" i="2"/>
  <c r="D25" i="2" s="1"/>
  <c r="C13" i="2"/>
  <c r="B13" i="2"/>
  <c r="B70" i="2" l="1"/>
  <c r="D70" i="2"/>
  <c r="C69" i="2"/>
  <c r="C70" i="2" s="1"/>
  <c r="E70" i="2"/>
  <c r="F70" i="2"/>
</calcChain>
</file>

<file path=xl/sharedStrings.xml><?xml version="1.0" encoding="utf-8"?>
<sst xmlns="http://schemas.openxmlformats.org/spreadsheetml/2006/main" count="130" uniqueCount="96">
  <si>
    <t>ГОРНО-МЕТАЛЛУРГИЧЕСКАЯ КОМПАНИЯ «НОРИЛЬСКИЙ НИКЕЛЬ"</t>
  </si>
  <si>
    <t>КОНСОЛИДИРОВАННЫЙ ОТЧЕТ О ФИНАНСОВОМ ПОЛОЖЕНИИ ПО СОСТОЯНИЮ НА 31 ДЕКАБРЯ 2022, 2021, 2020, 2019 и 2018</t>
  </si>
  <si>
    <t>На 31 декабря (в млн. руб.)</t>
  </si>
  <si>
    <t>Активы</t>
  </si>
  <si>
    <t>Год</t>
  </si>
  <si>
    <t>Внеоборотные активы</t>
  </si>
  <si>
    <t>Основные средства</t>
  </si>
  <si>
    <t>Нематериальные активы</t>
  </si>
  <si>
    <t>Прочие финансовые активы</t>
  </si>
  <si>
    <t>Отложенные налоговые активы</t>
  </si>
  <si>
    <t>Прочие внеоборотные активы</t>
  </si>
  <si>
    <t>ИТОГО</t>
  </si>
  <si>
    <t>Оборотные активы</t>
  </si>
  <si>
    <t>Запасы</t>
  </si>
  <si>
    <t>Торговая и прочая дебиторская
задолженность</t>
  </si>
  <si>
    <t>Авансы и расходы будущих 
периодов</t>
  </si>
  <si>
    <t>Авансовые платежи по налогу 
на прибыль</t>
  </si>
  <si>
    <t>Прочие налоги к возмещению</t>
  </si>
  <si>
    <t>Денежные средства и их эквиваленты</t>
  </si>
  <si>
    <t>Прочие оборотные активы</t>
  </si>
  <si>
    <t>ИТОГО АКТИВЫ</t>
  </si>
  <si>
    <t>Капитал и обязательства</t>
  </si>
  <si>
    <t>Капитал и резервы</t>
  </si>
  <si>
    <t>Уставный капитал</t>
  </si>
  <si>
    <t>Эмиссионный доход</t>
  </si>
  <si>
    <t>Собственные акции, выкупленные у акционеров</t>
  </si>
  <si>
    <t>Показатель быстрой ликвидности</t>
  </si>
  <si>
    <t>Резерв накопленных курсовых 
разниц и прочие резервы</t>
  </si>
  <si>
    <t>Показатель абсолютной ликвидности</t>
  </si>
  <si>
    <t>Нераспределенная прибыль</t>
  </si>
  <si>
    <t>Капитал, причитающийся 
акционерам материнской компания</t>
  </si>
  <si>
    <t>Показатели финансовой устойчивости</t>
  </si>
  <si>
    <t>Неконтролирующие доли</t>
  </si>
  <si>
    <t>Показатели структуры источников финансирования:</t>
  </si>
  <si>
    <t>Долгосрочные обязательства</t>
  </si>
  <si>
    <t>Кредиты и займы</t>
  </si>
  <si>
    <t>Обязательства по аренде</t>
  </si>
  <si>
    <t>Оценочные обязательства</t>
  </si>
  <si>
    <t>Социальные обязательства</t>
  </si>
  <si>
    <t>Торговая и прочая долгосрочная 
кредиторская задолжность</t>
  </si>
  <si>
    <t>Производные финансовые 
инструменты</t>
  </si>
  <si>
    <t>Отложенные налоговые 
обязательства</t>
  </si>
  <si>
    <t>Прочие долгосрочные 
обязательства</t>
  </si>
  <si>
    <t>Краткосрочные обязательства</t>
  </si>
  <si>
    <t>Торговая и прочая кредиторская 
задолженность</t>
  </si>
  <si>
    <t>Дивиденды к уплате</t>
  </si>
  <si>
    <t>Обязательства по вознаграждениям
работникам</t>
  </si>
  <si>
    <t>Обязательства по налогу на прибыль</t>
  </si>
  <si>
    <t>Прочие налоговые обязательства</t>
  </si>
  <si>
    <t>Прочие краткосрочные обязательства</t>
  </si>
  <si>
    <t>ИТОГО ОБЯЗАТЕЛЬСТВА</t>
  </si>
  <si>
    <t>ИТОГО КАПИТАЛ И ОБЯЗАТЕЛЬСТВА</t>
  </si>
  <si>
    <t>Показатели ликвидности</t>
  </si>
  <si>
    <t>Коэффицент финансового левериджа</t>
  </si>
  <si>
    <t>K_долг</t>
  </si>
  <si>
    <t>K_собств.капитал</t>
  </si>
  <si>
    <t>ГОРНО-МЕТАЛЛУРГИЧЕСКАЯ КОМПАНИЯ «НОРИЛЬСКИЙ НИКЕЛЬ» КОНСОЛИДИРОВАННЫЙ ОТЧЕТ О ПРИБЫЛЯХ И УБЫТКАХ</t>
  </si>
  <si>
    <t>Себестоимость реализованных металлов</t>
  </si>
  <si>
    <t>Себестоимость прочей реализации</t>
  </si>
  <si>
    <t>Себестоимость</t>
  </si>
  <si>
    <t>Валовая прибыль</t>
  </si>
  <si>
    <t>EBITDA</t>
  </si>
  <si>
    <t>Прибыль до налогообложения</t>
  </si>
  <si>
    <t>Налог на прибыль</t>
  </si>
  <si>
    <t>Прибыль за год</t>
  </si>
  <si>
    <t>Выручка</t>
  </si>
  <si>
    <t>Средний по отрасли</t>
  </si>
  <si>
    <t>Коэффицент автономии</t>
  </si>
  <si>
    <t>Коэффицент концентрации привл. средств</t>
  </si>
  <si>
    <t>Операционная прибыль (EBIT, до вычета % и налогов)</t>
  </si>
  <si>
    <t>Коэффициент обеспеченности процентов к уплате</t>
  </si>
  <si>
    <t>Чистый долг к EBITDA</t>
  </si>
  <si>
    <t>Проценты к уплате</t>
  </si>
  <si>
    <t>Коэффиценты покрытия (соотносят прибыль с финансовой нагрузкой)</t>
  </si>
  <si>
    <t>Собственные оборотные средства</t>
  </si>
  <si>
    <t>Коэффициент обеспеченности запасов</t>
  </si>
  <si>
    <t>Коэффициент обеспеченности собственными оборотными средствами</t>
  </si>
  <si>
    <t>Дивиденды</t>
  </si>
  <si>
    <t>Показателей деловой активности и оборачиваемости</t>
  </si>
  <si>
    <t>Коэффицент устойчивости экономического роста</t>
  </si>
  <si>
    <t>Показатель фондоотдачи</t>
  </si>
  <si>
    <t>Коэффицент оборачиваемости запасов (в д.)</t>
  </si>
  <si>
    <t>Коэффицент оборачиваемости дебиторки (в д.)</t>
  </si>
  <si>
    <t>Коэффицент оборачиваемости кредиторки</t>
  </si>
  <si>
    <t>Рентабельность совокупного капитала (ROA)</t>
  </si>
  <si>
    <t>Рентабельность собственного капитала (ROE)</t>
  </si>
  <si>
    <t>Маржинальности по чистой прибыли</t>
  </si>
  <si>
    <t>Показателей отдачи на капитал (return on) и маржинальности</t>
  </si>
  <si>
    <t>Показатель текущей ликвидности</t>
  </si>
  <si>
    <t>Компания</t>
  </si>
  <si>
    <t>Северсталь</t>
  </si>
  <si>
    <t>Русал</t>
  </si>
  <si>
    <t>АЛРОСА</t>
  </si>
  <si>
    <t>Net Debt</t>
  </si>
  <si>
    <t>Net Debt / EBITDA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</si>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</sst>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9" x14ac:knownFonts="1">
    <font>
      <sz val="10"/>
      <color rgb="FF000000"/>
      <name val="Arial"/>
      <scheme val="minor"/>
    </font>
    <font>
      <sz val="11"/>
      <color theme="1"/>
      <name val="Montserrat"/>
      <charset val="204"/>
    </font>
    <font>
      <sz val="12"/>
      <color rgb="FF000000"/>
      <name val="Google Sans"/>
    </font>
    <font>
      <sz val="10"/>
      <name val="Arial"/>
      <family val="2"/>
      <charset val="204"/>
    </font>
    <font>
      <sz val="12"/>
      <color theme="1"/>
      <name val="Google Sans"/>
    </font>
    <font>
      <b/>
      <sz val="12"/>
      <color rgb="FF000000"/>
      <name val="Google Sans"/>
    </font>
    <font>
      <b/>
      <i/>
      <sz val="12"/>
      <color rgb="FF0C0C0C"/>
      <name val="Google Sans"/>
    </font>
    <font>
      <sz val="12"/>
      <color rgb="FF1F1F1F"/>
      <name val="Google Sans"/>
    </font>
    <font>
      <b/>
      <i/>
      <sz val="12"/>
      <color rgb="FF000000"/>
      <name val="Google Sans"/>
    </font>
    <font>
      <sz val="10"/>
      <color theme="1"/>
      <name val="Google Sans"/>
    </font>
    <font>
      <b/>
      <sz val="12"/>
      <color theme="1"/>
      <name val="Google Sans"/>
    </font>
    <font>
      <sz val="11"/>
      <color theme="1"/>
      <name val="Google Sans"/>
      <charset val="204"/>
    </font>
    <font>
      <sz val="11"/>
      <color rgb="FF000000"/>
      <name val="Google Sans"/>
      <charset val="204"/>
    </font>
    <font>
      <i/>
      <sz val="11"/>
      <color rgb="FF000000"/>
      <name val="Google Sans"/>
      <charset val="204"/>
    </font>
    <font>
      <b/>
      <sz val="11"/>
      <color rgb="FF000000"/>
      <name val="Google Sans"/>
      <charset val="204"/>
    </font>
    <font>
      <b/>
      <sz val="11"/>
      <color theme="1"/>
      <name val="Google Sans"/>
      <charset val="204"/>
    </font>
    <font>
      <b/>
      <sz val="11"/>
      <color rgb="FF1A1B25"/>
      <name val="Google Sans"/>
      <charset val="204"/>
    </font>
    <font>
      <sz val="11"/>
      <color rgb="FF000000"/>
      <name val="Montserrat"/>
      <charset val="204"/>
    </font>
    <font>
      <sz val="11"/>
      <color rgb="FF222222"/>
      <name val="Montserrat"/>
      <charset val="204"/>
    </font>
    <font>
      <i/>
      <sz val="11"/>
      <color rgb="FF000000"/>
      <name val="Montserrat"/>
      <charset val="204"/>
    </font>
    <font>
      <sz val="11"/>
      <color theme="1"/>
      <name val="Montserrat SemiBold"/>
      <charset val="204"/>
    </font>
    <font>
      <b/>
      <sz val="11"/>
      <color rgb="FF3D3522"/>
      <name val="Montserrat SemiBold"/>
      <charset val="204"/>
    </font>
    <font>
      <b/>
      <sz val="11"/>
      <color theme="1"/>
      <name val="Montserrat SemiBold"/>
      <charset val="204"/>
    </font>
    <font>
      <sz val="11"/>
      <color rgb="FF000000"/>
      <name val="Montserrat SemiBold"/>
      <charset val="204"/>
    </font>
    <font>
      <sz val="14"/>
      <color rgb="FF000000"/>
      <name val="Impact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2"/>
      <color rgb="FF000000"/>
      <name val="Montserrat"/>
      <charset val="204"/>
    </font>
    <font>
      <sz val="12"/>
      <color rgb="FF000000"/>
      <name val="Montserrat"/>
      <charset val="204"/>
    </font>
    <font>
      <sz val="12"/>
      <color rgb="FF666666"/>
      <name val="Montserrat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BEC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3" fontId="2" fillId="0" borderId="8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7" fillId="4" borderId="8" xfId="0" applyNumberFormat="1" applyFont="1" applyFill="1" applyBorder="1" applyAlignment="1">
      <alignment horizontal="right"/>
    </xf>
    <xf numFmtId="0" fontId="5" fillId="5" borderId="8" xfId="0" applyFont="1" applyFill="1" applyBorder="1" applyAlignment="1"/>
    <xf numFmtId="3" fontId="5" fillId="5" borderId="8" xfId="0" applyNumberFormat="1" applyFont="1" applyFill="1" applyBorder="1" applyAlignment="1">
      <alignment horizontal="right"/>
    </xf>
    <xf numFmtId="3" fontId="5" fillId="5" borderId="8" xfId="0" applyNumberFormat="1" applyFont="1" applyFill="1" applyBorder="1" applyAlignment="1">
      <alignment horizontal="right"/>
    </xf>
    <xf numFmtId="0" fontId="2" fillId="0" borderId="8" xfId="0" applyFont="1" applyBorder="1" applyAlignment="1"/>
    <xf numFmtId="3" fontId="2" fillId="0" borderId="8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5" fillId="6" borderId="8" xfId="0" applyFont="1" applyFill="1" applyBorder="1" applyAlignment="1">
      <alignment horizontal="left"/>
    </xf>
    <xf numFmtId="3" fontId="5" fillId="6" borderId="8" xfId="0" applyNumberFormat="1" applyFont="1" applyFill="1" applyBorder="1" applyAlignment="1">
      <alignment horizontal="right"/>
    </xf>
    <xf numFmtId="3" fontId="5" fillId="6" borderId="8" xfId="0" applyNumberFormat="1" applyFont="1" applyFill="1" applyBorder="1" applyAlignment="1">
      <alignment horizontal="right"/>
    </xf>
    <xf numFmtId="0" fontId="2" fillId="0" borderId="0" xfId="0" applyFont="1" applyAlignment="1"/>
    <xf numFmtId="0" fontId="9" fillId="0" borderId="0" xfId="0" applyFont="1"/>
    <xf numFmtId="3" fontId="2" fillId="0" borderId="8" xfId="0" applyNumberFormat="1" applyFont="1" applyBorder="1" applyAlignment="1">
      <alignment horizontal="right"/>
    </xf>
    <xf numFmtId="0" fontId="4" fillId="0" borderId="8" xfId="0" applyFont="1" applyBorder="1" applyAlignment="1"/>
    <xf numFmtId="3" fontId="2" fillId="0" borderId="8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0" fontId="4" fillId="0" borderId="8" xfId="0" applyFont="1" applyBorder="1"/>
    <xf numFmtId="3" fontId="4" fillId="0" borderId="8" xfId="0" applyNumberFormat="1" applyFont="1" applyBorder="1" applyAlignment="1">
      <alignment horizontal="right"/>
    </xf>
    <xf numFmtId="0" fontId="2" fillId="0" borderId="8" xfId="0" applyFont="1" applyBorder="1"/>
    <xf numFmtId="0" fontId="5" fillId="0" borderId="8" xfId="0" applyFont="1" applyBorder="1" applyAlignment="1">
      <alignment horizontal="left"/>
    </xf>
    <xf numFmtId="3" fontId="5" fillId="0" borderId="8" xfId="0" applyNumberFormat="1" applyFont="1" applyBorder="1" applyAlignment="1">
      <alignment horizontal="right"/>
    </xf>
    <xf numFmtId="0" fontId="2" fillId="0" borderId="0" xfId="0" applyFont="1" applyAlignment="1"/>
    <xf numFmtId="0" fontId="10" fillId="5" borderId="8" xfId="0" applyFont="1" applyFill="1" applyBorder="1" applyAlignment="1"/>
    <xf numFmtId="3" fontId="5" fillId="5" borderId="8" xfId="0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3" fontId="10" fillId="5" borderId="8" xfId="0" applyNumberFormat="1" applyFont="1" applyFill="1" applyBorder="1" applyAlignment="1">
      <alignment horizontal="right"/>
    </xf>
    <xf numFmtId="0" fontId="5" fillId="5" borderId="8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3" fontId="10" fillId="5" borderId="8" xfId="0" applyNumberFormat="1" applyFont="1" applyFill="1" applyBorder="1" applyAlignment="1">
      <alignment horizontal="right"/>
    </xf>
    <xf numFmtId="0" fontId="10" fillId="5" borderId="8" xfId="0" applyFont="1" applyFill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5" fillId="0" borderId="8" xfId="0" applyFont="1" applyBorder="1" applyAlignment="1"/>
    <xf numFmtId="0" fontId="5" fillId="0" borderId="8" xfId="0" applyFont="1" applyBorder="1" applyAlignment="1">
      <alignment horizontal="right"/>
    </xf>
    <xf numFmtId="0" fontId="5" fillId="6" borderId="8" xfId="0" applyFont="1" applyFill="1" applyBorder="1" applyAlignment="1"/>
    <xf numFmtId="3" fontId="5" fillId="6" borderId="8" xfId="0" applyNumberFormat="1" applyFont="1" applyFill="1" applyBorder="1" applyAlignment="1">
      <alignment horizontal="right"/>
    </xf>
    <xf numFmtId="0" fontId="11" fillId="0" borderId="0" xfId="0" applyFont="1" applyAlignment="1"/>
    <xf numFmtId="0" fontId="12" fillId="0" borderId="0" xfId="0" applyFont="1" applyAlignment="1"/>
    <xf numFmtId="0" fontId="11" fillId="0" borderId="12" xfId="0" applyFont="1" applyBorder="1" applyAlignment="1"/>
    <xf numFmtId="0" fontId="14" fillId="0" borderId="12" xfId="0" applyFont="1" applyBorder="1" applyAlignment="1"/>
    <xf numFmtId="0" fontId="13" fillId="0" borderId="12" xfId="0" applyFont="1" applyBorder="1" applyAlignment="1"/>
    <xf numFmtId="3" fontId="12" fillId="0" borderId="12" xfId="0" applyNumberFormat="1" applyFont="1" applyBorder="1" applyAlignment="1">
      <alignment horizontal="right"/>
    </xf>
    <xf numFmtId="0" fontId="12" fillId="0" borderId="12" xfId="0" applyFont="1" applyBorder="1" applyAlignment="1"/>
    <xf numFmtId="0" fontId="14" fillId="9" borderId="12" xfId="0" applyFont="1" applyFill="1" applyBorder="1" applyAlignment="1"/>
    <xf numFmtId="3" fontId="14" fillId="9" borderId="12" xfId="0" applyNumberFormat="1" applyFont="1" applyFill="1" applyBorder="1" applyAlignment="1">
      <alignment horizontal="right"/>
    </xf>
    <xf numFmtId="3" fontId="15" fillId="9" borderId="12" xfId="0" applyNumberFormat="1" applyFont="1" applyFill="1" applyBorder="1" applyAlignment="1">
      <alignment horizontal="right"/>
    </xf>
    <xf numFmtId="3" fontId="4" fillId="0" borderId="0" xfId="0" applyNumberFormat="1" applyFont="1"/>
    <xf numFmtId="3" fontId="12" fillId="0" borderId="12" xfId="0" applyNumberFormat="1" applyFont="1" applyBorder="1" applyAlignment="1"/>
    <xf numFmtId="0" fontId="15" fillId="0" borderId="0" xfId="0" applyFont="1" applyAlignment="1"/>
    <xf numFmtId="0" fontId="16" fillId="0" borderId="12" xfId="0" applyFont="1" applyBorder="1" applyAlignment="1"/>
    <xf numFmtId="0" fontId="17" fillId="0" borderId="0" xfId="0" applyFont="1" applyAlignment="1"/>
    <xf numFmtId="0" fontId="17" fillId="0" borderId="12" xfId="0" applyFont="1" applyBorder="1" applyAlignment="1"/>
    <xf numFmtId="0" fontId="19" fillId="0" borderId="0" xfId="0" applyFont="1" applyAlignment="1"/>
    <xf numFmtId="0" fontId="17" fillId="0" borderId="0" xfId="0" applyFont="1"/>
    <xf numFmtId="0" fontId="1" fillId="0" borderId="0" xfId="0" applyFont="1"/>
    <xf numFmtId="0" fontId="20" fillId="0" borderId="12" xfId="0" applyFont="1" applyBorder="1" applyAlignment="1"/>
    <xf numFmtId="0" fontId="21" fillId="0" borderId="12" xfId="0" applyFont="1" applyBorder="1" applyAlignment="1">
      <alignment horizontal="left" vertical="center" readingOrder="1"/>
    </xf>
    <xf numFmtId="0" fontId="22" fillId="0" borderId="12" xfId="0" applyFont="1" applyBorder="1" applyAlignment="1"/>
    <xf numFmtId="0" fontId="20" fillId="0" borderId="12" xfId="0" applyFont="1" applyBorder="1" applyAlignment="1">
      <alignment horizontal="left" vertical="center" readingOrder="1"/>
    </xf>
    <xf numFmtId="0" fontId="23" fillId="0" borderId="12" xfId="0" applyFont="1" applyBorder="1" applyAlignment="1"/>
    <xf numFmtId="2" fontId="17" fillId="15" borderId="12" xfId="0" applyNumberFormat="1" applyFont="1" applyFill="1" applyBorder="1" applyAlignment="1"/>
    <xf numFmtId="4" fontId="17" fillId="15" borderId="12" xfId="0" applyNumberFormat="1" applyFont="1" applyFill="1" applyBorder="1" applyAlignment="1"/>
    <xf numFmtId="4" fontId="1" fillId="15" borderId="12" xfId="0" applyNumberFormat="1" applyFont="1" applyFill="1" applyBorder="1"/>
    <xf numFmtId="4" fontId="17" fillId="15" borderId="12" xfId="0" applyNumberFormat="1" applyFont="1" applyFill="1" applyBorder="1"/>
    <xf numFmtId="0" fontId="17" fillId="16" borderId="12" xfId="0" applyFont="1" applyFill="1" applyBorder="1" applyAlignment="1"/>
    <xf numFmtId="0" fontId="18" fillId="16" borderId="12" xfId="0" applyFont="1" applyFill="1" applyBorder="1" applyAlignment="1"/>
    <xf numFmtId="2" fontId="17" fillId="16" borderId="12" xfId="0" applyNumberFormat="1" applyFont="1" applyFill="1" applyBorder="1" applyAlignment="1"/>
    <xf numFmtId="0" fontId="17" fillId="16" borderId="12" xfId="0" applyFont="1" applyFill="1" applyBorder="1"/>
    <xf numFmtId="10" fontId="17" fillId="16" borderId="12" xfId="0" applyNumberFormat="1" applyFont="1" applyFill="1" applyBorder="1" applyAlignment="1"/>
    <xf numFmtId="10" fontId="18" fillId="16" borderId="12" xfId="0" applyNumberFormat="1" applyFont="1" applyFill="1" applyBorder="1" applyAlignment="1"/>
    <xf numFmtId="9" fontId="18" fillId="16" borderId="12" xfId="0" applyNumberFormat="1" applyFont="1" applyFill="1" applyBorder="1" applyAlignment="1"/>
    <xf numFmtId="9" fontId="17" fillId="16" borderId="12" xfId="0" applyNumberFormat="1" applyFont="1" applyFill="1" applyBorder="1" applyAlignment="1"/>
    <xf numFmtId="166" fontId="17" fillId="15" borderId="12" xfId="0" applyNumberFormat="1" applyFont="1" applyFill="1" applyBorder="1" applyAlignment="1"/>
    <xf numFmtId="10" fontId="17" fillId="15" borderId="12" xfId="0" applyNumberFormat="1" applyFont="1" applyFill="1" applyBorder="1" applyAlignment="1"/>
    <xf numFmtId="10" fontId="17" fillId="17" borderId="1" xfId="0" applyNumberFormat="1" applyFont="1" applyFill="1" applyBorder="1" applyAlignment="1">
      <alignment horizontal="right" wrapText="1"/>
    </xf>
    <xf numFmtId="10" fontId="17" fillId="17" borderId="17" xfId="0" applyNumberFormat="1" applyFont="1" applyFill="1" applyBorder="1" applyAlignment="1">
      <alignment horizontal="right" wrapText="1"/>
    </xf>
    <xf numFmtId="0" fontId="26" fillId="18" borderId="21" xfId="0" applyFont="1" applyFill="1" applyBorder="1" applyAlignment="1">
      <alignment wrapText="1"/>
    </xf>
    <xf numFmtId="0" fontId="27" fillId="18" borderId="22" xfId="0" applyFont="1" applyFill="1" applyBorder="1" applyAlignment="1">
      <alignment horizontal="right" wrapText="1"/>
    </xf>
    <xf numFmtId="0" fontId="25" fillId="0" borderId="23" xfId="0" applyFont="1" applyBorder="1" applyAlignment="1">
      <alignment wrapText="1"/>
    </xf>
    <xf numFmtId="0" fontId="26" fillId="18" borderId="22" xfId="0" applyFont="1" applyFill="1" applyBorder="1" applyAlignment="1">
      <alignment horizontal="right" wrapText="1"/>
    </xf>
    <xf numFmtId="0" fontId="28" fillId="19" borderId="23" xfId="0" applyFont="1" applyFill="1" applyBorder="1" applyAlignment="1">
      <alignment horizontal="center" wrapText="1"/>
    </xf>
    <xf numFmtId="0" fontId="28" fillId="18" borderId="22" xfId="0" applyFont="1" applyFill="1" applyBorder="1" applyAlignment="1">
      <alignment horizontal="center" wrapText="1"/>
    </xf>
    <xf numFmtId="10" fontId="27" fillId="0" borderId="22" xfId="0" applyNumberFormat="1" applyFont="1" applyBorder="1" applyAlignment="1">
      <alignment horizontal="right" wrapText="1"/>
    </xf>
    <xf numFmtId="0" fontId="26" fillId="0" borderId="21" xfId="0" applyFont="1" applyBorder="1" applyAlignment="1">
      <alignment wrapText="1"/>
    </xf>
    <xf numFmtId="10" fontId="26" fillId="0" borderId="22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/>
    </xf>
    <xf numFmtId="0" fontId="3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2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2" fillId="0" borderId="0" xfId="0" applyFont="1" applyAlignment="1"/>
    <xf numFmtId="0" fontId="24" fillId="10" borderId="0" xfId="0" applyFont="1" applyFill="1" applyAlignment="1">
      <alignment horizontal="center"/>
    </xf>
    <xf numFmtId="0" fontId="24" fillId="10" borderId="0" xfId="0" applyFont="1" applyFill="1" applyAlignment="1"/>
    <xf numFmtId="0" fontId="24" fillId="11" borderId="13" xfId="0" applyFont="1" applyFill="1" applyBorder="1" applyAlignment="1">
      <alignment horizontal="center"/>
    </xf>
    <xf numFmtId="0" fontId="24" fillId="11" borderId="11" xfId="0" applyFont="1" applyFill="1" applyBorder="1" applyAlignment="1">
      <alignment horizontal="center"/>
    </xf>
    <xf numFmtId="0" fontId="24" fillId="12" borderId="11" xfId="0" applyFont="1" applyFill="1" applyBorder="1" applyAlignment="1">
      <alignment horizontal="center"/>
    </xf>
    <xf numFmtId="0" fontId="24" fillId="14" borderId="14" xfId="0" applyFont="1" applyFill="1" applyBorder="1" applyAlignment="1">
      <alignment horizontal="center"/>
    </xf>
    <xf numFmtId="0" fontId="24" fillId="14" borderId="15" xfId="0" applyFont="1" applyFill="1" applyBorder="1" applyAlignment="1">
      <alignment horizontal="center"/>
    </xf>
    <xf numFmtId="0" fontId="24" fillId="14" borderId="16" xfId="0" applyFont="1" applyFill="1" applyBorder="1" applyAlignment="1">
      <alignment horizontal="center"/>
    </xf>
    <xf numFmtId="0" fontId="17" fillId="13" borderId="11" xfId="0" applyFont="1" applyFill="1" applyBorder="1" applyAlignment="1">
      <alignment horizontal="center"/>
    </xf>
    <xf numFmtId="0" fontId="26" fillId="0" borderId="18" xfId="0" applyFont="1" applyBorder="1" applyAlignment="1">
      <alignment horizontal="center" wrapText="1"/>
    </xf>
    <xf numFmtId="0" fontId="26" fillId="0" borderId="19" xfId="0" applyFont="1" applyBorder="1" applyAlignment="1">
      <alignment horizontal="center" wrapText="1"/>
    </xf>
    <xf numFmtId="0" fontId="26" fillId="0" borderId="20" xfId="0" applyFont="1" applyBorder="1" applyAlignment="1">
      <alignment horizontal="center" wrapText="1"/>
    </xf>
    <xf numFmtId="0" fontId="26" fillId="18" borderId="18" xfId="0" applyFont="1" applyFill="1" applyBorder="1" applyAlignment="1">
      <alignment horizontal="center" wrapText="1"/>
    </xf>
    <xf numFmtId="0" fontId="26" fillId="18" borderId="19" xfId="0" applyFont="1" applyFill="1" applyBorder="1" applyAlignment="1">
      <alignment horizontal="center" wrapText="1"/>
    </xf>
    <xf numFmtId="0" fontId="26" fillId="18" borderId="2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9"/>
  <sheetViews>
    <sheetView workbookViewId="0">
      <selection activeCell="E19" sqref="E19"/>
    </sheetView>
  </sheetViews>
  <sheetFormatPr defaultColWidth="12.6640625" defaultRowHeight="15.75" customHeight="1" x14ac:dyDescent="0.3"/>
  <cols>
    <col min="1" max="1" width="47.6640625" style="49" customWidth="1"/>
    <col min="2" max="2" width="22.6640625" style="49" customWidth="1"/>
    <col min="3" max="3" width="22.88671875" style="49" customWidth="1"/>
    <col min="4" max="4" width="32.109375" style="49" customWidth="1"/>
    <col min="5" max="5" width="19.21875" style="49" customWidth="1"/>
    <col min="6" max="6" width="22" style="49" customWidth="1"/>
    <col min="7" max="16384" width="12.6640625" style="49"/>
  </cols>
  <sheetData>
    <row r="1" spans="1:6" ht="15.75" customHeight="1" x14ac:dyDescent="0.3">
      <c r="A1" s="49" t="s">
        <v>56</v>
      </c>
      <c r="B1" s="114"/>
      <c r="C1" s="115"/>
      <c r="D1" s="115"/>
      <c r="E1" s="115"/>
      <c r="F1" s="115"/>
    </row>
    <row r="2" spans="1:6" ht="15.75" customHeight="1" x14ac:dyDescent="0.3">
      <c r="A2" s="60"/>
      <c r="B2" s="60"/>
      <c r="C2" s="60"/>
      <c r="D2" s="60"/>
      <c r="E2" s="48"/>
    </row>
    <row r="3" spans="1:6" ht="14.4" x14ac:dyDescent="0.3">
      <c r="A3" s="50"/>
      <c r="B3" s="50">
        <v>2022</v>
      </c>
      <c r="C3" s="50">
        <v>2021</v>
      </c>
      <c r="D3" s="50">
        <v>2020</v>
      </c>
      <c r="E3" s="50">
        <v>2019</v>
      </c>
      <c r="F3" s="50">
        <v>2018</v>
      </c>
    </row>
    <row r="4" spans="1:6" ht="15.75" customHeight="1" x14ac:dyDescent="0.3">
      <c r="A4" s="55" t="s">
        <v>65</v>
      </c>
      <c r="B4" s="56">
        <v>1184477</v>
      </c>
      <c r="C4" s="56">
        <v>1316948</v>
      </c>
      <c r="D4" s="56">
        <v>1116969</v>
      </c>
      <c r="E4" s="56">
        <v>877769</v>
      </c>
      <c r="F4" s="56">
        <v>728915</v>
      </c>
    </row>
    <row r="5" spans="1:6" ht="15.75" customHeight="1" x14ac:dyDescent="0.3">
      <c r="A5" s="52" t="s">
        <v>57</v>
      </c>
      <c r="B5" s="53">
        <v>-426329</v>
      </c>
      <c r="C5" s="53">
        <v>-372728</v>
      </c>
      <c r="D5" s="53">
        <v>-324308</v>
      </c>
      <c r="E5" s="53">
        <v>-291441</v>
      </c>
      <c r="F5" s="53">
        <v>-281895</v>
      </c>
    </row>
    <row r="6" spans="1:6" ht="15.75" customHeight="1" x14ac:dyDescent="0.3">
      <c r="A6" s="52" t="s">
        <v>58</v>
      </c>
      <c r="B6" s="53">
        <v>-56137</v>
      </c>
      <c r="C6" s="53">
        <v>-54862</v>
      </c>
      <c r="D6" s="53">
        <v>-40482</v>
      </c>
      <c r="E6" s="53">
        <v>-44257</v>
      </c>
      <c r="F6" s="53">
        <v>-38816</v>
      </c>
    </row>
    <row r="7" spans="1:6" ht="15.75" customHeight="1" x14ac:dyDescent="0.3">
      <c r="A7" s="55" t="s">
        <v>59</v>
      </c>
      <c r="B7" s="56">
        <f>SUM(B5:B6)</f>
        <v>-482466</v>
      </c>
      <c r="C7" s="56">
        <f t="shared" ref="C7:D7" si="0">SUM(C5:C6)</f>
        <v>-427590</v>
      </c>
      <c r="D7" s="56">
        <f t="shared" si="0"/>
        <v>-364790</v>
      </c>
      <c r="E7" s="56">
        <f t="shared" ref="E7" si="1">SUM(E5:E6)</f>
        <v>-335698</v>
      </c>
      <c r="F7" s="56">
        <f>SUM(F5:F6)</f>
        <v>-320711</v>
      </c>
    </row>
    <row r="8" spans="1:6" ht="15.75" customHeight="1" x14ac:dyDescent="0.3">
      <c r="A8" s="55" t="s">
        <v>60</v>
      </c>
      <c r="B8" s="56">
        <f>B7+B4</f>
        <v>702011</v>
      </c>
      <c r="C8" s="56">
        <f>C7+C4</f>
        <v>889358</v>
      </c>
      <c r="D8" s="56">
        <f>D7+D4</f>
        <v>752179</v>
      </c>
      <c r="E8" s="56">
        <f t="shared" ref="E8:F8" si="2">E7+E4</f>
        <v>542071</v>
      </c>
      <c r="F8" s="56">
        <f t="shared" si="2"/>
        <v>408204</v>
      </c>
    </row>
    <row r="10" spans="1:6" ht="15.75" customHeight="1" x14ac:dyDescent="0.3">
      <c r="A10" s="55" t="s">
        <v>61</v>
      </c>
      <c r="B10" s="56">
        <v>620021</v>
      </c>
      <c r="C10" s="56">
        <v>775932</v>
      </c>
      <c r="D10" s="57">
        <v>552443</v>
      </c>
      <c r="E10" s="57">
        <v>513726</v>
      </c>
      <c r="F10" s="57">
        <v>389232</v>
      </c>
    </row>
    <row r="12" spans="1:6" ht="15.75" customHeight="1" x14ac:dyDescent="0.3">
      <c r="A12" s="55" t="s">
        <v>69</v>
      </c>
      <c r="B12" s="56">
        <v>546046</v>
      </c>
      <c r="C12" s="56">
        <v>703909</v>
      </c>
      <c r="D12" s="56">
        <v>461457</v>
      </c>
      <c r="E12" s="56">
        <v>456214</v>
      </c>
      <c r="F12" s="56">
        <v>337888</v>
      </c>
    </row>
    <row r="13" spans="1:6" ht="15.75" customHeight="1" x14ac:dyDescent="0.3">
      <c r="A13" s="54" t="s">
        <v>72</v>
      </c>
      <c r="B13" s="59">
        <v>-41583</v>
      </c>
      <c r="C13" s="59">
        <v>-23067</v>
      </c>
      <c r="D13" s="59">
        <v>-31852</v>
      </c>
      <c r="E13" s="59">
        <v>-29747</v>
      </c>
      <c r="F13" s="59">
        <v>-34747</v>
      </c>
    </row>
    <row r="15" spans="1:6" ht="15.75" customHeight="1" x14ac:dyDescent="0.3">
      <c r="A15" s="55" t="s">
        <v>62</v>
      </c>
      <c r="B15" s="56">
        <v>538083</v>
      </c>
      <c r="C15" s="56">
        <v>681621</v>
      </c>
      <c r="D15" s="56">
        <v>335267</v>
      </c>
      <c r="E15" s="56">
        <v>488463</v>
      </c>
      <c r="F15" s="56">
        <v>240633</v>
      </c>
    </row>
    <row r="16" spans="1:6" ht="15.75" customHeight="1" x14ac:dyDescent="0.3">
      <c r="A16" s="54" t="s">
        <v>63</v>
      </c>
      <c r="B16" s="53">
        <v>-108740</v>
      </c>
      <c r="C16" s="53">
        <v>-168742</v>
      </c>
      <c r="D16" s="53">
        <v>-71475</v>
      </c>
      <c r="E16" s="53">
        <v>-100883</v>
      </c>
      <c r="F16" s="53">
        <v>-52858</v>
      </c>
    </row>
    <row r="17" spans="1:6" ht="15.75" customHeight="1" x14ac:dyDescent="0.3">
      <c r="A17" s="55" t="s">
        <v>64</v>
      </c>
      <c r="B17" s="56">
        <f>B15+B16</f>
        <v>429343</v>
      </c>
      <c r="C17" s="56">
        <f t="shared" ref="C17:D17" si="3">C15+C16</f>
        <v>512879</v>
      </c>
      <c r="D17" s="56">
        <f t="shared" si="3"/>
        <v>263792</v>
      </c>
      <c r="E17" s="56">
        <f t="shared" ref="E17" si="4">E15+E16</f>
        <v>387580</v>
      </c>
      <c r="F17" s="56">
        <f t="shared" ref="F17" si="5">F15+F16</f>
        <v>187775</v>
      </c>
    </row>
    <row r="19" spans="1:6" ht="15.75" customHeight="1" x14ac:dyDescent="0.3">
      <c r="A19" s="51" t="s">
        <v>77</v>
      </c>
      <c r="B19" s="61">
        <v>178272</v>
      </c>
      <c r="C19" s="61">
        <v>161603</v>
      </c>
      <c r="D19" s="61">
        <v>88174</v>
      </c>
      <c r="E19" s="61">
        <v>125413</v>
      </c>
      <c r="F19" s="61">
        <v>96210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A49" workbookViewId="0">
      <selection activeCell="D62" sqref="D62"/>
    </sheetView>
  </sheetViews>
  <sheetFormatPr defaultColWidth="12.6640625" defaultRowHeight="15.75" customHeight="1" x14ac:dyDescent="0.25"/>
  <cols>
    <col min="1" max="1" width="31.77734375" customWidth="1"/>
    <col min="2" max="2" width="16.5546875" customWidth="1"/>
    <col min="3" max="3" width="19" customWidth="1"/>
    <col min="4" max="4" width="17.77734375" customWidth="1"/>
    <col min="5" max="5" width="17.6640625" customWidth="1"/>
    <col min="6" max="6" width="19.77734375" customWidth="1"/>
    <col min="9" max="9" width="33.109375" customWidth="1"/>
  </cols>
  <sheetData>
    <row r="1" spans="1:26" ht="16.2" x14ac:dyDescent="0.3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2" x14ac:dyDescent="0.35">
      <c r="A2" s="102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2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05" t="s">
        <v>2</v>
      </c>
      <c r="B4" s="106"/>
      <c r="C4" s="106"/>
      <c r="D4" s="106"/>
      <c r="E4" s="106"/>
      <c r="F4" s="107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08" t="s">
        <v>3</v>
      </c>
      <c r="B5" s="106"/>
      <c r="C5" s="106"/>
      <c r="D5" s="106"/>
      <c r="E5" s="106"/>
      <c r="F5" s="107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2" x14ac:dyDescent="0.35">
      <c r="A6" s="3" t="s">
        <v>4</v>
      </c>
      <c r="B6" s="4">
        <v>2022</v>
      </c>
      <c r="C6" s="4">
        <v>2021</v>
      </c>
      <c r="D6" s="4">
        <v>2020</v>
      </c>
      <c r="E6" s="5">
        <v>2019</v>
      </c>
      <c r="F6" s="5">
        <v>2018</v>
      </c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09" t="s">
        <v>5</v>
      </c>
      <c r="B7" s="106"/>
      <c r="C7" s="106"/>
      <c r="D7" s="106"/>
      <c r="E7" s="106"/>
      <c r="F7" s="107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2" x14ac:dyDescent="0.35">
      <c r="A8" s="6" t="s">
        <v>6</v>
      </c>
      <c r="B8" s="7">
        <v>1143964</v>
      </c>
      <c r="C8" s="7">
        <v>943453</v>
      </c>
      <c r="D8" s="8">
        <v>795061</v>
      </c>
      <c r="E8" s="8">
        <v>742454</v>
      </c>
      <c r="F8" s="9">
        <v>690097</v>
      </c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2" x14ac:dyDescent="0.35">
      <c r="A9" s="6" t="s">
        <v>7</v>
      </c>
      <c r="B9" s="7">
        <v>21151</v>
      </c>
      <c r="C9" s="7">
        <v>19658</v>
      </c>
      <c r="D9" s="7">
        <v>16436</v>
      </c>
      <c r="E9" s="8">
        <v>13279</v>
      </c>
      <c r="F9" s="8">
        <v>11291</v>
      </c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2" x14ac:dyDescent="0.35">
      <c r="A10" s="6" t="s">
        <v>8</v>
      </c>
      <c r="B10" s="7">
        <v>8447</v>
      </c>
      <c r="C10" s="7">
        <v>6623</v>
      </c>
      <c r="D10" s="7">
        <v>5983</v>
      </c>
      <c r="E10" s="8">
        <v>13832</v>
      </c>
      <c r="F10" s="8">
        <v>9832</v>
      </c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2" x14ac:dyDescent="0.35">
      <c r="A11" s="6" t="s">
        <v>9</v>
      </c>
      <c r="B11" s="7">
        <v>23922</v>
      </c>
      <c r="C11" s="7">
        <v>12419</v>
      </c>
      <c r="D11" s="7">
        <v>55439</v>
      </c>
      <c r="E11" s="8">
        <v>6140</v>
      </c>
      <c r="F11" s="8">
        <v>5011</v>
      </c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2" x14ac:dyDescent="0.35">
      <c r="A12" s="6" t="s">
        <v>10</v>
      </c>
      <c r="B12" s="7">
        <v>25695</v>
      </c>
      <c r="C12" s="7">
        <v>25697</v>
      </c>
      <c r="D12" s="7">
        <v>24202</v>
      </c>
      <c r="E12" s="8">
        <v>22955</v>
      </c>
      <c r="F12" s="8">
        <v>26854</v>
      </c>
      <c r="G12" s="2"/>
      <c r="H12" s="2"/>
      <c r="I12" s="2"/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0" t="s">
        <v>11</v>
      </c>
      <c r="B13" s="11">
        <f t="shared" ref="B13:F13" si="0">SUM(B8:B12)</f>
        <v>1223179</v>
      </c>
      <c r="C13" s="11">
        <f t="shared" si="0"/>
        <v>1007850</v>
      </c>
      <c r="D13" s="11">
        <f t="shared" si="0"/>
        <v>897121</v>
      </c>
      <c r="E13" s="12">
        <f t="shared" si="0"/>
        <v>798660</v>
      </c>
      <c r="F13" s="12">
        <f t="shared" si="0"/>
        <v>743085</v>
      </c>
      <c r="G13" s="2"/>
      <c r="H13" s="2"/>
      <c r="I13" s="2"/>
      <c r="J13" s="2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2" x14ac:dyDescent="0.35">
      <c r="A14" s="13"/>
      <c r="B14" s="14"/>
      <c r="C14" s="14"/>
      <c r="D14" s="14"/>
      <c r="E14" s="15"/>
      <c r="F14" s="15"/>
      <c r="G14" s="2"/>
      <c r="H14" s="2"/>
      <c r="I14" s="2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0" t="s">
        <v>12</v>
      </c>
      <c r="B15" s="106"/>
      <c r="C15" s="106"/>
      <c r="D15" s="106"/>
      <c r="E15" s="106"/>
      <c r="F15" s="107"/>
      <c r="G15" s="2"/>
      <c r="H15" s="2"/>
      <c r="I15" s="2"/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2" x14ac:dyDescent="0.35">
      <c r="A16" s="6" t="s">
        <v>13</v>
      </c>
      <c r="B16" s="7">
        <v>347874</v>
      </c>
      <c r="C16" s="7">
        <v>224825</v>
      </c>
      <c r="D16" s="8">
        <v>161983</v>
      </c>
      <c r="E16" s="8">
        <v>152982</v>
      </c>
      <c r="F16" s="8">
        <v>158444</v>
      </c>
      <c r="G16" s="2"/>
      <c r="H16" s="2"/>
      <c r="I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2" x14ac:dyDescent="0.35">
      <c r="A17" s="16" t="s">
        <v>14</v>
      </c>
      <c r="B17" s="7">
        <v>59533</v>
      </c>
      <c r="C17" s="7">
        <v>34721</v>
      </c>
      <c r="D17" s="8">
        <v>39687</v>
      </c>
      <c r="E17" s="8">
        <v>22385</v>
      </c>
      <c r="F17" s="8">
        <v>14202</v>
      </c>
      <c r="G17" s="2"/>
      <c r="H17" s="2"/>
      <c r="I17" s="2"/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2" x14ac:dyDescent="0.35">
      <c r="A18" s="16" t="s">
        <v>15</v>
      </c>
      <c r="B18" s="7">
        <v>13550</v>
      </c>
      <c r="C18" s="7">
        <v>8333</v>
      </c>
      <c r="D18" s="8">
        <v>5941</v>
      </c>
      <c r="E18" s="8">
        <v>4648</v>
      </c>
      <c r="F18" s="8">
        <v>5202</v>
      </c>
      <c r="G18" s="2"/>
      <c r="H18" s="2"/>
      <c r="I18" s="2"/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2" x14ac:dyDescent="0.35">
      <c r="A19" s="6" t="s">
        <v>8</v>
      </c>
      <c r="B19" s="7">
        <v>2899</v>
      </c>
      <c r="C19" s="7">
        <v>3200</v>
      </c>
      <c r="D19" s="8">
        <v>4279</v>
      </c>
      <c r="E19" s="8">
        <v>3144</v>
      </c>
      <c r="F19" s="8">
        <v>10238</v>
      </c>
      <c r="G19" s="2"/>
      <c r="H19" s="2"/>
      <c r="I19" s="2"/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2" x14ac:dyDescent="0.35">
      <c r="A20" s="16" t="s">
        <v>16</v>
      </c>
      <c r="B20" s="7">
        <v>1201</v>
      </c>
      <c r="C20" s="7">
        <v>15112</v>
      </c>
      <c r="D20" s="8">
        <v>503</v>
      </c>
      <c r="E20" s="8">
        <v>4207</v>
      </c>
      <c r="F20" s="8">
        <v>6365</v>
      </c>
      <c r="G20" s="2"/>
      <c r="H20" s="2"/>
      <c r="I20" s="2"/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2" x14ac:dyDescent="0.35">
      <c r="A21" s="6" t="s">
        <v>17</v>
      </c>
      <c r="B21" s="7">
        <v>33532</v>
      </c>
      <c r="C21" s="7">
        <v>30577</v>
      </c>
      <c r="D21" s="8">
        <v>32825</v>
      </c>
      <c r="E21" s="8">
        <v>39886</v>
      </c>
      <c r="F21" s="8">
        <v>18854</v>
      </c>
      <c r="G21" s="2"/>
      <c r="H21" s="2"/>
      <c r="I21" s="2"/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2" x14ac:dyDescent="0.35">
      <c r="A22" s="16" t="s">
        <v>18</v>
      </c>
      <c r="B22" s="7">
        <v>132357</v>
      </c>
      <c r="C22" s="7">
        <v>412094</v>
      </c>
      <c r="D22" s="8">
        <v>383512</v>
      </c>
      <c r="E22" s="8">
        <v>172333</v>
      </c>
      <c r="F22" s="8">
        <v>96449</v>
      </c>
      <c r="G22" s="2"/>
      <c r="H22" s="2"/>
      <c r="I22" s="2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2" x14ac:dyDescent="0.35">
      <c r="A23" s="6" t="s">
        <v>19</v>
      </c>
      <c r="B23" s="7">
        <v>281</v>
      </c>
      <c r="C23" s="7">
        <v>4456</v>
      </c>
      <c r="D23" s="8">
        <v>3627</v>
      </c>
      <c r="E23" s="8">
        <v>7244</v>
      </c>
      <c r="F23" s="8">
        <v>6655</v>
      </c>
      <c r="G23" s="2"/>
      <c r="H23" s="2"/>
      <c r="I23" s="2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0" t="s">
        <v>11</v>
      </c>
      <c r="B24" s="11">
        <f t="shared" ref="B24:F24" si="1">SUM(B16:B23)</f>
        <v>591227</v>
      </c>
      <c r="C24" s="11">
        <f t="shared" si="1"/>
        <v>733318</v>
      </c>
      <c r="D24" s="11">
        <f t="shared" si="1"/>
        <v>632357</v>
      </c>
      <c r="E24" s="12">
        <f t="shared" si="1"/>
        <v>406829</v>
      </c>
      <c r="F24" s="12">
        <f t="shared" si="1"/>
        <v>316409</v>
      </c>
      <c r="G24" s="2"/>
      <c r="H24" s="2"/>
      <c r="I24" s="2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7" t="s">
        <v>20</v>
      </c>
      <c r="B25" s="18">
        <f t="shared" ref="B25:F25" si="2">B24+B13</f>
        <v>1814406</v>
      </c>
      <c r="C25" s="18">
        <f t="shared" si="2"/>
        <v>1741168</v>
      </c>
      <c r="D25" s="18">
        <f t="shared" si="2"/>
        <v>1529478</v>
      </c>
      <c r="E25" s="19">
        <f t="shared" si="2"/>
        <v>1205489</v>
      </c>
      <c r="F25" s="19">
        <f t="shared" si="2"/>
        <v>1059494</v>
      </c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2" x14ac:dyDescent="0.35">
      <c r="A26" s="20"/>
      <c r="B26" s="20"/>
      <c r="C26" s="20"/>
      <c r="D26" s="20"/>
      <c r="E26" s="2"/>
      <c r="F26" s="2"/>
      <c r="G26" s="2"/>
      <c r="H26" s="2"/>
      <c r="I26" s="2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2" x14ac:dyDescent="0.35">
      <c r="A27" s="21"/>
      <c r="B27" s="21"/>
      <c r="C27" s="21"/>
      <c r="D27" s="21"/>
      <c r="E27" s="2"/>
      <c r="F27" s="2"/>
      <c r="G27" s="2"/>
      <c r="H27" s="2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2" x14ac:dyDescent="0.35">
      <c r="A28" s="21"/>
      <c r="B28" s="21"/>
      <c r="C28" s="21"/>
      <c r="D28" s="21"/>
      <c r="E28" s="2"/>
      <c r="F28" s="2"/>
      <c r="G28" s="2"/>
      <c r="H28" s="2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2" x14ac:dyDescent="0.35">
      <c r="A29" s="111" t="s">
        <v>21</v>
      </c>
      <c r="B29" s="106"/>
      <c r="C29" s="106"/>
      <c r="D29" s="106"/>
      <c r="E29" s="106"/>
      <c r="F29" s="107"/>
      <c r="G29" s="2"/>
      <c r="H29" s="2"/>
      <c r="I29" s="2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2" x14ac:dyDescent="0.35">
      <c r="A30" s="112" t="s">
        <v>22</v>
      </c>
      <c r="B30" s="106"/>
      <c r="C30" s="106"/>
      <c r="D30" s="106"/>
      <c r="E30" s="106"/>
      <c r="F30" s="107"/>
      <c r="G30" s="2"/>
      <c r="H30" s="2"/>
      <c r="I30" s="2"/>
      <c r="J30" s="2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2" x14ac:dyDescent="0.35">
      <c r="A31" s="6" t="s">
        <v>23</v>
      </c>
      <c r="B31" s="22">
        <v>190</v>
      </c>
      <c r="C31" s="22">
        <v>191</v>
      </c>
      <c r="D31" s="22">
        <v>197</v>
      </c>
      <c r="E31" s="23">
        <v>197</v>
      </c>
      <c r="F31" s="23">
        <v>197</v>
      </c>
      <c r="G31" s="2"/>
      <c r="H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2" x14ac:dyDescent="0.35">
      <c r="A32" s="6" t="s">
        <v>24</v>
      </c>
      <c r="B32" s="22">
        <v>38122</v>
      </c>
      <c r="C32" s="22">
        <v>38319</v>
      </c>
      <c r="D32" s="22">
        <v>39464</v>
      </c>
      <c r="E32" s="23">
        <v>39464</v>
      </c>
      <c r="F32" s="23">
        <v>39464</v>
      </c>
      <c r="G32" s="2"/>
      <c r="H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2" x14ac:dyDescent="0.35">
      <c r="A33" s="6" t="s">
        <v>25</v>
      </c>
      <c r="B33" s="22">
        <v>0</v>
      </c>
      <c r="C33" s="22">
        <f>-21997</f>
        <v>-21997</v>
      </c>
      <c r="D33" s="24">
        <v>0</v>
      </c>
      <c r="E33" s="23">
        <v>0</v>
      </c>
      <c r="F33" s="5">
        <v>0</v>
      </c>
      <c r="G33" s="2"/>
      <c r="H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2" x14ac:dyDescent="0.35">
      <c r="A34" s="16" t="s">
        <v>27</v>
      </c>
      <c r="B34" s="25">
        <v>28586</v>
      </c>
      <c r="C34" s="25">
        <v>25023</v>
      </c>
      <c r="D34" s="22">
        <v>19632</v>
      </c>
      <c r="E34" s="23">
        <v>16826</v>
      </c>
      <c r="F34" s="23">
        <v>19657</v>
      </c>
      <c r="G34" s="2"/>
      <c r="H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2" x14ac:dyDescent="0.35">
      <c r="A35" s="6" t="s">
        <v>29</v>
      </c>
      <c r="B35" s="22">
        <v>434065</v>
      </c>
      <c r="C35" s="22">
        <v>232311</v>
      </c>
      <c r="D35" s="22">
        <v>237961</v>
      </c>
      <c r="E35" s="23">
        <v>179400</v>
      </c>
      <c r="F35" s="23">
        <v>164675</v>
      </c>
      <c r="G35" s="2"/>
      <c r="H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2" x14ac:dyDescent="0.35">
      <c r="A36" s="26"/>
      <c r="B36" s="27"/>
      <c r="C36" s="27"/>
      <c r="D36" s="27"/>
      <c r="E36" s="28"/>
      <c r="F36" s="28"/>
      <c r="G36" s="2"/>
      <c r="H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2" x14ac:dyDescent="0.35">
      <c r="A37" s="29" t="s">
        <v>30</v>
      </c>
      <c r="B37" s="30">
        <f t="shared" ref="B37:F37" si="3">SUM(B31:B35)</f>
        <v>500963</v>
      </c>
      <c r="C37" s="30">
        <f t="shared" si="3"/>
        <v>273847</v>
      </c>
      <c r="D37" s="30">
        <f t="shared" si="3"/>
        <v>297254</v>
      </c>
      <c r="E37" s="30">
        <f t="shared" si="3"/>
        <v>235887</v>
      </c>
      <c r="F37" s="30">
        <f t="shared" si="3"/>
        <v>223993</v>
      </c>
      <c r="G37" s="2"/>
      <c r="H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2" x14ac:dyDescent="0.35">
      <c r="A38" s="6" t="s">
        <v>32</v>
      </c>
      <c r="B38" s="22">
        <v>101497</v>
      </c>
      <c r="C38" s="22">
        <v>81889</v>
      </c>
      <c r="D38" s="22">
        <v>47879</v>
      </c>
      <c r="E38" s="23">
        <v>29478</v>
      </c>
      <c r="F38" s="23">
        <v>17529</v>
      </c>
      <c r="G38" s="2"/>
      <c r="H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2" x14ac:dyDescent="0.35">
      <c r="A39" s="32" t="s">
        <v>11</v>
      </c>
      <c r="B39" s="33">
        <f t="shared" ref="B39:F39" si="4">SUM(B37:B38)</f>
        <v>602460</v>
      </c>
      <c r="C39" s="33">
        <f t="shared" si="4"/>
        <v>355736</v>
      </c>
      <c r="D39" s="33">
        <f t="shared" si="4"/>
        <v>345133</v>
      </c>
      <c r="E39" s="33">
        <f t="shared" si="4"/>
        <v>265365</v>
      </c>
      <c r="F39" s="33">
        <f t="shared" si="4"/>
        <v>241522</v>
      </c>
      <c r="G39" s="2"/>
      <c r="H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2" x14ac:dyDescent="0.35">
      <c r="A40" s="13"/>
      <c r="B40" s="13"/>
      <c r="C40" s="13"/>
      <c r="D40" s="13"/>
      <c r="E40" s="28"/>
      <c r="F40" s="28"/>
      <c r="G40" s="2"/>
      <c r="H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2" x14ac:dyDescent="0.35">
      <c r="A41" s="13"/>
      <c r="B41" s="13"/>
      <c r="C41" s="13"/>
      <c r="D41" s="13"/>
      <c r="E41" s="28"/>
      <c r="F41" s="28"/>
      <c r="G41" s="2"/>
      <c r="H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2" x14ac:dyDescent="0.35">
      <c r="A42" s="13"/>
      <c r="B42" s="13"/>
      <c r="C42" s="13"/>
      <c r="D42" s="13"/>
      <c r="E42" s="28"/>
      <c r="F42" s="28"/>
      <c r="G42" s="2"/>
      <c r="H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2" x14ac:dyDescent="0.35">
      <c r="A43" s="112" t="s">
        <v>34</v>
      </c>
      <c r="B43" s="106"/>
      <c r="C43" s="106"/>
      <c r="D43" s="106"/>
      <c r="E43" s="106"/>
      <c r="F43" s="107"/>
      <c r="G43" s="2"/>
      <c r="H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2" x14ac:dyDescent="0.35">
      <c r="A44" s="6" t="s">
        <v>35</v>
      </c>
      <c r="B44" s="22">
        <v>505564</v>
      </c>
      <c r="C44" s="22">
        <v>640074</v>
      </c>
      <c r="D44" s="22">
        <v>710859</v>
      </c>
      <c r="E44" s="34">
        <v>528230</v>
      </c>
      <c r="F44" s="34">
        <v>570239</v>
      </c>
      <c r="G44" s="2"/>
      <c r="H44" s="2"/>
      <c r="I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2" x14ac:dyDescent="0.35">
      <c r="A45" s="6" t="s">
        <v>36</v>
      </c>
      <c r="B45" s="22">
        <v>13372</v>
      </c>
      <c r="C45" s="22">
        <v>13268</v>
      </c>
      <c r="D45" s="22">
        <v>15013</v>
      </c>
      <c r="E45" s="34">
        <v>11108</v>
      </c>
      <c r="F45" s="34">
        <v>1118</v>
      </c>
      <c r="G45" s="2"/>
      <c r="H45" s="2"/>
      <c r="I45" s="2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2" x14ac:dyDescent="0.35">
      <c r="A46" s="6" t="s">
        <v>37</v>
      </c>
      <c r="B46" s="22">
        <v>64446</v>
      </c>
      <c r="C46" s="35">
        <v>66382</v>
      </c>
      <c r="D46" s="22">
        <v>41355</v>
      </c>
      <c r="E46" s="97">
        <v>41739</v>
      </c>
      <c r="F46" s="113">
        <v>25359</v>
      </c>
      <c r="G46" s="2"/>
      <c r="H46" s="2"/>
      <c r="I46" s="2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2" x14ac:dyDescent="0.35">
      <c r="A47" s="6" t="s">
        <v>38</v>
      </c>
      <c r="B47" s="22">
        <v>43111</v>
      </c>
      <c r="C47" s="22">
        <v>47036</v>
      </c>
      <c r="D47" s="22">
        <v>6191</v>
      </c>
      <c r="E47" s="98"/>
      <c r="F47" s="98"/>
      <c r="G47" s="2"/>
      <c r="H47" s="2"/>
      <c r="I47" s="2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2" x14ac:dyDescent="0.35">
      <c r="A48" s="16" t="s">
        <v>39</v>
      </c>
      <c r="B48" s="22">
        <v>3995</v>
      </c>
      <c r="C48" s="22">
        <v>4062</v>
      </c>
      <c r="D48" s="22">
        <v>2403</v>
      </c>
      <c r="E48" s="34">
        <v>2271</v>
      </c>
      <c r="F48" s="34">
        <v>13892</v>
      </c>
      <c r="G48" s="2"/>
      <c r="H48" s="2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2" x14ac:dyDescent="0.35">
      <c r="A49" s="16" t="s">
        <v>40</v>
      </c>
      <c r="B49" s="22">
        <v>4680</v>
      </c>
      <c r="C49" s="22">
        <v>5374</v>
      </c>
      <c r="D49" s="22">
        <v>3817</v>
      </c>
      <c r="E49" s="36">
        <v>0</v>
      </c>
      <c r="F49" s="34">
        <v>4233</v>
      </c>
      <c r="G49" s="2"/>
      <c r="H49" s="2"/>
      <c r="I49" s="2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2" x14ac:dyDescent="0.35">
      <c r="A50" s="16" t="s">
        <v>41</v>
      </c>
      <c r="B50" s="22">
        <v>29186</v>
      </c>
      <c r="C50" s="22">
        <v>5415</v>
      </c>
      <c r="D50" s="22">
        <v>3211</v>
      </c>
      <c r="E50" s="34">
        <v>3724</v>
      </c>
      <c r="F50" s="34">
        <v>26513</v>
      </c>
      <c r="G50" s="2"/>
      <c r="H50" s="2"/>
      <c r="I50" s="2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2" x14ac:dyDescent="0.35">
      <c r="A51" s="16" t="s">
        <v>42</v>
      </c>
      <c r="B51" s="22">
        <v>6636</v>
      </c>
      <c r="C51" s="22">
        <v>3286</v>
      </c>
      <c r="D51" s="22">
        <v>1678</v>
      </c>
      <c r="E51" s="34">
        <v>17378</v>
      </c>
      <c r="F51" s="34">
        <v>12845</v>
      </c>
      <c r="G51" s="2"/>
      <c r="H51" s="2"/>
      <c r="I51" s="2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2" x14ac:dyDescent="0.35">
      <c r="A52" s="10" t="s">
        <v>11</v>
      </c>
      <c r="B52" s="33">
        <f t="shared" ref="B52:C52" si="5">SUM(B44:B51)</f>
        <v>670990</v>
      </c>
      <c r="C52" s="33">
        <f t="shared" si="5"/>
        <v>784897</v>
      </c>
      <c r="D52" s="37">
        <v>784526</v>
      </c>
      <c r="E52" s="38">
        <f t="shared" ref="E52:F52" si="6">SUM(E44:E51)</f>
        <v>604450</v>
      </c>
      <c r="F52" s="38">
        <f t="shared" si="6"/>
        <v>654199</v>
      </c>
      <c r="G52" s="2"/>
      <c r="H52" s="2"/>
      <c r="I52" s="2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2" x14ac:dyDescent="0.35">
      <c r="A53" s="13"/>
      <c r="B53" s="39"/>
      <c r="C53" s="39"/>
      <c r="D53" s="39"/>
      <c r="E53" s="40"/>
      <c r="F53" s="40"/>
      <c r="G53" s="2"/>
      <c r="H53" s="2"/>
      <c r="I53" s="2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2" x14ac:dyDescent="0.35">
      <c r="A54" s="112" t="s">
        <v>43</v>
      </c>
      <c r="B54" s="106"/>
      <c r="C54" s="106"/>
      <c r="D54" s="106"/>
      <c r="E54" s="106"/>
      <c r="F54" s="107"/>
      <c r="G54" s="2"/>
      <c r="H54" s="2"/>
      <c r="I54" s="2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2" x14ac:dyDescent="0.35">
      <c r="A55" s="6" t="s">
        <v>35</v>
      </c>
      <c r="B55" s="22">
        <v>302129</v>
      </c>
      <c r="C55" s="22">
        <v>119616</v>
      </c>
      <c r="D55" s="22">
        <v>851</v>
      </c>
      <c r="E55" s="34">
        <v>67311</v>
      </c>
      <c r="F55" s="34">
        <v>14524</v>
      </c>
      <c r="G55" s="2"/>
      <c r="H55" s="2"/>
      <c r="I55" s="2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2" x14ac:dyDescent="0.35">
      <c r="A56" s="6" t="s">
        <v>36</v>
      </c>
      <c r="B56" s="22">
        <v>3076</v>
      </c>
      <c r="C56" s="22">
        <v>4237</v>
      </c>
      <c r="D56" s="22">
        <v>4361</v>
      </c>
      <c r="E56" s="34">
        <v>2748</v>
      </c>
      <c r="F56" s="34">
        <v>381</v>
      </c>
      <c r="G56" s="2"/>
      <c r="H56" s="2"/>
      <c r="I56" s="2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2" x14ac:dyDescent="0.35">
      <c r="A57" s="16" t="s">
        <v>44</v>
      </c>
      <c r="B57" s="22">
        <v>97214</v>
      </c>
      <c r="C57" s="22">
        <v>165279</v>
      </c>
      <c r="D57" s="22">
        <v>105489</v>
      </c>
      <c r="E57" s="34">
        <v>105623</v>
      </c>
      <c r="F57" s="34">
        <v>107770</v>
      </c>
      <c r="G57" s="2"/>
      <c r="H57" s="2"/>
      <c r="I57" s="2"/>
      <c r="J57" s="3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2" x14ac:dyDescent="0.35">
      <c r="A58" s="6" t="s">
        <v>45</v>
      </c>
      <c r="B58" s="22">
        <v>34860</v>
      </c>
      <c r="C58" s="22">
        <v>233698</v>
      </c>
      <c r="D58" s="22">
        <v>3447</v>
      </c>
      <c r="E58" s="34">
        <v>96147</v>
      </c>
      <c r="F58" s="34">
        <v>394</v>
      </c>
      <c r="G58" s="2"/>
      <c r="H58" s="2"/>
      <c r="I58" s="2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2" x14ac:dyDescent="0.35">
      <c r="A59" s="16" t="s">
        <v>46</v>
      </c>
      <c r="B59" s="22">
        <v>41175</v>
      </c>
      <c r="C59" s="22">
        <v>30990</v>
      </c>
      <c r="D59" s="22">
        <v>29629</v>
      </c>
      <c r="E59" s="34">
        <v>24344</v>
      </c>
      <c r="F59" s="34">
        <v>21314</v>
      </c>
      <c r="G59" s="2"/>
      <c r="H59" s="2"/>
      <c r="I59" s="2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2" x14ac:dyDescent="0.35">
      <c r="A60" s="6" t="s">
        <v>37</v>
      </c>
      <c r="B60" s="22">
        <v>12641</v>
      </c>
      <c r="C60" s="22">
        <v>10817</v>
      </c>
      <c r="D60" s="22">
        <v>159655</v>
      </c>
      <c r="E60" s="97">
        <v>6204</v>
      </c>
      <c r="F60" s="97">
        <v>5364</v>
      </c>
      <c r="G60" s="2"/>
      <c r="H60" s="2"/>
      <c r="I60" s="2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2" x14ac:dyDescent="0.35">
      <c r="A61" s="6" t="s">
        <v>38</v>
      </c>
      <c r="B61" s="22">
        <v>14152</v>
      </c>
      <c r="C61" s="22">
        <v>11754</v>
      </c>
      <c r="D61" s="25">
        <v>7120</v>
      </c>
      <c r="E61" s="98"/>
      <c r="F61" s="98"/>
      <c r="G61" s="2"/>
      <c r="H61" s="2"/>
      <c r="I61" s="2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2" x14ac:dyDescent="0.35">
      <c r="A62" s="16" t="s">
        <v>40</v>
      </c>
      <c r="B62" s="24">
        <v>0</v>
      </c>
      <c r="C62" s="22">
        <v>1135</v>
      </c>
      <c r="D62" s="25">
        <v>6854</v>
      </c>
      <c r="E62" s="34">
        <v>5</v>
      </c>
      <c r="F62" s="34">
        <v>351</v>
      </c>
      <c r="G62" s="2"/>
      <c r="H62" s="2"/>
      <c r="I62" s="2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2" x14ac:dyDescent="0.35">
      <c r="A63" s="6" t="s">
        <v>47</v>
      </c>
      <c r="B63" s="22">
        <v>11969</v>
      </c>
      <c r="C63" s="22">
        <v>3011</v>
      </c>
      <c r="D63" s="25">
        <v>26465</v>
      </c>
      <c r="E63" s="34">
        <v>2233</v>
      </c>
      <c r="F63" s="34">
        <v>2450</v>
      </c>
      <c r="G63" s="2"/>
      <c r="H63" s="2"/>
      <c r="I63" s="2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2" x14ac:dyDescent="0.35">
      <c r="A64" s="6" t="s">
        <v>48</v>
      </c>
      <c r="B64" s="22">
        <v>23740</v>
      </c>
      <c r="C64" s="22">
        <v>19998</v>
      </c>
      <c r="D64" s="25">
        <v>24329</v>
      </c>
      <c r="E64" s="34">
        <v>31059</v>
      </c>
      <c r="F64" s="34">
        <v>11225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2" x14ac:dyDescent="0.35">
      <c r="A65" s="6" t="s">
        <v>49</v>
      </c>
      <c r="B65" s="24">
        <v>0</v>
      </c>
      <c r="C65" s="24">
        <v>0</v>
      </c>
      <c r="D65" s="22">
        <v>31619</v>
      </c>
      <c r="E65" s="34">
        <v>0</v>
      </c>
      <c r="F65" s="34">
        <v>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2" x14ac:dyDescent="0.35">
      <c r="A66" s="32" t="s">
        <v>11</v>
      </c>
      <c r="B66" s="41">
        <f t="shared" ref="B66:F66" si="7">SUM(B55:B65)</f>
        <v>540956</v>
      </c>
      <c r="C66" s="41">
        <f t="shared" si="7"/>
        <v>600535</v>
      </c>
      <c r="D66" s="41">
        <f t="shared" si="7"/>
        <v>399819</v>
      </c>
      <c r="E66" s="42">
        <f t="shared" si="7"/>
        <v>335674</v>
      </c>
      <c r="F66" s="42">
        <f t="shared" si="7"/>
        <v>163773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2" x14ac:dyDescent="0.35">
      <c r="A67" s="26"/>
      <c r="B67" s="43"/>
      <c r="C67" s="43"/>
      <c r="D67" s="43"/>
      <c r="E67" s="43"/>
      <c r="F67" s="4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2" x14ac:dyDescent="0.35">
      <c r="A68" s="44" t="s">
        <v>50</v>
      </c>
      <c r="B68" s="30">
        <f t="shared" ref="B68:F68" si="8">B66+B52</f>
        <v>1211946</v>
      </c>
      <c r="C68" s="30">
        <f t="shared" si="8"/>
        <v>1385432</v>
      </c>
      <c r="D68" s="30">
        <f t="shared" si="8"/>
        <v>1184345</v>
      </c>
      <c r="E68" s="45">
        <f t="shared" si="8"/>
        <v>940124</v>
      </c>
      <c r="F68" s="45">
        <f t="shared" si="8"/>
        <v>817972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2" x14ac:dyDescent="0.35">
      <c r="A69" s="46" t="s">
        <v>51</v>
      </c>
      <c r="B69" s="47">
        <f t="shared" ref="B69:F69" si="9">B68+B39</f>
        <v>1814406</v>
      </c>
      <c r="C69" s="47">
        <f t="shared" si="9"/>
        <v>1741168</v>
      </c>
      <c r="D69" s="47">
        <f t="shared" si="9"/>
        <v>1529478</v>
      </c>
      <c r="E69" s="47">
        <f t="shared" si="9"/>
        <v>1205489</v>
      </c>
      <c r="F69" s="47">
        <f t="shared" si="9"/>
        <v>1059494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2" x14ac:dyDescent="0.35">
      <c r="A70" s="1"/>
      <c r="B70" s="1" t="b">
        <f t="shared" ref="B70:F70" si="10">B69=B25</f>
        <v>1</v>
      </c>
      <c r="C70" s="1" t="b">
        <f t="shared" si="10"/>
        <v>1</v>
      </c>
      <c r="D70" s="1" t="b">
        <f t="shared" si="10"/>
        <v>1</v>
      </c>
      <c r="E70" s="1" t="b">
        <f t="shared" si="10"/>
        <v>1</v>
      </c>
      <c r="F70" s="1" t="b">
        <f t="shared" si="10"/>
        <v>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2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2" x14ac:dyDescent="0.35">
      <c r="A72" s="1" t="s">
        <v>74</v>
      </c>
      <c r="B72" s="58">
        <f>B24-B66</f>
        <v>50271</v>
      </c>
      <c r="C72" s="58">
        <f t="shared" ref="C72:F72" si="11">C24-C66</f>
        <v>132783</v>
      </c>
      <c r="D72" s="58">
        <f t="shared" si="11"/>
        <v>232538</v>
      </c>
      <c r="E72" s="58">
        <f t="shared" si="11"/>
        <v>71155</v>
      </c>
      <c r="F72" s="58">
        <f t="shared" si="11"/>
        <v>152636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2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2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2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2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2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2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2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2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2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2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2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2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2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2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2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2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2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2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2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2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2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2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2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2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2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2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2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2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2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2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2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2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2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2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2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2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2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2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2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2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2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2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2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2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2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2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2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2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2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2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2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2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2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2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2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2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2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2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2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2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2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2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2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2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2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2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2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2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2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2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2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2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2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2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2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2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2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2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2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2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2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2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2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2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2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2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2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2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2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2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2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2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2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2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2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2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2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2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2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2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2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2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2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2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2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2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2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2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2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2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2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2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2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2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2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2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2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2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2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2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2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2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2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2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2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2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2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2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2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2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2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2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2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2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2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2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2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2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2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2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2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2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2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2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2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2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2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2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2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2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2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2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2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2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2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2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2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2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2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2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2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2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2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2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2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2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2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2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2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2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2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2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2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2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2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2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2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2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2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2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2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2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2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2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2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2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2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2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2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2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2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2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2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2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2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2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2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2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2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2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2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2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2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2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2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2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2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2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2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2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2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2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2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2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2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2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2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2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2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2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2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2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2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2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2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2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2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2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2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2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2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2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2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2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2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2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2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2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2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2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2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2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2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2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2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2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2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2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2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2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2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2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2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2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2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2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2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2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2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2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2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2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2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2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2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2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2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2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2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2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2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2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2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2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2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2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2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2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2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2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2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2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2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2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2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2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2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2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2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2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2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2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2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2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2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2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2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2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2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2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2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2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2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2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2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2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2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2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2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2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2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2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2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2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2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2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2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2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2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2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2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2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2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2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2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2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2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2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2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2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2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2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2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2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2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2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2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2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2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2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2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2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2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2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2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2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2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2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2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2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2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2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2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2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2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2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2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2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2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2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2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2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2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2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2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2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2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2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2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2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2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2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2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2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2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2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2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2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2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2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2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2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2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2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2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2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2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2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2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2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2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2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2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2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2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2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2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2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2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2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2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2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2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2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2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2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2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2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2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2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2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2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2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2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2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2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2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2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2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2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2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2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2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2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2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2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2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2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2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2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2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2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2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2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2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2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2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2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2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2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2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2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2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2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2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2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2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2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2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2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2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2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2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2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2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2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2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2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2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2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2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2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2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2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2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2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2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2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2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2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2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2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2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2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2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2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2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2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2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2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2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2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2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2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2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2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2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2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2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2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2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2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2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2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2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2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2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2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2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2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2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2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2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2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2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2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2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2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2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2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2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2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2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2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2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2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2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2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2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2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2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2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2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2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2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2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2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2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2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2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2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2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2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2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2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2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2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2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2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2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2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2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2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2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2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2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2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2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2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2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2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2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2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2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2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2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2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2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2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2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2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2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2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2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2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2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2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2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2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2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2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2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2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2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2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2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2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2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2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2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2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2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2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2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2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2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2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2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2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2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2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2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2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2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2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2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2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2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2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2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2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2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2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2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2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2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2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2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2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2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2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2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2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2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2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2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2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2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2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2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2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2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2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2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2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2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2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2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2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2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2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2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2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2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2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2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2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2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2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2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2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2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2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2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2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2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2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2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2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2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2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2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2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2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2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2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2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2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2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2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2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2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2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2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2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2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2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2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2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2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2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2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2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2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2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2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2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2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2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2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2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2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2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2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2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2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2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2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2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2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2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2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2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2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2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2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2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2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2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2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2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2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2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2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2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2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2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2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2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2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2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2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2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2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2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2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2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2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2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2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2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2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2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2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2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2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2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2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2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2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2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2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2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2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2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2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2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2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2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2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2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2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2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2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2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2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2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2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2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2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2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2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2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2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2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2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2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2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2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2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2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2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2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2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2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2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2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2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2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2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2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2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2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2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2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2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2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2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2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2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2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2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2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2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2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2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2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2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2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2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2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2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2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2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2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2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2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2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2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2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2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2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2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2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2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2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2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2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2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2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2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2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2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2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2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2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2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2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2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2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2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2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2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2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2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2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2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2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2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2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2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2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2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2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2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2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2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2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2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2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2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2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2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2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2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2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2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2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2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2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2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2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2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2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2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2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2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2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2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2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2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2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2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2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2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2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2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2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2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2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2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2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2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2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2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2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2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2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2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2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2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2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2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2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2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2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2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2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2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2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2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2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2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2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2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2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2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2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2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2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2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2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2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2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2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2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2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2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2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2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2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2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2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E60:E61"/>
    <mergeCell ref="F60:F61"/>
    <mergeCell ref="A1:L1"/>
    <mergeCell ref="A2:L2"/>
    <mergeCell ref="A4:F4"/>
    <mergeCell ref="A5:F5"/>
    <mergeCell ref="A7:F7"/>
    <mergeCell ref="A15:F15"/>
    <mergeCell ref="A29:F29"/>
    <mergeCell ref="A30:F30"/>
    <mergeCell ref="A43:F43"/>
    <mergeCell ref="E46:E47"/>
    <mergeCell ref="F46:F47"/>
    <mergeCell ref="A54:F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51"/>
  <sheetViews>
    <sheetView zoomScale="87" workbookViewId="0">
      <selection activeCell="J3" sqref="J3"/>
    </sheetView>
  </sheetViews>
  <sheetFormatPr defaultColWidth="12.6640625" defaultRowHeight="15.75" customHeight="1" x14ac:dyDescent="0.4"/>
  <cols>
    <col min="1" max="1" width="50.6640625" style="62" customWidth="1"/>
    <col min="2" max="2" width="16.77734375" style="62" customWidth="1"/>
    <col min="3" max="8" width="12.6640625" style="62"/>
    <col min="9" max="9" width="34.109375" style="62" customWidth="1"/>
    <col min="10" max="10" width="17.77734375" style="62" customWidth="1"/>
    <col min="11" max="11" width="15.77734375" style="62" customWidth="1"/>
    <col min="12" max="16384" width="12.6640625" style="62"/>
  </cols>
  <sheetData>
    <row r="1" spans="1:14" ht="18.600000000000001" x14ac:dyDescent="0.4">
      <c r="A1" s="116" t="s">
        <v>52</v>
      </c>
      <c r="B1" s="117"/>
      <c r="C1" s="117"/>
      <c r="D1" s="117"/>
      <c r="E1" s="117"/>
      <c r="F1" s="117"/>
      <c r="I1" s="120" t="s">
        <v>31</v>
      </c>
      <c r="J1" s="120"/>
      <c r="K1" s="120"/>
      <c r="L1" s="120"/>
      <c r="M1" s="120"/>
      <c r="N1" s="120"/>
    </row>
    <row r="2" spans="1:14" ht="15.75" customHeight="1" x14ac:dyDescent="0.4">
      <c r="A2" s="63"/>
      <c r="B2" s="67">
        <v>2022</v>
      </c>
      <c r="C2" s="67">
        <v>2021</v>
      </c>
      <c r="D2" s="67">
        <v>2020</v>
      </c>
      <c r="E2" s="67">
        <v>2019</v>
      </c>
      <c r="F2" s="67">
        <v>2018</v>
      </c>
      <c r="I2" s="63"/>
      <c r="J2" s="71">
        <v>2022</v>
      </c>
      <c r="K2" s="71">
        <v>2021</v>
      </c>
      <c r="L2" s="71">
        <v>2020</v>
      </c>
      <c r="M2" s="71">
        <v>2019</v>
      </c>
      <c r="N2" s="71">
        <v>2018</v>
      </c>
    </row>
    <row r="3" spans="1:14" ht="15.75" customHeight="1" x14ac:dyDescent="0.4">
      <c r="A3" s="67" t="s">
        <v>88</v>
      </c>
      <c r="B3" s="74">
        <f>Баланс!B24/Баланс!B66</f>
        <v>1.0929299240603672</v>
      </c>
      <c r="C3" s="74">
        <f>Баланс!C24/Баланс!C66</f>
        <v>1.2211078455044253</v>
      </c>
      <c r="D3" s="74">
        <f>Баланс!D24/Баланс!D66</f>
        <v>1.5816081777004094</v>
      </c>
      <c r="E3" s="74">
        <f>Баланс!E24/Баланс!E66</f>
        <v>1.2119765010099084</v>
      </c>
      <c r="F3" s="74">
        <f>Баланс!F24/Баланс!F66</f>
        <v>1.9319973377785105</v>
      </c>
      <c r="I3" s="67" t="s">
        <v>67</v>
      </c>
      <c r="J3" s="75">
        <f>Баланс!B39/Баланс!B69</f>
        <v>0.33204255276933609</v>
      </c>
      <c r="K3" s="75">
        <f>Баланс!C39/Баланс!C69</f>
        <v>0.2043088317726951</v>
      </c>
      <c r="L3" s="75">
        <f>Баланс!D39/Баланс!D69</f>
        <v>0.22565411205653171</v>
      </c>
      <c r="M3" s="75">
        <f>Баланс!E39/Баланс!E69</f>
        <v>0.22013058601115398</v>
      </c>
      <c r="N3" s="75">
        <f>Баланс!F39/Баланс!F69</f>
        <v>0.22795976192408829</v>
      </c>
    </row>
    <row r="4" spans="1:14" ht="15.75" customHeight="1" x14ac:dyDescent="0.4">
      <c r="A4" s="63" t="s">
        <v>66</v>
      </c>
      <c r="B4" s="78">
        <f>1.24</f>
        <v>1.24</v>
      </c>
      <c r="C4" s="77">
        <v>1.29</v>
      </c>
      <c r="D4" s="77">
        <v>1.23</v>
      </c>
      <c r="E4" s="77">
        <v>1.19</v>
      </c>
      <c r="F4" s="77">
        <v>1.19</v>
      </c>
      <c r="I4" s="63" t="s">
        <v>66</v>
      </c>
      <c r="J4" s="76">
        <f>0.17</f>
        <v>0.17</v>
      </c>
      <c r="K4" s="77">
        <v>0.19</v>
      </c>
      <c r="L4" s="77">
        <v>0.17</v>
      </c>
      <c r="M4" s="77">
        <v>0.14000000000000001</v>
      </c>
      <c r="N4" s="77">
        <v>0.15</v>
      </c>
    </row>
    <row r="6" spans="1:14" ht="15.75" customHeight="1" x14ac:dyDescent="0.4">
      <c r="A6" s="69" t="s">
        <v>26</v>
      </c>
      <c r="B6" s="74">
        <f>(Баланс!B17 + Баланс!B19 + Баланс!B22) / Баланс!B66</f>
        <v>0.36008289029052271</v>
      </c>
      <c r="C6" s="74">
        <f>(Баланс!C17 + Баланс!C19 + Баланс!C22) / Баланс!C66</f>
        <v>0.74935682349904664</v>
      </c>
      <c r="D6" s="74">
        <f>(Баланс!D17 + Баланс!D19 + Баланс!D22) / Баланс!D66</f>
        <v>1.0691788034085423</v>
      </c>
      <c r="E6" s="74">
        <f>(Баланс!E17 + Баланс!E19 + Баланс!E22) / Баланс!E66</f>
        <v>0.58944690384122689</v>
      </c>
      <c r="F6" s="74">
        <f>(Баланс!F17 + Баланс!F19 + Баланс!F22) / Баланс!F66</f>
        <v>0.73814975606479705</v>
      </c>
      <c r="I6" s="71" t="s">
        <v>68</v>
      </c>
      <c r="J6" s="75">
        <f>1 - J3</f>
        <v>0.66795744723066397</v>
      </c>
      <c r="K6" s="75">
        <f>1 - K3</f>
        <v>0.7956911682273049</v>
      </c>
      <c r="L6" s="75">
        <f>1 - L3</f>
        <v>0.77434588794346826</v>
      </c>
      <c r="M6" s="75">
        <f>1 - M3</f>
        <v>0.77986941398884602</v>
      </c>
      <c r="N6" s="75">
        <f>1 - N3</f>
        <v>0.77204023807591171</v>
      </c>
    </row>
    <row r="7" spans="1:14" ht="15.75" customHeight="1" x14ac:dyDescent="0.4">
      <c r="A7" s="63" t="s">
        <v>66</v>
      </c>
      <c r="B7" s="77">
        <f>0.74</f>
        <v>0.74</v>
      </c>
      <c r="C7" s="77">
        <v>0.76</v>
      </c>
      <c r="D7" s="77">
        <v>0.72</v>
      </c>
      <c r="E7" s="77">
        <v>0.74</v>
      </c>
      <c r="F7" s="77">
        <v>0.72</v>
      </c>
      <c r="I7" s="63" t="s">
        <v>66</v>
      </c>
      <c r="J7" s="76">
        <f>1 - J4</f>
        <v>0.83</v>
      </c>
      <c r="K7" s="76">
        <f>1 - K4</f>
        <v>0.81</v>
      </c>
      <c r="L7" s="76">
        <f t="shared" ref="L7:N7" si="0">1 - L4</f>
        <v>0.83</v>
      </c>
      <c r="M7" s="76">
        <f t="shared" si="0"/>
        <v>0.86</v>
      </c>
      <c r="N7" s="76">
        <f t="shared" si="0"/>
        <v>0.85</v>
      </c>
    </row>
    <row r="9" spans="1:14" ht="15.75" customHeight="1" x14ac:dyDescent="0.4">
      <c r="A9" s="67" t="s">
        <v>28</v>
      </c>
      <c r="B9" s="74">
        <f>Баланс!B22/Баланс!B66</f>
        <v>0.24467239479735875</v>
      </c>
      <c r="C9" s="74">
        <f>Баланс!C22/Баланс!C66</f>
        <v>0.6862114614468765</v>
      </c>
      <c r="D9" s="74">
        <f>Баланс!D22/Баланс!D66</f>
        <v>0.95921404435507063</v>
      </c>
      <c r="E9" s="74">
        <f>Баланс!E22/Баланс!E66</f>
        <v>0.51339394769925584</v>
      </c>
      <c r="F9" s="74">
        <f>Баланс!F22/Баланс!F66</f>
        <v>0.58891880835058286</v>
      </c>
      <c r="I9" s="64" t="s">
        <v>33</v>
      </c>
      <c r="J9" s="65"/>
      <c r="K9" s="65"/>
      <c r="L9" s="65"/>
      <c r="M9" s="66"/>
      <c r="N9" s="66"/>
    </row>
    <row r="10" spans="1:14" ht="15.75" customHeight="1" x14ac:dyDescent="0.4">
      <c r="A10" s="63" t="s">
        <v>66</v>
      </c>
      <c r="B10" s="79">
        <f>0.06</f>
        <v>0.06</v>
      </c>
      <c r="C10" s="77">
        <v>0.06</v>
      </c>
      <c r="D10" s="77">
        <v>0.06</v>
      </c>
      <c r="E10" s="77">
        <v>0.05</v>
      </c>
      <c r="F10" s="77">
        <v>0.05</v>
      </c>
      <c r="I10" s="71" t="s">
        <v>54</v>
      </c>
      <c r="J10" s="75">
        <f>Баланс!B52 / (Баланс!B52 + Баланс!B39)</f>
        <v>0.5269072205426204</v>
      </c>
      <c r="K10" s="75">
        <f>Баланс!C52 / (Баланс!C52 + Баланс!C39)</f>
        <v>0.68812405041761904</v>
      </c>
      <c r="L10" s="75">
        <f>Баланс!D52 / (Баланс!D52 + Баланс!D39)</f>
        <v>0.69448036973989491</v>
      </c>
      <c r="M10" s="75">
        <f>Баланс!E52 / (Баланс!E52 + Баланс!E39)</f>
        <v>0.69491788483758044</v>
      </c>
      <c r="N10" s="75">
        <f>Баланс!F52 / (Баланс!F52 + Баланс!F39)</f>
        <v>0.73036023493922775</v>
      </c>
    </row>
    <row r="11" spans="1:14" ht="15.75" customHeight="1" x14ac:dyDescent="0.4">
      <c r="B11" s="65"/>
      <c r="C11" s="65"/>
      <c r="D11" s="65"/>
      <c r="E11" s="66"/>
      <c r="F11" s="66"/>
      <c r="I11" s="71" t="s">
        <v>55</v>
      </c>
      <c r="J11" s="75">
        <f>Баланс!B39 / (Баланс!B39 + Баланс!B52)</f>
        <v>0.47309277945737954</v>
      </c>
      <c r="K11" s="75">
        <f>Баланс!C39 / (Баланс!C39 + Баланс!C52)</f>
        <v>0.31187594958238102</v>
      </c>
      <c r="L11" s="75">
        <f>Баланс!D39 / (Баланс!D39 + Баланс!D52)</f>
        <v>0.30551963026010504</v>
      </c>
      <c r="M11" s="75">
        <f>Баланс!E39 / (Баланс!E39 + Баланс!E52)</f>
        <v>0.30508211516241962</v>
      </c>
      <c r="N11" s="75">
        <f>Баланс!F39 / (Баланс!F39 + Баланс!F52)</f>
        <v>0.26963976506077225</v>
      </c>
    </row>
    <row r="13" spans="1:14" ht="20.399999999999999" customHeight="1" x14ac:dyDescent="0.4">
      <c r="A13" s="118" t="s">
        <v>73</v>
      </c>
      <c r="B13" s="119"/>
      <c r="C13" s="119"/>
      <c r="D13" s="119"/>
      <c r="E13" s="119"/>
      <c r="F13" s="119"/>
      <c r="I13" s="71" t="s">
        <v>53</v>
      </c>
      <c r="J13" s="75">
        <f>Баланс!B52/Баланс!B39</f>
        <v>1.1137502904757162</v>
      </c>
      <c r="K13" s="75">
        <f>Баланс!C52/Баланс!C39</f>
        <v>2.2064030629455553</v>
      </c>
      <c r="L13" s="75">
        <f>Баланс!D52/Баланс!D39</f>
        <v>2.273112104608948</v>
      </c>
      <c r="M13" s="75">
        <f>Баланс!E52/Баланс!E39</f>
        <v>2.2778060407363441</v>
      </c>
      <c r="N13" s="75">
        <f>Баланс!F52/Баланс!F39</f>
        <v>2.7086517998360398</v>
      </c>
    </row>
    <row r="14" spans="1:14" ht="15.75" customHeight="1" x14ac:dyDescent="0.4">
      <c r="A14" s="63"/>
      <c r="B14" s="67">
        <v>2022</v>
      </c>
      <c r="C14" s="67">
        <v>2021</v>
      </c>
      <c r="D14" s="67">
        <v>2020</v>
      </c>
      <c r="E14" s="67">
        <v>2019</v>
      </c>
      <c r="F14" s="67">
        <v>2018</v>
      </c>
      <c r="I14" s="63" t="s">
        <v>66</v>
      </c>
      <c r="J14" s="76">
        <v>1.85</v>
      </c>
      <c r="K14" s="77">
        <v>1.72</v>
      </c>
      <c r="L14" s="77">
        <v>1.87</v>
      </c>
      <c r="M14" s="77">
        <v>1.97</v>
      </c>
      <c r="N14" s="77">
        <v>1.92</v>
      </c>
    </row>
    <row r="15" spans="1:14" ht="15.75" customHeight="1" x14ac:dyDescent="0.4">
      <c r="A15" s="68" t="s">
        <v>70</v>
      </c>
      <c r="B15" s="73">
        <f>'Прибыль и убытки'!B12/-'Прибыль и убытки'!B13</f>
        <v>13.131471995767502</v>
      </c>
      <c r="C15" s="73">
        <f>'Прибыль и убытки'!C12/-'Прибыль и убытки'!C13</f>
        <v>30.515845146746436</v>
      </c>
      <c r="D15" s="73">
        <f>'Прибыль и убытки'!D12/-'Прибыль и убытки'!D13</f>
        <v>14.487536104483235</v>
      </c>
      <c r="E15" s="73">
        <f>'Прибыль и убытки'!E12/-'Прибыль и убытки'!E13</f>
        <v>15.336470904629039</v>
      </c>
      <c r="F15" s="73">
        <f>'Прибыль и убытки'!F12/-'Прибыль и убытки'!F13</f>
        <v>9.724235185771434</v>
      </c>
    </row>
    <row r="16" spans="1:14" ht="15.75" customHeight="1" x14ac:dyDescent="0.4">
      <c r="A16" s="63" t="s">
        <v>66</v>
      </c>
      <c r="B16" s="76">
        <f>3.6</f>
        <v>3.6</v>
      </c>
      <c r="C16" s="77">
        <v>5.65</v>
      </c>
      <c r="D16" s="77">
        <v>3.28</v>
      </c>
      <c r="E16" s="77">
        <v>2.66</v>
      </c>
      <c r="F16" s="77">
        <v>2.27</v>
      </c>
      <c r="I16" s="71" t="s">
        <v>75</v>
      </c>
      <c r="J16" s="73">
        <f>Баланс!B72/Баланс!B16</f>
        <v>0.14450921885510271</v>
      </c>
      <c r="K16" s="73">
        <f>Баланс!C72/Баланс!C16</f>
        <v>0.59060602690981878</v>
      </c>
      <c r="L16" s="73">
        <f>Баланс!D72/Баланс!D16</f>
        <v>1.4355703993628961</v>
      </c>
      <c r="M16" s="73">
        <f>Баланс!E72/Баланс!E16</f>
        <v>0.46512007948647555</v>
      </c>
      <c r="N16" s="73">
        <f>Баланс!F72/Баланс!F16</f>
        <v>0.96334351569008614</v>
      </c>
    </row>
    <row r="17" spans="1:14" ht="15.75" customHeight="1" x14ac:dyDescent="0.4">
      <c r="I17" s="63" t="s">
        <v>66</v>
      </c>
      <c r="J17" s="76">
        <f>0.13</f>
        <v>0.13</v>
      </c>
      <c r="K17" s="77">
        <v>0.15</v>
      </c>
      <c r="L17" s="77">
        <v>0.1</v>
      </c>
      <c r="M17" s="77">
        <v>0.1</v>
      </c>
      <c r="N17" s="77">
        <v>0.09</v>
      </c>
    </row>
    <row r="18" spans="1:14" ht="15.75" customHeight="1" thickBot="1" x14ac:dyDescent="0.45">
      <c r="A18" s="70" t="s">
        <v>71</v>
      </c>
      <c r="B18" s="85">
        <f>(Баланс!B52 - Баланс!B22)/'Прибыль и убытки'!B10</f>
        <v>0.86873347838218384</v>
      </c>
      <c r="C18" s="85">
        <f>(Баланс!C52 - Баланс!C22)/'Прибыль и убытки'!C10</f>
        <v>0.48045833913281061</v>
      </c>
      <c r="D18" s="85">
        <f>(Баланс!D52 - Баланс!D22)/'Прибыль и убытки'!D10</f>
        <v>0.72589208298412689</v>
      </c>
      <c r="E18" s="85">
        <f>(Баланс!E52 - Баланс!E22)/'Прибыль и убытки'!E10</f>
        <v>0.84114294390394884</v>
      </c>
      <c r="F18" s="85">
        <f>(Баланс!F52 - Баланс!F22)/'Прибыль и убытки'!F10</f>
        <v>1.4329500143873062</v>
      </c>
    </row>
    <row r="19" spans="1:14" ht="15.75" customHeight="1" thickBot="1" x14ac:dyDescent="0.45">
      <c r="A19" s="63" t="s">
        <v>66</v>
      </c>
      <c r="B19" s="86">
        <v>0.99850000000000005</v>
      </c>
      <c r="C19" s="87">
        <v>0.77659999999999996</v>
      </c>
      <c r="D19" s="87">
        <v>2.5842999999999998</v>
      </c>
      <c r="E19" s="87">
        <v>2.5615999999999999</v>
      </c>
      <c r="F19" s="87">
        <v>1.5586</v>
      </c>
      <c r="I19" s="71" t="s">
        <v>76</v>
      </c>
      <c r="J19" s="73">
        <f>(Баланс!B39 - Баланс!B13)/Баланс!B24</f>
        <v>-1.0498827015680949</v>
      </c>
      <c r="K19" s="73">
        <f>(Баланс!C39 - Баланс!C13)/Баланс!C24</f>
        <v>-0.88926495735819933</v>
      </c>
      <c r="L19" s="73">
        <f>(Баланс!D39 - Баланс!D13)/Баланс!D24</f>
        <v>-0.87290565297766931</v>
      </c>
      <c r="M19" s="73">
        <f>(Баланс!E39 - Баланс!E13)/Баланс!E24</f>
        <v>-1.3108578788631096</v>
      </c>
      <c r="N19" s="73">
        <f>(Баланс!F39 - Баланс!F13)/Баланс!F24</f>
        <v>-1.5851729881261278</v>
      </c>
    </row>
    <row r="20" spans="1:14" ht="15.75" customHeight="1" x14ac:dyDescent="0.4">
      <c r="I20" s="63" t="s">
        <v>66</v>
      </c>
      <c r="J20" s="76">
        <f>0.05</f>
        <v>0.05</v>
      </c>
      <c r="K20" s="77">
        <v>0.06</v>
      </c>
      <c r="L20" s="77">
        <v>0.04</v>
      </c>
      <c r="M20" s="77">
        <v>0.04</v>
      </c>
      <c r="N20" s="77">
        <v>0.03</v>
      </c>
    </row>
    <row r="24" spans="1:14" ht="20.399999999999999" customHeight="1" x14ac:dyDescent="0.4">
      <c r="A24" s="121" t="s">
        <v>78</v>
      </c>
      <c r="B24" s="122"/>
      <c r="C24" s="122"/>
      <c r="D24" s="122"/>
      <c r="E24" s="122"/>
      <c r="F24" s="123"/>
    </row>
    <row r="25" spans="1:14" ht="15.75" customHeight="1" x14ac:dyDescent="0.4">
      <c r="A25" s="63"/>
      <c r="B25" s="67">
        <v>2022</v>
      </c>
      <c r="C25" s="67">
        <v>2021</v>
      </c>
      <c r="D25" s="67">
        <v>2020</v>
      </c>
      <c r="E25" s="67">
        <v>2019</v>
      </c>
      <c r="F25" s="67">
        <v>2018</v>
      </c>
    </row>
    <row r="26" spans="1:14" ht="15.75" customHeight="1" x14ac:dyDescent="0.4">
      <c r="A26" s="67" t="s">
        <v>79</v>
      </c>
      <c r="B26" s="72">
        <f>('Прибыль и убытки'!B17 - 'Прибыль и убытки'!B19) / Баланс!B39</f>
        <v>0.4167430202835043</v>
      </c>
      <c r="C26" s="72">
        <f>('Прибыль и убытки'!C17 - 'Прибыль и убытки'!C19) / Баланс!C39</f>
        <v>0.98746261272404257</v>
      </c>
      <c r="D26" s="72">
        <f>('Прибыль и убытки'!D17 - 'Прибыль и убытки'!D19) / Баланс!D39</f>
        <v>0.50884151906656272</v>
      </c>
      <c r="E26" s="72">
        <f>('Прибыль и убытки'!E17 - 'Прибыль и убытки'!E19) / Баланс!E39</f>
        <v>0.98794867446724322</v>
      </c>
      <c r="F26" s="72">
        <f>('Прибыль и убытки'!F17 - 'Прибыль и убытки'!F19) / Баланс!F39</f>
        <v>0.37911660221429105</v>
      </c>
    </row>
    <row r="28" spans="1:14" ht="15.75" customHeight="1" x14ac:dyDescent="0.4">
      <c r="A28" s="67" t="s">
        <v>80</v>
      </c>
      <c r="B28" s="72">
        <f>'Прибыль и убытки'!B4/Баланс!B8</f>
        <v>1.0354145759831603</v>
      </c>
      <c r="C28" s="72">
        <f>'Прибыль и убытки'!C4/Баланс!C8</f>
        <v>1.395880875888889</v>
      </c>
      <c r="D28" s="72">
        <f>'Прибыль и убытки'!D4/Баланс!D8</f>
        <v>1.4048846566489868</v>
      </c>
      <c r="E28" s="72">
        <f>'Прибыль и убытки'!E4/Баланс!E8</f>
        <v>1.1822537153816937</v>
      </c>
      <c r="F28" s="72">
        <f>'Прибыль и убытки'!F4/Баланс!F8</f>
        <v>1.0562500633968848</v>
      </c>
    </row>
    <row r="29" spans="1:14" ht="15.75" customHeight="1" x14ac:dyDescent="0.4">
      <c r="A29" s="63" t="s">
        <v>66</v>
      </c>
      <c r="B29" s="76">
        <f>13.1</f>
        <v>13.1</v>
      </c>
      <c r="C29" s="77">
        <v>13.85</v>
      </c>
      <c r="D29" s="77">
        <v>12.28</v>
      </c>
      <c r="E29" s="77">
        <v>13.02</v>
      </c>
      <c r="F29" s="77">
        <v>12.6</v>
      </c>
    </row>
    <row r="31" spans="1:14" ht="15.75" customHeight="1" x14ac:dyDescent="0.4">
      <c r="A31" s="67" t="s">
        <v>81</v>
      </c>
      <c r="B31" s="72">
        <f xml:space="preserve"> 365 / ('Прибыль и убытки'!B4/Баланс!B16)</f>
        <v>107.19837531670096</v>
      </c>
      <c r="C31" s="72">
        <f xml:space="preserve"> 365 / ('Прибыль и убытки'!C4/Баланс!C16)</f>
        <v>62.311590890452777</v>
      </c>
      <c r="D31" s="72">
        <f xml:space="preserve"> 365 / ('Прибыль и убытки'!D4/Баланс!D16)</f>
        <v>52.93235085306754</v>
      </c>
      <c r="E31" s="72">
        <f xml:space="preserve"> 365 / ('Прибыль и убытки'!E4/Баланс!E16)</f>
        <v>63.61403740619685</v>
      </c>
      <c r="F31" s="72">
        <f xml:space="preserve"> 365 / ('Прибыль и убытки'!F4/Баланс!F16)</f>
        <v>79.339923036293669</v>
      </c>
    </row>
    <row r="32" spans="1:14" ht="15.75" customHeight="1" x14ac:dyDescent="0.4">
      <c r="A32" s="63" t="s">
        <v>66</v>
      </c>
      <c r="B32" s="77">
        <v>51</v>
      </c>
      <c r="C32" s="77">
        <v>51</v>
      </c>
      <c r="D32" s="77">
        <v>50</v>
      </c>
      <c r="E32" s="77">
        <v>50</v>
      </c>
      <c r="F32" s="77">
        <v>45</v>
      </c>
    </row>
    <row r="33" spans="1:6" ht="15.75" customHeight="1" x14ac:dyDescent="0.4">
      <c r="A33" s="63"/>
      <c r="B33" s="63"/>
      <c r="C33" s="63"/>
      <c r="D33" s="63"/>
      <c r="E33" s="63"/>
      <c r="F33" s="63"/>
    </row>
    <row r="34" spans="1:6" ht="15.75" customHeight="1" x14ac:dyDescent="0.4">
      <c r="A34" s="67" t="s">
        <v>82</v>
      </c>
      <c r="B34" s="72">
        <f>365/('Прибыль и убытки'!B4/Баланс!B17)</f>
        <v>18.34526546315378</v>
      </c>
      <c r="C34" s="72">
        <f>365/('Прибыль и убытки'!C4/Баланс!C17)</f>
        <v>9.6231324243629963</v>
      </c>
      <c r="D34" s="72">
        <f>365/('Прибыль и убытки'!D4/Баланс!D17)</f>
        <v>12.968806654437142</v>
      </c>
      <c r="E34" s="72">
        <f>365/('Прибыль и убытки'!E4/Баланс!E17)</f>
        <v>9.3082861208358914</v>
      </c>
      <c r="F34" s="72">
        <f>365/('Прибыль и убытки'!F4/Баланс!F17)</f>
        <v>7.1115699361379585</v>
      </c>
    </row>
    <row r="35" spans="1:6" ht="15.75" customHeight="1" x14ac:dyDescent="0.4">
      <c r="A35" s="63" t="s">
        <v>66</v>
      </c>
      <c r="B35" s="76">
        <f>51</f>
        <v>51</v>
      </c>
      <c r="C35" s="77">
        <v>51</v>
      </c>
      <c r="D35" s="77">
        <v>55</v>
      </c>
      <c r="E35" s="77">
        <v>49</v>
      </c>
      <c r="F35" s="77">
        <v>49</v>
      </c>
    </row>
    <row r="37" spans="1:6" ht="15.75" customHeight="1" x14ac:dyDescent="0.4">
      <c r="A37" s="67" t="s">
        <v>83</v>
      </c>
      <c r="B37" s="72">
        <f>365/('Прибыль и убытки'!B4/Баланс!B57)</f>
        <v>29.956774171216495</v>
      </c>
      <c r="C37" s="72">
        <f>365/('Прибыль и убытки'!C4/Баланс!C57)</f>
        <v>45.808061517994638</v>
      </c>
      <c r="D37" s="72">
        <f>365/('Прибыль и убытки'!D4/Баланс!D57)</f>
        <v>34.471399832940754</v>
      </c>
      <c r="E37" s="72">
        <f>365/('Прибыль и убытки'!E4/Баланс!E57)</f>
        <v>43.920889208892092</v>
      </c>
      <c r="F37" s="72">
        <f>365/('Прибыль и убытки'!F4/Баланс!F57)</f>
        <v>53.965208563412745</v>
      </c>
    </row>
    <row r="41" spans="1:6" ht="10.8" customHeight="1" x14ac:dyDescent="0.4"/>
    <row r="42" spans="1:6" ht="15.75" customHeight="1" x14ac:dyDescent="0.4">
      <c r="A42" s="124" t="s">
        <v>87</v>
      </c>
      <c r="B42" s="124"/>
      <c r="C42" s="124"/>
      <c r="D42" s="124"/>
      <c r="E42" s="124"/>
      <c r="F42" s="124"/>
    </row>
    <row r="43" spans="1:6" ht="15.75" customHeight="1" x14ac:dyDescent="0.4">
      <c r="A43" s="63"/>
      <c r="B43" s="71">
        <v>2022</v>
      </c>
      <c r="C43" s="71">
        <v>2021</v>
      </c>
      <c r="D43" s="71">
        <v>2020</v>
      </c>
      <c r="E43" s="71">
        <v>2019</v>
      </c>
      <c r="F43" s="71">
        <v>2018</v>
      </c>
    </row>
    <row r="44" spans="1:6" ht="15.75" customHeight="1" x14ac:dyDescent="0.4">
      <c r="A44" s="71" t="s">
        <v>84</v>
      </c>
      <c r="B44" s="85">
        <f>('Прибыль и убытки'!B17 - 'Прибыль и убытки'!B13) / Баланс!B25</f>
        <v>0.25954830396283962</v>
      </c>
      <c r="C44" s="85">
        <f>('Прибыль и убытки'!C17 - 'Прибыль и убытки'!C13) / Баланс!C25</f>
        <v>0.307808321770214</v>
      </c>
      <c r="D44" s="85">
        <f>('Прибыль и убытки'!D17 - 'Прибыль и убытки'!D13) / Баланс!D25</f>
        <v>0.19329732104678851</v>
      </c>
      <c r="E44" s="85">
        <f>('Прибыль и убытки'!E17 - 'Прибыль и убытки'!E13) / Баланс!E25</f>
        <v>0.34618897393505871</v>
      </c>
      <c r="F44" s="85">
        <f>('Прибыль и убытки'!F17 - 'Прибыль и убытки'!F13) / Баланс!F25</f>
        <v>0.21002667310999401</v>
      </c>
    </row>
    <row r="45" spans="1:6" ht="15.75" customHeight="1" x14ac:dyDescent="0.4">
      <c r="A45" s="63" t="s">
        <v>66</v>
      </c>
      <c r="B45" s="80">
        <v>3.4500000000000003E-2</v>
      </c>
      <c r="C45" s="81">
        <v>4.5999999999999999E-2</v>
      </c>
      <c r="D45" s="82">
        <v>0.03</v>
      </c>
      <c r="E45" s="81">
        <v>3.2000000000000001E-2</v>
      </c>
      <c r="F45" s="82">
        <v>0.03</v>
      </c>
    </row>
    <row r="47" spans="1:6" ht="15.75" customHeight="1" x14ac:dyDescent="0.4">
      <c r="A47" s="71" t="s">
        <v>85</v>
      </c>
      <c r="B47" s="85">
        <f>'Прибыль и убытки'!B17/Баланс!B39</f>
        <v>0.71264980247651299</v>
      </c>
      <c r="C47" s="85">
        <f>'Прибыль и убытки'!C17/Баланс!C39</f>
        <v>1.4417405041941216</v>
      </c>
      <c r="D47" s="85">
        <f>'Прибыль и убытки'!D17/Баланс!D39</f>
        <v>0.76431984191601499</v>
      </c>
      <c r="E47" s="85">
        <f>'Прибыль и убытки'!E17/Баланс!E39</f>
        <v>1.460554330827351</v>
      </c>
      <c r="F47" s="85">
        <f>'Прибыль и убытки'!F17/Баланс!F39</f>
        <v>0.77746540687804833</v>
      </c>
    </row>
    <row r="48" spans="1:6" ht="15.75" customHeight="1" x14ac:dyDescent="0.4">
      <c r="A48" s="63" t="s">
        <v>66</v>
      </c>
      <c r="B48" s="80">
        <f>27.6%</f>
        <v>0.27600000000000002</v>
      </c>
      <c r="C48" s="81">
        <v>0.314</v>
      </c>
      <c r="D48" s="81">
        <v>0.23499999999999999</v>
      </c>
      <c r="E48" s="81">
        <v>0.27100000000000002</v>
      </c>
      <c r="F48" s="81">
        <v>0.29099999999999998</v>
      </c>
    </row>
    <row r="50" spans="1:6" ht="15.75" customHeight="1" x14ac:dyDescent="0.4">
      <c r="A50" s="71" t="s">
        <v>86</v>
      </c>
      <c r="B50" s="84">
        <f>'Прибыль и убытки'!B17/'Прибыль и убытки'!B4</f>
        <v>0.36247474623821313</v>
      </c>
      <c r="C50" s="84">
        <f>'Прибыль и убытки'!C17/'Прибыль и убытки'!C4</f>
        <v>0.38944514134195124</v>
      </c>
      <c r="D50" s="84">
        <f>'Прибыль и убытки'!D17/'Прибыль и убытки'!D4</f>
        <v>0.23616770026742012</v>
      </c>
      <c r="E50" s="84">
        <f>'Прибыль и убытки'!E17/'Прибыль и убытки'!E4</f>
        <v>0.44155125095554754</v>
      </c>
      <c r="F50" s="84">
        <f>'Прибыль и убытки'!F17/'Прибыль и убытки'!F4</f>
        <v>0.25760891187587032</v>
      </c>
    </row>
    <row r="51" spans="1:6" ht="15.75" customHeight="1" x14ac:dyDescent="0.4">
      <c r="A51" s="63" t="s">
        <v>66</v>
      </c>
      <c r="B51" s="83">
        <f>2%</f>
        <v>0.02</v>
      </c>
      <c r="C51" s="82">
        <v>0.02</v>
      </c>
      <c r="D51" s="81">
        <v>1.4E-2</v>
      </c>
      <c r="E51" s="81">
        <v>1.4E-2</v>
      </c>
      <c r="F51" s="81">
        <v>1.2999999999999999E-2</v>
      </c>
    </row>
  </sheetData>
  <mergeCells count="5">
    <mergeCell ref="A1:F1"/>
    <mergeCell ref="A13:F13"/>
    <mergeCell ref="I1:N1"/>
    <mergeCell ref="A24:F24"/>
    <mergeCell ref="A42:F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C652-7D5E-44DB-A55A-FE4940E01BFB}">
  <dimension ref="A1:F18"/>
  <sheetViews>
    <sheetView workbookViewId="0">
      <selection activeCell="G9" sqref="G9"/>
    </sheetView>
  </sheetViews>
  <sheetFormatPr defaultRowHeight="13.2" x14ac:dyDescent="0.25"/>
  <cols>
    <col min="1" max="1" width="16.21875" customWidth="1"/>
    <col min="2" max="2" width="18.88671875" customWidth="1"/>
    <col min="3" max="3" width="18.21875" customWidth="1"/>
    <col min="4" max="4" width="19.33203125" customWidth="1"/>
    <col min="5" max="5" width="21.109375" customWidth="1"/>
    <col min="6" max="6" width="19.21875" customWidth="1"/>
    <col min="7" max="7" width="23.33203125" customWidth="1"/>
  </cols>
  <sheetData>
    <row r="1" spans="1:6" ht="18.600000000000001" thickBot="1" x14ac:dyDescent="0.45">
      <c r="A1" s="125" t="s">
        <v>61</v>
      </c>
      <c r="B1" s="126"/>
      <c r="C1" s="126"/>
      <c r="D1" s="126"/>
      <c r="E1" s="126"/>
      <c r="F1" s="127"/>
    </row>
    <row r="2" spans="1:6" ht="18.600000000000001" thickBot="1" x14ac:dyDescent="0.45">
      <c r="A2" s="88" t="s">
        <v>89</v>
      </c>
      <c r="B2" s="89">
        <v>2022</v>
      </c>
      <c r="C2" s="89">
        <v>2021</v>
      </c>
      <c r="D2" s="89">
        <v>2020</v>
      </c>
      <c r="E2" s="89">
        <v>2019</v>
      </c>
      <c r="F2" s="89">
        <v>2018</v>
      </c>
    </row>
    <row r="3" spans="1:6" ht="18.600000000000001" thickBot="1" x14ac:dyDescent="0.45">
      <c r="A3" s="88" t="s">
        <v>90</v>
      </c>
      <c r="B3" s="89">
        <v>344112</v>
      </c>
      <c r="C3" s="89">
        <v>439700</v>
      </c>
      <c r="D3" s="89">
        <v>175600</v>
      </c>
      <c r="E3" s="89">
        <v>181400</v>
      </c>
      <c r="F3" s="89">
        <v>197400</v>
      </c>
    </row>
    <row r="4" spans="1:6" ht="18.600000000000001" thickBot="1" x14ac:dyDescent="0.45">
      <c r="A4" s="88" t="s">
        <v>91</v>
      </c>
      <c r="B4" s="89">
        <v>139000</v>
      </c>
      <c r="C4" s="89">
        <v>213200</v>
      </c>
      <c r="D4" s="89">
        <v>62800</v>
      </c>
      <c r="E4" s="89">
        <v>62500</v>
      </c>
      <c r="F4" s="89">
        <v>135600</v>
      </c>
    </row>
    <row r="5" spans="1:6" ht="18.600000000000001" thickBot="1" x14ac:dyDescent="0.45">
      <c r="A5" s="88" t="s">
        <v>92</v>
      </c>
      <c r="B5" s="89">
        <v>131050</v>
      </c>
      <c r="C5" s="89">
        <v>139500</v>
      </c>
      <c r="D5" s="89">
        <v>87600</v>
      </c>
      <c r="E5" s="89">
        <v>107100</v>
      </c>
      <c r="F5" s="89">
        <v>156200</v>
      </c>
    </row>
    <row r="6" spans="1:6" ht="13.8" thickBot="1" x14ac:dyDescent="0.3">
      <c r="A6" s="90"/>
      <c r="B6" s="90"/>
      <c r="C6" s="90"/>
      <c r="D6" s="90"/>
      <c r="E6" s="90"/>
      <c r="F6" s="90"/>
    </row>
    <row r="7" spans="1:6" ht="18.600000000000001" thickBot="1" x14ac:dyDescent="0.45">
      <c r="A7" s="128" t="s">
        <v>93</v>
      </c>
      <c r="B7" s="129"/>
      <c r="C7" s="129"/>
      <c r="D7" s="129"/>
      <c r="E7" s="129"/>
      <c r="F7" s="130"/>
    </row>
    <row r="8" spans="1:6" ht="18.600000000000001" thickBot="1" x14ac:dyDescent="0.45">
      <c r="A8" s="88" t="s">
        <v>89</v>
      </c>
      <c r="B8" s="91">
        <v>2022</v>
      </c>
      <c r="C8" s="91">
        <v>2021</v>
      </c>
      <c r="D8" s="91">
        <v>2020</v>
      </c>
      <c r="E8" s="91">
        <v>2019</v>
      </c>
      <c r="F8" s="91">
        <v>2018</v>
      </c>
    </row>
    <row r="9" spans="1:6" ht="18.600000000000001" thickBot="1" x14ac:dyDescent="0.45">
      <c r="A9" s="88" t="s">
        <v>90</v>
      </c>
      <c r="B9" s="92">
        <v>-84600</v>
      </c>
      <c r="C9" s="92">
        <v>103900</v>
      </c>
      <c r="D9" s="92">
        <v>149900</v>
      </c>
      <c r="E9" s="92">
        <v>97200</v>
      </c>
      <c r="F9" s="92">
        <v>85200</v>
      </c>
    </row>
    <row r="10" spans="1:6" ht="18.600000000000001" thickBot="1" x14ac:dyDescent="0.45">
      <c r="A10" s="88" t="s">
        <v>91</v>
      </c>
      <c r="B10" s="93">
        <v>440400</v>
      </c>
      <c r="C10" s="93">
        <v>352800</v>
      </c>
      <c r="D10" s="93">
        <v>410900</v>
      </c>
      <c r="E10" s="93">
        <v>400300</v>
      </c>
      <c r="F10" s="93">
        <v>517000</v>
      </c>
    </row>
    <row r="11" spans="1:6" ht="18.600000000000001" thickBot="1" x14ac:dyDescent="0.45">
      <c r="A11" s="88" t="s">
        <v>92</v>
      </c>
      <c r="B11" s="93">
        <v>9550</v>
      </c>
      <c r="C11" s="93">
        <v>61200</v>
      </c>
      <c r="D11" s="93">
        <v>31200</v>
      </c>
      <c r="E11" s="93">
        <v>79700</v>
      </c>
      <c r="F11" s="93">
        <v>67400</v>
      </c>
    </row>
    <row r="12" spans="1:6" ht="13.8" thickBot="1" x14ac:dyDescent="0.3">
      <c r="A12" s="90"/>
      <c r="B12" s="90"/>
      <c r="C12" s="90"/>
      <c r="D12" s="90"/>
      <c r="E12" s="90"/>
      <c r="F12" s="90"/>
    </row>
    <row r="13" spans="1:6" ht="18.600000000000001" thickBot="1" x14ac:dyDescent="0.45">
      <c r="A13" s="125" t="s">
        <v>94</v>
      </c>
      <c r="B13" s="126"/>
      <c r="C13" s="126"/>
      <c r="D13" s="126"/>
      <c r="E13" s="126"/>
      <c r="F13" s="127"/>
    </row>
    <row r="14" spans="1:6" ht="18.600000000000001" thickBot="1" x14ac:dyDescent="0.45">
      <c r="A14" s="88" t="s">
        <v>89</v>
      </c>
      <c r="B14" s="91">
        <v>2022</v>
      </c>
      <c r="C14" s="91">
        <v>2021</v>
      </c>
      <c r="D14" s="91">
        <v>2020</v>
      </c>
      <c r="E14" s="91">
        <v>2019</v>
      </c>
      <c r="F14" s="91">
        <v>2018</v>
      </c>
    </row>
    <row r="15" spans="1:6" ht="18.600000000000001" thickBot="1" x14ac:dyDescent="0.45">
      <c r="A15" s="88" t="s">
        <v>90</v>
      </c>
      <c r="B15" s="94">
        <v>-0.24590000000000001</v>
      </c>
      <c r="C15" s="94">
        <v>0.23630000000000001</v>
      </c>
      <c r="D15" s="94">
        <v>0.85360000000000003</v>
      </c>
      <c r="E15" s="94">
        <v>0.53580000000000005</v>
      </c>
      <c r="F15" s="94">
        <v>0.43159999999999998</v>
      </c>
    </row>
    <row r="16" spans="1:6" ht="18.600000000000001" thickBot="1" x14ac:dyDescent="0.45">
      <c r="A16" s="88" t="s">
        <v>91</v>
      </c>
      <c r="B16" s="94">
        <v>3.1682999999999999</v>
      </c>
      <c r="C16" s="94">
        <v>1.6548</v>
      </c>
      <c r="D16" s="94">
        <v>6.5430000000000001</v>
      </c>
      <c r="E16" s="94">
        <v>6.4047999999999998</v>
      </c>
      <c r="F16" s="94">
        <v>3.8127</v>
      </c>
    </row>
    <row r="17" spans="1:6" ht="18.600000000000001" thickBot="1" x14ac:dyDescent="0.45">
      <c r="A17" s="88" t="s">
        <v>92</v>
      </c>
      <c r="B17" s="94">
        <v>7.2900000000000006E-2</v>
      </c>
      <c r="C17" s="94">
        <v>0.43869999999999998</v>
      </c>
      <c r="D17" s="94">
        <v>0.35620000000000002</v>
      </c>
      <c r="E17" s="94">
        <v>0.74419999999999997</v>
      </c>
      <c r="F17" s="94">
        <v>0.43149999999999999</v>
      </c>
    </row>
    <row r="18" spans="1:6" ht="36.6" thickBot="1" x14ac:dyDescent="0.45">
      <c r="A18" s="95" t="s">
        <v>95</v>
      </c>
      <c r="B18" s="96">
        <v>0.99850000000000005</v>
      </c>
      <c r="C18" s="96">
        <v>0.77659999999999996</v>
      </c>
      <c r="D18" s="96">
        <v>2.5842999999999998</v>
      </c>
      <c r="E18" s="96">
        <v>2.5615999999999999</v>
      </c>
      <c r="F18" s="96">
        <v>1.5586</v>
      </c>
    </row>
  </sheetData>
  <mergeCells count="3">
    <mergeCell ref="A1:F1"/>
    <mergeCell ref="A7:F7"/>
    <mergeCell ref="A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Прибыль и убытки</vt:lpstr>
      <vt:lpstr>Баланс</vt:lpstr>
      <vt:lpstr>Коэффиценты</vt:lpstr>
      <vt:lpstr>Среднеотраслевые показатели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Потылицин</dc:creator>
  <cp:lastModifiedBy>Никита Потылицин</cp:lastModifiedBy>
  <dcterms:created xsi:type="dcterms:W3CDTF">2023-12-02T22:44:02Z</dcterms:created>
  <dcterms:modified xsi:type="dcterms:W3CDTF">2023-12-06T11:29:25Z</dcterms:modified>
</cp:coreProperties>
</file>