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EB1150-6DA4-4938-8CE0-37AEB5DCCCFE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8" i="1" l="1"/>
  <c r="D57" i="1"/>
  <c r="C58" i="1"/>
  <c r="C57" i="1"/>
  <c r="O48" i="1" l="1"/>
  <c r="P49" i="1"/>
  <c r="P48" i="1"/>
  <c r="O49" i="1"/>
  <c r="J52" i="1" l="1"/>
  <c r="B44" i="1"/>
  <c r="E39" i="1" s="1"/>
  <c r="J51" i="1"/>
  <c r="F52" i="1"/>
  <c r="C49" i="1"/>
  <c r="B52" i="1" s="1"/>
  <c r="K39" i="1" l="1"/>
  <c r="C44" i="1"/>
  <c r="P36" i="1"/>
  <c r="Q36" i="1" s="1"/>
  <c r="S30" i="1" s="1"/>
  <c r="L35" i="1" l="1"/>
  <c r="H36" i="1"/>
  <c r="D33" i="1"/>
  <c r="D35" i="1"/>
  <c r="E32" i="1"/>
  <c r="D32" i="1"/>
  <c r="E33" i="1"/>
  <c r="N26" i="1"/>
  <c r="M26" i="1"/>
  <c r="N25" i="1"/>
  <c r="M25" i="1"/>
  <c r="H27" i="1"/>
  <c r="G27" i="1"/>
  <c r="G26" i="1"/>
  <c r="H26" i="1"/>
  <c r="B28" i="1"/>
  <c r="M3" i="1"/>
  <c r="L3" i="1"/>
  <c r="J20" i="1"/>
  <c r="B16" i="1" l="1"/>
  <c r="B20" i="1" s="1"/>
  <c r="F19" i="1" l="1"/>
  <c r="C20" i="1"/>
  <c r="P2" i="1"/>
  <c r="P3" i="1" s="1"/>
  <c r="O7" i="1" s="1"/>
  <c r="L4" i="1"/>
  <c r="F8" i="1"/>
  <c r="B6" i="1"/>
</calcChain>
</file>

<file path=xl/sharedStrings.xml><?xml version="1.0" encoding="utf-8"?>
<sst xmlns="http://schemas.openxmlformats.org/spreadsheetml/2006/main" count="108" uniqueCount="43">
  <si>
    <t>нач сумм</t>
  </si>
  <si>
    <t>процент</t>
  </si>
  <si>
    <t>срок</t>
  </si>
  <si>
    <t>делитель</t>
  </si>
  <si>
    <t>ответ</t>
  </si>
  <si>
    <t>периоды</t>
  </si>
  <si>
    <t>взнос</t>
  </si>
  <si>
    <t>усл банк</t>
  </si>
  <si>
    <t>2 выгоднее</t>
  </si>
  <si>
    <t>вклад</t>
  </si>
  <si>
    <t>время</t>
  </si>
  <si>
    <t>отчисление</t>
  </si>
  <si>
    <t>период</t>
  </si>
  <si>
    <t xml:space="preserve">количество </t>
  </si>
  <si>
    <t>глупая</t>
  </si>
  <si>
    <t>постановка</t>
  </si>
  <si>
    <t>задачи</t>
  </si>
  <si>
    <t>займ</t>
  </si>
  <si>
    <t>баланс</t>
  </si>
  <si>
    <t>ставка</t>
  </si>
  <si>
    <t>множитель</t>
  </si>
  <si>
    <t>необходимо</t>
  </si>
  <si>
    <t>инвест1</t>
  </si>
  <si>
    <t>инвест2</t>
  </si>
  <si>
    <t xml:space="preserve">ставка </t>
  </si>
  <si>
    <t>инвест</t>
  </si>
  <si>
    <t>убыток</t>
  </si>
  <si>
    <t>убыток2</t>
  </si>
  <si>
    <t>единовр</t>
  </si>
  <si>
    <t>ежем</t>
  </si>
  <si>
    <t>процент1</t>
  </si>
  <si>
    <t>процент2</t>
  </si>
  <si>
    <t>платёж</t>
  </si>
  <si>
    <t>выпл</t>
  </si>
  <si>
    <t>доход</t>
  </si>
  <si>
    <t>накоп</t>
  </si>
  <si>
    <t>кредит</t>
  </si>
  <si>
    <t>реал</t>
  </si>
  <si>
    <t>факт</t>
  </si>
  <si>
    <t>годы</t>
  </si>
  <si>
    <t>новая ставка</t>
  </si>
  <si>
    <t>1 мес и посл</t>
  </si>
  <si>
    <t>1 и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</si>
</sst>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₽&quot;;[Red]\-#,##0\ &quot;₽&quot;"/>
    <numFmt numFmtId="8" formatCode="#,##0.00\ &quot;₽&quot;;[Red]\-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8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topLeftCell="A42" zoomScale="86" workbookViewId="0">
      <selection activeCell="D59" sqref="D59"/>
    </sheetView>
  </sheetViews>
  <sheetFormatPr defaultRowHeight="14.4" x14ac:dyDescent="0.3"/>
  <cols>
    <col min="2" max="2" width="12.33203125" bestFit="1" customWidth="1"/>
    <col min="3" max="3" width="11.33203125" bestFit="1" customWidth="1"/>
    <col min="4" max="4" width="13.5546875" bestFit="1" customWidth="1"/>
    <col min="5" max="5" width="16.6640625" customWidth="1"/>
    <col min="6" max="6" width="12" bestFit="1" customWidth="1"/>
    <col min="7" max="7" width="11.33203125" bestFit="1" customWidth="1"/>
    <col min="8" max="9" width="13.5546875" bestFit="1" customWidth="1"/>
    <col min="10" max="10" width="24.5546875" customWidth="1"/>
    <col min="11" max="11" width="10.33203125" bestFit="1" customWidth="1"/>
    <col min="12" max="12" width="13.5546875" bestFit="1" customWidth="1"/>
    <col min="13" max="14" width="12.77734375" bestFit="1" customWidth="1"/>
    <col min="15" max="15" width="14.109375" customWidth="1"/>
    <col min="16" max="16" width="12" bestFit="1" customWidth="1"/>
    <col min="17" max="17" width="11" bestFit="1" customWidth="1"/>
    <col min="19" max="19" width="10" bestFit="1" customWidth="1"/>
  </cols>
  <sheetData>
    <row r="1" spans="1:16" x14ac:dyDescent="0.3">
      <c r="A1">
        <v>4</v>
      </c>
      <c r="E1">
        <v>5</v>
      </c>
      <c r="I1">
        <v>6</v>
      </c>
      <c r="N1">
        <v>7</v>
      </c>
    </row>
    <row r="2" spans="1:16" x14ac:dyDescent="0.3">
      <c r="A2" t="s">
        <v>0</v>
      </c>
      <c r="B2">
        <v>-7000</v>
      </c>
      <c r="E2" t="s">
        <v>0</v>
      </c>
      <c r="N2" t="s">
        <v>9</v>
      </c>
      <c r="O2">
        <v>-100000</v>
      </c>
      <c r="P2" s="2">
        <f>FV(O4,1,0,O2)</f>
        <v>112500</v>
      </c>
    </row>
    <row r="3" spans="1:16" x14ac:dyDescent="0.3">
      <c r="A3" t="s">
        <v>1</v>
      </c>
      <c r="B3" s="1">
        <v>0.11</v>
      </c>
      <c r="E3" t="s">
        <v>1</v>
      </c>
      <c r="F3" s="3">
        <v>0.13500000000000001</v>
      </c>
      <c r="I3" t="s">
        <v>1</v>
      </c>
      <c r="J3" s="1">
        <v>0.15</v>
      </c>
      <c r="L3" s="2">
        <f>FV(J3/4,J6,0,J12,0)</f>
        <v>1076.4062500000002</v>
      </c>
      <c r="M3" s="2">
        <f>FV(J7/J6,J10,0,J12)</f>
        <v>1085</v>
      </c>
      <c r="N3" t="s">
        <v>10</v>
      </c>
      <c r="O3">
        <v>4</v>
      </c>
      <c r="P3" s="2">
        <f>FV(O5,2,0,P2)</f>
        <v>-146205.00000000003</v>
      </c>
    </row>
    <row r="4" spans="1:16" x14ac:dyDescent="0.3">
      <c r="A4" t="s">
        <v>2</v>
      </c>
      <c r="B4">
        <v>27</v>
      </c>
      <c r="E4" t="s">
        <v>2</v>
      </c>
      <c r="F4">
        <v>3</v>
      </c>
      <c r="I4" t="s">
        <v>2</v>
      </c>
      <c r="J4">
        <v>3</v>
      </c>
      <c r="L4" s="2">
        <f>FV(J7/J9,J8,0,J12)</f>
        <v>1088.0678876982283</v>
      </c>
      <c r="N4" t="s">
        <v>1</v>
      </c>
      <c r="O4" s="3">
        <v>0.125</v>
      </c>
    </row>
    <row r="5" spans="1:16" x14ac:dyDescent="0.3">
      <c r="A5" t="s">
        <v>3</v>
      </c>
      <c r="B5">
        <v>4</v>
      </c>
      <c r="E5" t="s">
        <v>3</v>
      </c>
      <c r="F5">
        <v>12</v>
      </c>
      <c r="I5" t="s">
        <v>3</v>
      </c>
      <c r="J5">
        <v>12</v>
      </c>
      <c r="N5" t="s">
        <v>1</v>
      </c>
      <c r="O5" s="1">
        <v>0.14000000000000001</v>
      </c>
    </row>
    <row r="6" spans="1:16" x14ac:dyDescent="0.3">
      <c r="A6" t="s">
        <v>4</v>
      </c>
      <c r="B6" s="2">
        <f>FV(B3/B5,B7,0,B2)</f>
        <v>8935.8221198125648</v>
      </c>
      <c r="E6" t="s">
        <v>5</v>
      </c>
      <c r="I6" t="s">
        <v>5</v>
      </c>
      <c r="J6">
        <v>2</v>
      </c>
      <c r="N6" t="s">
        <v>1</v>
      </c>
      <c r="O6" s="1">
        <v>0.17</v>
      </c>
    </row>
    <row r="7" spans="1:16" x14ac:dyDescent="0.3">
      <c r="A7" t="s">
        <v>5</v>
      </c>
      <c r="B7">
        <v>9</v>
      </c>
      <c r="E7" t="s">
        <v>6</v>
      </c>
      <c r="F7">
        <v>-1000</v>
      </c>
      <c r="I7" t="s">
        <v>1</v>
      </c>
      <c r="J7" s="1">
        <v>0.17</v>
      </c>
      <c r="N7" t="s">
        <v>4</v>
      </c>
      <c r="O7" s="2">
        <f>FV(O6,1,0,P3)</f>
        <v>171059.85000000003</v>
      </c>
    </row>
    <row r="8" spans="1:16" x14ac:dyDescent="0.3">
      <c r="E8" t="s">
        <v>4</v>
      </c>
      <c r="F8" s="2">
        <f>FV(F3/F5,F4*F5,F7,0,1)</f>
        <v>44577.350299590304</v>
      </c>
      <c r="I8" t="s">
        <v>2</v>
      </c>
      <c r="J8">
        <v>6</v>
      </c>
    </row>
    <row r="9" spans="1:16" x14ac:dyDescent="0.3">
      <c r="I9" t="s">
        <v>3</v>
      </c>
      <c r="J9">
        <v>12</v>
      </c>
    </row>
    <row r="10" spans="1:16" x14ac:dyDescent="0.3">
      <c r="I10" t="s">
        <v>5</v>
      </c>
      <c r="J10">
        <v>1</v>
      </c>
    </row>
    <row r="11" spans="1:16" x14ac:dyDescent="0.3">
      <c r="I11" t="s">
        <v>4</v>
      </c>
      <c r="J11" t="s">
        <v>8</v>
      </c>
    </row>
    <row r="12" spans="1:16" x14ac:dyDescent="0.3">
      <c r="I12" t="s">
        <v>7</v>
      </c>
      <c r="J12">
        <v>-1000</v>
      </c>
    </row>
    <row r="15" spans="1:16" x14ac:dyDescent="0.3">
      <c r="A15">
        <v>8</v>
      </c>
      <c r="E15">
        <v>9</v>
      </c>
      <c r="I15">
        <v>10</v>
      </c>
    </row>
    <row r="16" spans="1:16" x14ac:dyDescent="0.3">
      <c r="A16" t="s">
        <v>11</v>
      </c>
      <c r="B16">
        <f>-2000</f>
        <v>-2000</v>
      </c>
      <c r="E16" t="s">
        <v>17</v>
      </c>
      <c r="F16">
        <v>30000</v>
      </c>
      <c r="I16" t="s">
        <v>18</v>
      </c>
      <c r="J16">
        <v>-6000</v>
      </c>
    </row>
    <row r="17" spans="1:22" x14ac:dyDescent="0.3">
      <c r="A17" t="s">
        <v>12</v>
      </c>
      <c r="B17">
        <v>8</v>
      </c>
      <c r="E17" t="s">
        <v>1</v>
      </c>
      <c r="F17" s="1">
        <v>0.08</v>
      </c>
      <c r="I17" t="s">
        <v>6</v>
      </c>
      <c r="J17">
        <v>-500</v>
      </c>
    </row>
    <row r="18" spans="1:22" x14ac:dyDescent="0.3">
      <c r="A18" t="s">
        <v>1</v>
      </c>
      <c r="B18" s="1">
        <v>0.1</v>
      </c>
      <c r="E18" t="s">
        <v>10</v>
      </c>
      <c r="F18">
        <v>2</v>
      </c>
      <c r="I18" t="s">
        <v>19</v>
      </c>
      <c r="J18" s="3">
        <v>7.4999999999999997E-3</v>
      </c>
    </row>
    <row r="19" spans="1:22" x14ac:dyDescent="0.3">
      <c r="A19" t="s">
        <v>13</v>
      </c>
      <c r="B19">
        <v>4</v>
      </c>
      <c r="E19" t="s">
        <v>4</v>
      </c>
      <c r="F19" s="2">
        <f>FV(F17,F18,0,-F16)</f>
        <v>34992</v>
      </c>
      <c r="I19" t="s">
        <v>10</v>
      </c>
      <c r="J19">
        <v>3</v>
      </c>
    </row>
    <row r="20" spans="1:22" x14ac:dyDescent="0.3">
      <c r="A20" t="s">
        <v>4</v>
      </c>
      <c r="B20" s="2">
        <f>FV(B18/B19,B17*B19,B16,0)</f>
        <v>96300.555021824301</v>
      </c>
      <c r="C20">
        <f>2000*4*8</f>
        <v>64000</v>
      </c>
      <c r="I20" t="s">
        <v>4</v>
      </c>
      <c r="J20" s="2">
        <f>FV(J18,J19*J21,J17,J16)</f>
        <v>28428.230286601727</v>
      </c>
    </row>
    <row r="21" spans="1:22" x14ac:dyDescent="0.3">
      <c r="A21" t="s">
        <v>14</v>
      </c>
      <c r="B21" t="s">
        <v>15</v>
      </c>
      <c r="C21" t="s">
        <v>16</v>
      </c>
      <c r="I21" t="s">
        <v>20</v>
      </c>
      <c r="J21">
        <v>12</v>
      </c>
    </row>
    <row r="24" spans="1:22" x14ac:dyDescent="0.3">
      <c r="A24">
        <v>1</v>
      </c>
      <c r="E24">
        <v>1</v>
      </c>
      <c r="K24">
        <v>2</v>
      </c>
    </row>
    <row r="25" spans="1:22" x14ac:dyDescent="0.3">
      <c r="A25" t="s">
        <v>21</v>
      </c>
      <c r="B25">
        <v>-500000</v>
      </c>
      <c r="E25" t="s">
        <v>1</v>
      </c>
      <c r="F25" s="1">
        <v>0.13</v>
      </c>
      <c r="K25" t="s">
        <v>24</v>
      </c>
      <c r="L25" s="1">
        <v>0.12</v>
      </c>
      <c r="M25" s="2">
        <f>NPV(L25,L27,1500000,3200000,3800000)</f>
        <v>5084884.8786963746</v>
      </c>
      <c r="N25" s="2">
        <f>NPV(L25,L28,1500000,3200000,3800000)</f>
        <v>4906313.4501249455</v>
      </c>
    </row>
    <row r="26" spans="1:22" x14ac:dyDescent="0.3">
      <c r="A26" t="s">
        <v>10</v>
      </c>
      <c r="B26">
        <v>3</v>
      </c>
      <c r="E26" t="s">
        <v>22</v>
      </c>
      <c r="F26">
        <v>740000</v>
      </c>
      <c r="G26" s="2">
        <f>NPV(F25,280000,340000,350000)</f>
        <v>756625.0397637533</v>
      </c>
      <c r="H26" s="2">
        <f>NPV(F25,320000,340000,380000)</f>
        <v>812814.77472057962</v>
      </c>
      <c r="K26" t="s">
        <v>25</v>
      </c>
      <c r="L26">
        <v>5000000</v>
      </c>
      <c r="M26" s="2">
        <f>M25-L26</f>
        <v>84884.878696374595</v>
      </c>
      <c r="N26" s="2">
        <f>N25-L26</f>
        <v>-93686.549875054508</v>
      </c>
    </row>
    <row r="27" spans="1:22" x14ac:dyDescent="0.3">
      <c r="A27" t="s">
        <v>1</v>
      </c>
      <c r="B27">
        <v>12</v>
      </c>
      <c r="E27" t="s">
        <v>23</v>
      </c>
      <c r="F27">
        <v>800000</v>
      </c>
      <c r="G27" s="2">
        <f>G26-F26</f>
        <v>16625.039763753302</v>
      </c>
      <c r="H27" s="2">
        <f>H26-F27</f>
        <v>12814.774720579619</v>
      </c>
      <c r="K27" t="s">
        <v>26</v>
      </c>
      <c r="L27">
        <v>-900000</v>
      </c>
    </row>
    <row r="28" spans="1:22" x14ac:dyDescent="0.3">
      <c r="A28" t="s">
        <v>4</v>
      </c>
      <c r="B28" s="2">
        <f>PV(B27%,B26,,B25)</f>
        <v>355890.12390670541</v>
      </c>
      <c r="E28" t="s">
        <v>4</v>
      </c>
      <c r="K28" t="s">
        <v>27</v>
      </c>
      <c r="L28">
        <v>-1100000</v>
      </c>
    </row>
    <row r="30" spans="1:22" x14ac:dyDescent="0.3">
      <c r="O30">
        <v>6</v>
      </c>
      <c r="S30" s="2">
        <f>Q36</f>
        <v>-8382.9572964389918</v>
      </c>
      <c r="T30">
        <v>-30000</v>
      </c>
      <c r="U30">
        <v>-40000</v>
      </c>
      <c r="V30">
        <v>-50000</v>
      </c>
    </row>
    <row r="31" spans="1:22" x14ac:dyDescent="0.3">
      <c r="A31">
        <v>3</v>
      </c>
      <c r="G31">
        <v>4</v>
      </c>
      <c r="K31">
        <v>5</v>
      </c>
      <c r="O31" t="s">
        <v>25</v>
      </c>
      <c r="P31">
        <v>-34000</v>
      </c>
      <c r="Q31" s="2">
        <v>-10000</v>
      </c>
      <c r="S31" s="1">
        <v>0.1</v>
      </c>
      <c r="T31">
        <f t="dataTable" ref="T31:V33" dt2D="1" dtr="1" r1="P31" r2="P35"/>
        <v>-3292.8078683150143</v>
      </c>
      <c r="U31">
        <v>-12383.716959224104</v>
      </c>
      <c r="V31">
        <v>-21474.626050133193</v>
      </c>
    </row>
    <row r="32" spans="1:22" x14ac:dyDescent="0.3">
      <c r="A32" t="s">
        <v>28</v>
      </c>
      <c r="B32">
        <v>-700000</v>
      </c>
      <c r="D32" s="2">
        <f>FV(B35/12,B34*12,0,B32)</f>
        <v>2554708.9292584048</v>
      </c>
      <c r="E32" s="2">
        <f>FV(B36/12,B34*12,0,B32)</f>
        <v>3759313.9109603828</v>
      </c>
      <c r="G32" t="s">
        <v>32</v>
      </c>
      <c r="H32">
        <v>-80000</v>
      </c>
      <c r="K32" t="s">
        <v>1</v>
      </c>
      <c r="L32" s="1">
        <v>0.12</v>
      </c>
      <c r="O32" t="s">
        <v>34</v>
      </c>
      <c r="P32">
        <v>5000</v>
      </c>
      <c r="S32" s="1">
        <v>0.15</v>
      </c>
      <c r="T32">
        <v>-6834.6310940855665</v>
      </c>
      <c r="U32">
        <v>-15530.283267998613</v>
      </c>
      <c r="V32">
        <v>-24225.935441911657</v>
      </c>
    </row>
    <row r="33" spans="1:22" x14ac:dyDescent="0.3">
      <c r="A33" t="s">
        <v>29</v>
      </c>
      <c r="B33">
        <v>-8034.9366540721885</v>
      </c>
      <c r="D33" s="2">
        <f>FV(B35/12,B34*12,B33,0)</f>
        <v>2554708.9300000006</v>
      </c>
      <c r="E33" s="2">
        <f>FV(B36/12,B34*12,B33,0)</f>
        <v>3241502.4368556286</v>
      </c>
      <c r="G33" t="s">
        <v>10</v>
      </c>
      <c r="H33">
        <v>7</v>
      </c>
      <c r="K33" t="s">
        <v>10</v>
      </c>
      <c r="L33">
        <v>7</v>
      </c>
      <c r="O33" t="s">
        <v>34</v>
      </c>
      <c r="P33">
        <v>17000</v>
      </c>
      <c r="S33" s="1">
        <v>0.2</v>
      </c>
      <c r="T33">
        <v>-9633.4876543209848</v>
      </c>
      <c r="U33">
        <v>-17966.820987654322</v>
      </c>
      <c r="V33">
        <v>-26300.154320987658</v>
      </c>
    </row>
    <row r="34" spans="1:22" x14ac:dyDescent="0.3">
      <c r="A34" t="s">
        <v>10</v>
      </c>
      <c r="B34">
        <v>13</v>
      </c>
      <c r="G34" t="s">
        <v>1</v>
      </c>
      <c r="H34" s="1">
        <v>0.15</v>
      </c>
      <c r="K34" t="s">
        <v>33</v>
      </c>
      <c r="L34">
        <v>-253000</v>
      </c>
      <c r="O34" t="s">
        <v>34</v>
      </c>
      <c r="P34">
        <v>25000</v>
      </c>
    </row>
    <row r="35" spans="1:22" x14ac:dyDescent="0.3">
      <c r="A35" t="s">
        <v>30</v>
      </c>
      <c r="B35" s="1">
        <v>0.1</v>
      </c>
      <c r="D35" s="2">
        <f>FV(B35/12,B34*12,8034,0)</f>
        <v>-2554411.1207420612</v>
      </c>
      <c r="G35" t="s">
        <v>3</v>
      </c>
      <c r="H35">
        <v>4</v>
      </c>
      <c r="K35" t="s">
        <v>4</v>
      </c>
      <c r="L35" s="2">
        <f>PV(L32,L33,L34,0)</f>
        <v>1154630.4043313828</v>
      </c>
      <c r="O35" t="s">
        <v>1</v>
      </c>
      <c r="P35" s="1">
        <v>0.12</v>
      </c>
    </row>
    <row r="36" spans="1:22" x14ac:dyDescent="0.3">
      <c r="A36" t="s">
        <v>31</v>
      </c>
      <c r="B36" s="1">
        <v>0.13</v>
      </c>
      <c r="G36" t="s">
        <v>4</v>
      </c>
      <c r="H36" s="2">
        <f>PV(H34/H35,H33*H35,H32,,1)</f>
        <v>1423782.9042493817</v>
      </c>
      <c r="P36" s="2">
        <f>NPV(P35,P31,P32,P33,P34)</f>
        <v>1617.042703561008</v>
      </c>
      <c r="Q36" s="2">
        <f>P36+Q31</f>
        <v>-8382.9572964389918</v>
      </c>
    </row>
    <row r="39" spans="1:22" x14ac:dyDescent="0.3">
      <c r="A39">
        <v>7</v>
      </c>
      <c r="E39" s="2">
        <f>B44+B40</f>
        <v>77639.58645888012</v>
      </c>
      <c r="F39">
        <v>16</v>
      </c>
      <c r="G39">
        <v>18</v>
      </c>
      <c r="H39">
        <v>20</v>
      </c>
      <c r="I39">
        <v>22</v>
      </c>
      <c r="K39" s="2">
        <f>B44+B40</f>
        <v>77639.58645888012</v>
      </c>
      <c r="L39">
        <v>-700</v>
      </c>
      <c r="M39">
        <v>-900</v>
      </c>
      <c r="N39">
        <v>-1200</v>
      </c>
      <c r="O39">
        <v>-2000</v>
      </c>
    </row>
    <row r="40" spans="1:22" x14ac:dyDescent="0.3">
      <c r="A40" t="s">
        <v>35</v>
      </c>
      <c r="B40">
        <v>12000</v>
      </c>
      <c r="E40">
        <v>14000</v>
      </c>
      <c r="F40">
        <f t="dataTable" ref="F40:I43" dt2D="1" dtr="1" r1="B41" r2="B40"/>
        <v>75340.824933449971</v>
      </c>
      <c r="G40">
        <v>77735.139040986862</v>
      </c>
      <c r="H40">
        <v>79639.58645888012</v>
      </c>
      <c r="I40">
        <v>81154.391870627631</v>
      </c>
      <c r="K40">
        <v>18</v>
      </c>
      <c r="L40">
        <f t="dataTable" ref="L40:O43" dt2D="1" dtr="1" r1="B43" r2="B41" ca="1"/>
        <v>75735.139040986862</v>
      </c>
      <c r="M40">
        <v>93945.17876698311</v>
      </c>
      <c r="N40">
        <v>121260.23835597749</v>
      </c>
      <c r="O40">
        <v>194100.39725996248</v>
      </c>
    </row>
    <row r="41" spans="1:22" x14ac:dyDescent="0.3">
      <c r="A41" t="s">
        <v>10</v>
      </c>
      <c r="B41">
        <v>20</v>
      </c>
      <c r="E41">
        <v>16000</v>
      </c>
      <c r="F41">
        <v>77340.824933449971</v>
      </c>
      <c r="G41">
        <v>79735.139040986862</v>
      </c>
      <c r="H41">
        <v>81639.58645888012</v>
      </c>
      <c r="I41">
        <v>83154.391870627631</v>
      </c>
      <c r="K41">
        <v>20</v>
      </c>
      <c r="L41">
        <v>77639.58645888012</v>
      </c>
      <c r="M41">
        <v>96393.754018560154</v>
      </c>
      <c r="N41">
        <v>124525.00535808023</v>
      </c>
      <c r="O41">
        <v>199541.67559680037</v>
      </c>
    </row>
    <row r="42" spans="1:22" x14ac:dyDescent="0.3">
      <c r="A42" t="s">
        <v>1</v>
      </c>
      <c r="B42" s="3">
        <v>0.115</v>
      </c>
      <c r="E42">
        <v>18000</v>
      </c>
      <c r="F42">
        <v>79340.824933449971</v>
      </c>
      <c r="G42">
        <v>81735.139040986862</v>
      </c>
      <c r="H42">
        <v>83639.58645888012</v>
      </c>
      <c r="I42">
        <v>85154.391870627631</v>
      </c>
      <c r="K42">
        <v>22</v>
      </c>
      <c r="L42">
        <v>79154.391870627631</v>
      </c>
      <c r="M42">
        <v>98341.360976521231</v>
      </c>
      <c r="N42">
        <v>127121.81463536165</v>
      </c>
      <c r="O42">
        <v>203869.69105893609</v>
      </c>
    </row>
    <row r="43" spans="1:22" x14ac:dyDescent="0.3">
      <c r="A43" t="s">
        <v>33</v>
      </c>
      <c r="B43">
        <v>-700</v>
      </c>
      <c r="E43">
        <v>20000</v>
      </c>
      <c r="F43">
        <v>81340.824933449971</v>
      </c>
      <c r="G43">
        <v>83735.139040986862</v>
      </c>
      <c r="H43">
        <v>85639.58645888012</v>
      </c>
      <c r="I43">
        <v>87154.391870627631</v>
      </c>
      <c r="K43">
        <v>24</v>
      </c>
      <c r="L43">
        <v>80359.274407105273</v>
      </c>
      <c r="M43">
        <v>99890.495666278206</v>
      </c>
      <c r="N43">
        <v>129187.32755503761</v>
      </c>
      <c r="O43">
        <v>207312.21259172936</v>
      </c>
    </row>
    <row r="44" spans="1:22" x14ac:dyDescent="0.3">
      <c r="B44" s="2">
        <f>PV(B42/12,B41*12,B43)</f>
        <v>65639.58645888012</v>
      </c>
      <c r="C44" s="2">
        <f>B44+B40</f>
        <v>77639.58645888012</v>
      </c>
    </row>
    <row r="47" spans="1:22" x14ac:dyDescent="0.3">
      <c r="A47">
        <v>1</v>
      </c>
      <c r="E47">
        <v>2</v>
      </c>
      <c r="I47">
        <v>3</v>
      </c>
      <c r="M47">
        <v>4</v>
      </c>
    </row>
    <row r="48" spans="1:22" x14ac:dyDescent="0.3">
      <c r="A48" t="s">
        <v>36</v>
      </c>
      <c r="B48">
        <v>2200000</v>
      </c>
      <c r="E48" t="s">
        <v>36</v>
      </c>
      <c r="F48">
        <v>5000000</v>
      </c>
      <c r="I48" t="s">
        <v>36</v>
      </c>
      <c r="J48" s="4">
        <v>750000</v>
      </c>
      <c r="L48" s="2"/>
      <c r="M48" t="s">
        <v>36</v>
      </c>
      <c r="N48">
        <v>-20000</v>
      </c>
      <c r="O48" s="2">
        <f>PPMT(N49/N51,1,N50*N51,N48)</f>
        <v>493.39397589528363</v>
      </c>
      <c r="P48" s="2">
        <f>PPMT(N49/N51,N50*N51,N50*N51,N48)</f>
        <v>622.5767972469705</v>
      </c>
    </row>
    <row r="49" spans="1:16" x14ac:dyDescent="0.3">
      <c r="A49" t="s">
        <v>19</v>
      </c>
      <c r="B49" s="1">
        <v>0.12</v>
      </c>
      <c r="C49">
        <f>CUMPRINC(B49/12,B50*12,B48,1,B51*12,0)</f>
        <v>-100670.57350438634</v>
      </c>
      <c r="E49" t="s">
        <v>19</v>
      </c>
      <c r="F49" s="1">
        <v>0.2</v>
      </c>
      <c r="I49" t="s">
        <v>39</v>
      </c>
      <c r="J49">
        <v>2</v>
      </c>
      <c r="M49" t="s">
        <v>1</v>
      </c>
      <c r="N49" s="1">
        <v>0.08</v>
      </c>
      <c r="O49" s="2">
        <f>IPMT(N49/12,1,N50*N51,N48)</f>
        <v>133.33333333333334</v>
      </c>
      <c r="P49" s="2">
        <f>IPMT(N49/N51,N50*N51,N50*N51,N48)</f>
        <v>4.1505119816464706</v>
      </c>
    </row>
    <row r="50" spans="1:16" x14ac:dyDescent="0.3">
      <c r="A50" t="s">
        <v>10</v>
      </c>
      <c r="B50">
        <v>30</v>
      </c>
      <c r="E50" t="s">
        <v>10</v>
      </c>
      <c r="F50">
        <v>10</v>
      </c>
      <c r="I50" t="s">
        <v>1</v>
      </c>
      <c r="J50" s="1">
        <v>0.28000000000000003</v>
      </c>
      <c r="M50" t="s">
        <v>10</v>
      </c>
      <c r="N50">
        <v>3</v>
      </c>
    </row>
    <row r="51" spans="1:16" x14ac:dyDescent="0.3">
      <c r="A51" t="s">
        <v>37</v>
      </c>
      <c r="B51">
        <v>8</v>
      </c>
      <c r="E51" t="s">
        <v>38</v>
      </c>
      <c r="F51">
        <v>2</v>
      </c>
      <c r="I51" t="s">
        <v>4</v>
      </c>
      <c r="J51">
        <f>CUMIPMT(J50/4,J49*4,J48,1,8,0)</f>
        <v>-254806.57494452782</v>
      </c>
      <c r="M51" t="s">
        <v>20</v>
      </c>
      <c r="N51">
        <v>12</v>
      </c>
    </row>
    <row r="52" spans="1:16" x14ac:dyDescent="0.3">
      <c r="A52" t="s">
        <v>4</v>
      </c>
      <c r="B52">
        <f>B48+C49</f>
        <v>2099329.4264956135</v>
      </c>
      <c r="E52" t="s">
        <v>4</v>
      </c>
      <c r="F52">
        <f>F48+CUMPRINC(F49/12,F50*12,F48,1,24,0)</f>
        <v>4611602.7358847493</v>
      </c>
      <c r="I52" t="s">
        <v>40</v>
      </c>
      <c r="J52" s="1">
        <f>RATE(8,,-750000,1500000,0)*4</f>
        <v>0.36203093066103054</v>
      </c>
      <c r="M52" t="s">
        <v>41</v>
      </c>
    </row>
    <row r="53" spans="1:16" x14ac:dyDescent="0.3">
      <c r="I53" s="1"/>
    </row>
    <row r="56" spans="1:16" x14ac:dyDescent="0.3">
      <c r="A56">
        <v>5</v>
      </c>
    </row>
    <row r="57" spans="1:16" x14ac:dyDescent="0.3">
      <c r="A57" t="s">
        <v>36</v>
      </c>
      <c r="B57">
        <v>250000</v>
      </c>
      <c r="C57" s="2">
        <f>-CUMPRINC(B59/B60,B58*B60,B57,12,13,0)</f>
        <v>2437.0828468974692</v>
      </c>
      <c r="D57" s="2">
        <f>-CUMPRINC(B59/B60,B58*B60,B57,36,37,0)</f>
        <v>3094.4485320485151</v>
      </c>
    </row>
    <row r="58" spans="1:16" x14ac:dyDescent="0.3">
      <c r="A58" t="s">
        <v>10</v>
      </c>
      <c r="B58">
        <v>10</v>
      </c>
      <c r="C58" s="2">
        <f>-CUMIPMT(B59/B60,B58*B60,B57,12,13,0)</f>
        <v>4736.4645732319004</v>
      </c>
      <c r="D58" s="2">
        <f>-CUMIPMT(B59/B60,B58*B60,B57,36,37,0)</f>
        <v>4079.0988880808541</v>
      </c>
    </row>
    <row r="59" spans="1:16" x14ac:dyDescent="0.3">
      <c r="A59" t="s">
        <v>1</v>
      </c>
      <c r="B59" s="1">
        <v>0.12</v>
      </c>
    </row>
    <row r="60" spans="1:16" x14ac:dyDescent="0.3">
      <c r="A60" t="s">
        <v>20</v>
      </c>
      <c r="B60">
        <v>12</v>
      </c>
    </row>
    <row r="61" spans="1:16" x14ac:dyDescent="0.3">
      <c r="A6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2019-09-15T21:28:22Z</dcterms:modified>
</cp:coreProperties>
</file>