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Plattenwärmeübertrager" sheetId="1" r:id="rId1"/>
    <sheet name="Rohrbündelwärmeübertrager" sheetId="2" r:id="rId2"/>
    <sheet name="Vergleich Methodiken" sheetId="4" r:id="rId3"/>
    <sheet name="Kacak Methods" sheetId="5" r:id="rId4"/>
    <sheet name="Tabelle2" sheetId="6" r:id="rId5"/>
  </sheets>
  <definedNames>
    <definedName name="_xlnm._FilterDatabase" localSheetId="0" hidden="1">Plattenwärmeübertrager!$A$2:$E$21</definedName>
  </definedNames>
  <calcPr calcId="152511"/>
</workbook>
</file>

<file path=xl/calcChain.xml><?xml version="1.0" encoding="utf-8"?>
<calcChain xmlns="http://schemas.openxmlformats.org/spreadsheetml/2006/main">
  <c r="C19" i="1" l="1"/>
  <c r="C20" i="1"/>
  <c r="C21" i="1"/>
  <c r="C18" i="1"/>
  <c r="O34" i="6" l="1"/>
  <c r="O31" i="6"/>
  <c r="C12" i="1" l="1"/>
  <c r="C11" i="1"/>
  <c r="C10" i="1"/>
  <c r="C9" i="1"/>
  <c r="C8" i="1"/>
  <c r="C7" i="1"/>
  <c r="L5" i="4" l="1"/>
  <c r="K36" i="4"/>
  <c r="K35" i="4"/>
  <c r="K34" i="4"/>
  <c r="N5" i="4"/>
  <c r="M5" i="4"/>
  <c r="J5" i="4"/>
  <c r="K5" i="4"/>
  <c r="E30" i="5"/>
  <c r="D30" i="5"/>
  <c r="C30" i="5"/>
  <c r="C24" i="5"/>
  <c r="C21" i="5"/>
  <c r="E7" i="5"/>
  <c r="D7" i="5"/>
  <c r="C7" i="5"/>
  <c r="E6" i="5"/>
  <c r="D6" i="5"/>
  <c r="C6" i="5"/>
  <c r="E5" i="5"/>
  <c r="D5" i="5"/>
  <c r="C5" i="5"/>
  <c r="E4" i="5"/>
  <c r="D4" i="5"/>
  <c r="C4" i="5"/>
  <c r="E2" i="5"/>
  <c r="D2" i="5"/>
  <c r="G21" i="2"/>
  <c r="G20" i="2"/>
  <c r="G19" i="2"/>
  <c r="H18" i="2"/>
  <c r="G18" i="2"/>
  <c r="G12" i="2"/>
  <c r="G11" i="2"/>
  <c r="G10" i="2"/>
  <c r="G9" i="2"/>
  <c r="G8" i="2"/>
  <c r="G7" i="2"/>
  <c r="G11" i="1" l="1"/>
  <c r="G12" i="1"/>
  <c r="G8" i="1"/>
  <c r="G10" i="1"/>
  <c r="G9" i="1"/>
  <c r="G7" i="1"/>
  <c r="G13" i="4" l="1"/>
  <c r="G15" i="4" s="1"/>
  <c r="G17" i="4" s="1"/>
  <c r="G12" i="4"/>
  <c r="G14" i="4" s="1"/>
  <c r="G16" i="4" s="1"/>
  <c r="H18" i="1"/>
  <c r="G18" i="1"/>
  <c r="G5" i="4"/>
  <c r="F5" i="4"/>
  <c r="E33" i="4"/>
  <c r="F33" i="4"/>
  <c r="F10" i="4"/>
  <c r="F9" i="4"/>
  <c r="F8" i="4"/>
  <c r="F7" i="4"/>
  <c r="E5" i="4"/>
  <c r="E10" i="4"/>
  <c r="E9" i="4"/>
  <c r="E8" i="4"/>
  <c r="E7" i="4"/>
  <c r="D33" i="4"/>
  <c r="D27" i="4"/>
  <c r="D24" i="4"/>
  <c r="D10" i="4"/>
  <c r="D9" i="4"/>
  <c r="D8" i="4"/>
  <c r="D7" i="4"/>
  <c r="G21" i="1"/>
  <c r="G20" i="1"/>
  <c r="G19" i="1"/>
</calcChain>
</file>

<file path=xl/sharedStrings.xml><?xml version="1.0" encoding="utf-8"?>
<sst xmlns="http://schemas.openxmlformats.org/spreadsheetml/2006/main" count="374" uniqueCount="151">
  <si>
    <t>Plate Thickness</t>
  </si>
  <si>
    <t xml:space="preserve">Chevron Angle </t>
  </si>
  <si>
    <t xml:space="preserve">No. of plates </t>
  </si>
  <si>
    <t>No. Of passes</t>
  </si>
  <si>
    <t>Dimensions</t>
  </si>
  <si>
    <t>Symbol</t>
  </si>
  <si>
    <t>s</t>
  </si>
  <si>
    <t>beta</t>
  </si>
  <si>
    <t>Nt</t>
  </si>
  <si>
    <t>Np</t>
  </si>
  <si>
    <t>Vertical port length</t>
  </si>
  <si>
    <t xml:space="preserve">Horizontal port width </t>
  </si>
  <si>
    <t xml:space="preserve">Horizontal plate width </t>
  </si>
  <si>
    <t>Port diameters</t>
  </si>
  <si>
    <t xml:space="preserve">compressed plate length </t>
  </si>
  <si>
    <t>thermal Conductivity plate (Stainless Steel)</t>
  </si>
  <si>
    <t>Total effective area</t>
  </si>
  <si>
    <t>A_tot</t>
  </si>
  <si>
    <t>k_steel</t>
  </si>
  <si>
    <t>Lc</t>
  </si>
  <si>
    <t>Dp</t>
  </si>
  <si>
    <t>Lw</t>
  </si>
  <si>
    <t>Lh</t>
  </si>
  <si>
    <t>Lv</t>
  </si>
  <si>
    <t>m</t>
  </si>
  <si>
    <t>°</t>
  </si>
  <si>
    <t>-</t>
  </si>
  <si>
    <t>W /mK</t>
  </si>
  <si>
    <t>m2</t>
  </si>
  <si>
    <t xml:space="preserve">Wert </t>
  </si>
  <si>
    <t>Heating load</t>
  </si>
  <si>
    <t>Inlet Temperature primary circuit</t>
  </si>
  <si>
    <t>Outlet Temperature primary circuit</t>
  </si>
  <si>
    <t>Inlet Temperature secondary circuit</t>
  </si>
  <si>
    <t>Outlet Temperature secondary circuit</t>
  </si>
  <si>
    <t>Q</t>
  </si>
  <si>
    <t>T1</t>
  </si>
  <si>
    <t>T2</t>
  </si>
  <si>
    <t>t1</t>
  </si>
  <si>
    <t>t2</t>
  </si>
  <si>
    <t>W</t>
  </si>
  <si>
    <t>K</t>
  </si>
  <si>
    <t>Allowable pressure drop primary circuit</t>
  </si>
  <si>
    <t>Allowable pressure drop secondary circuit</t>
  </si>
  <si>
    <t>PD_Design_prim</t>
  </si>
  <si>
    <t>PD_Design_second</t>
  </si>
  <si>
    <t>kPa</t>
  </si>
  <si>
    <t>Ergebnis Wärmeübertrager Swep</t>
  </si>
  <si>
    <t>Film coefficient primary</t>
  </si>
  <si>
    <t>Film coefficient secondary</t>
  </si>
  <si>
    <t>kW</t>
  </si>
  <si>
    <t xml:space="preserve">Heat load </t>
  </si>
  <si>
    <t>Inlet temperature primary</t>
  </si>
  <si>
    <t>Outlet temperature primary</t>
  </si>
  <si>
    <t>Inlet temperature secondary</t>
  </si>
  <si>
    <t>Outlet temperature secondary</t>
  </si>
  <si>
    <t>Mean temperature difference</t>
  </si>
  <si>
    <t>O.H.T.C. (available</t>
  </si>
  <si>
    <t>Port velocity primary</t>
  </si>
  <si>
    <t>Port velocity secondary</t>
  </si>
  <si>
    <t>Channel velocity primary</t>
  </si>
  <si>
    <t>Channel velocity secondary</t>
  </si>
  <si>
    <t xml:space="preserve"> - in ports primary</t>
  </si>
  <si>
    <t xml:space="preserve"> - in channels primary</t>
  </si>
  <si>
    <t>Pressure drop - total* primary</t>
  </si>
  <si>
    <t>Pressure drop - total* secondary</t>
  </si>
  <si>
    <t xml:space="preserve"> - in ports secondary</t>
  </si>
  <si>
    <t xml:space="preserve"> - in channels secondary</t>
  </si>
  <si>
    <t>W/m²,°C</t>
  </si>
  <si>
    <t>m/s</t>
  </si>
  <si>
    <t>Reserve</t>
  </si>
  <si>
    <t>%</t>
  </si>
  <si>
    <t>Ergebis Rechnung Paper</t>
  </si>
  <si>
    <t>O.H.T.C. fouled</t>
  </si>
  <si>
    <t>Nu primary</t>
  </si>
  <si>
    <t>Nu secondary</t>
  </si>
  <si>
    <t>friction factor prim</t>
  </si>
  <si>
    <t>friction factor sec</t>
  </si>
  <si>
    <t>Re primary</t>
  </si>
  <si>
    <t>Re secondary</t>
  </si>
  <si>
    <t xml:space="preserve">Compressed length </t>
  </si>
  <si>
    <t>Ergebis Rechnung paper Reich TU Graz</t>
  </si>
  <si>
    <t>Flow Condition</t>
  </si>
  <si>
    <t>counter-current</t>
  </si>
  <si>
    <t>fc</t>
  </si>
  <si>
    <t>0.006</t>
  </si>
  <si>
    <t>2.43</t>
  </si>
  <si>
    <t>0.72</t>
  </si>
  <si>
    <t>1.19</t>
  </si>
  <si>
    <t>0.24</t>
  </si>
  <si>
    <t>0.533</t>
  </si>
  <si>
    <t>16.5</t>
  </si>
  <si>
    <t>0.62</t>
  </si>
  <si>
    <t>393.15</t>
  </si>
  <si>
    <t>333.15</t>
  </si>
  <si>
    <t>328.15</t>
  </si>
  <si>
    <t>343.15</t>
  </si>
  <si>
    <t>counterflow</t>
  </si>
  <si>
    <t>Medium</t>
  </si>
  <si>
    <t>water</t>
  </si>
  <si>
    <t>Parameters</t>
  </si>
  <si>
    <t>Value</t>
  </si>
  <si>
    <t>Ergebis Rechnung buch L.Wang</t>
  </si>
  <si>
    <t>The pressure drop in the manifolds and ports should be kept as low as</t>
  </si>
  <si>
    <t>possible (generally &lt;10%, but may be as high as 25 to 30% or higher in some designs).</t>
  </si>
  <si>
    <t xml:space="preserve">L.Wang </t>
  </si>
  <si>
    <t>Ergebis Rechnung buch Kacak</t>
  </si>
  <si>
    <t>compressed plate length</t>
  </si>
  <si>
    <t xml:space="preserve">Pitch </t>
  </si>
  <si>
    <t xml:space="preserve">mean channel spacing  </t>
  </si>
  <si>
    <t>channel flow Area</t>
  </si>
  <si>
    <t xml:space="preserve">enlargment factor  </t>
  </si>
  <si>
    <t xml:space="preserve">hydraulic diameter  </t>
  </si>
  <si>
    <t xml:space="preserve">flow channel velocity hot streams  </t>
  </si>
  <si>
    <t xml:space="preserve">flow channel velocity cold streams   </t>
  </si>
  <si>
    <t xml:space="preserve">mass velocity per channel hot streams   </t>
  </si>
  <si>
    <t xml:space="preserve">mass velocity per channel cold streams   </t>
  </si>
  <si>
    <t xml:space="preserve">port area                          </t>
  </si>
  <si>
    <t xml:space="preserve">mass velocity per port hot streams    </t>
  </si>
  <si>
    <t xml:space="preserve">mass velocity per port cold streams     </t>
  </si>
  <si>
    <t xml:space="preserve">port channel velocity hot streams         </t>
  </si>
  <si>
    <t xml:space="preserve">Prandl No hot streams    </t>
  </si>
  <si>
    <t xml:space="preserve">Prandl No cold streams     </t>
  </si>
  <si>
    <t xml:space="preserve">Reynolds No hot streams      </t>
  </si>
  <si>
    <t xml:space="preserve">Reynolds No cold streams     </t>
  </si>
  <si>
    <t xml:space="preserve">Nusselt No hot streams         </t>
  </si>
  <si>
    <t xml:space="preserve">Nusselt No cold streams        </t>
  </si>
  <si>
    <t xml:space="preserve">heat transfer coeff hot streams   </t>
  </si>
  <si>
    <t xml:space="preserve">heat transfer coeff cold streams  </t>
  </si>
  <si>
    <t xml:space="preserve">clean heat transfer coeff         </t>
  </si>
  <si>
    <t xml:space="preserve">fouled heat transfer coeff       </t>
  </si>
  <si>
    <t xml:space="preserve">heat duties cleaned     </t>
  </si>
  <si>
    <t xml:space="preserve">heat duties fouled     </t>
  </si>
  <si>
    <t xml:space="preserve">Reserve          </t>
  </si>
  <si>
    <t xml:space="preserve">pressure drop port hot stream   </t>
  </si>
  <si>
    <t xml:space="preserve">pressure drop channel hot stream     </t>
  </si>
  <si>
    <t xml:space="preserve">total pressure drop hot stream   </t>
  </si>
  <si>
    <t xml:space="preserve">pressure drop port cold stream     </t>
  </si>
  <si>
    <t xml:space="preserve">pressure drop channel cold stream    </t>
  </si>
  <si>
    <t xml:space="preserve">total pressure drop cold stream </t>
  </si>
  <si>
    <t xml:space="preserve">NTU                       </t>
  </si>
  <si>
    <t xml:space="preserve">Verhältnis der Wärmekapazitätsströme R   </t>
  </si>
  <si>
    <t xml:space="preserve">Heat duty new           </t>
  </si>
  <si>
    <t>Ergebis Rechnung buch Hesselgreaves</t>
  </si>
  <si>
    <t>Ergebis Rechnung buch Thulkunam</t>
  </si>
  <si>
    <t>Ergebis Rechnung buch Sekulölic</t>
  </si>
  <si>
    <t>?</t>
  </si>
  <si>
    <t>Ergebis Rechnung buch Kacak version 2 aus paper</t>
  </si>
  <si>
    <t>PD_Design_sec</t>
  </si>
  <si>
    <t>Inner Fouling                           2e-05</t>
  </si>
  <si>
    <t>Outer Fouling                           2e-05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</si>
</sst>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"/>
    <numFmt numFmtId="167" formatCode="0.00000"/>
    <numFmt numFmtId="168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NumberFormat="1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 applyFont="1" applyAlignment="1">
      <alignment horizontal="left"/>
    </xf>
    <xf numFmtId="0" fontId="0" fillId="0" borderId="0" xfId="0" applyFont="1"/>
    <xf numFmtId="0" fontId="0" fillId="2" borderId="0" xfId="0" applyFont="1" applyFill="1"/>
    <xf numFmtId="165" fontId="0" fillId="2" borderId="0" xfId="0" applyNumberFormat="1" applyFill="1" applyAlignment="1">
      <alignment horizontal="left"/>
    </xf>
    <xf numFmtId="166" fontId="0" fillId="2" borderId="0" xfId="0" applyNumberFormat="1" applyFill="1" applyAlignment="1">
      <alignment horizontal="left"/>
    </xf>
    <xf numFmtId="0" fontId="0" fillId="0" borderId="0" xfId="0" applyFont="1" applyFill="1"/>
    <xf numFmtId="166" fontId="0" fillId="0" borderId="0" xfId="0" applyNumberFormat="1" applyFill="1" applyAlignment="1">
      <alignment horizontal="left"/>
    </xf>
    <xf numFmtId="0" fontId="5" fillId="0" borderId="0" xfId="0" applyFont="1" applyAlignment="1">
      <alignment wrapText="1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3" borderId="0" xfId="0" applyFill="1" applyAlignment="1">
      <alignment wrapText="1"/>
    </xf>
    <xf numFmtId="2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4</xdr:row>
      <xdr:rowOff>179458</xdr:rowOff>
    </xdr:from>
    <xdr:to>
      <xdr:col>16</xdr:col>
      <xdr:colOff>403225</xdr:colOff>
      <xdr:row>8</xdr:row>
      <xdr:rowOff>6251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4900" y="941458"/>
          <a:ext cx="4648200" cy="588793"/>
        </a:xfrm>
        <a:prstGeom prst="rect">
          <a:avLst/>
        </a:prstGeom>
      </xdr:spPr>
    </xdr:pic>
    <xdr:clientData/>
  </xdr:twoCellAnchor>
  <xdr:twoCellAnchor editAs="oneCell">
    <xdr:from>
      <xdr:col>8</xdr:col>
      <xdr:colOff>434976</xdr:colOff>
      <xdr:row>15</xdr:row>
      <xdr:rowOff>127000</xdr:rowOff>
    </xdr:from>
    <xdr:to>
      <xdr:col>15</xdr:col>
      <xdr:colOff>136526</xdr:colOff>
      <xdr:row>19</xdr:row>
      <xdr:rowOff>41603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851" y="2984500"/>
          <a:ext cx="3924300" cy="676603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9</xdr:row>
      <xdr:rowOff>12701</xdr:rowOff>
    </xdr:from>
    <xdr:to>
      <xdr:col>19</xdr:col>
      <xdr:colOff>174625</xdr:colOff>
      <xdr:row>14</xdr:row>
      <xdr:rowOff>48021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6800" y="1727201"/>
          <a:ext cx="6267450" cy="987820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27</xdr:row>
      <xdr:rowOff>95250</xdr:rowOff>
    </xdr:from>
    <xdr:to>
      <xdr:col>3</xdr:col>
      <xdr:colOff>628650</xdr:colOff>
      <xdr:row>75</xdr:row>
      <xdr:rowOff>139700</xdr:rowOff>
    </xdr:to>
    <xdr:pic>
      <xdr:nvPicPr>
        <xdr:cNvPr id="5" name="Grafik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" y="5067300"/>
          <a:ext cx="5753100" cy="889635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739774</xdr:colOff>
      <xdr:row>26</xdr:row>
      <xdr:rowOff>177800</xdr:rowOff>
    </xdr:from>
    <xdr:to>
      <xdr:col>12</xdr:col>
      <xdr:colOff>171822</xdr:colOff>
      <xdr:row>65</xdr:row>
      <xdr:rowOff>44824</xdr:rowOff>
    </xdr:to>
    <xdr:pic>
      <xdr:nvPicPr>
        <xdr:cNvPr id="6" name="Grafik 5"/>
        <xdr:cNvPicPr/>
      </xdr:nvPicPr>
      <xdr:blipFill rotWithShape="1">
        <a:blip xmlns:r="http://schemas.openxmlformats.org/officeDocument/2006/relationships" r:embed="rId5"/>
        <a:srcRect b="22925"/>
        <a:stretch/>
      </xdr:blipFill>
      <xdr:spPr>
        <a:xfrm>
          <a:off x="5954245" y="5033682"/>
          <a:ext cx="6125695" cy="7158318"/>
        </a:xfrm>
        <a:prstGeom prst="rect">
          <a:avLst/>
        </a:prstGeom>
      </xdr:spPr>
    </xdr:pic>
    <xdr:clientData/>
  </xdr:twoCellAnchor>
  <xdr:twoCellAnchor editAs="oneCell">
    <xdr:from>
      <xdr:col>3</xdr:col>
      <xdr:colOff>1172882</xdr:colOff>
      <xdr:row>66</xdr:row>
      <xdr:rowOff>179294</xdr:rowOff>
    </xdr:from>
    <xdr:to>
      <xdr:col>9</xdr:col>
      <xdr:colOff>412238</xdr:colOff>
      <xdr:row>90</xdr:row>
      <xdr:rowOff>135036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7353" y="12513235"/>
          <a:ext cx="4095238" cy="44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190499</xdr:colOff>
      <xdr:row>27</xdr:row>
      <xdr:rowOff>1</xdr:rowOff>
    </xdr:from>
    <xdr:to>
      <xdr:col>21</xdr:col>
      <xdr:colOff>302078</xdr:colOff>
      <xdr:row>56</xdr:row>
      <xdr:rowOff>92529</xdr:rowOff>
    </xdr:to>
    <xdr:pic>
      <xdr:nvPicPr>
        <xdr:cNvPr id="8" name="Grafik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55928" y="4898572"/>
          <a:ext cx="5581650" cy="537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24800</xdr:colOff>
      <xdr:row>42</xdr:row>
      <xdr:rowOff>35710</xdr:rowOff>
    </xdr:from>
    <xdr:to>
      <xdr:col>6</xdr:col>
      <xdr:colOff>1032957</xdr:colOff>
      <xdr:row>64</xdr:row>
      <xdr:rowOff>53564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659716" y="9513794"/>
          <a:ext cx="4126677" cy="1008157"/>
        </a:xfrm>
        <a:prstGeom prst="rect">
          <a:avLst/>
        </a:prstGeom>
      </xdr:spPr>
    </xdr:pic>
    <xdr:clientData/>
  </xdr:twoCellAnchor>
  <xdr:twoCellAnchor editAs="oneCell">
    <xdr:from>
      <xdr:col>9</xdr:col>
      <xdr:colOff>182187</xdr:colOff>
      <xdr:row>42</xdr:row>
      <xdr:rowOff>124110</xdr:rowOff>
    </xdr:from>
    <xdr:to>
      <xdr:col>9</xdr:col>
      <xdr:colOff>763212</xdr:colOff>
      <xdr:row>67</xdr:row>
      <xdr:rowOff>46043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8232587" y="10047946"/>
          <a:ext cx="4591050" cy="581025"/>
        </a:xfrm>
        <a:prstGeom prst="rect">
          <a:avLst/>
        </a:prstGeom>
      </xdr:spPr>
    </xdr:pic>
    <xdr:clientData/>
  </xdr:twoCellAnchor>
  <xdr:twoCellAnchor editAs="oneCell">
    <xdr:from>
      <xdr:col>9</xdr:col>
      <xdr:colOff>598373</xdr:colOff>
      <xdr:row>75</xdr:row>
      <xdr:rowOff>14217</xdr:rowOff>
    </xdr:from>
    <xdr:to>
      <xdr:col>9</xdr:col>
      <xdr:colOff>1693611</xdr:colOff>
      <xdr:row>98</xdr:row>
      <xdr:rowOff>147200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7590118" y="13178119"/>
          <a:ext cx="4428571" cy="10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987619</xdr:colOff>
      <xdr:row>74</xdr:row>
      <xdr:rowOff>136369</xdr:rowOff>
    </xdr:from>
    <xdr:to>
      <xdr:col>15</xdr:col>
      <xdr:colOff>409619</xdr:colOff>
      <xdr:row>99</xdr:row>
      <xdr:rowOff>116908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0404894" y="16498457"/>
          <a:ext cx="4598721" cy="12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268223</xdr:colOff>
      <xdr:row>99</xdr:row>
      <xdr:rowOff>142663</xdr:rowOff>
    </xdr:from>
    <xdr:to>
      <xdr:col>16</xdr:col>
      <xdr:colOff>696794</xdr:colOff>
      <xdr:row>123</xdr:row>
      <xdr:rowOff>136500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1903767" y="21694590"/>
          <a:ext cx="4476190" cy="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108535</xdr:colOff>
      <xdr:row>44</xdr:row>
      <xdr:rowOff>103913</xdr:rowOff>
    </xdr:from>
    <xdr:to>
      <xdr:col>15</xdr:col>
      <xdr:colOff>598589</xdr:colOff>
      <xdr:row>71</xdr:row>
      <xdr:rowOff>161525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19836574" y="9643601"/>
          <a:ext cx="5045248" cy="2268054"/>
        </a:xfrm>
        <a:prstGeom prst="rect">
          <a:avLst/>
        </a:prstGeom>
      </xdr:spPr>
    </xdr:pic>
    <xdr:clientData/>
  </xdr:twoCellAnchor>
  <xdr:twoCellAnchor editAs="oneCell">
    <xdr:from>
      <xdr:col>13</xdr:col>
      <xdr:colOff>119812</xdr:colOff>
      <xdr:row>43</xdr:row>
      <xdr:rowOff>14660</xdr:rowOff>
    </xdr:from>
    <xdr:to>
      <xdr:col>13</xdr:col>
      <xdr:colOff>862669</xdr:colOff>
      <xdr:row>70</xdr:row>
      <xdr:rowOff>152965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6711706" y="10339295"/>
          <a:ext cx="5180952" cy="7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211204</xdr:colOff>
      <xdr:row>71</xdr:row>
      <xdr:rowOff>162325</xdr:rowOff>
    </xdr:from>
    <xdr:to>
      <xdr:col>13</xdr:col>
      <xdr:colOff>1144537</xdr:colOff>
      <xdr:row>97</xdr:row>
      <xdr:rowOff>180832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16569764" y="15949706"/>
          <a:ext cx="5838095" cy="9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155893</xdr:colOff>
      <xdr:row>99</xdr:row>
      <xdr:rowOff>8459</xdr:rowOff>
    </xdr:from>
    <xdr:to>
      <xdr:col>13</xdr:col>
      <xdr:colOff>1622560</xdr:colOff>
      <xdr:row>135</xdr:row>
      <xdr:rowOff>113501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16285882" y="22217529"/>
          <a:ext cx="6828571" cy="1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38100</xdr:rowOff>
    </xdr:from>
    <xdr:to>
      <xdr:col>4</xdr:col>
      <xdr:colOff>742950</xdr:colOff>
      <xdr:row>71</xdr:row>
      <xdr:rowOff>158750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46750"/>
          <a:ext cx="4965700" cy="7486650"/>
        </a:xfrm>
        <a:prstGeom prst="rect">
          <a:avLst/>
        </a:prstGeom>
      </xdr:spPr>
    </xdr:pic>
    <xdr:clientData/>
  </xdr:twoCellAnchor>
  <xdr:twoCellAnchor editAs="oneCell">
    <xdr:from>
      <xdr:col>4</xdr:col>
      <xdr:colOff>755650</xdr:colOff>
      <xdr:row>31</xdr:row>
      <xdr:rowOff>19050</xdr:rowOff>
    </xdr:from>
    <xdr:to>
      <xdr:col>12</xdr:col>
      <xdr:colOff>406400</xdr:colOff>
      <xdr:row>72</xdr:row>
      <xdr:rowOff>63500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8400" y="5727700"/>
          <a:ext cx="5746750" cy="75946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30</xdr:row>
      <xdr:rowOff>171450</xdr:rowOff>
    </xdr:from>
    <xdr:to>
      <xdr:col>19</xdr:col>
      <xdr:colOff>752475</xdr:colOff>
      <xdr:row>78</xdr:row>
      <xdr:rowOff>57150</xdr:rowOff>
    </xdr:to>
    <xdr:pic>
      <xdr:nvPicPr>
        <xdr:cNvPr id="4" name="Grafik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5000" y="5695950"/>
          <a:ext cx="5610225" cy="872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78</xdr:row>
      <xdr:rowOff>88900</xdr:rowOff>
    </xdr:from>
    <xdr:to>
      <xdr:col>20</xdr:col>
      <xdr:colOff>121920</xdr:colOff>
      <xdr:row>124</xdr:row>
      <xdr:rowOff>5080</xdr:rowOff>
    </xdr:to>
    <xdr:pic>
      <xdr:nvPicPr>
        <xdr:cNvPr id="5" name="Grafik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75950" y="14452600"/>
          <a:ext cx="5760720" cy="838708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126</xdr:row>
      <xdr:rowOff>0</xdr:rowOff>
    </xdr:from>
    <xdr:to>
      <xdr:col>20</xdr:col>
      <xdr:colOff>409575</xdr:colOff>
      <xdr:row>173</xdr:row>
      <xdr:rowOff>31750</xdr:rowOff>
    </xdr:to>
    <xdr:pic>
      <xdr:nvPicPr>
        <xdr:cNvPr id="6" name="Grafik 5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80750" y="23202900"/>
          <a:ext cx="5743575" cy="868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85" zoomScaleNormal="85" workbookViewId="0">
      <selection activeCell="E23" sqref="E23"/>
    </sheetView>
  </sheetViews>
  <sheetFormatPr baseColWidth="10" defaultColWidth="8.7265625" defaultRowHeight="14.5" x14ac:dyDescent="0.35"/>
  <cols>
    <col min="1" max="1" width="36.54296875" bestFit="1" customWidth="1"/>
    <col min="2" max="2" width="22.54296875" customWidth="1"/>
    <col min="3" max="3" width="15.453125" bestFit="1" customWidth="1"/>
    <col min="4" max="4" width="22.54296875" customWidth="1"/>
    <col min="6" max="6" width="11.81640625" bestFit="1" customWidth="1"/>
  </cols>
  <sheetData>
    <row r="1" spans="1:7" x14ac:dyDescent="0.35">
      <c r="A1" t="s">
        <v>100</v>
      </c>
      <c r="B1" t="s">
        <v>5</v>
      </c>
      <c r="C1" t="s">
        <v>101</v>
      </c>
      <c r="D1" t="s">
        <v>4</v>
      </c>
    </row>
    <row r="2" spans="1:7" x14ac:dyDescent="0.35">
      <c r="A2" t="s">
        <v>82</v>
      </c>
      <c r="B2" s="15" t="s">
        <v>84</v>
      </c>
      <c r="C2" s="19" t="s">
        <v>97</v>
      </c>
      <c r="D2" s="1" t="s">
        <v>26</v>
      </c>
      <c r="G2" s="16" t="s">
        <v>83</v>
      </c>
    </row>
    <row r="3" spans="1:7" x14ac:dyDescent="0.35">
      <c r="A3" t="s">
        <v>98</v>
      </c>
      <c r="B3" s="15" t="s">
        <v>24</v>
      </c>
      <c r="C3" s="19" t="s">
        <v>99</v>
      </c>
      <c r="D3" s="1" t="s">
        <v>26</v>
      </c>
      <c r="G3" s="16"/>
    </row>
    <row r="4" spans="1:7" x14ac:dyDescent="0.35">
      <c r="A4" t="s">
        <v>1</v>
      </c>
      <c r="B4" t="s">
        <v>7</v>
      </c>
      <c r="C4" s="20">
        <v>45</v>
      </c>
      <c r="D4" t="s">
        <v>25</v>
      </c>
      <c r="G4" s="18">
        <v>45</v>
      </c>
    </row>
    <row r="5" spans="1:7" x14ac:dyDescent="0.35">
      <c r="A5" t="s">
        <v>2</v>
      </c>
      <c r="B5" t="s">
        <v>8</v>
      </c>
      <c r="C5" s="20">
        <v>22</v>
      </c>
      <c r="D5" t="s">
        <v>26</v>
      </c>
      <c r="G5" s="18">
        <v>22</v>
      </c>
    </row>
    <row r="6" spans="1:7" x14ac:dyDescent="0.35">
      <c r="A6" t="s">
        <v>3</v>
      </c>
      <c r="B6" t="s">
        <v>9</v>
      </c>
      <c r="C6" s="20">
        <v>1</v>
      </c>
      <c r="D6" t="s">
        <v>26</v>
      </c>
      <c r="G6" s="18">
        <v>1</v>
      </c>
    </row>
    <row r="7" spans="1:7" x14ac:dyDescent="0.35">
      <c r="A7" t="s">
        <v>0</v>
      </c>
      <c r="B7" t="s">
        <v>6</v>
      </c>
      <c r="C7" s="26">
        <f>0.6*(10^-3)</f>
        <v>5.9999999999999995E-4</v>
      </c>
      <c r="D7" t="s">
        <v>24</v>
      </c>
      <c r="G7" s="17">
        <f>0.6*0.01</f>
        <v>6.0000000000000001E-3</v>
      </c>
    </row>
    <row r="8" spans="1:7" x14ac:dyDescent="0.35">
      <c r="A8" t="s">
        <v>12</v>
      </c>
      <c r="B8" t="s">
        <v>21</v>
      </c>
      <c r="C8" s="26">
        <f>119*(10^-3)</f>
        <v>0.11900000000000001</v>
      </c>
      <c r="D8" t="s">
        <v>24</v>
      </c>
      <c r="G8" s="17">
        <f>119*0.01</f>
        <v>1.19</v>
      </c>
    </row>
    <row r="9" spans="1:7" x14ac:dyDescent="0.35">
      <c r="A9" t="s">
        <v>10</v>
      </c>
      <c r="B9" t="s">
        <v>23</v>
      </c>
      <c r="C9" s="26">
        <f>243*(10^-3)</f>
        <v>0.24299999999999999</v>
      </c>
      <c r="D9" t="s">
        <v>24</v>
      </c>
      <c r="G9" s="17">
        <f>243*0.01</f>
        <v>2.4300000000000002</v>
      </c>
    </row>
    <row r="10" spans="1:7" x14ac:dyDescent="0.35">
      <c r="A10" t="s">
        <v>11</v>
      </c>
      <c r="B10" t="s">
        <v>22</v>
      </c>
      <c r="C10" s="26">
        <f>72*(10^-3)</f>
        <v>7.2000000000000008E-2</v>
      </c>
      <c r="D10" t="s">
        <v>24</v>
      </c>
      <c r="G10" s="17">
        <f>72*0.01</f>
        <v>0.72</v>
      </c>
    </row>
    <row r="11" spans="1:7" x14ac:dyDescent="0.35">
      <c r="A11" t="s">
        <v>14</v>
      </c>
      <c r="B11" t="s">
        <v>19</v>
      </c>
      <c r="C11" s="26">
        <f>53.28*(10^-3)</f>
        <v>5.3280000000000001E-2</v>
      </c>
      <c r="D11" t="s">
        <v>24</v>
      </c>
      <c r="G11" s="17">
        <f>53.28*0.01</f>
        <v>0.53280000000000005</v>
      </c>
    </row>
    <row r="12" spans="1:7" x14ac:dyDescent="0.35">
      <c r="A12" t="s">
        <v>13</v>
      </c>
      <c r="B12" t="s">
        <v>20</v>
      </c>
      <c r="C12" s="26">
        <f>24*(10^-3)</f>
        <v>2.4E-2</v>
      </c>
      <c r="D12" t="s">
        <v>24</v>
      </c>
      <c r="G12" s="17">
        <f>24*0.01</f>
        <v>0.24</v>
      </c>
    </row>
    <row r="13" spans="1:7" x14ac:dyDescent="0.35">
      <c r="A13" t="s">
        <v>15</v>
      </c>
      <c r="B13" t="s">
        <v>18</v>
      </c>
      <c r="C13" s="20" t="s">
        <v>91</v>
      </c>
      <c r="D13" t="s">
        <v>27</v>
      </c>
      <c r="G13" s="17">
        <v>16.5</v>
      </c>
    </row>
    <row r="14" spans="1:7" x14ac:dyDescent="0.35">
      <c r="A14" t="s">
        <v>42</v>
      </c>
      <c r="B14" t="s">
        <v>44</v>
      </c>
      <c r="C14" s="20">
        <v>15</v>
      </c>
      <c r="D14" t="s">
        <v>46</v>
      </c>
      <c r="G14" s="18">
        <v>15</v>
      </c>
    </row>
    <row r="15" spans="1:7" x14ac:dyDescent="0.35">
      <c r="A15" t="s">
        <v>43</v>
      </c>
      <c r="B15" t="s">
        <v>148</v>
      </c>
      <c r="C15" s="20">
        <v>15</v>
      </c>
      <c r="D15" t="s">
        <v>46</v>
      </c>
      <c r="G15" s="18">
        <v>15</v>
      </c>
    </row>
    <row r="16" spans="1:7" x14ac:dyDescent="0.35">
      <c r="A16" t="s">
        <v>30</v>
      </c>
      <c r="B16" t="s">
        <v>35</v>
      </c>
      <c r="C16" s="20">
        <v>43000</v>
      </c>
      <c r="D16" t="s">
        <v>40</v>
      </c>
      <c r="G16" s="12">
        <v>43000</v>
      </c>
    </row>
    <row r="17" spans="1:8" x14ac:dyDescent="0.35">
      <c r="A17" t="s">
        <v>16</v>
      </c>
      <c r="B17" t="s">
        <v>17</v>
      </c>
      <c r="C17" s="20" t="s">
        <v>92</v>
      </c>
      <c r="D17" t="s">
        <v>28</v>
      </c>
      <c r="G17" s="17">
        <v>0.62</v>
      </c>
    </row>
    <row r="18" spans="1:8" x14ac:dyDescent="0.35">
      <c r="A18" t="s">
        <v>31</v>
      </c>
      <c r="B18" t="s">
        <v>36</v>
      </c>
      <c r="C18" s="25">
        <f>E18+273.15</f>
        <v>393.15</v>
      </c>
      <c r="D18" t="s">
        <v>41</v>
      </c>
      <c r="E18">
        <v>120</v>
      </c>
      <c r="G18" s="12">
        <f>120+(273.15)</f>
        <v>393.15</v>
      </c>
      <c r="H18" s="5">
        <f>90+(273.15)</f>
        <v>363.15</v>
      </c>
    </row>
    <row r="19" spans="1:8" x14ac:dyDescent="0.35">
      <c r="A19" t="s">
        <v>32</v>
      </c>
      <c r="B19" t="s">
        <v>37</v>
      </c>
      <c r="C19" s="25">
        <f t="shared" ref="C19:C21" si="0">E19+273.15</f>
        <v>333.15</v>
      </c>
      <c r="D19" t="s">
        <v>41</v>
      </c>
      <c r="E19">
        <v>60</v>
      </c>
      <c r="G19" s="12">
        <f>60+(273.15)</f>
        <v>333.15</v>
      </c>
    </row>
    <row r="20" spans="1:8" x14ac:dyDescent="0.35">
      <c r="A20" t="s">
        <v>33</v>
      </c>
      <c r="B20" t="s">
        <v>38</v>
      </c>
      <c r="C20" s="25">
        <f t="shared" si="0"/>
        <v>328.15</v>
      </c>
      <c r="D20" t="s">
        <v>41</v>
      </c>
      <c r="E20">
        <v>55</v>
      </c>
      <c r="G20" s="12">
        <f>55+(273.15)</f>
        <v>328.15</v>
      </c>
    </row>
    <row r="21" spans="1:8" x14ac:dyDescent="0.35">
      <c r="A21" t="s">
        <v>34</v>
      </c>
      <c r="B21" t="s">
        <v>39</v>
      </c>
      <c r="C21" s="25">
        <f t="shared" si="0"/>
        <v>343.15</v>
      </c>
      <c r="D21" t="s">
        <v>41</v>
      </c>
      <c r="E21">
        <v>70</v>
      </c>
      <c r="G21" s="12">
        <f>70+(273.15)</f>
        <v>343.15</v>
      </c>
    </row>
    <row r="27" spans="1:8" x14ac:dyDescent="0.35">
      <c r="A27" t="s">
        <v>105</v>
      </c>
    </row>
    <row r="31" spans="1:8" ht="15.5" x14ac:dyDescent="0.35">
      <c r="A31" s="8"/>
    </row>
    <row r="32" spans="1:8" x14ac:dyDescent="0.35">
      <c r="A32" s="7"/>
      <c r="B32" s="1"/>
      <c r="C32" s="1"/>
      <c r="D32" s="1"/>
    </row>
    <row r="33" spans="1:3" x14ac:dyDescent="0.35">
      <c r="C33" s="4"/>
    </row>
    <row r="34" spans="1:3" x14ac:dyDescent="0.35">
      <c r="C34" s="4"/>
    </row>
    <row r="35" spans="1:3" x14ac:dyDescent="0.35">
      <c r="C35" s="4"/>
    </row>
    <row r="36" spans="1:3" x14ac:dyDescent="0.35">
      <c r="C36" s="4"/>
    </row>
    <row r="37" spans="1:3" x14ac:dyDescent="0.35">
      <c r="C37" s="4"/>
    </row>
    <row r="38" spans="1:3" x14ac:dyDescent="0.35">
      <c r="A38" s="7"/>
      <c r="C38" s="4"/>
    </row>
    <row r="39" spans="1:3" x14ac:dyDescent="0.35">
      <c r="C39" s="4"/>
    </row>
    <row r="40" spans="1:3" x14ac:dyDescent="0.35">
      <c r="C40" s="4"/>
    </row>
    <row r="41" spans="1:3" x14ac:dyDescent="0.35">
      <c r="C41" s="4"/>
    </row>
    <row r="42" spans="1:3" x14ac:dyDescent="0.35">
      <c r="C42" s="4"/>
    </row>
    <row r="43" spans="1:3" x14ac:dyDescent="0.35">
      <c r="C4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9" sqref="C19"/>
    </sheetView>
  </sheetViews>
  <sheetFormatPr baseColWidth="10" defaultRowHeight="14.5" x14ac:dyDescent="0.35"/>
  <cols>
    <col min="1" max="1" width="36.54296875" bestFit="1" customWidth="1"/>
    <col min="2" max="2" width="16.6328125" bestFit="1" customWidth="1"/>
    <col min="4" max="4" width="10.54296875" bestFit="1" customWidth="1"/>
    <col min="5" max="5" width="3.81640625" bestFit="1" customWidth="1"/>
    <col min="7" max="7" width="14" bestFit="1" customWidth="1"/>
  </cols>
  <sheetData>
    <row r="1" spans="1:7" x14ac:dyDescent="0.35">
      <c r="A1" t="s">
        <v>100</v>
      </c>
      <c r="B1" t="s">
        <v>5</v>
      </c>
      <c r="C1" t="s">
        <v>101</v>
      </c>
      <c r="D1" t="s">
        <v>4</v>
      </c>
    </row>
    <row r="2" spans="1:7" x14ac:dyDescent="0.35">
      <c r="A2" t="s">
        <v>82</v>
      </c>
      <c r="B2" s="15" t="s">
        <v>84</v>
      </c>
      <c r="C2" s="19" t="s">
        <v>97</v>
      </c>
      <c r="D2" s="1" t="s">
        <v>26</v>
      </c>
      <c r="G2" s="16" t="s">
        <v>83</v>
      </c>
    </row>
    <row r="3" spans="1:7" x14ac:dyDescent="0.35">
      <c r="A3" t="s">
        <v>98</v>
      </c>
      <c r="B3" s="15" t="s">
        <v>24</v>
      </c>
      <c r="C3" s="19" t="s">
        <v>99</v>
      </c>
      <c r="D3" s="1" t="s">
        <v>26</v>
      </c>
      <c r="G3" s="16"/>
    </row>
    <row r="4" spans="1:7" x14ac:dyDescent="0.35">
      <c r="A4" t="s">
        <v>1</v>
      </c>
      <c r="B4" t="s">
        <v>7</v>
      </c>
      <c r="C4" s="20">
        <v>45</v>
      </c>
      <c r="D4" t="s">
        <v>25</v>
      </c>
      <c r="G4" s="18">
        <v>45</v>
      </c>
    </row>
    <row r="5" spans="1:7" x14ac:dyDescent="0.35">
      <c r="A5" t="s">
        <v>2</v>
      </c>
      <c r="B5" t="s">
        <v>8</v>
      </c>
      <c r="C5" s="20">
        <v>22</v>
      </c>
      <c r="D5" t="s">
        <v>26</v>
      </c>
      <c r="G5" s="18">
        <v>22</v>
      </c>
    </row>
    <row r="6" spans="1:7" x14ac:dyDescent="0.35">
      <c r="A6" t="s">
        <v>3</v>
      </c>
      <c r="B6" t="s">
        <v>9</v>
      </c>
      <c r="C6" s="20">
        <v>1</v>
      </c>
      <c r="D6" t="s">
        <v>26</v>
      </c>
      <c r="G6" s="18">
        <v>1</v>
      </c>
    </row>
    <row r="7" spans="1:7" x14ac:dyDescent="0.35">
      <c r="A7" t="s">
        <v>0</v>
      </c>
      <c r="B7" t="s">
        <v>6</v>
      </c>
      <c r="C7" s="20" t="s">
        <v>85</v>
      </c>
      <c r="D7" t="s">
        <v>24</v>
      </c>
      <c r="G7" s="17">
        <f>0.6*0.01</f>
        <v>6.0000000000000001E-3</v>
      </c>
    </row>
    <row r="8" spans="1:7" x14ac:dyDescent="0.35">
      <c r="A8" t="s">
        <v>12</v>
      </c>
      <c r="B8" t="s">
        <v>21</v>
      </c>
      <c r="C8" s="20" t="s">
        <v>88</v>
      </c>
      <c r="D8" t="s">
        <v>24</v>
      </c>
      <c r="G8" s="17">
        <f>119*0.01</f>
        <v>1.19</v>
      </c>
    </row>
    <row r="9" spans="1:7" x14ac:dyDescent="0.35">
      <c r="A9" t="s">
        <v>10</v>
      </c>
      <c r="B9" t="s">
        <v>23</v>
      </c>
      <c r="C9" s="20" t="s">
        <v>86</v>
      </c>
      <c r="D9" t="s">
        <v>24</v>
      </c>
      <c r="G9" s="17">
        <f>243*0.01</f>
        <v>2.4300000000000002</v>
      </c>
    </row>
    <row r="10" spans="1:7" x14ac:dyDescent="0.35">
      <c r="A10" t="s">
        <v>11</v>
      </c>
      <c r="B10" t="s">
        <v>22</v>
      </c>
      <c r="C10" s="20" t="s">
        <v>87</v>
      </c>
      <c r="D10" t="s">
        <v>24</v>
      </c>
      <c r="G10" s="17">
        <f>72*0.01</f>
        <v>0.72</v>
      </c>
    </row>
    <row r="11" spans="1:7" x14ac:dyDescent="0.35">
      <c r="A11" t="s">
        <v>14</v>
      </c>
      <c r="B11" t="s">
        <v>19</v>
      </c>
      <c r="C11" s="20" t="s">
        <v>90</v>
      </c>
      <c r="D11" t="s">
        <v>24</v>
      </c>
      <c r="G11" s="17">
        <f>53.28*0.01</f>
        <v>0.53280000000000005</v>
      </c>
    </row>
    <row r="12" spans="1:7" x14ac:dyDescent="0.35">
      <c r="A12" t="s">
        <v>13</v>
      </c>
      <c r="B12" t="s">
        <v>20</v>
      </c>
      <c r="C12" s="20" t="s">
        <v>89</v>
      </c>
      <c r="D12" t="s">
        <v>24</v>
      </c>
      <c r="G12" s="17">
        <f>24*0.01</f>
        <v>0.24</v>
      </c>
    </row>
    <row r="13" spans="1:7" x14ac:dyDescent="0.35">
      <c r="A13" t="s">
        <v>15</v>
      </c>
      <c r="B13" t="s">
        <v>18</v>
      </c>
      <c r="C13" s="20" t="s">
        <v>91</v>
      </c>
      <c r="D13" t="s">
        <v>27</v>
      </c>
      <c r="G13" s="17">
        <v>16.5</v>
      </c>
    </row>
    <row r="14" spans="1:7" x14ac:dyDescent="0.35">
      <c r="A14" t="s">
        <v>42</v>
      </c>
      <c r="B14" t="s">
        <v>44</v>
      </c>
      <c r="C14" s="20">
        <v>15</v>
      </c>
      <c r="D14" t="s">
        <v>46</v>
      </c>
      <c r="G14" s="18">
        <v>15</v>
      </c>
    </row>
    <row r="15" spans="1:7" x14ac:dyDescent="0.35">
      <c r="A15" t="s">
        <v>43</v>
      </c>
      <c r="B15" t="s">
        <v>45</v>
      </c>
      <c r="C15" s="20">
        <v>15</v>
      </c>
      <c r="D15" t="s">
        <v>46</v>
      </c>
      <c r="G15" s="18">
        <v>15</v>
      </c>
    </row>
    <row r="16" spans="1:7" x14ac:dyDescent="0.35">
      <c r="A16" t="s">
        <v>30</v>
      </c>
      <c r="B16" t="s">
        <v>35</v>
      </c>
      <c r="C16" s="20">
        <v>43000</v>
      </c>
      <c r="D16" t="s">
        <v>40</v>
      </c>
      <c r="G16" s="12">
        <v>43000</v>
      </c>
    </row>
    <row r="17" spans="1:8" x14ac:dyDescent="0.35">
      <c r="A17" t="s">
        <v>16</v>
      </c>
      <c r="B17" t="s">
        <v>17</v>
      </c>
      <c r="C17" s="20" t="s">
        <v>92</v>
      </c>
      <c r="D17" t="s">
        <v>28</v>
      </c>
      <c r="G17" s="17">
        <v>0.62</v>
      </c>
    </row>
    <row r="18" spans="1:8" x14ac:dyDescent="0.35">
      <c r="A18" t="s">
        <v>31</v>
      </c>
      <c r="B18" t="s">
        <v>36</v>
      </c>
      <c r="C18" s="20" t="s">
        <v>93</v>
      </c>
      <c r="D18" t="s">
        <v>41</v>
      </c>
      <c r="E18">
        <v>120</v>
      </c>
      <c r="G18" s="12">
        <f>120+(273.15)</f>
        <v>393.15</v>
      </c>
      <c r="H18" s="5">
        <f>90+(273.15)</f>
        <v>363.15</v>
      </c>
    </row>
    <row r="19" spans="1:8" x14ac:dyDescent="0.35">
      <c r="A19" t="s">
        <v>32</v>
      </c>
      <c r="B19" t="s">
        <v>37</v>
      </c>
      <c r="C19" s="20" t="s">
        <v>94</v>
      </c>
      <c r="D19" t="s">
        <v>41</v>
      </c>
      <c r="E19">
        <v>60</v>
      </c>
      <c r="G19" s="12">
        <f>60+(273.15)</f>
        <v>333.15</v>
      </c>
    </row>
    <row r="20" spans="1:8" x14ac:dyDescent="0.35">
      <c r="A20" t="s">
        <v>33</v>
      </c>
      <c r="B20" t="s">
        <v>38</v>
      </c>
      <c r="C20" s="20" t="s">
        <v>95</v>
      </c>
      <c r="D20" t="s">
        <v>41</v>
      </c>
      <c r="E20">
        <v>55</v>
      </c>
      <c r="G20" s="12">
        <f>55+(273.15)</f>
        <v>328.15</v>
      </c>
    </row>
    <row r="21" spans="1:8" x14ac:dyDescent="0.35">
      <c r="A21" t="s">
        <v>34</v>
      </c>
      <c r="B21" t="s">
        <v>39</v>
      </c>
      <c r="C21" s="20" t="s">
        <v>96</v>
      </c>
      <c r="D21" t="s">
        <v>41</v>
      </c>
      <c r="E21">
        <v>70</v>
      </c>
      <c r="G21" s="12">
        <f>70+(273.15)</f>
        <v>343.15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4"/>
  <sheetViews>
    <sheetView topLeftCell="H25" zoomScaleNormal="100" workbookViewId="0">
      <selection activeCell="K41" sqref="J41:K41"/>
    </sheetView>
  </sheetViews>
  <sheetFormatPr baseColWidth="10" defaultRowHeight="14.5" x14ac:dyDescent="0.35"/>
  <cols>
    <col min="2" max="2" width="28.08984375" bestFit="1" customWidth="1"/>
    <col min="3" max="3" width="8.6328125" customWidth="1"/>
    <col min="4" max="4" width="21.6328125" customWidth="1"/>
    <col min="5" max="5" width="13.26953125" customWidth="1"/>
    <col min="6" max="6" width="16.36328125" customWidth="1"/>
    <col min="7" max="7" width="20.90625" customWidth="1"/>
    <col min="8" max="8" width="36.7265625" bestFit="1" customWidth="1"/>
    <col min="9" max="9" width="21.6328125" customWidth="1"/>
    <col min="10" max="12" width="25.36328125" customWidth="1"/>
    <col min="13" max="13" width="32.54296875" bestFit="1" customWidth="1"/>
    <col min="14" max="14" width="30.08984375" bestFit="1" customWidth="1"/>
    <col min="15" max="15" width="25.453125" bestFit="1" customWidth="1"/>
  </cols>
  <sheetData>
    <row r="2" spans="2:15" ht="28" customHeight="1" x14ac:dyDescent="0.35">
      <c r="D2" s="24" t="s">
        <v>47</v>
      </c>
      <c r="E2" s="13" t="s">
        <v>72</v>
      </c>
      <c r="F2" s="13" t="s">
        <v>72</v>
      </c>
      <c r="G2" s="13" t="s">
        <v>81</v>
      </c>
      <c r="H2" s="24" t="s">
        <v>47</v>
      </c>
      <c r="I2" s="24" t="s">
        <v>47</v>
      </c>
      <c r="J2" s="13" t="s">
        <v>102</v>
      </c>
      <c r="K2" s="13" t="s">
        <v>106</v>
      </c>
      <c r="L2" s="13" t="s">
        <v>147</v>
      </c>
      <c r="M2" s="13" t="s">
        <v>144</v>
      </c>
      <c r="N2" s="13" t="s">
        <v>145</v>
      </c>
      <c r="O2" s="13" t="s">
        <v>143</v>
      </c>
    </row>
    <row r="3" spans="2:15" ht="14" customHeight="1" x14ac:dyDescent="0.35"/>
    <row r="4" spans="2:15" ht="14" customHeight="1" x14ac:dyDescent="0.35">
      <c r="C4" s="1" t="s">
        <v>4</v>
      </c>
      <c r="D4" s="1" t="s">
        <v>29</v>
      </c>
      <c r="E4" s="1" t="s">
        <v>29</v>
      </c>
      <c r="F4" s="1" t="s">
        <v>29</v>
      </c>
      <c r="G4" s="1" t="s">
        <v>29</v>
      </c>
      <c r="H4" s="1"/>
      <c r="I4" s="1"/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</row>
    <row r="5" spans="2:15" ht="14" customHeight="1" x14ac:dyDescent="0.35">
      <c r="B5" t="s">
        <v>80</v>
      </c>
      <c r="C5" t="s">
        <v>24</v>
      </c>
      <c r="D5" s="1"/>
      <c r="E5" s="11">
        <f>55.28*10^-3</f>
        <v>5.5280000000000003E-2</v>
      </c>
      <c r="F5" s="11">
        <f>53.28*10^-3</f>
        <v>5.3280000000000001E-2</v>
      </c>
      <c r="G5" s="11">
        <f>55.28*10^-3</f>
        <v>5.5280000000000003E-2</v>
      </c>
      <c r="H5" t="s">
        <v>107</v>
      </c>
      <c r="I5" s="11" t="s">
        <v>146</v>
      </c>
      <c r="J5" s="11">
        <f>55.28*10^-3</f>
        <v>5.5280000000000003E-2</v>
      </c>
      <c r="K5" s="11">
        <f>55.28*10^-3</f>
        <v>5.5280000000000003E-2</v>
      </c>
      <c r="L5" s="11">
        <f>55.28*10^-3</f>
        <v>5.5280000000000003E-2</v>
      </c>
      <c r="M5" s="11">
        <f>55.28*10^-3</f>
        <v>5.5280000000000003E-2</v>
      </c>
      <c r="N5" s="11">
        <f>55.28*10^-3</f>
        <v>5.5280000000000003E-2</v>
      </c>
    </row>
    <row r="6" spans="2:15" ht="14" customHeight="1" x14ac:dyDescent="0.35">
      <c r="B6" s="6" t="s">
        <v>51</v>
      </c>
      <c r="C6" t="s">
        <v>50</v>
      </c>
      <c r="D6" s="3">
        <v>44.78</v>
      </c>
      <c r="E6" s="10">
        <v>41.975999999999999</v>
      </c>
      <c r="F6" s="3">
        <v>43.728000000000002</v>
      </c>
      <c r="G6" s="11"/>
      <c r="H6" t="s">
        <v>108</v>
      </c>
      <c r="I6" t="s">
        <v>146</v>
      </c>
      <c r="J6" s="22">
        <v>2.5127299999999999E-3</v>
      </c>
      <c r="K6" s="22">
        <v>2.5127299999999999E-3</v>
      </c>
      <c r="L6" s="22">
        <v>2.5127299999999999E-3</v>
      </c>
      <c r="M6" s="22">
        <v>2.5127299999999999E-3</v>
      </c>
      <c r="N6" s="22">
        <v>2.5127299999999999E-3</v>
      </c>
    </row>
    <row r="7" spans="2:15" ht="14" customHeight="1" x14ac:dyDescent="0.35">
      <c r="B7" s="6" t="s">
        <v>52</v>
      </c>
      <c r="C7" t="s">
        <v>41</v>
      </c>
      <c r="D7" s="3">
        <f>120</f>
        <v>120</v>
      </c>
      <c r="E7" s="10">
        <f>120</f>
        <v>120</v>
      </c>
      <c r="F7" s="3">
        <f>120</f>
        <v>120</v>
      </c>
      <c r="G7" s="11"/>
      <c r="H7" t="s">
        <v>109</v>
      </c>
      <c r="I7" t="s">
        <v>146</v>
      </c>
      <c r="J7" s="22">
        <v>1.9127300000000001E-3</v>
      </c>
      <c r="K7" s="22">
        <v>1.9127300000000001E-3</v>
      </c>
      <c r="L7" s="22">
        <v>1.9127300000000001E-3</v>
      </c>
      <c r="M7" s="22">
        <v>1.9127300000000001E-3</v>
      </c>
      <c r="N7" s="22">
        <v>1.9127300000000001E-3</v>
      </c>
    </row>
    <row r="8" spans="2:15" ht="14" customHeight="1" x14ac:dyDescent="0.35">
      <c r="B8" s="6" t="s">
        <v>53</v>
      </c>
      <c r="C8" t="s">
        <v>41</v>
      </c>
      <c r="D8" s="3">
        <f>57.5+273.15</f>
        <v>330.65</v>
      </c>
      <c r="E8" s="10">
        <f>57.5+273.15</f>
        <v>330.65</v>
      </c>
      <c r="F8" s="3">
        <f>57.5+273.15</f>
        <v>330.65</v>
      </c>
      <c r="G8" s="11"/>
      <c r="H8" t="s">
        <v>110</v>
      </c>
      <c r="I8" t="s">
        <v>146</v>
      </c>
      <c r="J8" s="23">
        <v>2.27615E-4</v>
      </c>
      <c r="K8" s="23">
        <v>2.27615E-4</v>
      </c>
      <c r="L8" s="23">
        <v>2.27615E-4</v>
      </c>
      <c r="M8" s="23">
        <v>2.27615E-4</v>
      </c>
      <c r="N8" s="23">
        <v>2.27615E-4</v>
      </c>
    </row>
    <row r="9" spans="2:15" ht="14" customHeight="1" x14ac:dyDescent="0.35">
      <c r="B9" s="6" t="s">
        <v>54</v>
      </c>
      <c r="C9" t="s">
        <v>41</v>
      </c>
      <c r="D9" s="3">
        <f>55+273.15</f>
        <v>328.15</v>
      </c>
      <c r="E9" s="10">
        <f>55+273.15</f>
        <v>328.15</v>
      </c>
      <c r="F9" s="3">
        <f>55+273.15</f>
        <v>328.15</v>
      </c>
      <c r="G9" s="11"/>
      <c r="H9" t="s">
        <v>111</v>
      </c>
      <c r="I9" t="s">
        <v>146</v>
      </c>
      <c r="J9" s="22">
        <v>1.1895199999999999</v>
      </c>
      <c r="K9" s="22">
        <v>1.1895199999999999</v>
      </c>
      <c r="L9" s="22">
        <v>1.1895199999999999</v>
      </c>
      <c r="M9" s="22">
        <v>1.1895199999999999</v>
      </c>
      <c r="N9" s="22">
        <v>1.1895199999999999</v>
      </c>
    </row>
    <row r="10" spans="2:15" ht="14" customHeight="1" x14ac:dyDescent="0.35">
      <c r="B10" s="6" t="s">
        <v>55</v>
      </c>
      <c r="C10" t="s">
        <v>41</v>
      </c>
      <c r="D10" s="3">
        <f>70.62+273.15</f>
        <v>343.77</v>
      </c>
      <c r="E10" s="10">
        <f>70.62+273.15</f>
        <v>343.77</v>
      </c>
      <c r="F10" s="3">
        <f>70.62+273.15</f>
        <v>343.77</v>
      </c>
      <c r="G10" s="11"/>
      <c r="H10" t="s">
        <v>112</v>
      </c>
      <c r="I10" t="s">
        <v>146</v>
      </c>
      <c r="J10" s="22">
        <v>3.2159699999999999E-3</v>
      </c>
      <c r="K10" s="22">
        <v>3.2159699999999999E-3</v>
      </c>
      <c r="L10" s="22">
        <v>3.2159699999999999E-3</v>
      </c>
      <c r="M10" s="22">
        <v>3.2159699999999999E-3</v>
      </c>
      <c r="N10" s="22">
        <v>3.2159699999999999E-3</v>
      </c>
    </row>
    <row r="11" spans="2:15" ht="14" customHeight="1" x14ac:dyDescent="0.35">
      <c r="B11" s="6" t="s">
        <v>56</v>
      </c>
      <c r="C11" t="s">
        <v>41</v>
      </c>
      <c r="D11" s="3">
        <v>15.78</v>
      </c>
      <c r="E11" s="10">
        <v>15.78</v>
      </c>
      <c r="F11" s="3">
        <v>15.78</v>
      </c>
      <c r="G11" s="11"/>
      <c r="H11" t="s">
        <v>113</v>
      </c>
      <c r="I11" s="10">
        <v>7.8E-2</v>
      </c>
      <c r="J11" s="22">
        <v>7.0837399999999995E-2</v>
      </c>
      <c r="K11" s="22">
        <v>7.0837399999999995E-2</v>
      </c>
      <c r="L11" s="22">
        <v>7.0837399999999995E-2</v>
      </c>
      <c r="M11" s="22">
        <v>7.0837399999999995E-2</v>
      </c>
      <c r="N11" s="22">
        <v>7.0837399999999995E-2</v>
      </c>
    </row>
    <row r="12" spans="2:15" ht="14" customHeight="1" x14ac:dyDescent="0.35">
      <c r="B12" s="6" t="s">
        <v>78</v>
      </c>
      <c r="D12" s="3">
        <v>944.4</v>
      </c>
      <c r="E12" s="25">
        <v>690.00480000000005</v>
      </c>
      <c r="F12" s="25">
        <v>690.00480000000005</v>
      </c>
      <c r="G12" s="11">
        <f>(G28*0.0033)/(0.33*10^-6)</f>
        <v>709.99999999999989</v>
      </c>
      <c r="H12" t="s">
        <v>114</v>
      </c>
      <c r="I12" s="10">
        <v>0.28100000000000003</v>
      </c>
      <c r="J12" s="22">
        <v>0.28023100000000001</v>
      </c>
      <c r="K12" s="22">
        <v>0.28023100000000001</v>
      </c>
      <c r="L12" s="22">
        <v>0.28023100000000001</v>
      </c>
      <c r="M12" s="22">
        <v>0.28023100000000001</v>
      </c>
      <c r="N12" s="22">
        <v>0.28023100000000001</v>
      </c>
    </row>
    <row r="13" spans="2:15" ht="14" customHeight="1" x14ac:dyDescent="0.35">
      <c r="B13" s="6" t="s">
        <v>79</v>
      </c>
      <c r="D13" s="3">
        <v>2461</v>
      </c>
      <c r="E13" s="25">
        <v>1974.83</v>
      </c>
      <c r="F13" s="25">
        <v>1974.83</v>
      </c>
      <c r="G13" s="11">
        <f>(G29*0.0033)/(0.33*10^-6)</f>
        <v>2800.0000000000005</v>
      </c>
      <c r="H13" t="s">
        <v>115</v>
      </c>
      <c r="I13" t="s">
        <v>146</v>
      </c>
      <c r="J13" s="22">
        <v>68.443100000000001</v>
      </c>
      <c r="K13" s="22">
        <v>68.443100000000001</v>
      </c>
      <c r="L13" s="22">
        <v>68.443100000000001</v>
      </c>
      <c r="M13" s="22">
        <v>68.443100000000001</v>
      </c>
      <c r="N13" s="22">
        <v>68.443100000000001</v>
      </c>
    </row>
    <row r="14" spans="2:15" ht="14" customHeight="1" x14ac:dyDescent="0.35">
      <c r="B14" s="6" t="s">
        <v>74</v>
      </c>
      <c r="D14" s="3"/>
      <c r="E14" s="25">
        <v>35.35</v>
      </c>
      <c r="F14" s="25">
        <v>35.35</v>
      </c>
      <c r="G14" s="11">
        <f>0.471 * (G12^0.5) * (1.98^0.33) * ((0.33*10^-6) / (0.4067*10^-6) )^0.14</f>
        <v>15.27014502585193</v>
      </c>
      <c r="H14" t="s">
        <v>116</v>
      </c>
      <c r="I14" t="s">
        <v>146</v>
      </c>
      <c r="J14" s="22">
        <v>275.10300000000001</v>
      </c>
      <c r="K14" s="22">
        <v>275.10300000000001</v>
      </c>
      <c r="L14" s="22">
        <v>275.10300000000001</v>
      </c>
      <c r="M14" s="22">
        <v>275.10300000000001</v>
      </c>
      <c r="N14" s="22">
        <v>275.10300000000001</v>
      </c>
    </row>
    <row r="15" spans="2:15" ht="14" customHeight="1" x14ac:dyDescent="0.35">
      <c r="B15" s="6" t="s">
        <v>75</v>
      </c>
      <c r="D15" s="3"/>
      <c r="E15" s="25">
        <v>80.38</v>
      </c>
      <c r="F15" s="25">
        <v>80.38</v>
      </c>
      <c r="G15" s="11">
        <f>0.471 * (G13^0.5) * (1.98^0.33) * ((0.33*10^-6) / (0.4067*10^-6) )^0.14</f>
        <v>30.324454908644217</v>
      </c>
      <c r="H15" t="s">
        <v>117</v>
      </c>
      <c r="J15" s="22">
        <v>4.5238899999999998E-4</v>
      </c>
      <c r="K15" s="22">
        <v>4.5238899999999998E-4</v>
      </c>
      <c r="L15" s="22">
        <v>4.5238899999999998E-4</v>
      </c>
      <c r="M15" s="22">
        <v>4.5238899999999998E-4</v>
      </c>
      <c r="N15" s="22">
        <v>4.5238899999999998E-4</v>
      </c>
    </row>
    <row r="16" spans="2:15" x14ac:dyDescent="0.35">
      <c r="B16" s="6" t="s">
        <v>48</v>
      </c>
      <c r="C16" t="s">
        <v>68</v>
      </c>
      <c r="D16" s="3">
        <v>7490</v>
      </c>
      <c r="E16" s="10">
        <v>7415.5</v>
      </c>
      <c r="F16" s="3">
        <v>7785</v>
      </c>
      <c r="G16" s="11">
        <f>(G14*0.67)/0.0033</f>
        <v>3100.3021719153921</v>
      </c>
      <c r="H16" t="s">
        <v>118</v>
      </c>
      <c r="J16" s="22">
        <v>361.58199999999999</v>
      </c>
      <c r="K16" s="22">
        <v>361.58199999999999</v>
      </c>
      <c r="L16" s="22">
        <v>361.58199999999999</v>
      </c>
      <c r="M16" s="22">
        <v>361.58199999999999</v>
      </c>
      <c r="N16" s="22">
        <v>361.58199999999999</v>
      </c>
    </row>
    <row r="17" spans="2:14" x14ac:dyDescent="0.35">
      <c r="B17" s="6" t="s">
        <v>49</v>
      </c>
      <c r="C17" t="s">
        <v>68</v>
      </c>
      <c r="D17" s="3">
        <v>16900</v>
      </c>
      <c r="E17" s="10">
        <v>16422.8</v>
      </c>
      <c r="F17" s="2">
        <v>17242.3</v>
      </c>
      <c r="G17" s="11">
        <f>(G15*0.67)/0.0033</f>
        <v>6156.7832693307964</v>
      </c>
      <c r="H17" t="s">
        <v>119</v>
      </c>
      <c r="J17" s="22">
        <v>1453.36</v>
      </c>
      <c r="K17" s="22">
        <v>1453.36</v>
      </c>
      <c r="L17" s="22">
        <v>1453.36</v>
      </c>
      <c r="M17" s="22">
        <v>1453.36</v>
      </c>
      <c r="N17" s="22">
        <v>1453.36</v>
      </c>
    </row>
    <row r="18" spans="2:14" x14ac:dyDescent="0.35">
      <c r="B18" s="6" t="s">
        <v>57</v>
      </c>
      <c r="C18" t="s">
        <v>68</v>
      </c>
      <c r="D18" s="3">
        <v>4600</v>
      </c>
      <c r="E18" s="10">
        <v>4308</v>
      </c>
      <c r="F18" s="2">
        <v>4488</v>
      </c>
      <c r="G18" s="11"/>
      <c r="H18" t="s">
        <v>120</v>
      </c>
      <c r="I18" s="3">
        <v>0.39</v>
      </c>
      <c r="J18" s="22">
        <v>0.37423099999999998</v>
      </c>
      <c r="K18" s="22">
        <v>0.37423099999999998</v>
      </c>
      <c r="L18" s="22">
        <v>0.37423099999999998</v>
      </c>
      <c r="M18" s="22">
        <v>0.37423099999999998</v>
      </c>
      <c r="N18" s="22">
        <v>0.37423099999999998</v>
      </c>
    </row>
    <row r="19" spans="2:14" x14ac:dyDescent="0.35">
      <c r="B19" s="6" t="s">
        <v>73</v>
      </c>
      <c r="C19" t="s">
        <v>68</v>
      </c>
      <c r="D19" s="3"/>
      <c r="E19" s="10">
        <v>3675</v>
      </c>
      <c r="F19" s="2">
        <v>3805</v>
      </c>
      <c r="G19" s="11"/>
      <c r="H19" t="s">
        <v>120</v>
      </c>
      <c r="I19" s="3">
        <v>1.54</v>
      </c>
      <c r="J19" s="22">
        <v>1.48045</v>
      </c>
      <c r="K19" s="22">
        <v>1.48045</v>
      </c>
      <c r="L19" s="22">
        <v>1.48045</v>
      </c>
      <c r="M19" s="22">
        <v>1.48045</v>
      </c>
      <c r="N19" s="22">
        <v>1.48045</v>
      </c>
    </row>
    <row r="20" spans="2:14" x14ac:dyDescent="0.35">
      <c r="B20" s="6" t="s">
        <v>76</v>
      </c>
      <c r="D20" s="3"/>
      <c r="E20" s="2">
        <v>0.3347</v>
      </c>
      <c r="F20" s="2">
        <v>0.3347</v>
      </c>
      <c r="G20" s="11"/>
      <c r="H20" t="s">
        <v>121</v>
      </c>
      <c r="J20" s="22">
        <v>1.9888999999999999</v>
      </c>
      <c r="K20" s="22">
        <v>1.9888999999999999</v>
      </c>
      <c r="L20" s="22">
        <v>1.9888999999999999</v>
      </c>
      <c r="M20" s="22">
        <v>1.9888999999999999</v>
      </c>
      <c r="N20" s="22">
        <v>1.9888999999999999</v>
      </c>
    </row>
    <row r="21" spans="2:14" x14ac:dyDescent="0.35">
      <c r="B21" s="6" t="s">
        <v>77</v>
      </c>
      <c r="D21" s="3"/>
      <c r="E21" s="2">
        <v>0.19789999999999999</v>
      </c>
      <c r="F21" s="2">
        <v>0.19789999999999999</v>
      </c>
      <c r="G21" s="11"/>
      <c r="H21" t="s">
        <v>122</v>
      </c>
      <c r="J21" s="22">
        <v>2.8550499999999999</v>
      </c>
      <c r="K21" s="22">
        <v>2.8550499999999999</v>
      </c>
      <c r="L21" s="22">
        <v>2.8550499999999999</v>
      </c>
      <c r="M21" s="22">
        <v>2.8550499999999999</v>
      </c>
      <c r="N21" s="22">
        <v>2.8550499999999999</v>
      </c>
    </row>
    <row r="22" spans="2:14" x14ac:dyDescent="0.35">
      <c r="B22" s="6" t="s">
        <v>64</v>
      </c>
      <c r="C22" t="s">
        <v>46</v>
      </c>
      <c r="D22" s="3">
        <v>1.28</v>
      </c>
      <c r="E22" s="10">
        <v>0.33</v>
      </c>
      <c r="F22" s="2">
        <v>0.36799999999999999</v>
      </c>
      <c r="G22" s="11"/>
      <c r="H22" t="s">
        <v>123</v>
      </c>
      <c r="I22" s="3">
        <v>944.4</v>
      </c>
      <c r="J22" s="22">
        <v>690.005</v>
      </c>
      <c r="K22" s="22">
        <v>690.005</v>
      </c>
      <c r="L22" s="22">
        <v>690.005</v>
      </c>
      <c r="M22" s="22">
        <v>690.005</v>
      </c>
      <c r="N22" s="22">
        <v>690.005</v>
      </c>
    </row>
    <row r="23" spans="2:14" x14ac:dyDescent="0.35">
      <c r="B23" s="6" t="s">
        <v>62</v>
      </c>
      <c r="C23" t="s">
        <v>46</v>
      </c>
      <c r="D23" s="3">
        <v>6.9599999999999995E-2</v>
      </c>
      <c r="E23" s="9">
        <v>9.4700000000000006E-2</v>
      </c>
      <c r="F23" s="2">
        <v>9.4E-2</v>
      </c>
      <c r="G23" s="11"/>
      <c r="H23" t="s">
        <v>124</v>
      </c>
      <c r="I23" s="3">
        <v>2461</v>
      </c>
      <c r="J23" s="22">
        <v>1974.83</v>
      </c>
      <c r="K23" s="22">
        <v>1974.83</v>
      </c>
      <c r="L23" s="22">
        <v>1974.83</v>
      </c>
      <c r="M23" s="22">
        <v>1974.83</v>
      </c>
      <c r="N23" s="22">
        <v>1974.83</v>
      </c>
    </row>
    <row r="24" spans="2:14" x14ac:dyDescent="0.35">
      <c r="B24" s="6" t="s">
        <v>63</v>
      </c>
      <c r="C24" t="s">
        <v>46</v>
      </c>
      <c r="D24" s="3">
        <f>D22-D23</f>
        <v>1.2103999999999999</v>
      </c>
      <c r="E24" s="10">
        <v>0.23599999999999999</v>
      </c>
      <c r="F24" s="2">
        <v>0.27300000000000002</v>
      </c>
      <c r="G24" s="11"/>
      <c r="H24" t="s">
        <v>125</v>
      </c>
      <c r="J24" s="22">
        <v>29.459599999999998</v>
      </c>
      <c r="K24" s="22">
        <v>29.459599999999998</v>
      </c>
      <c r="L24" s="22">
        <v>11.5181</v>
      </c>
      <c r="M24" s="22">
        <v>36.726300000000002</v>
      </c>
      <c r="N24" s="22">
        <v>53.466500000000003</v>
      </c>
    </row>
    <row r="25" spans="2:14" x14ac:dyDescent="0.35">
      <c r="B25" s="6" t="s">
        <v>65</v>
      </c>
      <c r="C25" t="s">
        <v>46</v>
      </c>
      <c r="D25" s="3">
        <v>14.7</v>
      </c>
      <c r="E25" s="10">
        <v>3.8530000000000002</v>
      </c>
      <c r="F25" s="2">
        <v>4.22</v>
      </c>
      <c r="G25" s="11"/>
      <c r="H25" t="s">
        <v>126</v>
      </c>
      <c r="J25" s="22">
        <v>66.990499999999997</v>
      </c>
      <c r="K25" s="22">
        <v>66.990499999999997</v>
      </c>
      <c r="L25" s="22">
        <v>28.794899999999998</v>
      </c>
      <c r="M25" s="22">
        <v>83.514799999999994</v>
      </c>
      <c r="N25" s="22">
        <v>111.342</v>
      </c>
    </row>
    <row r="26" spans="2:14" x14ac:dyDescent="0.35">
      <c r="B26" s="6" t="s">
        <v>66</v>
      </c>
      <c r="C26" t="s">
        <v>46</v>
      </c>
      <c r="D26" s="3">
        <v>1.1100000000000001</v>
      </c>
      <c r="E26" s="10">
        <v>1.506</v>
      </c>
      <c r="F26" s="2">
        <v>1.506</v>
      </c>
      <c r="G26" s="11"/>
      <c r="H26" t="s">
        <v>127</v>
      </c>
      <c r="I26" s="3">
        <v>7490</v>
      </c>
      <c r="J26" s="22">
        <v>6179.61</v>
      </c>
      <c r="K26" s="22">
        <v>6179.61</v>
      </c>
      <c r="L26" s="22">
        <v>2416.1</v>
      </c>
      <c r="M26" s="22">
        <v>7703.91</v>
      </c>
      <c r="N26" s="22">
        <v>11215.4</v>
      </c>
    </row>
    <row r="27" spans="2:14" x14ac:dyDescent="0.35">
      <c r="B27" s="6" t="s">
        <v>67</v>
      </c>
      <c r="C27" t="s">
        <v>46</v>
      </c>
      <c r="D27" s="3">
        <f>D25-D26</f>
        <v>13.59</v>
      </c>
      <c r="E27" s="10">
        <v>2.3460000000000001</v>
      </c>
      <c r="F27" s="2">
        <v>2.7160000000000002</v>
      </c>
      <c r="G27" s="11"/>
      <c r="H27" t="s">
        <v>128</v>
      </c>
      <c r="I27" s="3">
        <v>16900</v>
      </c>
      <c r="J27" s="22">
        <v>13685.7</v>
      </c>
      <c r="K27" s="22">
        <v>13685.7</v>
      </c>
      <c r="L27" s="22">
        <v>5882.6</v>
      </c>
      <c r="M27" s="22">
        <v>17061.5</v>
      </c>
      <c r="N27" s="22">
        <v>22746.400000000001</v>
      </c>
    </row>
    <row r="28" spans="2:14" x14ac:dyDescent="0.35">
      <c r="B28" s="6" t="s">
        <v>60</v>
      </c>
      <c r="C28" t="s">
        <v>69</v>
      </c>
      <c r="D28" s="10">
        <v>7.8E-2</v>
      </c>
      <c r="E28" s="10">
        <v>7.0800000000000002E-2</v>
      </c>
      <c r="F28" s="2">
        <v>7.4399999999999994E-2</v>
      </c>
      <c r="G28" s="14">
        <v>7.0999999999999994E-2</v>
      </c>
      <c r="H28" t="s">
        <v>129</v>
      </c>
      <c r="I28" s="3">
        <v>4600</v>
      </c>
      <c r="J28" s="22">
        <v>3686.56</v>
      </c>
      <c r="K28" s="22">
        <v>3686.56</v>
      </c>
      <c r="L28" s="22">
        <v>1612.26</v>
      </c>
      <c r="M28" s="22">
        <v>4448.8100000000004</v>
      </c>
      <c r="N28" s="22">
        <v>5900.07</v>
      </c>
    </row>
    <row r="29" spans="2:14" x14ac:dyDescent="0.35">
      <c r="B29" s="6" t="s">
        <v>61</v>
      </c>
      <c r="C29" t="s">
        <v>69</v>
      </c>
      <c r="D29" s="10">
        <v>0.28100000000000003</v>
      </c>
      <c r="E29" s="10">
        <v>0.28000000000000003</v>
      </c>
      <c r="F29" s="2">
        <v>0.28999999999999998</v>
      </c>
      <c r="G29" s="11">
        <v>0.28000000000000003</v>
      </c>
      <c r="H29" t="s">
        <v>130</v>
      </c>
      <c r="J29" s="22">
        <v>3212.8</v>
      </c>
      <c r="K29" s="22">
        <v>3212.8</v>
      </c>
      <c r="L29" s="22">
        <v>1514.59</v>
      </c>
      <c r="M29" s="22">
        <v>3776.73</v>
      </c>
      <c r="N29" s="22">
        <v>4773.51</v>
      </c>
    </row>
    <row r="30" spans="2:14" x14ac:dyDescent="0.35">
      <c r="B30" s="6" t="s">
        <v>58</v>
      </c>
      <c r="C30" t="s">
        <v>69</v>
      </c>
      <c r="D30" s="3">
        <v>0.39</v>
      </c>
      <c r="E30" s="10">
        <v>0.37419999999999998</v>
      </c>
      <c r="F30" s="2">
        <v>0.37419999999999998</v>
      </c>
      <c r="G30" s="11">
        <v>0.37</v>
      </c>
      <c r="H30" t="s">
        <v>131</v>
      </c>
      <c r="I30" s="3">
        <v>44780</v>
      </c>
      <c r="J30" s="22">
        <v>35917.9</v>
      </c>
      <c r="K30" s="22">
        <v>35917.9</v>
      </c>
      <c r="L30" s="22">
        <v>15708.1</v>
      </c>
      <c r="M30" s="22">
        <v>43344.3</v>
      </c>
      <c r="N30" s="22">
        <v>57483.9</v>
      </c>
    </row>
    <row r="31" spans="2:14" x14ac:dyDescent="0.35">
      <c r="B31" s="6" t="s">
        <v>59</v>
      </c>
      <c r="C31" t="s">
        <v>69</v>
      </c>
      <c r="D31" s="3">
        <v>1.54</v>
      </c>
      <c r="E31" s="10">
        <v>1.48</v>
      </c>
      <c r="F31" s="2">
        <v>1.48</v>
      </c>
      <c r="G31" s="11">
        <v>1.48</v>
      </c>
      <c r="H31" t="s">
        <v>132</v>
      </c>
      <c r="J31" s="22">
        <v>31302</v>
      </c>
      <c r="K31" s="22">
        <v>31302</v>
      </c>
      <c r="L31" s="22">
        <v>14756.5</v>
      </c>
      <c r="M31" s="22">
        <v>36796.300000000003</v>
      </c>
      <c r="N31" s="22">
        <v>46507.9</v>
      </c>
    </row>
    <row r="32" spans="2:14" x14ac:dyDescent="0.35">
      <c r="G32" s="11"/>
      <c r="H32" t="s">
        <v>133</v>
      </c>
      <c r="I32" s="3">
        <v>0</v>
      </c>
      <c r="J32" s="22">
        <v>-16.47</v>
      </c>
      <c r="K32" s="22">
        <v>-16.47</v>
      </c>
      <c r="L32" s="22">
        <v>-63.4694</v>
      </c>
      <c r="M32" s="22">
        <v>0.80079599999999995</v>
      </c>
      <c r="N32" s="22">
        <v>33.683399999999999</v>
      </c>
    </row>
    <row r="33" spans="2:14" x14ac:dyDescent="0.35">
      <c r="B33" s="6" t="s">
        <v>70</v>
      </c>
      <c r="C33" t="s">
        <v>71</v>
      </c>
      <c r="D33" s="3">
        <f>((D6/43)-1)*100</f>
        <v>4.1395348837209411</v>
      </c>
      <c r="E33" s="3">
        <f>((E6/43)-1)*100</f>
        <v>-2.3813953488372119</v>
      </c>
      <c r="F33" s="3">
        <f>((F6/43)-1)*100</f>
        <v>1.6930232558139524</v>
      </c>
      <c r="G33" s="11"/>
      <c r="H33" t="s">
        <v>134</v>
      </c>
      <c r="I33" s="3">
        <v>6.9599999999999995E-2</v>
      </c>
      <c r="J33" s="22">
        <v>101.486</v>
      </c>
      <c r="K33" s="22">
        <v>94.720600000000005</v>
      </c>
      <c r="L33" s="22">
        <v>94.720600000000005</v>
      </c>
      <c r="M33" s="22">
        <v>101.486</v>
      </c>
      <c r="N33" s="22">
        <v>101.486</v>
      </c>
    </row>
    <row r="34" spans="2:14" x14ac:dyDescent="0.35">
      <c r="E34" s="2"/>
      <c r="F34" s="2"/>
      <c r="H34" t="s">
        <v>135</v>
      </c>
      <c r="I34" s="3">
        <v>1.21</v>
      </c>
      <c r="J34" s="22">
        <v>3004.14</v>
      </c>
      <c r="K34" s="22">
        <f>274.648*0.01</f>
        <v>2.7464800000000005</v>
      </c>
      <c r="L34" s="22">
        <v>72.541600000000003</v>
      </c>
      <c r="M34" s="22">
        <v>274.64800000000002</v>
      </c>
      <c r="N34" s="22">
        <v>491.77</v>
      </c>
    </row>
    <row r="35" spans="2:14" x14ac:dyDescent="0.35">
      <c r="H35" t="s">
        <v>136</v>
      </c>
      <c r="I35" s="3">
        <v>1.28</v>
      </c>
      <c r="J35" s="22">
        <v>3105.62</v>
      </c>
      <c r="K35" s="22">
        <f>369.369*0.01</f>
        <v>3.6936900000000001</v>
      </c>
      <c r="L35" s="22">
        <v>167.262</v>
      </c>
      <c r="M35" s="22">
        <v>376.13499999999999</v>
      </c>
      <c r="N35" s="22">
        <v>593.25599999999997</v>
      </c>
    </row>
    <row r="36" spans="2:14" x14ac:dyDescent="0.35">
      <c r="H36" t="s">
        <v>137</v>
      </c>
      <c r="I36" s="3">
        <v>1.1100000000000001</v>
      </c>
      <c r="J36" s="22">
        <v>1613.71</v>
      </c>
      <c r="K36" s="22">
        <f>1506.13*0.01</f>
        <v>15.061300000000001</v>
      </c>
      <c r="L36" s="22">
        <v>1506.13</v>
      </c>
      <c r="M36" s="22">
        <v>1613.71</v>
      </c>
      <c r="N36" s="22">
        <v>1613.71</v>
      </c>
    </row>
    <row r="37" spans="2:14" x14ac:dyDescent="0.35">
      <c r="H37" t="s">
        <v>138</v>
      </c>
      <c r="I37" s="3">
        <v>13.59</v>
      </c>
      <c r="J37" s="22">
        <v>62131</v>
      </c>
      <c r="K37" s="22">
        <v>3516.58</v>
      </c>
      <c r="L37" s="22">
        <v>822.87599999999998</v>
      </c>
      <c r="M37" s="22">
        <v>3516.58</v>
      </c>
      <c r="N37" s="22">
        <v>6011.89</v>
      </c>
    </row>
    <row r="38" spans="2:14" x14ac:dyDescent="0.35">
      <c r="H38" t="s">
        <v>139</v>
      </c>
      <c r="I38" s="3">
        <v>14.7</v>
      </c>
      <c r="J38" s="22">
        <v>63744.7</v>
      </c>
      <c r="K38" s="22">
        <v>5022.71</v>
      </c>
      <c r="L38" s="22">
        <v>2329.0100000000002</v>
      </c>
      <c r="M38" s="22">
        <v>5130.29</v>
      </c>
      <c r="N38" s="22">
        <v>7625.61</v>
      </c>
    </row>
    <row r="39" spans="2:14" x14ac:dyDescent="0.35">
      <c r="H39" t="s">
        <v>140</v>
      </c>
      <c r="J39" s="22">
        <v>0.83028299999999999</v>
      </c>
      <c r="K39" s="22">
        <v>0.83028299999999999</v>
      </c>
      <c r="L39" s="22">
        <v>0.36311199999999999</v>
      </c>
      <c r="M39" s="22">
        <v>1.0019499999999999</v>
      </c>
      <c r="N39" s="22">
        <v>1.32881</v>
      </c>
    </row>
    <row r="40" spans="2:14" x14ac:dyDescent="0.35">
      <c r="H40" t="s">
        <v>141</v>
      </c>
      <c r="J40" s="22">
        <v>4.0012800000000004</v>
      </c>
      <c r="K40" s="22">
        <v>4.0012800000000004</v>
      </c>
      <c r="L40" s="22">
        <v>4.0012800000000004</v>
      </c>
      <c r="M40" s="22">
        <v>4.0012800000000004</v>
      </c>
      <c r="N40" s="22">
        <v>4.0012800000000004</v>
      </c>
    </row>
    <row r="41" spans="2:14" x14ac:dyDescent="0.35">
      <c r="H41" t="s">
        <v>142</v>
      </c>
      <c r="J41" s="2">
        <v>41885.599999999999</v>
      </c>
      <c r="K41" s="2">
        <v>41885.599999999999</v>
      </c>
      <c r="L41" s="2">
        <v>32404.799999999999</v>
      </c>
      <c r="M41" s="2">
        <v>43041.1</v>
      </c>
      <c r="N41" s="2">
        <v>44095.4</v>
      </c>
    </row>
    <row r="73" spans="10:10" ht="45" x14ac:dyDescent="0.35">
      <c r="J73" s="21" t="s">
        <v>103</v>
      </c>
    </row>
    <row r="74" spans="10:10" ht="60" x14ac:dyDescent="0.35">
      <c r="J74" s="21" t="s">
        <v>104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H33" workbookViewId="0">
      <selection activeCell="N127" sqref="N127"/>
    </sheetView>
  </sheetViews>
  <sheetFormatPr baseColWidth="10" defaultRowHeight="14.5" x14ac:dyDescent="0.35"/>
  <cols>
    <col min="1" max="1" width="28.08984375" bestFit="1" customWidth="1"/>
    <col min="2" max="2" width="10.54296875" bestFit="1" customWidth="1"/>
  </cols>
  <sheetData>
    <row r="1" spans="1:5" x14ac:dyDescent="0.35">
      <c r="B1" s="1" t="s">
        <v>4</v>
      </c>
      <c r="C1" s="1" t="s">
        <v>29</v>
      </c>
      <c r="D1" s="1" t="s">
        <v>29</v>
      </c>
      <c r="E1" s="1" t="s">
        <v>29</v>
      </c>
    </row>
    <row r="2" spans="1:5" x14ac:dyDescent="0.35">
      <c r="A2" t="s">
        <v>80</v>
      </c>
      <c r="B2" t="s">
        <v>24</v>
      </c>
      <c r="C2" s="1"/>
      <c r="D2" s="11">
        <f>55.28*10^-3</f>
        <v>5.5280000000000003E-2</v>
      </c>
      <c r="E2" s="11">
        <f>53.28*10^-3</f>
        <v>5.3280000000000001E-2</v>
      </c>
    </row>
    <row r="3" spans="1:5" x14ac:dyDescent="0.35">
      <c r="A3" s="6" t="s">
        <v>51</v>
      </c>
      <c r="B3" t="s">
        <v>50</v>
      </c>
      <c r="C3" s="3">
        <v>44.78</v>
      </c>
      <c r="D3" s="10">
        <v>41.975999999999999</v>
      </c>
      <c r="E3" s="3">
        <v>43.728000000000002</v>
      </c>
    </row>
    <row r="4" spans="1:5" x14ac:dyDescent="0.35">
      <c r="A4" s="6" t="s">
        <v>52</v>
      </c>
      <c r="B4" t="s">
        <v>41</v>
      </c>
      <c r="C4" s="3">
        <f>120</f>
        <v>120</v>
      </c>
      <c r="D4" s="10">
        <f>120</f>
        <v>120</v>
      </c>
      <c r="E4" s="3">
        <f>120</f>
        <v>120</v>
      </c>
    </row>
    <row r="5" spans="1:5" x14ac:dyDescent="0.35">
      <c r="A5" s="6" t="s">
        <v>53</v>
      </c>
      <c r="B5" t="s">
        <v>41</v>
      </c>
      <c r="C5" s="3">
        <f>57.5+273.15</f>
        <v>330.65</v>
      </c>
      <c r="D5" s="10">
        <f>57.5+273.15</f>
        <v>330.65</v>
      </c>
      <c r="E5" s="3">
        <f>57.5+273.15</f>
        <v>330.65</v>
      </c>
    </row>
    <row r="6" spans="1:5" x14ac:dyDescent="0.35">
      <c r="A6" s="6" t="s">
        <v>54</v>
      </c>
      <c r="B6" t="s">
        <v>41</v>
      </c>
      <c r="C6" s="3">
        <f>55+273.15</f>
        <v>328.15</v>
      </c>
      <c r="D6" s="10">
        <f>55+273.15</f>
        <v>328.15</v>
      </c>
      <c r="E6" s="3">
        <f>55+273.15</f>
        <v>328.15</v>
      </c>
    </row>
    <row r="7" spans="1:5" x14ac:dyDescent="0.35">
      <c r="A7" s="6" t="s">
        <v>55</v>
      </c>
      <c r="B7" t="s">
        <v>41</v>
      </c>
      <c r="C7" s="3">
        <f>70.62+273.15</f>
        <v>343.77</v>
      </c>
      <c r="D7" s="10">
        <f>70.62+273.15</f>
        <v>343.77</v>
      </c>
      <c r="E7" s="3">
        <f>70.62+273.15</f>
        <v>343.77</v>
      </c>
    </row>
    <row r="8" spans="1:5" x14ac:dyDescent="0.35">
      <c r="A8" s="6" t="s">
        <v>56</v>
      </c>
      <c r="B8" t="s">
        <v>41</v>
      </c>
      <c r="C8" s="3">
        <v>15.78</v>
      </c>
      <c r="D8" s="10">
        <v>15.78</v>
      </c>
      <c r="E8" s="3">
        <v>15.78</v>
      </c>
    </row>
    <row r="9" spans="1:5" x14ac:dyDescent="0.35">
      <c r="A9" s="6" t="s">
        <v>78</v>
      </c>
      <c r="C9" s="3">
        <v>944.4</v>
      </c>
      <c r="D9" s="12">
        <v>690.00480000000005</v>
      </c>
      <c r="E9" s="12">
        <v>690.00480000000005</v>
      </c>
    </row>
    <row r="10" spans="1:5" x14ac:dyDescent="0.35">
      <c r="A10" s="6" t="s">
        <v>79</v>
      </c>
      <c r="C10" s="3">
        <v>2461</v>
      </c>
      <c r="D10" s="12">
        <v>1974.83</v>
      </c>
      <c r="E10" s="12">
        <v>1974.83</v>
      </c>
    </row>
    <row r="11" spans="1:5" x14ac:dyDescent="0.35">
      <c r="A11" s="6" t="s">
        <v>74</v>
      </c>
      <c r="C11" s="3"/>
      <c r="D11" s="12">
        <v>35.35</v>
      </c>
      <c r="E11" s="12">
        <v>35.35</v>
      </c>
    </row>
    <row r="12" spans="1:5" x14ac:dyDescent="0.35">
      <c r="A12" s="6" t="s">
        <v>75</v>
      </c>
      <c r="C12" s="3"/>
      <c r="D12" s="12">
        <v>80.38</v>
      </c>
      <c r="E12" s="12">
        <v>80.38</v>
      </c>
    </row>
    <row r="13" spans="1:5" x14ac:dyDescent="0.35">
      <c r="A13" s="6" t="s">
        <v>48</v>
      </c>
      <c r="B13" t="s">
        <v>68</v>
      </c>
      <c r="C13" s="3">
        <v>7490</v>
      </c>
      <c r="D13" s="10">
        <v>7415.5</v>
      </c>
      <c r="E13" s="3">
        <v>7785</v>
      </c>
    </row>
    <row r="14" spans="1:5" x14ac:dyDescent="0.35">
      <c r="A14" s="6" t="s">
        <v>49</v>
      </c>
      <c r="B14" t="s">
        <v>68</v>
      </c>
      <c r="C14" s="3">
        <v>16900</v>
      </c>
      <c r="D14" s="10">
        <v>16422.8</v>
      </c>
      <c r="E14" s="2">
        <v>17242.3</v>
      </c>
    </row>
    <row r="15" spans="1:5" x14ac:dyDescent="0.35">
      <c r="A15" s="6" t="s">
        <v>57</v>
      </c>
      <c r="B15" t="s">
        <v>68</v>
      </c>
      <c r="C15" s="3">
        <v>4600</v>
      </c>
      <c r="D15" s="10">
        <v>4308</v>
      </c>
      <c r="E15" s="2">
        <v>4488</v>
      </c>
    </row>
    <row r="16" spans="1:5" x14ac:dyDescent="0.35">
      <c r="A16" s="6" t="s">
        <v>73</v>
      </c>
      <c r="B16" t="s">
        <v>68</v>
      </c>
      <c r="C16" s="3"/>
      <c r="D16" s="10">
        <v>3675</v>
      </c>
      <c r="E16" s="2">
        <v>3805</v>
      </c>
    </row>
    <row r="17" spans="1:5" x14ac:dyDescent="0.35">
      <c r="A17" s="6" t="s">
        <v>76</v>
      </c>
      <c r="C17" s="3"/>
      <c r="D17" s="2">
        <v>0.3347</v>
      </c>
      <c r="E17" s="2">
        <v>0.3347</v>
      </c>
    </row>
    <row r="18" spans="1:5" x14ac:dyDescent="0.35">
      <c r="A18" s="6" t="s">
        <v>77</v>
      </c>
      <c r="C18" s="3"/>
      <c r="D18" s="2">
        <v>0.19789999999999999</v>
      </c>
      <c r="E18" s="2">
        <v>0.19789999999999999</v>
      </c>
    </row>
    <row r="19" spans="1:5" x14ac:dyDescent="0.35">
      <c r="A19" s="6" t="s">
        <v>64</v>
      </c>
      <c r="B19" t="s">
        <v>46</v>
      </c>
      <c r="C19" s="3">
        <v>1.28</v>
      </c>
      <c r="D19" s="10">
        <v>0.33</v>
      </c>
      <c r="E19" s="2">
        <v>0.36799999999999999</v>
      </c>
    </row>
    <row r="20" spans="1:5" x14ac:dyDescent="0.35">
      <c r="A20" s="6" t="s">
        <v>62</v>
      </c>
      <c r="B20" t="s">
        <v>46</v>
      </c>
      <c r="C20" s="3">
        <v>6.9599999999999995E-2</v>
      </c>
      <c r="D20" s="9">
        <v>9.4700000000000006E-2</v>
      </c>
      <c r="E20" s="2">
        <v>9.4E-2</v>
      </c>
    </row>
    <row r="21" spans="1:5" x14ac:dyDescent="0.35">
      <c r="A21" s="6" t="s">
        <v>63</v>
      </c>
      <c r="B21" t="s">
        <v>46</v>
      </c>
      <c r="C21" s="3">
        <f>C19-C20</f>
        <v>1.2103999999999999</v>
      </c>
      <c r="D21" s="10">
        <v>0.23599999999999999</v>
      </c>
      <c r="E21" s="2">
        <v>0.27300000000000002</v>
      </c>
    </row>
    <row r="22" spans="1:5" x14ac:dyDescent="0.35">
      <c r="A22" s="6" t="s">
        <v>65</v>
      </c>
      <c r="B22" t="s">
        <v>46</v>
      </c>
      <c r="C22" s="3">
        <v>14.7</v>
      </c>
      <c r="D22" s="10">
        <v>3.8530000000000002</v>
      </c>
      <c r="E22" s="2">
        <v>4.22</v>
      </c>
    </row>
    <row r="23" spans="1:5" x14ac:dyDescent="0.35">
      <c r="A23" s="6" t="s">
        <v>66</v>
      </c>
      <c r="B23" t="s">
        <v>46</v>
      </c>
      <c r="C23" s="3">
        <v>1.1100000000000001</v>
      </c>
      <c r="D23" s="10">
        <v>1.506</v>
      </c>
      <c r="E23" s="2">
        <v>1.506</v>
      </c>
    </row>
    <row r="24" spans="1:5" x14ac:dyDescent="0.35">
      <c r="A24" s="6" t="s">
        <v>67</v>
      </c>
      <c r="B24" t="s">
        <v>46</v>
      </c>
      <c r="C24" s="3">
        <f>C22-C23</f>
        <v>13.59</v>
      </c>
      <c r="D24" s="10">
        <v>2.3460000000000001</v>
      </c>
      <c r="E24" s="2">
        <v>2.7160000000000002</v>
      </c>
    </row>
    <row r="25" spans="1:5" x14ac:dyDescent="0.35">
      <c r="A25" s="6" t="s">
        <v>60</v>
      </c>
      <c r="B25" t="s">
        <v>69</v>
      </c>
      <c r="C25" s="10">
        <v>7.8E-2</v>
      </c>
      <c r="D25" s="10">
        <v>7.0800000000000002E-2</v>
      </c>
      <c r="E25" s="2">
        <v>7.4399999999999994E-2</v>
      </c>
    </row>
    <row r="26" spans="1:5" x14ac:dyDescent="0.35">
      <c r="A26" s="6" t="s">
        <v>61</v>
      </c>
      <c r="B26" t="s">
        <v>69</v>
      </c>
      <c r="C26" s="10">
        <v>0.28100000000000003</v>
      </c>
      <c r="D26" s="10">
        <v>0.28000000000000003</v>
      </c>
      <c r="E26" s="2">
        <v>0.28999999999999998</v>
      </c>
    </row>
    <row r="27" spans="1:5" x14ac:dyDescent="0.35">
      <c r="A27" s="6" t="s">
        <v>58</v>
      </c>
      <c r="B27" t="s">
        <v>69</v>
      </c>
      <c r="C27" s="3">
        <v>0.39</v>
      </c>
      <c r="D27" s="10">
        <v>0.37419999999999998</v>
      </c>
      <c r="E27" s="2">
        <v>0.37419999999999998</v>
      </c>
    </row>
    <row r="28" spans="1:5" x14ac:dyDescent="0.35">
      <c r="A28" s="6" t="s">
        <v>59</v>
      </c>
      <c r="B28" t="s">
        <v>69</v>
      </c>
      <c r="C28" s="3">
        <v>1.54</v>
      </c>
      <c r="D28" s="10">
        <v>1.48</v>
      </c>
      <c r="E28" s="2">
        <v>1.48</v>
      </c>
    </row>
    <row r="30" spans="1:5" x14ac:dyDescent="0.35">
      <c r="A30" s="6" t="s">
        <v>70</v>
      </c>
      <c r="B30" t="s">
        <v>71</v>
      </c>
      <c r="C30" s="3">
        <f>((C3/43)-1)*100</f>
        <v>4.1395348837209411</v>
      </c>
      <c r="D30" s="3">
        <f>((D3/43)-1)*100</f>
        <v>-2.3813953488372119</v>
      </c>
      <c r="E30" s="3">
        <f>((E3/43)-1)*100</f>
        <v>1.6930232558139524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4" workbookViewId="0">
      <selection activeCell="H17" sqref="H17"/>
    </sheetView>
  </sheetViews>
  <sheetFormatPr baseColWidth="10" defaultRowHeight="14.5" x14ac:dyDescent="0.35"/>
  <cols>
    <col min="13" max="13" width="25.36328125" customWidth="1"/>
  </cols>
  <sheetData>
    <row r="1" spans="1:7" x14ac:dyDescent="0.35">
      <c r="A1" t="s">
        <v>107</v>
      </c>
      <c r="E1">
        <v>5.3280000000000001E-2</v>
      </c>
    </row>
    <row r="2" spans="1:7" x14ac:dyDescent="0.35">
      <c r="A2" t="s">
        <v>108</v>
      </c>
      <c r="E2">
        <v>2.4218199999999999E-3</v>
      </c>
      <c r="G2" s="27">
        <v>2.4218181818181799E-3</v>
      </c>
    </row>
    <row r="3" spans="1:7" x14ac:dyDescent="0.35">
      <c r="A3" t="s">
        <v>109</v>
      </c>
      <c r="E3">
        <v>1.82182E-3</v>
      </c>
      <c r="G3" s="27">
        <v>1.8218181818181801E-3</v>
      </c>
    </row>
    <row r="4" spans="1:7" x14ac:dyDescent="0.35">
      <c r="A4" t="s">
        <v>110</v>
      </c>
      <c r="E4">
        <v>2.16796E-4</v>
      </c>
      <c r="G4" s="27">
        <v>2.1679636363636299E-4</v>
      </c>
    </row>
    <row r="5" spans="1:7" x14ac:dyDescent="0.35">
      <c r="A5" t="s">
        <v>111</v>
      </c>
      <c r="E5">
        <v>1.1895199999999999</v>
      </c>
      <c r="G5" s="27">
        <v>1.18951690265147</v>
      </c>
    </row>
    <row r="6" spans="1:7" x14ac:dyDescent="0.35">
      <c r="A6" t="s">
        <v>112</v>
      </c>
      <c r="E6">
        <v>3.0631199999999999E-3</v>
      </c>
      <c r="G6" s="27">
        <v>3.0631228152492602E-3</v>
      </c>
    </row>
    <row r="7" spans="1:7" x14ac:dyDescent="0.35">
      <c r="A7" t="s">
        <v>113</v>
      </c>
      <c r="E7">
        <v>7.4372199999999999E-2</v>
      </c>
      <c r="G7" s="27">
        <v>7.7766912433902796E-2</v>
      </c>
    </row>
    <row r="8" spans="1:7" x14ac:dyDescent="0.35">
      <c r="A8" t="s">
        <v>114</v>
      </c>
      <c r="E8">
        <v>0.294215</v>
      </c>
      <c r="G8" s="27">
        <v>0.30615622203783999</v>
      </c>
    </row>
    <row r="9" spans="1:7" x14ac:dyDescent="0.35">
      <c r="A9" t="s">
        <v>115</v>
      </c>
      <c r="E9">
        <v>71.858500000000006</v>
      </c>
      <c r="G9" s="27">
        <v>75.138390793636901</v>
      </c>
    </row>
    <row r="10" spans="1:7" x14ac:dyDescent="0.35">
      <c r="A10" t="s">
        <v>116</v>
      </c>
      <c r="E10">
        <v>288.83100000000002</v>
      </c>
      <c r="G10" s="27">
        <v>300.55356317454698</v>
      </c>
    </row>
    <row r="11" spans="1:7" x14ac:dyDescent="0.35">
      <c r="A11" t="s">
        <v>117</v>
      </c>
      <c r="E11">
        <v>4.5238899999999998E-4</v>
      </c>
      <c r="G11" s="27">
        <v>4.5238934211692998E-4</v>
      </c>
    </row>
    <row r="12" spans="1:7" x14ac:dyDescent="0.35">
      <c r="A12" t="s">
        <v>118</v>
      </c>
      <c r="E12">
        <v>361.58199999999999</v>
      </c>
      <c r="G12" s="27">
        <v>376.64791881040202</v>
      </c>
    </row>
    <row r="13" spans="1:7" x14ac:dyDescent="0.35">
      <c r="A13" t="s">
        <v>119</v>
      </c>
      <c r="E13">
        <v>1453.36</v>
      </c>
      <c r="G13" s="27">
        <v>1513.42837020926</v>
      </c>
    </row>
    <row r="14" spans="1:7" x14ac:dyDescent="0.35">
      <c r="A14" t="s">
        <v>120</v>
      </c>
      <c r="E14">
        <v>0.37423099999999998</v>
      </c>
      <c r="G14" s="27">
        <v>0.38982396896129301</v>
      </c>
    </row>
    <row r="15" spans="1:7" x14ac:dyDescent="0.35">
      <c r="A15" t="s">
        <v>120</v>
      </c>
      <c r="E15">
        <v>1.48045</v>
      </c>
      <c r="G15" s="27">
        <v>1.54164038933408</v>
      </c>
    </row>
    <row r="16" spans="1:7" x14ac:dyDescent="0.35">
      <c r="A16" t="s">
        <v>121</v>
      </c>
      <c r="E16">
        <v>1.9888999999999999</v>
      </c>
      <c r="G16">
        <v>1.9889007205970901</v>
      </c>
    </row>
    <row r="17" spans="1:15" x14ac:dyDescent="0.35">
      <c r="A17" t="s">
        <v>122</v>
      </c>
      <c r="E17">
        <v>2.8550499999999999</v>
      </c>
      <c r="G17">
        <v>2.8550547255174998</v>
      </c>
    </row>
    <row r="18" spans="1:15" x14ac:dyDescent="0.35">
      <c r="A18" t="s">
        <v>123</v>
      </c>
      <c r="E18">
        <v>690.005</v>
      </c>
      <c r="G18">
        <v>718.75500325635005</v>
      </c>
    </row>
    <row r="19" spans="1:15" x14ac:dyDescent="0.35">
      <c r="A19" t="s">
        <v>124</v>
      </c>
      <c r="E19">
        <v>1974.83</v>
      </c>
      <c r="G19">
        <v>2056.4611405307901</v>
      </c>
    </row>
    <row r="20" spans="1:15" x14ac:dyDescent="0.35">
      <c r="A20" t="s">
        <v>125</v>
      </c>
      <c r="E20">
        <v>11.5181</v>
      </c>
      <c r="G20">
        <v>36.326826221234597</v>
      </c>
    </row>
    <row r="21" spans="1:15" x14ac:dyDescent="0.35">
      <c r="A21" t="s">
        <v>126</v>
      </c>
      <c r="E21">
        <v>28.794899999999998</v>
      </c>
      <c r="G21">
        <v>82.5887674443577</v>
      </c>
    </row>
    <row r="22" spans="1:15" x14ac:dyDescent="0.35">
      <c r="A22" t="s">
        <v>127</v>
      </c>
      <c r="E22">
        <v>2536.67</v>
      </c>
      <c r="G22">
        <v>8000.3572977372296</v>
      </c>
    </row>
    <row r="23" spans="1:15" x14ac:dyDescent="0.35">
      <c r="A23" t="s">
        <v>128</v>
      </c>
      <c r="E23">
        <v>6176.14</v>
      </c>
      <c r="G23">
        <v>17714.216335307901</v>
      </c>
    </row>
    <row r="24" spans="1:15" x14ac:dyDescent="0.35">
      <c r="A24" t="s">
        <v>129</v>
      </c>
      <c r="E24">
        <v>1687.78</v>
      </c>
      <c r="G24">
        <v>4591.1597950686501</v>
      </c>
    </row>
    <row r="25" spans="1:15" x14ac:dyDescent="0.35">
      <c r="A25" t="s">
        <v>130</v>
      </c>
      <c r="E25">
        <v>1581.04</v>
      </c>
      <c r="G25">
        <v>3878.8271791849202</v>
      </c>
    </row>
    <row r="26" spans="1:15" x14ac:dyDescent="0.35">
      <c r="A26" t="s">
        <v>131</v>
      </c>
      <c r="E26">
        <v>16443.900000000001</v>
      </c>
      <c r="G26">
        <v>55630.238670509199</v>
      </c>
    </row>
    <row r="27" spans="1:15" x14ac:dyDescent="0.35">
      <c r="A27" t="s">
        <v>132</v>
      </c>
      <c r="E27">
        <v>15403.9</v>
      </c>
      <c r="G27">
        <v>46999.035400920598</v>
      </c>
    </row>
    <row r="28" spans="1:15" x14ac:dyDescent="0.35">
      <c r="A28" t="s">
        <v>133</v>
      </c>
      <c r="E28">
        <v>-61.758400000000002</v>
      </c>
      <c r="G28">
        <v>29.372648070951801</v>
      </c>
    </row>
    <row r="29" spans="1:15" x14ac:dyDescent="0.35">
      <c r="A29" t="s">
        <v>134</v>
      </c>
      <c r="E29">
        <v>94.720600000000005</v>
      </c>
      <c r="G29">
        <v>102.778470628177</v>
      </c>
      <c r="M29" s="6" t="s">
        <v>64</v>
      </c>
      <c r="N29" t="s">
        <v>46</v>
      </c>
      <c r="O29" s="3">
        <v>1.28</v>
      </c>
    </row>
    <row r="30" spans="1:15" x14ac:dyDescent="0.35">
      <c r="A30" t="s">
        <v>135</v>
      </c>
      <c r="E30">
        <v>83.951999999999998</v>
      </c>
      <c r="G30">
        <v>796.78532435431498</v>
      </c>
      <c r="M30" s="6" t="s">
        <v>62</v>
      </c>
      <c r="N30" t="s">
        <v>46</v>
      </c>
      <c r="O30" s="3">
        <v>6.9599999999999995E-2</v>
      </c>
    </row>
    <row r="31" spans="1:15" x14ac:dyDescent="0.35">
      <c r="A31" t="s">
        <v>136</v>
      </c>
      <c r="E31">
        <v>178.673</v>
      </c>
      <c r="G31">
        <v>899.56379498249305</v>
      </c>
      <c r="M31" s="6" t="s">
        <v>63</v>
      </c>
      <c r="N31" t="s">
        <v>46</v>
      </c>
      <c r="O31" s="3">
        <f>O29-O30</f>
        <v>1.2103999999999999</v>
      </c>
    </row>
    <row r="32" spans="1:15" x14ac:dyDescent="0.35">
      <c r="A32" t="s">
        <v>137</v>
      </c>
      <c r="E32">
        <v>1506.13</v>
      </c>
      <c r="G32">
        <v>1633.21361131506</v>
      </c>
      <c r="M32" s="6" t="s">
        <v>65</v>
      </c>
      <c r="N32" t="s">
        <v>46</v>
      </c>
      <c r="O32" s="3">
        <v>14.7</v>
      </c>
    </row>
    <row r="33" spans="1:15" x14ac:dyDescent="0.35">
      <c r="A33" t="s">
        <v>138</v>
      </c>
      <c r="E33">
        <v>952.31</v>
      </c>
      <c r="G33">
        <v>11019.110083485401</v>
      </c>
      <c r="M33" s="6" t="s">
        <v>66</v>
      </c>
      <c r="N33" t="s">
        <v>46</v>
      </c>
      <c r="O33" s="3">
        <v>1.1100000000000001</v>
      </c>
    </row>
    <row r="34" spans="1:15" x14ac:dyDescent="0.35">
      <c r="A34" t="s">
        <v>139</v>
      </c>
      <c r="E34">
        <v>2458.44</v>
      </c>
      <c r="G34">
        <v>1573995959.1573</v>
      </c>
      <c r="M34" s="6" t="s">
        <v>67</v>
      </c>
      <c r="N34" t="s">
        <v>46</v>
      </c>
      <c r="O34" s="3">
        <f>O32-O33</f>
        <v>13.59</v>
      </c>
    </row>
    <row r="35" spans="1:15" x14ac:dyDescent="0.35">
      <c r="A35" t="s">
        <v>140</v>
      </c>
      <c r="E35">
        <v>0.38011899999999998</v>
      </c>
    </row>
    <row r="36" spans="1:15" x14ac:dyDescent="0.35">
      <c r="A36" t="s">
        <v>141</v>
      </c>
      <c r="E36">
        <v>4.0012800000000004</v>
      </c>
    </row>
    <row r="37" spans="1:15" x14ac:dyDescent="0.35">
      <c r="A37" t="s">
        <v>142</v>
      </c>
      <c r="E37">
        <v>33070.9</v>
      </c>
    </row>
    <row r="47" spans="1:15" x14ac:dyDescent="0.35">
      <c r="G47" t="s">
        <v>149</v>
      </c>
    </row>
    <row r="48" spans="1:15" x14ac:dyDescent="0.35">
      <c r="G48" t="s">
        <v>150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Plattenwärmeübertrager</vt:lpstr>
      <vt:lpstr>Rohrbündelwärmeübertrager</vt:lpstr>
      <vt:lpstr>Vergleich Methodiken</vt:lpstr>
      <vt:lpstr>Kacak Methods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2022-11-06T19:05:01Z</dcterms:modified>
</cp:coreProperties>
</file>