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78f12e547fd4f1/Desktop/Nicole - Learn Excel/Excel Intermediate II/"/>
    </mc:Choice>
  </mc:AlternateContent>
  <xr:revisionPtr revIDLastSave="456" documentId="11_0AA0D15E54B9EB6E7C413C7B9B07420EF996754F" xr6:coauthVersionLast="46" xr6:coauthVersionMax="46" xr10:uidLastSave="{067FC25E-E9FB-49FB-9C40-871F1E071052}"/>
  <bookViews>
    <workbookView xWindow="-108" yWindow="-108" windowWidth="23256" windowHeight="12576" activeTab="4" xr2:uid="{00000000-000D-0000-FFFF-FFFF00000000}"/>
  </bookViews>
  <sheets>
    <sheet name="Client Database" sheetId="4" r:id="rId1"/>
    <sheet name="LookUp Lists" sheetId="6" r:id="rId2"/>
    <sheet name="Attendees" sheetId="5" r:id="rId3"/>
    <sheet name="Scenario Summary" sheetId="7" r:id="rId4"/>
    <sheet name="Cost Overview" sheetId="2" r:id="rId5"/>
    <sheet name="Catering Prices" sheetId="3" r:id="rId6"/>
  </sheets>
  <definedNames>
    <definedName name="caterer_costs">'Catering Prices'!$B$7:$D$10</definedName>
    <definedName name="Catering">'Catering Prices'!$B$6:$D$6</definedName>
    <definedName name="Country_Codes">'LookUp Lists'!$C$7:$C$59</definedName>
    <definedName name="Guests">'Cost Overview'!$D$6</definedName>
    <definedName name="Organisations">'LookUp Lists'!$A$7:$A$52</definedName>
    <definedName name="prices">'Catering Prices'!$B$6:$D$10</definedName>
    <definedName name="solver_adj" localSheetId="4" hidden="1">'Cost Overview'!$D$6,'Cost Overview'!$B$17,'Cost Overview'!$B$31</definedName>
    <definedName name="solver_cvg" localSheetId="4" hidden="1">0.0001</definedName>
    <definedName name="solver_drv" localSheetId="4" hidden="1">2</definedName>
    <definedName name="solver_eng" localSheetId="0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'Cost Overview'!$B$17</definedName>
    <definedName name="solver_lhs2" localSheetId="4" hidden="1">'Cost Overview'!$B$31</definedName>
    <definedName name="solver_lhs3" localSheetId="4" hidden="1">'Cost Overview'!$D$6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4" hidden="1">3</definedName>
    <definedName name="solver_nwt" localSheetId="4" hidden="1">1</definedName>
    <definedName name="solver_opt" localSheetId="0" hidden="1">'Client Database'!#REF!</definedName>
    <definedName name="solver_opt" localSheetId="4" hidden="1">'Cost Overview'!$D$10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hs1" localSheetId="4" hidden="1">2</definedName>
    <definedName name="solver_rhs2" localSheetId="4" hidden="1">1</definedName>
    <definedName name="solver_rhs3" localSheetId="4" hidden="1">400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  <definedName name="Status_Codes">'LookUp Lists'!$E$7:$E$10</definedName>
    <definedName name="Venue">'Catering Prices'!#REF!</definedName>
    <definedName name="venue_costs">'Catering Prices'!#REF!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2" l="1"/>
  <c r="C27" i="2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D70" i="5"/>
  <c r="E70" i="5"/>
  <c r="D49" i="5"/>
  <c r="E49" i="5"/>
  <c r="D17" i="5"/>
  <c r="E17" i="5"/>
  <c r="D67" i="5"/>
  <c r="E67" i="5"/>
  <c r="D86" i="5"/>
  <c r="E86" i="5"/>
  <c r="D97" i="5"/>
  <c r="E97" i="5"/>
  <c r="D92" i="5"/>
  <c r="E92" i="5"/>
  <c r="D96" i="5"/>
  <c r="E96" i="5"/>
  <c r="D38" i="5"/>
  <c r="E38" i="5"/>
  <c r="D68" i="5"/>
  <c r="E68" i="5"/>
  <c r="D46" i="5"/>
  <c r="E46" i="5"/>
  <c r="D93" i="5"/>
  <c r="E93" i="5"/>
  <c r="D23" i="5"/>
  <c r="E23" i="5"/>
  <c r="D54" i="5"/>
  <c r="E54" i="5"/>
  <c r="D8" i="5"/>
  <c r="E8" i="5"/>
  <c r="D14" i="5"/>
  <c r="E14" i="5"/>
  <c r="D51" i="5"/>
  <c r="E51" i="5"/>
  <c r="D87" i="5"/>
  <c r="E87" i="5"/>
  <c r="D53" i="5"/>
  <c r="E53" i="5"/>
  <c r="D75" i="5"/>
  <c r="E75" i="5"/>
  <c r="D44" i="5"/>
  <c r="E44" i="5"/>
  <c r="D26" i="5"/>
  <c r="E26" i="5"/>
  <c r="D25" i="5"/>
  <c r="E25" i="5"/>
  <c r="D91" i="5"/>
  <c r="E91" i="5"/>
  <c r="D19" i="5"/>
  <c r="E19" i="5"/>
  <c r="D95" i="5"/>
  <c r="E95" i="5"/>
  <c r="D50" i="5"/>
  <c r="E50" i="5"/>
  <c r="D11" i="5"/>
  <c r="E11" i="5"/>
  <c r="D28" i="5"/>
  <c r="E28" i="5"/>
  <c r="D12" i="5"/>
  <c r="E12" i="5"/>
  <c r="D9" i="5"/>
  <c r="E9" i="5"/>
  <c r="D73" i="5"/>
  <c r="E73" i="5"/>
  <c r="D94" i="5"/>
  <c r="E94" i="5"/>
  <c r="D83" i="5"/>
  <c r="E83" i="5"/>
  <c r="D21" i="5"/>
  <c r="E21" i="5"/>
  <c r="D34" i="5"/>
  <c r="E34" i="5"/>
  <c r="D55" i="5"/>
  <c r="E55" i="5"/>
  <c r="D29" i="5"/>
  <c r="E29" i="5"/>
  <c r="D16" i="5"/>
  <c r="E16" i="5"/>
  <c r="D80" i="5"/>
  <c r="E80" i="5"/>
  <c r="D72" i="5"/>
  <c r="E72" i="5"/>
  <c r="D37" i="5"/>
  <c r="E37" i="5"/>
  <c r="D58" i="5"/>
  <c r="E58" i="5"/>
  <c r="D7" i="5"/>
  <c r="E7" i="5"/>
  <c r="D39" i="5"/>
  <c r="E39" i="5"/>
  <c r="D57" i="5"/>
  <c r="E57" i="5"/>
  <c r="D47" i="5"/>
  <c r="E47" i="5"/>
  <c r="D61" i="5"/>
  <c r="E61" i="5"/>
  <c r="D48" i="5"/>
  <c r="E48" i="5"/>
  <c r="D62" i="5"/>
  <c r="E62" i="5"/>
  <c r="D33" i="5"/>
  <c r="E33" i="5"/>
  <c r="D52" i="5"/>
  <c r="E52" i="5"/>
  <c r="D81" i="5"/>
  <c r="E81" i="5"/>
  <c r="D13" i="5"/>
  <c r="E13" i="5"/>
  <c r="D69" i="5"/>
  <c r="E69" i="5"/>
  <c r="D15" i="5"/>
  <c r="E15" i="5"/>
  <c r="D41" i="5"/>
  <c r="E41" i="5"/>
  <c r="D65" i="5"/>
  <c r="E65" i="5"/>
  <c r="D82" i="5"/>
  <c r="E82" i="5"/>
  <c r="D60" i="5"/>
  <c r="E60" i="5"/>
  <c r="D30" i="5"/>
  <c r="E30" i="5"/>
  <c r="D85" i="5"/>
  <c r="E85" i="5"/>
  <c r="D74" i="5"/>
  <c r="E74" i="5"/>
  <c r="D10" i="5"/>
  <c r="E10" i="5"/>
  <c r="D56" i="5"/>
  <c r="E56" i="5"/>
  <c r="D27" i="5"/>
  <c r="E27" i="5"/>
  <c r="D18" i="5"/>
  <c r="E18" i="5"/>
  <c r="D20" i="5"/>
  <c r="E20" i="5"/>
  <c r="D64" i="5"/>
  <c r="E64" i="5"/>
  <c r="D84" i="5"/>
  <c r="E84" i="5"/>
  <c r="D24" i="5"/>
  <c r="E24" i="5"/>
  <c r="D42" i="5"/>
  <c r="E42" i="5"/>
  <c r="D40" i="5"/>
  <c r="E40" i="5"/>
  <c r="D45" i="5"/>
  <c r="E45" i="5"/>
  <c r="D22" i="5"/>
  <c r="E22" i="5"/>
  <c r="D43" i="5"/>
  <c r="E43" i="5"/>
  <c r="D90" i="5"/>
  <c r="E90" i="5"/>
  <c r="D89" i="5"/>
  <c r="E89" i="5"/>
  <c r="D63" i="5"/>
  <c r="E63" i="5"/>
  <c r="D88" i="5"/>
  <c r="E88" i="5"/>
  <c r="D59" i="5"/>
  <c r="E59" i="5"/>
  <c r="D36" i="5"/>
  <c r="E36" i="5"/>
  <c r="D31" i="5"/>
  <c r="E31" i="5"/>
  <c r="D77" i="5"/>
  <c r="E77" i="5"/>
  <c r="D35" i="5"/>
  <c r="E35" i="5"/>
  <c r="D76" i="5"/>
  <c r="E76" i="5"/>
  <c r="D32" i="5"/>
  <c r="E32" i="5"/>
  <c r="D78" i="5"/>
  <c r="E78" i="5"/>
  <c r="D71" i="5"/>
  <c r="E71" i="5"/>
  <c r="D66" i="5"/>
  <c r="E66" i="5"/>
  <c r="D79" i="5"/>
  <c r="E79" i="5"/>
  <c r="C70" i="5"/>
  <c r="C49" i="5"/>
  <c r="C17" i="5"/>
  <c r="C67" i="5"/>
  <c r="C86" i="5"/>
  <c r="C97" i="5"/>
  <c r="C92" i="5"/>
  <c r="C96" i="5"/>
  <c r="C38" i="5"/>
  <c r="C68" i="5"/>
  <c r="C46" i="5"/>
  <c r="C93" i="5"/>
  <c r="C23" i="5"/>
  <c r="C54" i="5"/>
  <c r="C8" i="5"/>
  <c r="C14" i="5"/>
  <c r="C51" i="5"/>
  <c r="C87" i="5"/>
  <c r="C53" i="5"/>
  <c r="C75" i="5"/>
  <c r="C44" i="5"/>
  <c r="C26" i="5"/>
  <c r="C25" i="5"/>
  <c r="C91" i="5"/>
  <c r="C19" i="5"/>
  <c r="C95" i="5"/>
  <c r="C50" i="5"/>
  <c r="C11" i="5"/>
  <c r="C28" i="5"/>
  <c r="C12" i="5"/>
  <c r="C9" i="5"/>
  <c r="C73" i="5"/>
  <c r="C94" i="5"/>
  <c r="C83" i="5"/>
  <c r="C21" i="5"/>
  <c r="C34" i="5"/>
  <c r="C55" i="5"/>
  <c r="C29" i="5"/>
  <c r="C16" i="5"/>
  <c r="C80" i="5"/>
  <c r="C72" i="5"/>
  <c r="C37" i="5"/>
  <c r="C58" i="5"/>
  <c r="C7" i="5"/>
  <c r="C39" i="5"/>
  <c r="C57" i="5"/>
  <c r="C47" i="5"/>
  <c r="C61" i="5"/>
  <c r="C48" i="5"/>
  <c r="C62" i="5"/>
  <c r="C33" i="5"/>
  <c r="C52" i="5"/>
  <c r="C81" i="5"/>
  <c r="C13" i="5"/>
  <c r="C69" i="5"/>
  <c r="C15" i="5"/>
  <c r="C41" i="5"/>
  <c r="C65" i="5"/>
  <c r="C82" i="5"/>
  <c r="C60" i="5"/>
  <c r="C30" i="5"/>
  <c r="C85" i="5"/>
  <c r="C74" i="5"/>
  <c r="C10" i="5"/>
  <c r="C56" i="5"/>
  <c r="C27" i="5"/>
  <c r="C18" i="5"/>
  <c r="C20" i="5"/>
  <c r="C64" i="5"/>
  <c r="C84" i="5"/>
  <c r="C24" i="5"/>
  <c r="C42" i="5"/>
  <c r="C40" i="5"/>
  <c r="C45" i="5"/>
  <c r="C22" i="5"/>
  <c r="C43" i="5"/>
  <c r="C90" i="5"/>
  <c r="C89" i="5"/>
  <c r="C63" i="5"/>
  <c r="C88" i="5"/>
  <c r="C59" i="5"/>
  <c r="C36" i="5"/>
  <c r="C31" i="5"/>
  <c r="C77" i="5"/>
  <c r="C35" i="5"/>
  <c r="C76" i="5"/>
  <c r="C32" i="5"/>
  <c r="C78" i="5"/>
  <c r="C71" i="5"/>
  <c r="C66" i="5"/>
  <c r="C79" i="5"/>
  <c r="B70" i="5"/>
  <c r="B49" i="5"/>
  <c r="B17" i="5"/>
  <c r="B67" i="5"/>
  <c r="B86" i="5"/>
  <c r="B97" i="5"/>
  <c r="B92" i="5"/>
  <c r="B96" i="5"/>
  <c r="B38" i="5"/>
  <c r="B68" i="5"/>
  <c r="B46" i="5"/>
  <c r="B93" i="5"/>
  <c r="B23" i="5"/>
  <c r="B54" i="5"/>
  <c r="B8" i="5"/>
  <c r="B14" i="5"/>
  <c r="B51" i="5"/>
  <c r="B87" i="5"/>
  <c r="B53" i="5"/>
  <c r="B75" i="5"/>
  <c r="B44" i="5"/>
  <c r="B26" i="5"/>
  <c r="B25" i="5"/>
  <c r="B91" i="5"/>
  <c r="B19" i="5"/>
  <c r="B95" i="5"/>
  <c r="B50" i="5"/>
  <c r="B11" i="5"/>
  <c r="B28" i="5"/>
  <c r="B12" i="5"/>
  <c r="B9" i="5"/>
  <c r="B73" i="5"/>
  <c r="B94" i="5"/>
  <c r="B83" i="5"/>
  <c r="B21" i="5"/>
  <c r="B34" i="5"/>
  <c r="B55" i="5"/>
  <c r="B29" i="5"/>
  <c r="B16" i="5"/>
  <c r="B80" i="5"/>
  <c r="B72" i="5"/>
  <c r="B37" i="5"/>
  <c r="B58" i="5"/>
  <c r="B7" i="5"/>
  <c r="B39" i="5"/>
  <c r="B57" i="5"/>
  <c r="B47" i="5"/>
  <c r="B61" i="5"/>
  <c r="B48" i="5"/>
  <c r="B62" i="5"/>
  <c r="B33" i="5"/>
  <c r="B52" i="5"/>
  <c r="B81" i="5"/>
  <c r="B13" i="5"/>
  <c r="B69" i="5"/>
  <c r="B15" i="5"/>
  <c r="B41" i="5"/>
  <c r="B65" i="5"/>
  <c r="B82" i="5"/>
  <c r="B60" i="5"/>
  <c r="B30" i="5"/>
  <c r="B85" i="5"/>
  <c r="B74" i="5"/>
  <c r="B10" i="5"/>
  <c r="B56" i="5"/>
  <c r="B27" i="5"/>
  <c r="B18" i="5"/>
  <c r="B20" i="5"/>
  <c r="B64" i="5"/>
  <c r="B84" i="5"/>
  <c r="B24" i="5"/>
  <c r="B42" i="5"/>
  <c r="B40" i="5"/>
  <c r="B45" i="5"/>
  <c r="B22" i="5"/>
  <c r="B43" i="5"/>
  <c r="B90" i="5"/>
  <c r="B89" i="5"/>
  <c r="B63" i="5"/>
  <c r="B88" i="5"/>
  <c r="B59" i="5"/>
  <c r="B36" i="5"/>
  <c r="B31" i="5"/>
  <c r="B77" i="5"/>
  <c r="B35" i="5"/>
  <c r="B76" i="5"/>
  <c r="B32" i="5"/>
  <c r="B78" i="5"/>
  <c r="B71" i="5"/>
  <c r="B66" i="5"/>
  <c r="B79" i="5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7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8" i="4"/>
  <c r="K59" i="4"/>
  <c r="K60" i="4"/>
  <c r="K61" i="4"/>
  <c r="K62" i="4"/>
  <c r="K63" i="4"/>
  <c r="K64" i="4"/>
  <c r="K65" i="4"/>
  <c r="K9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10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1" i="4"/>
  <c r="K155" i="4"/>
  <c r="K156" i="4"/>
  <c r="K157" i="4"/>
  <c r="K158" i="4"/>
  <c r="K159" i="4"/>
  <c r="K12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13" i="4"/>
  <c r="K231" i="4"/>
  <c r="K14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15" i="4"/>
  <c r="K255" i="4"/>
  <c r="K256" i="4"/>
  <c r="K257" i="4"/>
  <c r="K258" i="4"/>
  <c r="K259" i="4"/>
  <c r="K260" i="4"/>
  <c r="K261" i="4"/>
  <c r="K262" i="4"/>
  <c r="K263" i="4"/>
  <c r="K16" i="4"/>
  <c r="K264" i="4"/>
  <c r="K265" i="4"/>
  <c r="K17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7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8" i="4"/>
  <c r="J59" i="4"/>
  <c r="J60" i="4"/>
  <c r="J61" i="4"/>
  <c r="J62" i="4"/>
  <c r="J63" i="4"/>
  <c r="J64" i="4"/>
  <c r="J65" i="4"/>
  <c r="J9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10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1" i="4"/>
  <c r="J155" i="4"/>
  <c r="J156" i="4"/>
  <c r="J157" i="4"/>
  <c r="J158" i="4"/>
  <c r="J159" i="4"/>
  <c r="J12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13" i="4"/>
  <c r="J231" i="4"/>
  <c r="J14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15" i="4"/>
  <c r="J255" i="4"/>
  <c r="J256" i="4"/>
  <c r="J257" i="4"/>
  <c r="J258" i="4"/>
  <c r="J259" i="4"/>
  <c r="J260" i="4"/>
  <c r="J261" i="4"/>
  <c r="J262" i="4"/>
  <c r="J263" i="4"/>
  <c r="J16" i="4"/>
  <c r="J264" i="4"/>
  <c r="J265" i="4"/>
  <c r="J17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7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8" i="4"/>
  <c r="I59" i="4"/>
  <c r="I60" i="4"/>
  <c r="I61" i="4"/>
  <c r="I62" i="4"/>
  <c r="I63" i="4"/>
  <c r="I64" i="4"/>
  <c r="I65" i="4"/>
  <c r="I9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10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1" i="4"/>
  <c r="I155" i="4"/>
  <c r="I156" i="4"/>
  <c r="I157" i="4"/>
  <c r="I158" i="4"/>
  <c r="I159" i="4"/>
  <c r="I12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13" i="4"/>
  <c r="I231" i="4"/>
  <c r="I14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15" i="4"/>
  <c r="I255" i="4"/>
  <c r="I256" i="4"/>
  <c r="I257" i="4"/>
  <c r="I258" i="4"/>
  <c r="I259" i="4"/>
  <c r="I260" i="4"/>
  <c r="I261" i="4"/>
  <c r="I262" i="4"/>
  <c r="I263" i="4"/>
  <c r="I16" i="4"/>
  <c r="I264" i="4"/>
  <c r="I265" i="4"/>
  <c r="I17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C26" i="2"/>
  <c r="C25" i="2"/>
  <c r="C24" i="2"/>
  <c r="O11" i="4"/>
  <c r="N15" i="4"/>
  <c r="O7" i="4"/>
  <c r="O10" i="4"/>
  <c r="O12" i="4"/>
  <c r="O13" i="4"/>
  <c r="N16" i="4"/>
  <c r="M10" i="5"/>
  <c r="J10" i="5"/>
  <c r="L10" i="5"/>
  <c r="K10" i="5"/>
  <c r="F333" i="4"/>
  <c r="F321" i="4"/>
  <c r="F292" i="4"/>
  <c r="F289" i="4"/>
  <c r="F114" i="4"/>
  <c r="F193" i="4"/>
  <c r="F83" i="4"/>
  <c r="F93" i="4"/>
  <c r="F280" i="4"/>
  <c r="F47" i="4"/>
  <c r="F211" i="4"/>
  <c r="F209" i="4"/>
  <c r="F313" i="4"/>
  <c r="F77" i="4"/>
  <c r="F49" i="4"/>
  <c r="F327" i="4"/>
  <c r="F311" i="4"/>
  <c r="F314" i="4"/>
  <c r="F244" i="4"/>
  <c r="F349" i="4"/>
  <c r="F16" i="4"/>
  <c r="F126" i="4"/>
  <c r="F344" i="4"/>
  <c r="F331" i="4"/>
  <c r="F262" i="4"/>
  <c r="F241" i="4"/>
  <c r="F34" i="4"/>
  <c r="F237" i="4"/>
  <c r="F224" i="4"/>
  <c r="F243" i="4"/>
  <c r="F21" i="4"/>
  <c r="F59" i="4"/>
  <c r="F290" i="4"/>
  <c r="F164" i="4"/>
  <c r="F204" i="4"/>
  <c r="F74" i="4"/>
  <c r="F252" i="4"/>
  <c r="F20" i="4"/>
  <c r="F246" i="4"/>
  <c r="F81" i="4"/>
  <c r="F12" i="4"/>
  <c r="F318" i="4"/>
  <c r="F155" i="4"/>
  <c r="F297" i="4"/>
  <c r="F272" i="4"/>
  <c r="F96" i="4"/>
  <c r="F179" i="4"/>
  <c r="F118" i="4"/>
  <c r="F89" i="4"/>
  <c r="F151" i="4"/>
  <c r="F18" i="4"/>
  <c r="F157" i="4"/>
  <c r="F79" i="4"/>
  <c r="F159" i="4"/>
  <c r="F139" i="4"/>
  <c r="F54" i="4"/>
  <c r="F359" i="4"/>
  <c r="F188" i="4"/>
  <c r="F276" i="4"/>
  <c r="F144" i="4"/>
  <c r="F271" i="4"/>
  <c r="F366" i="4"/>
  <c r="F259" i="4"/>
  <c r="F104" i="4"/>
  <c r="F364" i="4"/>
  <c r="F19" i="4"/>
  <c r="F85" i="4"/>
  <c r="F137" i="4"/>
  <c r="F356" i="4"/>
  <c r="F227" i="4"/>
  <c r="F260" i="4"/>
  <c r="F315" i="4"/>
  <c r="F146" i="4"/>
  <c r="F128" i="4"/>
  <c r="F57" i="4"/>
  <c r="F352" i="4"/>
  <c r="F207" i="4"/>
  <c r="F322" i="4"/>
  <c r="F143" i="4"/>
  <c r="F116" i="4"/>
  <c r="F120" i="4"/>
  <c r="F76" i="4"/>
  <c r="F72" i="4"/>
  <c r="F195" i="4"/>
  <c r="F122" i="4"/>
  <c r="F10" i="4"/>
  <c r="F171" i="4"/>
  <c r="F190" i="4"/>
  <c r="F141" i="4"/>
  <c r="F131" i="4"/>
  <c r="F347" i="4"/>
  <c r="F254" i="4"/>
  <c r="F29" i="4"/>
  <c r="F358" i="4"/>
  <c r="F109" i="4"/>
  <c r="F44" i="4"/>
  <c r="F299" i="4"/>
  <c r="F37" i="4"/>
  <c r="F132" i="4"/>
  <c r="F99" i="4"/>
  <c r="F338" i="4"/>
  <c r="F192" i="4"/>
  <c r="F283" i="4"/>
  <c r="F167" i="4"/>
  <c r="F187" i="4"/>
  <c r="F362" i="4"/>
  <c r="F263" i="4"/>
  <c r="F351" i="4"/>
  <c r="F319" i="4"/>
  <c r="F277" i="4"/>
  <c r="F145" i="4"/>
  <c r="F330" i="4"/>
  <c r="F296" i="4"/>
  <c r="F304" i="4"/>
  <c r="F86" i="4"/>
  <c r="F210" i="4"/>
  <c r="F269" i="4"/>
  <c r="F325" i="4"/>
  <c r="F142" i="4"/>
  <c r="F218" i="4"/>
  <c r="F97" i="4"/>
  <c r="F288" i="4"/>
  <c r="F335" i="4"/>
  <c r="F294" i="4"/>
  <c r="F186" i="4"/>
  <c r="F287" i="4"/>
  <c r="F95" i="4"/>
  <c r="F40" i="4"/>
  <c r="F350" i="4"/>
  <c r="F30" i="4"/>
  <c r="F14" i="4"/>
  <c r="F206" i="4"/>
  <c r="F326" i="4"/>
  <c r="F357" i="4"/>
  <c r="F66" i="4"/>
  <c r="F268" i="4"/>
  <c r="F168" i="4"/>
  <c r="F286" i="4"/>
  <c r="F33" i="4"/>
  <c r="F247" i="4"/>
  <c r="F7" i="4"/>
  <c r="F238" i="4"/>
  <c r="F266" i="4"/>
  <c r="F113" i="4"/>
  <c r="F60" i="4"/>
  <c r="F169" i="4"/>
  <c r="F320" i="4"/>
  <c r="F71" i="4"/>
  <c r="F264" i="4"/>
  <c r="F183" i="4"/>
  <c r="F38" i="4"/>
  <c r="F140" i="4"/>
  <c r="F13" i="4"/>
  <c r="F28" i="4"/>
  <c r="F166" i="4"/>
  <c r="F175" i="4"/>
  <c r="F174" i="4"/>
  <c r="F334" i="4"/>
  <c r="F177" i="4"/>
  <c r="F363" i="4"/>
  <c r="F199" i="4"/>
  <c r="F281" i="4"/>
  <c r="F61" i="4"/>
  <c r="F337" i="4"/>
  <c r="F301" i="4"/>
  <c r="F309" i="4"/>
  <c r="F58" i="4"/>
  <c r="F133" i="4"/>
  <c r="F213" i="4"/>
  <c r="F163" i="4"/>
  <c r="F302" i="4"/>
  <c r="F251" i="4"/>
  <c r="F82" i="4"/>
  <c r="F106" i="4"/>
  <c r="F68" i="4"/>
  <c r="F172" i="4"/>
  <c r="F135" i="4"/>
  <c r="F234" i="4"/>
  <c r="F235" i="4"/>
  <c r="F275" i="4"/>
  <c r="F52" i="4"/>
  <c r="F51" i="4"/>
  <c r="F229" i="4"/>
  <c r="F300" i="4"/>
  <c r="F214" i="4"/>
  <c r="F24" i="4"/>
  <c r="F323" i="4"/>
  <c r="F233" i="4"/>
  <c r="F303" i="4"/>
  <c r="F222" i="4"/>
  <c r="F198" i="4"/>
  <c r="F310" i="4"/>
  <c r="F339" i="4"/>
  <c r="F130" i="4"/>
  <c r="F336" i="4"/>
  <c r="F307" i="4"/>
  <c r="F346" i="4"/>
  <c r="F279" i="4"/>
  <c r="F100" i="4"/>
  <c r="F258" i="4"/>
  <c r="F308" i="4"/>
  <c r="F215" i="4"/>
  <c r="F217" i="4"/>
  <c r="F348" i="4"/>
  <c r="F201" i="4"/>
  <c r="F341" i="4"/>
  <c r="F245" i="4"/>
  <c r="F90" i="4"/>
  <c r="F124" i="4"/>
  <c r="F69" i="4"/>
  <c r="F284" i="4"/>
  <c r="F255" i="4"/>
  <c r="F257" i="4"/>
  <c r="F248" i="4"/>
  <c r="F196" i="4"/>
  <c r="F117" i="4"/>
  <c r="F226" i="4"/>
  <c r="F239" i="4"/>
  <c r="F147" i="4"/>
  <c r="F298" i="4"/>
  <c r="F8" i="4"/>
  <c r="F295" i="4"/>
  <c r="F150" i="4"/>
  <c r="F270" i="4"/>
  <c r="F23" i="4"/>
  <c r="F316" i="4"/>
  <c r="F53" i="4"/>
  <c r="F64" i="4"/>
  <c r="F103" i="4"/>
  <c r="F41" i="4"/>
  <c r="F75" i="4"/>
  <c r="F55" i="4"/>
  <c r="F250" i="4"/>
  <c r="F62" i="4"/>
  <c r="F50" i="4"/>
  <c r="F242" i="4"/>
  <c r="F149" i="4"/>
  <c r="F80" i="4"/>
  <c r="F249" i="4"/>
  <c r="F345" i="4"/>
  <c r="F194" i="4"/>
  <c r="F17" i="4"/>
  <c r="F129" i="4"/>
  <c r="F162" i="4"/>
  <c r="F154" i="4"/>
  <c r="F220" i="4"/>
  <c r="F180" i="4"/>
  <c r="F191" i="4"/>
  <c r="F43" i="4"/>
  <c r="F182" i="4"/>
  <c r="F25" i="4"/>
  <c r="F232" i="4"/>
  <c r="F127" i="4"/>
  <c r="F197" i="4"/>
  <c r="F107" i="4"/>
  <c r="F108" i="4"/>
  <c r="F367" i="4"/>
  <c r="F225" i="4"/>
  <c r="F63" i="4"/>
  <c r="F32" i="4"/>
  <c r="F92" i="4"/>
  <c r="F158" i="4"/>
  <c r="F282" i="4"/>
  <c r="F261" i="4"/>
  <c r="F365" i="4"/>
  <c r="F343" i="4"/>
  <c r="F67" i="4"/>
  <c r="F274" i="4"/>
  <c r="F317" i="4"/>
  <c r="F178" i="4"/>
  <c r="F340" i="4"/>
  <c r="F231" i="4"/>
  <c r="F153" i="4"/>
  <c r="F353" i="4"/>
  <c r="F91" i="4"/>
  <c r="F70" i="4"/>
  <c r="F328" i="4"/>
  <c r="F46" i="4"/>
  <c r="F39" i="4"/>
  <c r="F202" i="4"/>
  <c r="F134" i="4"/>
  <c r="F45" i="4"/>
  <c r="F189" i="4"/>
  <c r="F205" i="4"/>
  <c r="F73" i="4"/>
  <c r="F305" i="4"/>
  <c r="F138" i="4"/>
  <c r="F185" i="4"/>
  <c r="F27" i="4"/>
  <c r="F136" i="4"/>
  <c r="F22" i="4"/>
  <c r="F342" i="4"/>
  <c r="F312" i="4"/>
  <c r="F228" i="4"/>
  <c r="F223" i="4"/>
  <c r="F361" i="4"/>
  <c r="F26" i="4"/>
  <c r="F256" i="4"/>
  <c r="F360" i="4"/>
  <c r="F329" i="4"/>
  <c r="F102" i="4"/>
  <c r="F291" i="4"/>
  <c r="F65" i="4"/>
  <c r="F230" i="4"/>
  <c r="F84" i="4"/>
  <c r="F200" i="4"/>
  <c r="F88" i="4"/>
  <c r="F354" i="4"/>
  <c r="F355" i="4"/>
  <c r="F184" i="4"/>
  <c r="F181" i="4"/>
  <c r="F78" i="4"/>
  <c r="F156" i="4"/>
  <c r="F278" i="4"/>
  <c r="F221" i="4"/>
  <c r="F11" i="4"/>
  <c r="F332" i="4"/>
  <c r="F35" i="4"/>
  <c r="F267" i="4"/>
  <c r="F48" i="4"/>
  <c r="F306" i="4"/>
  <c r="F111" i="4"/>
  <c r="F165" i="4"/>
  <c r="F42" i="4"/>
  <c r="F98" i="4"/>
  <c r="F368" i="4"/>
  <c r="F148" i="4"/>
  <c r="F219" i="4"/>
  <c r="F31" i="4"/>
  <c r="F273" i="4"/>
  <c r="F173" i="4"/>
  <c r="F15" i="4"/>
  <c r="F94" i="4"/>
  <c r="F36" i="4"/>
  <c r="F125" i="4"/>
  <c r="F105" i="4"/>
  <c r="F176" i="4"/>
  <c r="F203" i="4"/>
  <c r="F212" i="4"/>
  <c r="F161" i="4"/>
  <c r="F285" i="4"/>
  <c r="F9" i="4"/>
  <c r="F293" i="4"/>
  <c r="F240" i="4"/>
  <c r="F170" i="4"/>
  <c r="F119" i="4"/>
  <c r="F208" i="4"/>
  <c r="F87" i="4"/>
  <c r="F152" i="4"/>
  <c r="F110" i="4"/>
  <c r="F115" i="4"/>
  <c r="F265" i="4"/>
  <c r="F101" i="4"/>
  <c r="F216" i="4"/>
  <c r="F236" i="4"/>
  <c r="F324" i="4"/>
  <c r="F56" i="4"/>
  <c r="F253" i="4"/>
  <c r="F121" i="4"/>
  <c r="F160" i="4"/>
  <c r="F123" i="4"/>
  <c r="F112" i="4"/>
  <c r="N10" i="5"/>
  <c r="D7" i="2"/>
  <c r="M8" i="5"/>
  <c r="J8" i="5"/>
  <c r="L8" i="5"/>
  <c r="I8" i="5"/>
  <c r="K8" i="5"/>
  <c r="H8" i="5"/>
  <c r="N8" i="5"/>
  <c r="D36" i="2"/>
  <c r="D35" i="2"/>
  <c r="D31" i="2"/>
  <c r="D16" i="2"/>
  <c r="B18" i="2"/>
  <c r="D18" i="2"/>
  <c r="B19" i="2"/>
  <c r="D19" i="2"/>
  <c r="B20" i="2"/>
  <c r="D20" i="2"/>
  <c r="D21" i="2"/>
  <c r="D32" i="2"/>
  <c r="B25" i="2"/>
  <c r="D25" i="2"/>
  <c r="B27" i="2"/>
  <c r="D27" i="2"/>
  <c r="B37" i="2"/>
  <c r="D37" i="2"/>
  <c r="D38" i="2"/>
  <c r="B24" i="2"/>
  <c r="D24" i="2"/>
  <c r="B26" i="2"/>
  <c r="D26" i="2"/>
  <c r="D28" i="2"/>
  <c r="D9" i="2"/>
  <c r="D12" i="2"/>
  <c r="D10" i="2"/>
</calcChain>
</file>

<file path=xl/sharedStrings.xml><?xml version="1.0" encoding="utf-8"?>
<sst xmlns="http://schemas.openxmlformats.org/spreadsheetml/2006/main" count="1923" uniqueCount="850">
  <si>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</si>
  <si>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</si>
  <si>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</si>
  <si>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</si>
  <si>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</si>
  <si>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</si>
  <si>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</si>
  <si>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</si>
  <si>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</si>
  <si>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</si>
  <si>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</si>
  <si>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</si>
  <si>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</si>
  <si>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</si>
  <si>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</si>
  <si>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</si>
  <si>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</si>
  <si>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</si>
  <si>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</si>
  <si>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</si>
  <si>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</si>
  <si>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</si>
  <si>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</si>
  <si>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</si>
  <si>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</si>
  <si>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</si>
  <si>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</si>
  <si>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</si>
  <si>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</si>
  <si>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</si>
  <si>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</si>
  <si>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</si>
  <si>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</si>
  <si>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</si>
  <si>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</si>
  <si>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</si>
  <si>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</si>
  <si>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</si>
  <si>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</si>
  <si>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</si>
  <si>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</si>
  <si>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</si>
  <si>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</si>
  <si>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</si>
  <si>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</si>
  <si>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</si>
  <si>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</si>
  <si>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</si>
  <si>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</si>
  <si>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</si>
  <si>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</si>
  <si>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</si>
  <si>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</si>
  <si>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</si>
  <si>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</si>
  <si>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</si>
  <si>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</si>
  <si>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</si>
  <si>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</si>
  <si>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</si>
  <si>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</si>
  <si>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</si>
  <si>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</si>
  <si>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</si>
  <si>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</si>
  <si>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</si>
  <si>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</si>
  <si>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</si>
  <si>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</si>
  <si>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</si>
  <si>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</si>
  <si>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</si>
  <si>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</si>
  <si>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</si>
  <si>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</si>
  <si>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</si>
  <si>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</si>
  <si>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</si>
  <si>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</si>
  <si>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</si>
  <si>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</si>
  <si>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</si>
  <si>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</si>
  <si>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</si>
  <si>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</si>
  <si>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</si>
  <si>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</si>
  <si>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</si>
  <si>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</si>
  <si>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</si>
  <si>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</si>
  <si>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</si>
  <si>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</si>
  <si>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</si>
  <si>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</si>
  <si>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</si>
  <si>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</si>
  <si>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</si>
  <si>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</si>
  <si>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</si>
  <si>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</si>
  <si>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</si>
  <si>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</si>
  <si>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</si>
  <si>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</si>
  <si>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</si>
  <si>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</si>
  <si>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</si>
  <si>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</si>
  <si>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</si>
  <si>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</si>
  <si>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</si>
  <si>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</si>
  <si>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</si>
  <si>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</si>
  <si>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</si>
  <si>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</si>
  <si>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</si>
  <si>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</si>
  <si>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</si>
  <si>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</si>
  <si>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</si>
  <si>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</si>
  <si>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</si>
  <si>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</si>
  <si>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</si>
  <si>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</si>
  <si>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</si>
  <si>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</si>
  <si>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</si>
  <si>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</si>
  <si>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</si>
  <si>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</si>
  <si>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</si>
  <si>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</si>
  <si>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</si>
  <si>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</si>
  <si>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</si>
  <si>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</si>
  <si>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</si>
  <si>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</si>
  <si>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</si>
  <si>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</si>
  <si>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</si>
  <si>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</si>
  <si>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</si>
  <si>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</si>
  <si>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</si>
  <si>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</si>
  <si>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</si>
  <si>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</si>
  <si>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</si>
  <si>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</si>
  <si>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</si>
  <si>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</si>
  <si>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</si>
  <si>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</si>
  <si>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</si>
  <si>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</si>
  <si>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</si>
  <si>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</si>
  <si>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</si>
  <si>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</si>
  <si>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</si>
  <si>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</si>
  <si>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</si>
  <si>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</si>
  <si>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</si>
  <si>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</si>
  <si>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</si>
  <si>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</si>
  <si>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</si>
  <si>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</si>
  <si>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</si>
  <si>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</si>
  <si>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</si>
  <si>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</si>
  <si>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</si>
  <si>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</si>
  <si>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</si>
  <si>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</si>
  <si>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</si>
  <si>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</si>
  <si>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</si>
  <si>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</si>
  <si>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</si>
  <si>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</si>
  <si>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</si>
  <si>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</si>
  <si>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</si>
  <si>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</si>
  <si>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</si>
  <si>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</si>
  <si>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</si>
  <si>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</si>
  <si>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</si>
  <si>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</si>
  <si>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</si>
  <si>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</si>
  <si>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</si>
  <si>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</si>
  <si>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</si>
  <si>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</si>
  <si>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</si>
  <si>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</si>
  <si>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</si>
  <si>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</si>
  <si>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</si>
  <si>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</si>
  <si>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</si>
  <si>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</si>
  <si>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</si>
  <si>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</si>
  <si>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</si>
  <si>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</si>
  <si>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</si>
  <si>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</si>
  <si>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</si>
  <si>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</si>
  <si>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</si>
  <si>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</si>
  <si>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</si>
  <si>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</si>
  <si>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</si>
  <si>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</si>
  <si>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</si>
  <si>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</si>
  <si>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</si>
  <si>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</si>
  <si>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</si>
  <si>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</si>
  <si>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</si>
  <si>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</si>
  <si>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</si>
  <si>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</si>
  <si>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</si>
  <si>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</si>
  <si>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</si>
  <si>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</si>
  <si>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</si>
  <si>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</si>
  <si>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</si>
  <si>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</si>
  <si>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</si>
  <si>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</si>
  <si>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</si>
  <si>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</si>
  <si>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</si>
  <si>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</si>
  <si>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</si>
  <si>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</si>
  <si>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</si>
  <si>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</si>
  <si>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</si>
  <si>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</si>
  <si>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</si>
  <si>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</si>
  <si>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</si>
  <si>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</si>
  <si>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</si>
  <si>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</si>
  <si>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</si>
  <si>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</si>
  <si>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</si>
  <si>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</si>
  <si>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</si>
  <si>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</si>
  <si>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</si>
  <si>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</si>
  <si>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</si>
  <si>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</si>
  <si>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</si>
  <si>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</si>
  <si>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</si>
  <si>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</si>
  <si>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</si>
  <si>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</si>
  <si>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</si>
  <si>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</si>
  <si>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</si>
  <si>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</si>
  <si>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</si>
  <si>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</si>
  <si>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</si>
  <si>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</si>
  <si>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</si>
  <si>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</si>
  <si>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</si>
  <si>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</si>
  <si>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</si>
  <si>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</si>
  <si>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</si>
  <si>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</si>
  <si>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</si>
  <si>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</si>
  <si>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</si>
  <si>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</si>
  <si>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</si>
  <si>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</si>
  <si>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</si>
  <si>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</si>
  <si>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</si>
  <si>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</si>
  <si>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</si>
  <si>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</si>
  <si>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</si>
  <si>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</si>
  <si>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</si>
  <si>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</si>
  <si>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</si>
  <si>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</si>
  <si>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</si>
  <si>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</si>
  <si>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</si>
  <si>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</si>
  <si>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</si>
  <si>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</si>
  <si>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</si>
  <si>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</si>
  <si>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</si>
  <si>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</si>
  <si>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</si>
  <si>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</si>
  <si>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</si>
  <si>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</si>
  <si>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</si>
  <si>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</si>
  <si>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</si>
  <si>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</si>
  <si>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</si>
  <si>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</si>
  <si>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</si>
  <si>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</si>
  <si>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</si>
  <si>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</si>
  <si>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</si>
  <si>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</si>
  <si>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</si>
  <si>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</si>
  <si>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</si>
  <si>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</si>
  <si>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</si>
  <si>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</si>
  <si>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</si>
  <si>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</si>
  <si>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</si>
  <si>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</si>
  <si>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</si>
  <si>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</si>
  <si>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</si>
  <si>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</si>
  <si>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</si>
  <si>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</si>
  <si>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</si>
  <si>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</si>
  <si>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</si>
  <si>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</si>
  <si>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</si>
  <si>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</si>
  <si>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</si>
  <si>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</si>
  <si>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</si>
  <si>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</si>
  <si>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</si>
  <si>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</si>
  <si>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</si>
  <si>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</si>
  <si>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</si>
  <si>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</si>
  <si>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</si>
  <si>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</si>
  <si>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</si>
  <si>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</si>
  <si>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</si>
  <si>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</si>
  <si>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</si>
  <si>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</si>
  <si>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</si>
  <si>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</si>
  <si>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</si>
  <si>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</si>
  <si>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</si>
  <si>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</si>
  <si>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</si>
  <si>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</si>
  <si>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</si>
  <si>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</si>
  <si>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</si>
  <si>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</si>
  <si>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</si>
  <si>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</si>
  <si>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</si>
  <si>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</si>
  <si>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</si>
  <si>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</si>
  <si>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</si>
  <si>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</si>
  <si>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</si>
  <si>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</si>
  <si>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</si>
  <si>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</si>
  <si>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</si>
  <si>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</si>
  <si>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</si>
  <si>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</si>
  <si>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</si>
  <si>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</si>
  <si>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</si>
  <si>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</si>
  <si>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</si>
  <si>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</si>
  <si>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</si>
  <si>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</si>
  <si>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</si>
  <si>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</si>
  <si>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</si>
  <si>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</si>
  <si>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</si>
  <si>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</si>
  <si>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</si>
  <si>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</si>
  <si>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</si>
  <si>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</si>
  <si>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</si>
  <si>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</si>
  <si>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</si>
  <si>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</si>
  <si>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</si>
  <si>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</si>
  <si>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</si>
  <si>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</si>
  <si>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</si>
  <si>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</si>
  <si>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</si>
  <si>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</si>
  <si>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</si>
  <si>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</si>
  <si>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</si>
  <si>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</si>
  <si>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</si>
  <si>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</si>
  <si>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</si>
  <si>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</si>
  <si>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</si>
  <si>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</si>
  <si>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</si>
  <si>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</si>
  <si>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</si>
  <si>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</si>
  <si>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</si>
  <si>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</si>
  <si>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</si>
  <si>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</si>
  <si>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</si>
  <si>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</si>
  <si>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</si>
  <si>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</si>
  <si>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</si>
  <si>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</si>
  <si>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</si>
  <si>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</si>
  <si>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</si>
  <si>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</si>
  <si>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</si>
  <si>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</si>
  <si>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</si>
  <si>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</si>
  <si>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</si>
  <si>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</si>
  <si>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</si>
  <si>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</si>
  <si>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</si>
  <si>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</si>
  <si>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</si>
  <si>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</si>
  <si>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</si>
  <si>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</si>
  <si>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</si>
  <si>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</si>
  <si>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</si>
  <si>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</si>
  <si>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</si>
  <si>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</si>
  <si>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</si>
  <si>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</si>
  <si>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</si>
  <si>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</si>
  <si>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</si>
  <si>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</si>
  <si>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</si>
  <si>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</si>
  <si>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</si>
  <si>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</si>
  <si>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</si>
  <si>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</si>
  <si>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</si>
  <si>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</si>
  <si>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</si>
  <si>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</si>
  <si>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</si>
  <si>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</si>
  <si>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</si>
  <si>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</si>
  <si>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</si>
  <si>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</si>
  <si>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</si>
  <si>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</si>
  <si>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</si>
  <si>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</si>
  <si>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</si>
  <si>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</si>
  <si>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</si>
  <si>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</si>
  <si>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</si>
  <si>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</si>
  <si>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</si>
  <si>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</si>
  <si>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</si>
  <si>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</si>
  <si>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</si>
  <si>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</si>
  <si>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</si>
  <si>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</si>
  <si>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</si>
  <si>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</si>
  <si>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</si>
  <si>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</si>
  <si>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</si>
  <si>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</si>
  <si>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</si>
  <si>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</si>
  <si>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</si>
  <si>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</si>
  <si>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</si>
  <si>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</si>
  <si>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</si>
  <si>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</si>
  <si>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</si>
  <si>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</si>
  <si>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</si>
  <si>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</si>
  <si>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</si>
  <si>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</si>
  <si>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</si>
  <si>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</si>
  <si>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</si>
  <si>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</si>
  <si>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</si>
  <si>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</si>
  <si>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</si>
  <si>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</si>
  <si>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</si>
  <si>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</si>
  <si>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</si>
  <si>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</si>
  <si>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</si>
  <si>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</si>
  <si>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</si>
  <si>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</si>
  <si>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</si>
  <si>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</si>
  <si>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</si>
  <si>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</si>
  <si>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</si>
  <si>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</si>
  <si>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</si>
  <si>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</si>
  <si>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</si>
  <si>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</si>
  <si>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</si>
  <si>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</si>
  <si>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</si>
  <si>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</si>
  <si>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</si>
  <si>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</si>
  <si>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</si>
  <si>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</si>
  <si>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</si>
  <si>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</si>
  <si>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</si>
  <si>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</si>
  <si>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</si>
  <si>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</si>
  <si>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</si>
  <si>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</si>
  <si>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</si>
  <si>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</si>
  <si>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</si>
  <si>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</si>
  <si>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</si>
  <si>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</si>
  <si>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</si>
  <si>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</si>
  <si>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</si>
  <si>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</si>
  <si>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</si>
  <si>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</si>
  <si>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</si>
  <si>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</si>
  <si>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</si>
  <si>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</si>
  <si>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</si>
  <si>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</si>
  <si>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</si>
  <si>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</si>
  <si>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</si>
  <si>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</si>
  <si>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</si>
  <si>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</si>
  <si>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</si>
  <si>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</si>
  <si>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</si>
  <si>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</si>
  <si>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</si>
  <si>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</si>
  <si>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</si>
  <si>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</si>
  <si>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</si>
  <si>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</si>
  <si>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</si>
  <si>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</si>
  <si>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</si>
  <si>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</si>
  <si>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</si>
  <si>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</si>
  <si>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</si>
  <si>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</si>
  <si>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</si>
  <si>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</si>
  <si>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</si>
  <si>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</si>
  <si>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</si>
  <si>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</si>
  <si>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</si>
  <si>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</si>
  <si>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</si>
  <si>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</si>
  <si>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</si>
  <si>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</si>
  <si>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</si>
  <si>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</si>
  <si>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</si>
  <si>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</si>
  <si>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</si>
  <si>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</si>
  <si>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</si>
  <si>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</si>
  <si>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</si>
  <si>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</si>
  <si>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</si>
  <si>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</si>
  <si>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</si>
  <si>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</si>
  <si>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</si>
  <si>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</si>
  <si>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</si>
  <si>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</si>
  <si>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</si>
  <si>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</si>
  <si>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</si>
  <si>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</si>
  <si>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</si>
  <si>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</si>
  <si>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</si>
  <si>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</si>
  <si>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</si>
  <si>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</si>
  <si>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</si>
  <si>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</si>
  <si>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</si>
  <si>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</si>
  <si>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</si>
  <si>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</si>
  <si>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</si>
  <si>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</si>
  <si>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</si>
  <si>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</si>
  <si>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</si>
  <si>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</si>
  <si>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</si>
  <si>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</si>
  <si>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</si>
  <si>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</si>
  <si>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</si>
  <si>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</si>
  <si>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</si>
  <si>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</si>
  <si>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</si>
  <si>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</si>
  <si>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</si>
  <si>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</si>
  <si>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</si>
  <si>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</si>
  <si>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</si>
  <si>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</si>
  <si>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</si>
  <si>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</si>
  <si>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</si>
  <si>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</si>
  <si>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</si>
  <si>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</si>
  <si>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</si>
  <si>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</si>
  <si>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</si>
  <si>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</si>
  <si>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</si>
  <si>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</si>
  <si>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</si>
  <si>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</si>
  <si>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</si>
  <si>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</si>
  <si>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</si>
  <si>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</si>
  <si>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</si>
  <si>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</si>
  <si>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</si>
  <si>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</si>
  <si>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</si>
  <si>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</si>
  <si>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</si>
  <si>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</si>
  <si>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</si>
  <si>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</si>
  <si>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</si>
  <si>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</si>
  <si>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</si>
  <si>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</si>
  <si>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</si>
  <si>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</si>
  <si>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</si>
  <si>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</si>
  <si>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</si>
  <si>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</si>
  <si>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</si>
  <si>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</si>
  <si>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</si>
  <si>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</si>
  <si>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</si>
  <si>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</si>
  <si>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</si>
  <si>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</si>
  <si>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</si>
  <si>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</si>
  <si>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</si>
  <si>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</si>
  <si>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</si>
  <si>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</si>
  <si>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</si>
  <si>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</si>
  <si>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</si>
  <si>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</si>
  <si>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</si>
  <si>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</si>
  <si>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</si>
  <si>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</si>
  <si>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</si>
  <si>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</si>
  <si>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</si>
  <si>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</si>
  <si>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</si>
  <si>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</si>
  <si>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</si>
  <si>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</si>
  <si>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</si>
  <si>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</si>
  <si>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</si>
  <si>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</si>
  <si>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</si>
  <si>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</si>
  <si>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</si>
  <si>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</si>
  <si>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</si>
  <si>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</si>
  <si>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</si>
  <si>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</si>
  <si>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</si>
  <si>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</si>
  <si>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</si>
  <si>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</si>
  <si>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</si>
  <si>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</si>
  <si>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</si>
  <si>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</si>
  <si>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</si>
  <si>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</si>
  <si>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</si>
  <si>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</si>
  <si>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</si>
  <si>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</si>
  <si>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</si>
  <si>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</si>
  <si>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</si>
  <si>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</si>
  <si>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</si>
  <si>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</si>
  <si>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</si>
  <si>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</si>
  <si>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</si>
  <si>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</si>
  <si>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</si>
  <si>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</si>
  <si>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</si>
  <si>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</si>
  <si>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</si>
  <si>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</si>
  <si>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</si>
  <si>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</si>
  <si>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</si>
  <si>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</si>
  <si>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</si>
  <si>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TQ Processe</t>
  </si>
  <si>
    <t>GD</t>
  </si>
  <si>
    <t>Inteligence Systems</t>
  </si>
  <si>
    <t>Start Date</t>
  </si>
  <si>
    <t>CTX 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</si>
  <si>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</si>
  <si>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</si>
  <si>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</si>
  <si>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</si>
  <si>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</si>
  <si>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</si>
  <si>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</si>
  <si>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</si>
  <si>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</si>
  <si>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</si>
  <si>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</si>
  <si>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</si>
  <si>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</si>
  <si>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</si>
  <si>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</si>
  <si>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</si>
  <si>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</si>
  <si>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</si>
  <si>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</si>
  <si>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</si>
  <si>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</si>
  <si>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</si>
  <si>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</si>
  <si>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$D$23</t>
  </si>
  <si>
    <t>$D$10</t>
  </si>
  <si>
    <t>$D$12</t>
  </si>
  <si>
    <t>Created by Patrick Raymond on 5/4/2021
Modified by Patrick Raymond on 5/4/2021</t>
  </si>
  <si>
    <t>Created by Patrick Raymond on 5/4/2021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</si>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</sst>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6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indexed="9"/>
      <name val="Tw Cen MT"/>
      <family val="2"/>
      <scheme val="minor"/>
    </font>
    <font>
      <b/>
      <sz val="11"/>
      <color indexed="8"/>
      <name val="Tw Cen MT"/>
      <family val="2"/>
      <scheme val="minor"/>
    </font>
    <font>
      <b/>
      <sz val="11"/>
      <color indexed="18"/>
      <name val="Tw Cen MT"/>
      <family val="2"/>
      <scheme val="minor"/>
    </font>
    <font>
      <sz val="10"/>
      <color indexed="9"/>
      <name val="Tw Cen MT"/>
      <family val="2"/>
      <scheme val="minor"/>
    </font>
    <font>
      <sz val="8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7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17" xfId="0" applyNumberFormat="1" applyFill="1" applyBorder="1" applyAlignment="1"/>
    <xf numFmtId="0" fontId="11" fillId="7" borderId="18" xfId="0" applyFont="1" applyFill="1" applyBorder="1" applyAlignment="1">
      <alignment horizontal="left"/>
    </xf>
    <xf numFmtId="0" fontId="11" fillId="7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12" fillId="8" borderId="0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2" fillId="8" borderId="17" xfId="0" applyFont="1" applyFill="1" applyBorder="1" applyAlignment="1">
      <alignment horizontal="left"/>
    </xf>
    <xf numFmtId="0" fontId="14" fillId="7" borderId="16" xfId="0" applyFont="1" applyFill="1" applyBorder="1" applyAlignment="1">
      <alignment horizontal="right"/>
    </xf>
    <xf numFmtId="0" fontId="14" fillId="7" borderId="18" xfId="0" applyFont="1" applyFill="1" applyBorder="1" applyAlignment="1">
      <alignment horizontal="right"/>
    </xf>
    <xf numFmtId="0" fontId="0" fillId="9" borderId="0" xfId="0" applyFill="1" applyBorder="1" applyAlignment="1"/>
    <xf numFmtId="0" fontId="15" fillId="0" borderId="0" xfId="0" applyFont="1" applyFill="1" applyBorder="1" applyAlignment="1">
      <alignment vertical="top" wrapText="1"/>
    </xf>
    <xf numFmtId="0" fontId="8" fillId="2" borderId="0" xfId="3" applyNumberFormat="1" applyFont="1" applyBorder="1" applyAlignment="1" applyProtection="1">
      <alignment vertical="center"/>
      <protection locked="0"/>
    </xf>
    <xf numFmtId="0" fontId="3" fillId="2" borderId="0" xfId="3" applyNumberFormat="1" applyFont="1" applyAlignment="1" applyProtection="1">
      <alignment horizontal="right"/>
      <protection locked="0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3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rgb="FFA2CF49"/>
          <bgColor rgb="FF000000"/>
        </patternFill>
      </fill>
    </dxf>
    <dxf>
      <fill>
        <patternFill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1"/>
      <tableStyleElement type="headerRow" dxfId="30"/>
      <tableStyleElement type="total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7526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33495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28020" cy="17526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08160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057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26" dataDxfId="25" headerRowCellStyle="Accent1">
  <autoFilter ref="A6:K368" xr:uid="{00000000-0009-0000-0100-000001000000}"/>
  <sortState xmlns:xlrd2="http://schemas.microsoft.com/office/spreadsheetml/2017/richdata2" ref="A7:K368">
    <sortCondition sortBy="cellColor" ref="A6:A368" dxfId="5"/>
  </sortState>
  <tableColumns count="11">
    <tableColumn id="1" xr3:uid="{00000000-0010-0000-0000-000001000000}" name="Client ID" dataDxfId="24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23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22"/>
    <tableColumn id="8" xr3:uid="{00000000-0010-0000-0000-000008000000}" name="Events" dataDxfId="21"/>
    <tableColumn id="9" xr3:uid="{00000000-0010-0000-0000-000009000000}" name="New*" dataDxfId="9">
      <calculatedColumnFormula>IF(ClientDB[[#This Row],[Start Date]]&gt;=DATE(2017,1,1),"New","")</calculatedColumnFormula>
    </tableColumn>
    <tableColumn id="11" xr3:uid="{00000000-0010-0000-0000-00000B000000}" name="Gift?" dataDxfId="8">
      <calculatedColumnFormula>IF(OR(YEAR(ClientDB[[#This Row],[Start Date]])&lt;2013,ClientDB[[#This Row],[Events]]&gt;=15),"Yes","")</calculatedColumnFormula>
    </tableColumn>
    <tableColumn id="10" xr3:uid="{00000000-0010-0000-0000-00000A000000}" name="Status" dataDxfId="7">
      <calculatedColumnFormula>VLOOKUP(ClientDB[[#This Row],[Events]],$M$10:$N$13,2,1)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F0740-6186-46FA-A3C1-2AB0FEDC7E8A}" name="OrganizationsTable" displayName="OrganizationsTable" ref="A6:A52" totalsRowShown="0" headerRowDxfId="16" headerRowCellStyle="Accent1">
  <autoFilter ref="A6:A52" xr:uid="{658D9487-0892-4D05-9309-ABD66BBE5158}"/>
  <tableColumns count="1">
    <tableColumn id="1" xr3:uid="{E452DAE3-1BF1-4145-8E1A-B8052F95A2D8}" name="Organis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A779DC-9065-4A8F-AB64-D69A1E48CB08}" name="CountryCodesTable" displayName="CountryCodesTable" ref="C6:C59" totalsRowShown="0" headerRowDxfId="13" dataDxfId="14" headerRowCellStyle="Accent1">
  <autoFilter ref="C6:C59" xr:uid="{06945471-1161-41BB-AB9C-047A5CE51B94}"/>
  <tableColumns count="1">
    <tableColumn id="1" xr3:uid="{AC2926E5-08DE-449C-B035-C29AAE66557E}" name="Country Code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63C0D5-72CE-4557-888E-7F27C575A9EA}" name="StatusCodesTable" displayName="StatusCodesTable" ref="E6:E10" totalsRowShown="0" headerRowDxfId="10" dataDxfId="11" headerRowCellStyle="Accent1">
  <autoFilter ref="E6:E10" xr:uid="{494D5CCE-3A01-4603-AF65-01AB8AA55F1C}"/>
  <tableColumns count="1">
    <tableColumn id="1" xr3:uid="{3DCFED65-AE93-4B37-9BA1-7697C3C1B61C}" name="Status Code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7" totalsRowShown="0" headerRowDxfId="19" dataDxfId="18" headerRowCellStyle="Accent1">
  <autoFilter ref="A6:F97" xr:uid="{00000000-0009-0000-0100-000002000000}"/>
  <sortState xmlns:xlrd2="http://schemas.microsoft.com/office/spreadsheetml/2017/richdata2" ref="A7:F97">
    <sortCondition ref="C6:C97"/>
  </sortState>
  <tableColumns count="6">
    <tableColumn id="1" xr3:uid="{00000000-0010-0000-0100-000001000000}" name="Client ID" dataDxfId="17"/>
    <tableColumn id="2" xr3:uid="{00000000-0010-0000-0100-000002000000}" name="First Name" dataDxfId="4">
      <calculatedColumnFormula>VLOOKUP(Attendees[[#This Row],[Client ID]],ClientDB[],2,0)</calculatedColumnFormula>
    </tableColumn>
    <tableColumn id="3" xr3:uid="{00000000-0010-0000-0100-000003000000}" name="Last Name" dataDxfId="3">
      <calculatedColumnFormula>VLOOKUP(Attendees[[#This Row],[Client ID]],ClientDB[],3,0)</calculatedColumnFormula>
    </tableColumn>
    <tableColumn id="4" xr3:uid="{00000000-0010-0000-0100-000004000000}" name="Country" dataDxfId="2">
      <calculatedColumnFormula>VLOOKUP(Attendees[[#This Row],[Client ID]],ClientDB[],7,0)</calculatedColumnFormula>
    </tableColumn>
    <tableColumn id="5" xr3:uid="{00000000-0010-0000-0100-000005000000}" name="Status" dataDxfId="1">
      <calculatedColumnFormula>VLOOKUP(Attendees[[#This Row],[Client ID]],ClientDB[],11,0)</calculatedColumnFormula>
    </tableColumn>
    <tableColumn id="6" xr3:uid="{00000000-0010-0000-0100-000006000000}" name="Seating Area" dataDxfId="0">
      <calculatedColumnFormula>INDEX($J$12:$M$64,MATCH(Attendees[[#This Row],[Country]],$I$12:$I$64,0),MATCH(Attendees[[#This Row],[Status]],$J$11:$M$11,0))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8"/>
  <sheetViews>
    <sheetView showGridLines="0" workbookViewId="0">
      <selection activeCell="N15" sqref="N15"/>
    </sheetView>
  </sheetViews>
  <sheetFormatPr defaultColWidth="8.796875" defaultRowHeight="13.8" x14ac:dyDescent="0.25"/>
  <cols>
    <col min="1" max="1" width="10.19921875" style="25" customWidth="1"/>
    <col min="2" max="2" width="13.796875" customWidth="1"/>
    <col min="3" max="3" width="14.296875" style="1" customWidth="1"/>
    <col min="4" max="4" width="18.5" style="1" customWidth="1"/>
    <col min="5" max="5" width="12.5" style="34" customWidth="1"/>
    <col min="6" max="6" width="30.69921875" style="1" customWidth="1"/>
    <col min="7" max="7" width="9.5" style="1" customWidth="1"/>
    <col min="8" max="10" width="10" style="31" customWidth="1"/>
    <col min="11" max="11" width="10" style="30" customWidth="1"/>
    <col min="12" max="12" width="5.5" customWidth="1"/>
    <col min="13" max="13" width="14.19921875" bestFit="1" customWidth="1"/>
    <col min="14" max="14" width="9.69921875" customWidth="1"/>
  </cols>
  <sheetData>
    <row r="1" spans="1:15" s="2" customFormat="1" x14ac:dyDescent="0.25">
      <c r="A1" s="21"/>
      <c r="E1" s="21"/>
      <c r="H1" s="26"/>
      <c r="I1" s="26"/>
      <c r="J1" s="26"/>
      <c r="K1" s="26"/>
    </row>
    <row r="2" spans="1:15" s="2" customFormat="1" ht="6" customHeight="1" x14ac:dyDescent="0.25">
      <c r="A2" s="22"/>
      <c r="B2" s="3"/>
      <c r="C2" s="3"/>
      <c r="D2" s="3"/>
      <c r="E2" s="22"/>
      <c r="F2" s="3"/>
      <c r="G2" s="3"/>
      <c r="H2" s="27"/>
      <c r="I2" s="27"/>
      <c r="J2" s="27"/>
      <c r="K2" s="27"/>
      <c r="L2"/>
    </row>
    <row r="3" spans="1:15" s="2" customFormat="1" ht="53.25" customHeight="1" x14ac:dyDescent="0.25">
      <c r="A3" s="23" t="s">
        <v>29</v>
      </c>
      <c r="B3" s="4"/>
      <c r="C3" s="4"/>
      <c r="D3" s="4"/>
      <c r="E3" s="32"/>
      <c r="F3" s="4"/>
      <c r="G3" s="4"/>
      <c r="H3" s="28"/>
      <c r="I3" s="28"/>
      <c r="J3" s="28"/>
      <c r="K3" s="28"/>
    </row>
    <row r="4" spans="1:15" s="2" customFormat="1" ht="14.25" customHeight="1" x14ac:dyDescent="0.25">
      <c r="A4" s="22"/>
      <c r="B4" s="3"/>
      <c r="C4" s="3"/>
      <c r="D4" s="3"/>
      <c r="E4" s="22"/>
      <c r="F4" s="3"/>
      <c r="G4" s="3"/>
      <c r="H4" s="27"/>
      <c r="I4" s="27"/>
      <c r="J4" s="27"/>
      <c r="K4" s="27"/>
    </row>
    <row r="6" spans="1:15" ht="16.2" thickBot="1" x14ac:dyDescent="0.3">
      <c r="A6" s="24" t="s">
        <v>800</v>
      </c>
      <c r="B6" s="16" t="s">
        <v>30</v>
      </c>
      <c r="C6" s="16" t="s">
        <v>31</v>
      </c>
      <c r="D6" s="16" t="s">
        <v>32</v>
      </c>
      <c r="E6" s="24" t="s">
        <v>813</v>
      </c>
      <c r="F6" s="16" t="s">
        <v>801</v>
      </c>
      <c r="G6" s="29" t="s">
        <v>33</v>
      </c>
      <c r="H6" s="29" t="s">
        <v>815</v>
      </c>
      <c r="I6" s="29" t="s">
        <v>816</v>
      </c>
      <c r="J6" s="29" t="s">
        <v>833</v>
      </c>
      <c r="K6" s="29" t="s">
        <v>805</v>
      </c>
    </row>
    <row r="7" spans="1:15" ht="16.2" thickBot="1" x14ac:dyDescent="0.3">
      <c r="A7" s="25">
        <v>11762</v>
      </c>
      <c r="B7" t="s">
        <v>394</v>
      </c>
      <c r="C7" t="s">
        <v>395</v>
      </c>
      <c r="D7" t="s">
        <v>335</v>
      </c>
      <c r="E7" s="33">
        <v>42743</v>
      </c>
      <c r="F7" t="str">
        <f>LOWER(LEFT(B7,1)&amp;C7&amp;"@"&amp;SUBSTITUTE(D7," ","")&amp;".com")</f>
        <v>jfreeman@cyberdataprocessing.com</v>
      </c>
      <c r="G7" s="30" t="s">
        <v>45</v>
      </c>
      <c r="H7" s="30">
        <v>3</v>
      </c>
      <c r="I7" s="30" t="str">
        <f>IF(ClientDB[[#This Row],[Start Date]]&gt;=DATE(2017,1,1),"New","")</f>
        <v>New</v>
      </c>
      <c r="J7" s="30" t="str">
        <f>IF(OR(YEAR(ClientDB[[#This Row],[Start Date]])&lt;2013,ClientDB[[#This Row],[Events]]&gt;=15),"Yes","")</f>
        <v/>
      </c>
      <c r="K7" s="30" t="str">
        <f>VLOOKUP(ClientDB[[#This Row],[Events]],$M$10:$N$13,2,1)</f>
        <v>Bronze</v>
      </c>
      <c r="M7" s="24" t="s">
        <v>823</v>
      </c>
      <c r="N7" s="42">
        <v>42736</v>
      </c>
      <c r="O7" s="43">
        <f>COUNTIFS(I7:I368,"New")</f>
        <v>48</v>
      </c>
    </row>
    <row r="8" spans="1:15" x14ac:dyDescent="0.25">
      <c r="A8" s="25">
        <v>13813</v>
      </c>
      <c r="B8" t="s">
        <v>546</v>
      </c>
      <c r="C8" t="s">
        <v>547</v>
      </c>
      <c r="D8" t="s">
        <v>52</v>
      </c>
      <c r="E8" s="33">
        <v>42900</v>
      </c>
      <c r="F8" t="str">
        <f>LOWER(LEFT(B8,1)&amp;C8&amp;"@"&amp;SUBSTITUTE(D8," ","")&amp;".com")</f>
        <v>sghasemi@ripplecom.com</v>
      </c>
      <c r="G8" s="30" t="s">
        <v>45</v>
      </c>
      <c r="H8" s="30">
        <v>1</v>
      </c>
      <c r="I8" s="30" t="str">
        <f>IF(ClientDB[[#This Row],[Start Date]]&gt;=DATE(2017,1,1),"New","")</f>
        <v>New</v>
      </c>
      <c r="J8" s="30" t="str">
        <f>IF(OR(YEAR(ClientDB[[#This Row],[Start Date]])&lt;2013,ClientDB[[#This Row],[Events]]&gt;=15),"Yes","")</f>
        <v/>
      </c>
      <c r="K8" s="30" t="str">
        <f>VLOOKUP(ClientDB[[#This Row],[Events]],$M$10:$N$13,2,1)</f>
        <v>Bronze</v>
      </c>
    </row>
    <row r="9" spans="1:15" ht="16.2" thickBot="1" x14ac:dyDescent="0.3">
      <c r="A9" s="25">
        <v>14145</v>
      </c>
      <c r="B9" t="s">
        <v>764</v>
      </c>
      <c r="C9" t="s">
        <v>765</v>
      </c>
      <c r="D9" t="s">
        <v>52</v>
      </c>
      <c r="E9" s="33">
        <v>42951</v>
      </c>
      <c r="F9" t="str">
        <f>LOWER(LEFT(B9,1)&amp;C9&amp;"@"&amp;SUBSTITUTE(D9," ","")&amp;".com")</f>
        <v>vhovsepyan@ripplecom.com</v>
      </c>
      <c r="G9" s="30" t="s">
        <v>45</v>
      </c>
      <c r="H9" s="30">
        <v>1</v>
      </c>
      <c r="I9" s="30" t="str">
        <f>IF(ClientDB[[#This Row],[Start Date]]&gt;=DATE(2017,1,1),"New","")</f>
        <v>New</v>
      </c>
      <c r="J9" s="30" t="str">
        <f>IF(OR(YEAR(ClientDB[[#This Row],[Start Date]])&lt;2013,ClientDB[[#This Row],[Events]]&gt;=15),"Yes","")</f>
        <v/>
      </c>
      <c r="K9" s="30" t="str">
        <f>VLOOKUP(ClientDB[[#This Row],[Events]],$M$10:$N$13,2,1)</f>
        <v>Bronze</v>
      </c>
      <c r="M9" s="29" t="s">
        <v>817</v>
      </c>
      <c r="N9" s="35" t="s">
        <v>805</v>
      </c>
      <c r="O9" s="35" t="s">
        <v>822</v>
      </c>
    </row>
    <row r="10" spans="1:15" x14ac:dyDescent="0.25">
      <c r="A10" s="25">
        <v>15212</v>
      </c>
      <c r="B10" t="s">
        <v>274</v>
      </c>
      <c r="C10" t="s">
        <v>275</v>
      </c>
      <c r="D10" t="s">
        <v>52</v>
      </c>
      <c r="E10" s="33">
        <v>42791</v>
      </c>
      <c r="F10" t="str">
        <f>LOWER(LEFT(B10,1)&amp;C10&amp;"@"&amp;SUBSTITUTE(D10," ","")&amp;".com")</f>
        <v>asemenyaka@ripplecom.com</v>
      </c>
      <c r="G10" s="30" t="s">
        <v>45</v>
      </c>
      <c r="H10" s="30">
        <v>3</v>
      </c>
      <c r="I10" s="30" t="str">
        <f>IF(ClientDB[[#This Row],[Start Date]]&gt;=DATE(2017,1,1),"New","")</f>
        <v>New</v>
      </c>
      <c r="J10" s="30" t="str">
        <f>IF(OR(YEAR(ClientDB[[#This Row],[Start Date]])&lt;2013,ClientDB[[#This Row],[Events]]&gt;=15),"Yes","")</f>
        <v/>
      </c>
      <c r="K10" s="30" t="str">
        <f>VLOOKUP(ClientDB[[#This Row],[Events]],$M$10:$N$13,2,1)</f>
        <v>Bronze</v>
      </c>
      <c r="M10" s="36">
        <v>1</v>
      </c>
      <c r="N10" s="44" t="s">
        <v>818</v>
      </c>
      <c r="O10" s="45">
        <f>COUNTIFS($K$7:$K$368,N10)</f>
        <v>263</v>
      </c>
    </row>
    <row r="11" spans="1:15" x14ac:dyDescent="0.25">
      <c r="A11" s="25">
        <v>22270</v>
      </c>
      <c r="B11" t="s">
        <v>721</v>
      </c>
      <c r="C11" t="s">
        <v>722</v>
      </c>
      <c r="D11" t="s">
        <v>289</v>
      </c>
      <c r="E11" s="33">
        <v>42956</v>
      </c>
      <c r="F11" t="str">
        <f>LOWER(LEFT(B11,1)&amp;C11&amp;"@"&amp;SUBSTITUTE(D11," ","")&amp;".com")</f>
        <v>mhutty@stepsittraining.com</v>
      </c>
      <c r="G11" s="30" t="s">
        <v>45</v>
      </c>
      <c r="H11" s="30">
        <v>1</v>
      </c>
      <c r="I11" s="30" t="str">
        <f>IF(ClientDB[[#This Row],[Start Date]]&gt;=DATE(2017,1,1),"New","")</f>
        <v>New</v>
      </c>
      <c r="J11" s="30" t="str">
        <f>IF(OR(YEAR(ClientDB[[#This Row],[Start Date]])&lt;2013,ClientDB[[#This Row],[Events]]&gt;=15),"Yes","")</f>
        <v/>
      </c>
      <c r="K11" s="30" t="str">
        <f>VLOOKUP(ClientDB[[#This Row],[Events]],$M$10:$N$13,2,1)</f>
        <v>Bronze</v>
      </c>
      <c r="M11" s="38">
        <v>10</v>
      </c>
      <c r="N11" s="46" t="s">
        <v>819</v>
      </c>
      <c r="O11" s="47">
        <f t="shared" ref="O11:O13" si="0">COUNTIFS($K$7:$K$368,N11)</f>
        <v>72</v>
      </c>
    </row>
    <row r="12" spans="1:15" x14ac:dyDescent="0.25">
      <c r="A12" s="25">
        <v>22740</v>
      </c>
      <c r="B12" t="s">
        <v>165</v>
      </c>
      <c r="C12" t="s">
        <v>166</v>
      </c>
      <c r="D12" t="s">
        <v>167</v>
      </c>
      <c r="E12" s="33">
        <v>42857</v>
      </c>
      <c r="F12" t="str">
        <f>LOWER(LEFT(B12,1)&amp;C12&amp;"@"&amp;SUBSTITUTE(D12," ","")&amp;".com")</f>
        <v>pthornton@netaassist.com</v>
      </c>
      <c r="G12" s="30" t="s">
        <v>45</v>
      </c>
      <c r="H12" s="30">
        <v>2</v>
      </c>
      <c r="I12" s="30" t="str">
        <f>IF(ClientDB[[#This Row],[Start Date]]&gt;=DATE(2017,1,1),"New","")</f>
        <v>New</v>
      </c>
      <c r="J12" s="30" t="str">
        <f>IF(OR(YEAR(ClientDB[[#This Row],[Start Date]])&lt;2013,ClientDB[[#This Row],[Events]]&gt;=15),"Yes","")</f>
        <v/>
      </c>
      <c r="K12" s="30" t="str">
        <f>VLOOKUP(ClientDB[[#This Row],[Events]],$M$10:$N$13,2,1)</f>
        <v>Bronze</v>
      </c>
      <c r="M12" s="38">
        <v>20</v>
      </c>
      <c r="N12" s="46" t="s">
        <v>820</v>
      </c>
      <c r="O12" s="47">
        <f t="shared" si="0"/>
        <v>19</v>
      </c>
    </row>
    <row r="13" spans="1:15" ht="14.4" thickBot="1" x14ac:dyDescent="0.3">
      <c r="A13" s="25">
        <v>28404</v>
      </c>
      <c r="B13" t="s">
        <v>419</v>
      </c>
      <c r="C13" t="s">
        <v>420</v>
      </c>
      <c r="D13" t="s">
        <v>52</v>
      </c>
      <c r="E13" s="33">
        <v>42888</v>
      </c>
      <c r="F13" t="str">
        <f>LOWER(LEFT(B13,1)&amp;C13&amp;"@"&amp;SUBSTITUTE(D13," ","")&amp;".com")</f>
        <v>rleaning@ripplecom.com</v>
      </c>
      <c r="G13" s="30" t="s">
        <v>45</v>
      </c>
      <c r="H13" s="30">
        <v>1</v>
      </c>
      <c r="I13" s="30" t="str">
        <f>IF(ClientDB[[#This Row],[Start Date]]&gt;=DATE(2017,1,1),"New","")</f>
        <v>New</v>
      </c>
      <c r="J13" s="30" t="str">
        <f>IF(OR(YEAR(ClientDB[[#This Row],[Start Date]])&lt;2013,ClientDB[[#This Row],[Events]]&gt;=15),"Yes","")</f>
        <v/>
      </c>
      <c r="K13" s="30" t="str">
        <f>VLOOKUP(ClientDB[[#This Row],[Events]],$M$10:$N$13,2,1)</f>
        <v>Bronze</v>
      </c>
      <c r="M13" s="40">
        <v>30</v>
      </c>
      <c r="N13" s="48" t="s">
        <v>821</v>
      </c>
      <c r="O13" s="49">
        <f t="shared" si="0"/>
        <v>8</v>
      </c>
    </row>
    <row r="14" spans="1:15" ht="14.4" thickBot="1" x14ac:dyDescent="0.3">
      <c r="A14" s="25">
        <v>28547</v>
      </c>
      <c r="B14" t="s">
        <v>374</v>
      </c>
      <c r="C14" t="s">
        <v>375</v>
      </c>
      <c r="D14" t="s">
        <v>52</v>
      </c>
      <c r="E14" s="33">
        <v>42969</v>
      </c>
      <c r="F14" t="str">
        <f>LOWER(LEFT(B14,1)&amp;C14&amp;"@"&amp;SUBSTITUTE(D14," ","")&amp;".com")</f>
        <v>opayne@ripplecom.com</v>
      </c>
      <c r="G14" s="30" t="s">
        <v>45</v>
      </c>
      <c r="H14" s="30">
        <v>1</v>
      </c>
      <c r="I14" s="30" t="str">
        <f>IF(ClientDB[[#This Row],[Start Date]]&gt;=DATE(2017,1,1),"New","")</f>
        <v>New</v>
      </c>
      <c r="J14" s="30" t="str">
        <f>IF(OR(YEAR(ClientDB[[#This Row],[Start Date]])&lt;2013,ClientDB[[#This Row],[Events]]&gt;=15),"Yes","")</f>
        <v/>
      </c>
      <c r="K14" s="30" t="str">
        <f>VLOOKUP(ClientDB[[#This Row],[Events]],$M$10:$N$13,2,1)</f>
        <v>Bronze</v>
      </c>
    </row>
    <row r="15" spans="1:15" ht="16.2" thickBot="1" x14ac:dyDescent="0.3">
      <c r="A15" s="25">
        <v>30197</v>
      </c>
      <c r="B15" t="s">
        <v>747</v>
      </c>
      <c r="C15" t="s">
        <v>748</v>
      </c>
      <c r="D15" t="s">
        <v>52</v>
      </c>
      <c r="E15" s="33">
        <v>42790</v>
      </c>
      <c r="F15" t="str">
        <f>LOWER(LEFT(B15,1)&amp;C15&amp;"@"&amp;SUBSTITUTE(D15," ","")&amp;".com")</f>
        <v>mcandela@ripplecom.com</v>
      </c>
      <c r="G15" s="30" t="s">
        <v>45</v>
      </c>
      <c r="H15" s="30">
        <v>2</v>
      </c>
      <c r="I15" s="30" t="str">
        <f>IF(ClientDB[[#This Row],[Start Date]]&gt;=DATE(2017,1,1),"New","")</f>
        <v>New</v>
      </c>
      <c r="J15" s="30" t="str">
        <f>IF(OR(YEAR(ClientDB[[#This Row],[Start Date]])&lt;2013,ClientDB[[#This Row],[Events]]&gt;=15),"Yes","")</f>
        <v/>
      </c>
      <c r="K15" s="30" t="str">
        <f>VLOOKUP(ClientDB[[#This Row],[Events]],$M$10:$N$13,2,1)</f>
        <v>Bronze</v>
      </c>
      <c r="M15" s="24" t="s">
        <v>824</v>
      </c>
      <c r="N15" s="50">
        <f>INT(AVERAGE(A7:A17))</f>
        <v>22649</v>
      </c>
    </row>
    <row r="16" spans="1:15" ht="16.2" thickBot="1" x14ac:dyDescent="0.3">
      <c r="A16" s="25">
        <v>30911</v>
      </c>
      <c r="B16" t="s">
        <v>109</v>
      </c>
      <c r="C16" t="s">
        <v>110</v>
      </c>
      <c r="D16" t="s">
        <v>36</v>
      </c>
      <c r="E16" s="33">
        <v>42751</v>
      </c>
      <c r="F16" t="str">
        <f>LOWER(LEFT(B16,1)&amp;C16&amp;"@"&amp;SUBSTITUTE(D16," ","")&amp;".com")</f>
        <v>mkadri@respiranetworks.com</v>
      </c>
      <c r="G16" s="30" t="s">
        <v>45</v>
      </c>
      <c r="H16" s="30">
        <v>3</v>
      </c>
      <c r="I16" s="30" t="str">
        <f>IF(ClientDB[[#This Row],[Start Date]]&gt;=DATE(2017,1,1),"New","")</f>
        <v>New</v>
      </c>
      <c r="J16" s="30" t="str">
        <f>IF(OR(YEAR(ClientDB[[#This Row],[Start Date]])&lt;2013,ClientDB[[#This Row],[Events]]&gt;=15),"Yes","")</f>
        <v/>
      </c>
      <c r="K16" s="30" t="str">
        <f>VLOOKUP(ClientDB[[#This Row],[Events]],$M$10:$N$13,2,1)</f>
        <v>Bronze</v>
      </c>
      <c r="M16" s="24" t="s">
        <v>832</v>
      </c>
      <c r="N16" s="50">
        <f>COUNTIFS(ClientDB[[#All],[Gift?]],"Yes")</f>
        <v>84</v>
      </c>
    </row>
    <row r="17" spans="1:11" x14ac:dyDescent="0.25">
      <c r="A17" s="25">
        <v>31145</v>
      </c>
      <c r="B17" t="s">
        <v>586</v>
      </c>
      <c r="C17" t="s">
        <v>488</v>
      </c>
      <c r="D17" t="s">
        <v>221</v>
      </c>
      <c r="E17" s="33">
        <v>42888</v>
      </c>
      <c r="F17" t="str">
        <f>LOWER(LEFT(B17,1)&amp;C17&amp;"@"&amp;SUBSTITUTE(D17," ","")&amp;".com")</f>
        <v>sahmed@westtelco.com</v>
      </c>
      <c r="G17" s="30" t="s">
        <v>45</v>
      </c>
      <c r="H17" s="30">
        <v>1</v>
      </c>
      <c r="I17" s="30" t="str">
        <f>IF(ClientDB[[#This Row],[Start Date]]&gt;=DATE(2017,1,1),"New","")</f>
        <v>New</v>
      </c>
      <c r="J17" s="30" t="str">
        <f>IF(OR(YEAR(ClientDB[[#This Row],[Start Date]])&lt;2013,ClientDB[[#This Row],[Events]]&gt;=15),"Yes","")</f>
        <v/>
      </c>
      <c r="K17" s="30" t="str">
        <f>VLOOKUP(ClientDB[[#This Row],[Events]],$M$10:$N$13,2,1)</f>
        <v>Bronze</v>
      </c>
    </row>
    <row r="18" spans="1:11" x14ac:dyDescent="0.25">
      <c r="A18" s="25">
        <v>10130</v>
      </c>
      <c r="B18" t="s">
        <v>194</v>
      </c>
      <c r="C18" t="s">
        <v>195</v>
      </c>
      <c r="D18" t="s">
        <v>196</v>
      </c>
      <c r="E18" s="33">
        <v>41623</v>
      </c>
      <c r="F18" t="str">
        <f>LOWER(LEFT(B18,1)&amp;C18&amp;"@"&amp;SUBSTITUTE(D18," ","")&amp;".com")</f>
        <v>bgorman@verisize.com</v>
      </c>
      <c r="G18" s="30" t="s">
        <v>64</v>
      </c>
      <c r="H18" s="30">
        <v>7</v>
      </c>
      <c r="I18" s="30" t="str">
        <f>IF(ClientDB[[#This Row],[Start Date]]&gt;=DATE(2017,1,1),"New","")</f>
        <v/>
      </c>
      <c r="J18" s="30" t="str">
        <f>IF(OR(YEAR(ClientDB[[#This Row],[Start Date]])&lt;2013,ClientDB[[#This Row],[Events]]&gt;=15),"Yes","")</f>
        <v/>
      </c>
      <c r="K18" s="30" t="str">
        <f>VLOOKUP(ClientDB[[#This Row],[Events]],$M$10:$N$13,2,1)</f>
        <v>Bronze</v>
      </c>
    </row>
    <row r="19" spans="1:11" x14ac:dyDescent="0.25">
      <c r="A19" s="25">
        <v>10195</v>
      </c>
      <c r="B19" t="s">
        <v>229</v>
      </c>
      <c r="C19" t="s">
        <v>230</v>
      </c>
      <c r="D19" t="s">
        <v>130</v>
      </c>
      <c r="E19" s="33">
        <v>42614</v>
      </c>
      <c r="F19" t="str">
        <f>LOWER(LEFT(B19,1)&amp;C19&amp;"@"&amp;SUBSTITUTE(D19," ","")&amp;".com")</f>
        <v>kbhodia@lacne.com</v>
      </c>
      <c r="G19" s="30" t="s">
        <v>45</v>
      </c>
      <c r="H19" s="30">
        <v>2</v>
      </c>
      <c r="I19" s="30" t="str">
        <f>IF(ClientDB[[#This Row],[Start Date]]&gt;=DATE(2017,1,1),"New","")</f>
        <v/>
      </c>
      <c r="J19" s="30" t="str">
        <f>IF(OR(YEAR(ClientDB[[#This Row],[Start Date]])&lt;2013,ClientDB[[#This Row],[Events]]&gt;=15),"Yes","")</f>
        <v/>
      </c>
      <c r="K19" s="30" t="str">
        <f>VLOOKUP(ClientDB[[#This Row],[Events]],$M$10:$N$13,2,1)</f>
        <v>Bronze</v>
      </c>
    </row>
    <row r="20" spans="1:11" x14ac:dyDescent="0.25">
      <c r="A20" s="25">
        <v>10315</v>
      </c>
      <c r="B20" t="s">
        <v>157</v>
      </c>
      <c r="C20" t="s">
        <v>158</v>
      </c>
      <c r="D20" t="s">
        <v>812</v>
      </c>
      <c r="E20" s="33">
        <v>42641</v>
      </c>
      <c r="F20" t="str">
        <f>LOWER(LEFT(B20,1)&amp;C20&amp;"@"&amp;SUBSTITUTE(D20," ","")&amp;".com")</f>
        <v>svaziri@inteligencesystems.com</v>
      </c>
      <c r="G20" s="30" t="s">
        <v>37</v>
      </c>
      <c r="H20" s="30">
        <v>3</v>
      </c>
      <c r="I20" s="30" t="str">
        <f>IF(ClientDB[[#This Row],[Start Date]]&gt;=DATE(2017,1,1),"New","")</f>
        <v/>
      </c>
      <c r="J20" s="30" t="str">
        <f>IF(OR(YEAR(ClientDB[[#This Row],[Start Date]])&lt;2013,ClientDB[[#This Row],[Events]]&gt;=15),"Yes","")</f>
        <v/>
      </c>
      <c r="K20" s="30" t="str">
        <f>VLOOKUP(ClientDB[[#This Row],[Events]],$M$10:$N$13,2,1)</f>
        <v>Bronze</v>
      </c>
    </row>
    <row r="21" spans="1:11" x14ac:dyDescent="0.25">
      <c r="A21" s="25">
        <v>10540</v>
      </c>
      <c r="B21" t="s">
        <v>136</v>
      </c>
      <c r="C21" t="s">
        <v>137</v>
      </c>
      <c r="D21" t="s">
        <v>138</v>
      </c>
      <c r="E21" s="33">
        <v>42933</v>
      </c>
      <c r="F21" t="str">
        <f>LOWER(LEFT(B21,1)&amp;C21&amp;"@"&amp;SUBSTITUTE(D21," ","")&amp;".com")</f>
        <v>vgiotsas@colot.com</v>
      </c>
      <c r="G21" s="30" t="s">
        <v>139</v>
      </c>
      <c r="H21" s="30">
        <v>2</v>
      </c>
      <c r="I21" s="30" t="str">
        <f>IF(ClientDB[[#This Row],[Start Date]]&gt;=DATE(2017,1,1),"New","")</f>
        <v>New</v>
      </c>
      <c r="J21" s="30" t="str">
        <f>IF(OR(YEAR(ClientDB[[#This Row],[Start Date]])&lt;2013,ClientDB[[#This Row],[Events]]&gt;=15),"Yes","")</f>
        <v/>
      </c>
      <c r="K21" s="30" t="str">
        <f>VLOOKUP(ClientDB[[#This Row],[Events]],$M$10:$N$13,2,1)</f>
        <v>Bronze</v>
      </c>
    </row>
    <row r="22" spans="1:11" x14ac:dyDescent="0.25">
      <c r="A22" s="25">
        <v>10639</v>
      </c>
      <c r="B22" t="s">
        <v>674</v>
      </c>
      <c r="C22" t="s">
        <v>675</v>
      </c>
      <c r="D22" t="s">
        <v>814</v>
      </c>
      <c r="E22" s="33">
        <v>42518</v>
      </c>
      <c r="F22" t="str">
        <f>LOWER(LEFT(B22,1)&amp;C22&amp;"@"&amp;SUBSTITUTE(D22," ","")&amp;".com")</f>
        <v>ghuston@ctx .com</v>
      </c>
      <c r="G22" s="30" t="s">
        <v>205</v>
      </c>
      <c r="H22" s="30">
        <v>5</v>
      </c>
      <c r="I22" s="30" t="str">
        <f>IF(ClientDB[[#This Row],[Start Date]]&gt;=DATE(2017,1,1),"New","")</f>
        <v/>
      </c>
      <c r="J22" s="30" t="str">
        <f>IF(OR(YEAR(ClientDB[[#This Row],[Start Date]])&lt;2013,ClientDB[[#This Row],[Events]]&gt;=15),"Yes","")</f>
        <v/>
      </c>
      <c r="K22" s="30" t="str">
        <f>VLOOKUP(ClientDB[[#This Row],[Events]],$M$10:$N$13,2,1)</f>
        <v>Bronze</v>
      </c>
    </row>
    <row r="23" spans="1:11" x14ac:dyDescent="0.25">
      <c r="A23" s="25">
        <v>10679</v>
      </c>
      <c r="B23" t="s">
        <v>553</v>
      </c>
      <c r="C23" t="s">
        <v>554</v>
      </c>
      <c r="D23" t="s">
        <v>289</v>
      </c>
      <c r="E23" s="33">
        <v>42706</v>
      </c>
      <c r="F23" t="str">
        <f>LOWER(LEFT(B23,1)&amp;C23&amp;"@"&amp;SUBSTITUTE(D23," ","")&amp;".com")</f>
        <v>bstockebrand@stepsittraining.com</v>
      </c>
      <c r="G23" s="30" t="s">
        <v>76</v>
      </c>
      <c r="H23" s="30">
        <v>9</v>
      </c>
      <c r="I23" s="30" t="str">
        <f>IF(ClientDB[[#This Row],[Start Date]]&gt;=DATE(2017,1,1),"New","")</f>
        <v/>
      </c>
      <c r="J23" s="30" t="str">
        <f>IF(OR(YEAR(ClientDB[[#This Row],[Start Date]])&lt;2013,ClientDB[[#This Row],[Events]]&gt;=15),"Yes","")</f>
        <v/>
      </c>
      <c r="K23" s="30" t="str">
        <f>VLOOKUP(ClientDB[[#This Row],[Events]],$M$10:$N$13,2,1)</f>
        <v>Bronze</v>
      </c>
    </row>
    <row r="24" spans="1:11" x14ac:dyDescent="0.25">
      <c r="A24" s="25">
        <v>10932</v>
      </c>
      <c r="B24" t="s">
        <v>484</v>
      </c>
      <c r="C24" t="s">
        <v>485</v>
      </c>
      <c r="D24" t="s">
        <v>211</v>
      </c>
      <c r="E24" s="33">
        <v>42736</v>
      </c>
      <c r="F24" t="str">
        <f>LOWER(LEFT(B24,1)&amp;C24&amp;"@"&amp;SUBSTITUTE(D24," ","")&amp;".com")</f>
        <v>pšpaček@stepahead.com</v>
      </c>
      <c r="G24" s="30" t="s">
        <v>68</v>
      </c>
      <c r="H24" s="30">
        <v>1</v>
      </c>
      <c r="I24" s="30" t="str">
        <f>IF(ClientDB[[#This Row],[Start Date]]&gt;=DATE(2017,1,1),"New","")</f>
        <v>New</v>
      </c>
      <c r="J24" s="30" t="str">
        <f>IF(OR(YEAR(ClientDB[[#This Row],[Start Date]])&lt;2013,ClientDB[[#This Row],[Events]]&gt;=15),"Yes","")</f>
        <v/>
      </c>
      <c r="K24" s="30" t="str">
        <f>VLOOKUP(ClientDB[[#This Row],[Events]],$M$10:$N$13,2,1)</f>
        <v>Bronze</v>
      </c>
    </row>
    <row r="25" spans="1:11" x14ac:dyDescent="0.25">
      <c r="A25" s="25">
        <v>11230</v>
      </c>
      <c r="B25" t="s">
        <v>604</v>
      </c>
      <c r="C25" t="s">
        <v>605</v>
      </c>
      <c r="D25" t="s">
        <v>59</v>
      </c>
      <c r="E25" s="33">
        <v>41565</v>
      </c>
      <c r="F25" t="str">
        <f>LOWER(LEFT(B25,1)&amp;C25&amp;"@"&amp;SUBSTITUTE(D25," ","")&amp;".com")</f>
        <v>tfouad@duet.com</v>
      </c>
      <c r="G25" s="30" t="s">
        <v>185</v>
      </c>
      <c r="H25" s="30">
        <v>13</v>
      </c>
      <c r="I25" s="30" t="str">
        <f>IF(ClientDB[[#This Row],[Start Date]]&gt;=DATE(2017,1,1),"New","")</f>
        <v/>
      </c>
      <c r="J25" s="30" t="str">
        <f>IF(OR(YEAR(ClientDB[[#This Row],[Start Date]])&lt;2013,ClientDB[[#This Row],[Events]]&gt;=15),"Yes","")</f>
        <v/>
      </c>
      <c r="K25" s="30" t="str">
        <f>VLOOKUP(ClientDB[[#This Row],[Events]],$M$10:$N$13,2,1)</f>
        <v>Silver</v>
      </c>
    </row>
    <row r="26" spans="1:11" x14ac:dyDescent="0.25">
      <c r="A26" s="25">
        <v>11280</v>
      </c>
      <c r="B26" t="s">
        <v>686</v>
      </c>
      <c r="C26" t="s">
        <v>687</v>
      </c>
      <c r="D26" t="s">
        <v>107</v>
      </c>
      <c r="E26" s="33">
        <v>42009</v>
      </c>
      <c r="F26" t="str">
        <f>LOWER(LEFT(B26,1)&amp;C26&amp;"@"&amp;SUBSTITUTE(D26," ","")&amp;".com")</f>
        <v>sleander@axellgroup.com</v>
      </c>
      <c r="G26" s="30" t="s">
        <v>688</v>
      </c>
      <c r="H26" s="30">
        <v>6</v>
      </c>
      <c r="I26" s="30" t="str">
        <f>IF(ClientDB[[#This Row],[Start Date]]&gt;=DATE(2017,1,1),"New","")</f>
        <v/>
      </c>
      <c r="J26" s="30" t="str">
        <f>IF(OR(YEAR(ClientDB[[#This Row],[Start Date]])&lt;2013,ClientDB[[#This Row],[Events]]&gt;=15),"Yes","")</f>
        <v/>
      </c>
      <c r="K26" s="30" t="str">
        <f>VLOOKUP(ClientDB[[#This Row],[Events]],$M$10:$N$13,2,1)</f>
        <v>Bronze</v>
      </c>
    </row>
    <row r="27" spans="1:11" x14ac:dyDescent="0.25">
      <c r="A27" s="25">
        <v>11325</v>
      </c>
      <c r="B27" t="s">
        <v>61</v>
      </c>
      <c r="C27" t="s">
        <v>670</v>
      </c>
      <c r="D27" t="s">
        <v>99</v>
      </c>
      <c r="E27" s="33">
        <v>42185</v>
      </c>
      <c r="F27" t="str">
        <f>LOWER(LEFT(B27,1)&amp;C27&amp;"@"&amp;SUBSTITUTE(D27," ","")&amp;".com")</f>
        <v>kpillay@bytesize.com</v>
      </c>
      <c r="G27" s="30" t="s">
        <v>185</v>
      </c>
      <c r="H27" s="30">
        <v>3</v>
      </c>
      <c r="I27" s="30" t="str">
        <f>IF(ClientDB[[#This Row],[Start Date]]&gt;=DATE(2017,1,1),"New","")</f>
        <v/>
      </c>
      <c r="J27" s="30" t="str">
        <f>IF(OR(YEAR(ClientDB[[#This Row],[Start Date]])&lt;2013,ClientDB[[#This Row],[Events]]&gt;=15),"Yes","")</f>
        <v/>
      </c>
      <c r="K27" s="30" t="str">
        <f>VLOOKUP(ClientDB[[#This Row],[Events]],$M$10:$N$13,2,1)</f>
        <v>Bronze</v>
      </c>
    </row>
    <row r="28" spans="1:11" x14ac:dyDescent="0.25">
      <c r="A28" s="25">
        <v>11344</v>
      </c>
      <c r="B28" t="s">
        <v>421</v>
      </c>
      <c r="C28" t="s">
        <v>422</v>
      </c>
      <c r="D28" t="s">
        <v>295</v>
      </c>
      <c r="E28" s="33">
        <v>41062</v>
      </c>
      <c r="F28" t="str">
        <f>LOWER(LEFT(B28,1)&amp;C28&amp;"@"&amp;SUBSTITUTE(D28," ","")&amp;".com")</f>
        <v>mvan smoorenburg@dataprosys.com</v>
      </c>
      <c r="G28" s="30" t="s">
        <v>89</v>
      </c>
      <c r="H28" s="30">
        <v>5</v>
      </c>
      <c r="I28" s="30" t="str">
        <f>IF(ClientDB[[#This Row],[Start Date]]&gt;=DATE(2017,1,1),"New","")</f>
        <v/>
      </c>
      <c r="J28" s="30" t="str">
        <f>IF(OR(YEAR(ClientDB[[#This Row],[Start Date]])&lt;2013,ClientDB[[#This Row],[Events]]&gt;=15),"Yes","")</f>
        <v>Yes</v>
      </c>
      <c r="K28" s="30" t="str">
        <f>VLOOKUP(ClientDB[[#This Row],[Events]],$M$10:$N$13,2,1)</f>
        <v>Bronze</v>
      </c>
    </row>
    <row r="29" spans="1:11" x14ac:dyDescent="0.25">
      <c r="A29" s="25">
        <v>11365</v>
      </c>
      <c r="B29" t="s">
        <v>290</v>
      </c>
      <c r="C29" t="s">
        <v>291</v>
      </c>
      <c r="D29" t="s">
        <v>144</v>
      </c>
      <c r="E29" s="33">
        <v>42169</v>
      </c>
      <c r="F29" t="str">
        <f>LOWER(LEFT(B29,1)&amp;C29&amp;"@"&amp;SUBSTITUTE(D29," ","")&amp;".com")</f>
        <v>ljanczura@picsure.com</v>
      </c>
      <c r="G29" s="30" t="s">
        <v>292</v>
      </c>
      <c r="H29" s="30">
        <v>2</v>
      </c>
      <c r="I29" s="30" t="str">
        <f>IF(ClientDB[[#This Row],[Start Date]]&gt;=DATE(2017,1,1),"New","")</f>
        <v/>
      </c>
      <c r="J29" s="30" t="str">
        <f>IF(OR(YEAR(ClientDB[[#This Row],[Start Date]])&lt;2013,ClientDB[[#This Row],[Events]]&gt;=15),"Yes","")</f>
        <v/>
      </c>
      <c r="K29" s="30" t="str">
        <f>VLOOKUP(ClientDB[[#This Row],[Events]],$M$10:$N$13,2,1)</f>
        <v>Bronze</v>
      </c>
    </row>
    <row r="30" spans="1:11" x14ac:dyDescent="0.25">
      <c r="A30" s="25">
        <v>11584</v>
      </c>
      <c r="B30" t="s">
        <v>293</v>
      </c>
      <c r="C30" t="s">
        <v>373</v>
      </c>
      <c r="D30" t="s">
        <v>52</v>
      </c>
      <c r="E30" s="33">
        <v>42382</v>
      </c>
      <c r="F30" t="str">
        <f>LOWER(LEFT(B30,1)&amp;C30&amp;"@"&amp;SUBSTITUTE(D30," ","")&amp;".com")</f>
        <v>ckaufmann@ripplecom.com</v>
      </c>
      <c r="G30" s="30" t="s">
        <v>76</v>
      </c>
      <c r="H30" s="30">
        <v>6</v>
      </c>
      <c r="I30" s="30" t="str">
        <f>IF(ClientDB[[#This Row],[Start Date]]&gt;=DATE(2017,1,1),"New","")</f>
        <v/>
      </c>
      <c r="J30" s="30" t="str">
        <f>IF(OR(YEAR(ClientDB[[#This Row],[Start Date]])&lt;2013,ClientDB[[#This Row],[Events]]&gt;=15),"Yes","")</f>
        <v/>
      </c>
      <c r="K30" s="30" t="str">
        <f>VLOOKUP(ClientDB[[#This Row],[Events]],$M$10:$N$13,2,1)</f>
        <v>Bronze</v>
      </c>
    </row>
    <row r="31" spans="1:11" x14ac:dyDescent="0.25">
      <c r="A31" s="25">
        <v>11646</v>
      </c>
      <c r="B31" t="s">
        <v>742</v>
      </c>
      <c r="C31" t="s">
        <v>97</v>
      </c>
      <c r="D31" t="s">
        <v>67</v>
      </c>
      <c r="E31" s="33">
        <v>42473</v>
      </c>
      <c r="F31" t="str">
        <f>LOWER(LEFT(B31,1)&amp;C31&amp;"@"&amp;SUBSTITUTE(D31," ","")&amp;".com")</f>
        <v>dthomas@pinkcloudnetworks.com</v>
      </c>
      <c r="G31" s="30" t="s">
        <v>89</v>
      </c>
      <c r="H31" s="30">
        <v>9</v>
      </c>
      <c r="I31" s="30" t="str">
        <f>IF(ClientDB[[#This Row],[Start Date]]&gt;=DATE(2017,1,1),"New","")</f>
        <v/>
      </c>
      <c r="J31" s="30" t="str">
        <f>IF(OR(YEAR(ClientDB[[#This Row],[Start Date]])&lt;2013,ClientDB[[#This Row],[Events]]&gt;=15),"Yes","")</f>
        <v/>
      </c>
      <c r="K31" s="30" t="str">
        <f>VLOOKUP(ClientDB[[#This Row],[Events]],$M$10:$N$13,2,1)</f>
        <v>Bronze</v>
      </c>
    </row>
    <row r="32" spans="1:11" x14ac:dyDescent="0.25">
      <c r="A32" s="25">
        <v>11854</v>
      </c>
      <c r="B32" t="s">
        <v>621</v>
      </c>
      <c r="C32" t="s">
        <v>622</v>
      </c>
      <c r="D32" t="s">
        <v>810</v>
      </c>
      <c r="E32" s="33">
        <v>41710</v>
      </c>
      <c r="F32" t="str">
        <f>LOWER(LEFT(B32,1)&amp;C32&amp;"@"&amp;SUBSTITUTE(D32," ","")&amp;".com")</f>
        <v>mtik@tqprocesse.com</v>
      </c>
      <c r="G32" s="30" t="s">
        <v>185</v>
      </c>
      <c r="H32" s="30">
        <v>14</v>
      </c>
      <c r="I32" s="30" t="str">
        <f>IF(ClientDB[[#This Row],[Start Date]]&gt;=DATE(2017,1,1),"New","")</f>
        <v/>
      </c>
      <c r="J32" s="30" t="str">
        <f>IF(OR(YEAR(ClientDB[[#This Row],[Start Date]])&lt;2013,ClientDB[[#This Row],[Events]]&gt;=15),"Yes","")</f>
        <v/>
      </c>
      <c r="K32" s="30" t="str">
        <f>VLOOKUP(ClientDB[[#This Row],[Events]],$M$10:$N$13,2,1)</f>
        <v>Silver</v>
      </c>
    </row>
    <row r="33" spans="1:11" x14ac:dyDescent="0.25">
      <c r="A33" s="25">
        <v>11958</v>
      </c>
      <c r="B33" t="s">
        <v>389</v>
      </c>
      <c r="C33" t="s">
        <v>390</v>
      </c>
      <c r="D33" t="s">
        <v>179</v>
      </c>
      <c r="E33" s="33">
        <v>41576</v>
      </c>
      <c r="F33" t="str">
        <f>LOWER(LEFT(B33,1)&amp;C33&amp;"@"&amp;SUBSTITUTE(D33," ","")&amp;".com")</f>
        <v>jhill@ctx.com</v>
      </c>
      <c r="G33" s="30" t="s">
        <v>811</v>
      </c>
      <c r="H33" s="30">
        <v>19</v>
      </c>
      <c r="I33" s="30" t="str">
        <f>IF(ClientDB[[#This Row],[Start Date]]&gt;=DATE(2017,1,1),"New","")</f>
        <v/>
      </c>
      <c r="J33" s="30" t="str">
        <f>IF(OR(YEAR(ClientDB[[#This Row],[Start Date]])&lt;2013,ClientDB[[#This Row],[Events]]&gt;=15),"Yes","")</f>
        <v>Yes</v>
      </c>
      <c r="K33" s="30" t="str">
        <f>VLOOKUP(ClientDB[[#This Row],[Events]],$M$10:$N$13,2,1)</f>
        <v>Silver</v>
      </c>
    </row>
    <row r="34" spans="1:11" x14ac:dyDescent="0.25">
      <c r="A34" s="25">
        <v>12136</v>
      </c>
      <c r="B34" t="s">
        <v>124</v>
      </c>
      <c r="C34" t="s">
        <v>125</v>
      </c>
      <c r="D34" t="s">
        <v>126</v>
      </c>
      <c r="E34" s="33">
        <v>41344</v>
      </c>
      <c r="F34" t="str">
        <f>LOWER(LEFT(B34,1)&amp;C34&amp;"@"&amp;SUBSTITUTE(D34," ","")&amp;".com")</f>
        <v>bnisbet@heatproof.com</v>
      </c>
      <c r="G34" s="30" t="s">
        <v>127</v>
      </c>
      <c r="H34" s="30">
        <v>8</v>
      </c>
      <c r="I34" s="30" t="str">
        <f>IF(ClientDB[[#This Row],[Start Date]]&gt;=DATE(2017,1,1),"New","")</f>
        <v/>
      </c>
      <c r="J34" s="30" t="str">
        <f>IF(OR(YEAR(ClientDB[[#This Row],[Start Date]])&lt;2013,ClientDB[[#This Row],[Events]]&gt;=15),"Yes","")</f>
        <v/>
      </c>
      <c r="K34" s="30" t="str">
        <f>VLOOKUP(ClientDB[[#This Row],[Events]],$M$10:$N$13,2,1)</f>
        <v>Bronze</v>
      </c>
    </row>
    <row r="35" spans="1:11" x14ac:dyDescent="0.25">
      <c r="A35" s="25">
        <v>12141</v>
      </c>
      <c r="B35" t="s">
        <v>723</v>
      </c>
      <c r="C35" t="s">
        <v>724</v>
      </c>
      <c r="D35" t="s">
        <v>44</v>
      </c>
      <c r="E35" s="33">
        <v>41937</v>
      </c>
      <c r="F35" t="str">
        <f>LOWER(LEFT(B35,1)&amp;C35&amp;"@"&amp;SUBSTITUTE(D35," ","")&amp;".com")</f>
        <v>sashoori@collingsuniversity.com</v>
      </c>
      <c r="G35" s="30" t="s">
        <v>37</v>
      </c>
      <c r="H35" s="30">
        <v>2</v>
      </c>
      <c r="I35" s="30" t="str">
        <f>IF(ClientDB[[#This Row],[Start Date]]&gt;=DATE(2017,1,1),"New","")</f>
        <v/>
      </c>
      <c r="J35" s="30" t="str">
        <f>IF(OR(YEAR(ClientDB[[#This Row],[Start Date]])&lt;2013,ClientDB[[#This Row],[Events]]&gt;=15),"Yes","")</f>
        <v/>
      </c>
      <c r="K35" s="30" t="str">
        <f>VLOOKUP(ClientDB[[#This Row],[Events]],$M$10:$N$13,2,1)</f>
        <v>Bronze</v>
      </c>
    </row>
    <row r="36" spans="1:11" x14ac:dyDescent="0.25">
      <c r="A36" s="25">
        <v>12268</v>
      </c>
      <c r="B36" t="s">
        <v>97</v>
      </c>
      <c r="C36" t="s">
        <v>750</v>
      </c>
      <c r="D36" t="s">
        <v>179</v>
      </c>
      <c r="E36" s="33">
        <v>41303</v>
      </c>
      <c r="F36" t="str">
        <f>LOWER(LEFT(B36,1)&amp;C36&amp;"@"&amp;SUBSTITUTE(D36," ","")&amp;".com")</f>
        <v>tking@ctx.com</v>
      </c>
      <c r="G36" s="30" t="s">
        <v>76</v>
      </c>
      <c r="H36" s="30">
        <v>23</v>
      </c>
      <c r="I36" s="30" t="str">
        <f>IF(ClientDB[[#This Row],[Start Date]]&gt;=DATE(2017,1,1),"New","")</f>
        <v/>
      </c>
      <c r="J36" s="30" t="str">
        <f>IF(OR(YEAR(ClientDB[[#This Row],[Start Date]])&lt;2013,ClientDB[[#This Row],[Events]]&gt;=15),"Yes","")</f>
        <v>Yes</v>
      </c>
      <c r="K36" s="30" t="str">
        <f>VLOOKUP(ClientDB[[#This Row],[Events]],$M$10:$N$13,2,1)</f>
        <v>Gold</v>
      </c>
    </row>
    <row r="37" spans="1:11" x14ac:dyDescent="0.25">
      <c r="A37" s="25">
        <v>12345</v>
      </c>
      <c r="B37" t="s">
        <v>302</v>
      </c>
      <c r="C37" t="s">
        <v>303</v>
      </c>
      <c r="D37" t="s">
        <v>92</v>
      </c>
      <c r="E37" s="33">
        <v>42876</v>
      </c>
      <c r="F37" t="str">
        <f>LOWER(LEFT(B37,1)&amp;C37&amp;"@"&amp;SUBSTITUTE(D37," ","")&amp;".com")</f>
        <v>jpalet martinez@asetplc.com</v>
      </c>
      <c r="G37" s="30" t="s">
        <v>304</v>
      </c>
      <c r="H37" s="30">
        <v>2</v>
      </c>
      <c r="I37" s="30" t="str">
        <f>IF(ClientDB[[#This Row],[Start Date]]&gt;=DATE(2017,1,1),"New","")</f>
        <v>New</v>
      </c>
      <c r="J37" s="30" t="str">
        <f>IF(OR(YEAR(ClientDB[[#This Row],[Start Date]])&lt;2013,ClientDB[[#This Row],[Events]]&gt;=15),"Yes","")</f>
        <v/>
      </c>
      <c r="K37" s="30" t="str">
        <f>VLOOKUP(ClientDB[[#This Row],[Events]],$M$10:$N$13,2,1)</f>
        <v>Bronze</v>
      </c>
    </row>
    <row r="38" spans="1:11" x14ac:dyDescent="0.25">
      <c r="A38" s="25">
        <v>12443</v>
      </c>
      <c r="B38" t="s">
        <v>414</v>
      </c>
      <c r="C38" t="s">
        <v>415</v>
      </c>
      <c r="D38" t="s">
        <v>40</v>
      </c>
      <c r="E38" s="33">
        <v>42275</v>
      </c>
      <c r="F38" t="str">
        <f>LOWER(LEFT(B38,1)&amp;C38&amp;"@"&amp;SUBSTITUTE(D38," ","")&amp;".com")</f>
        <v>sbalon@denil.com</v>
      </c>
      <c r="G38" s="30" t="s">
        <v>416</v>
      </c>
      <c r="H38" s="30">
        <v>3</v>
      </c>
      <c r="I38" s="30" t="str">
        <f>IF(ClientDB[[#This Row],[Start Date]]&gt;=DATE(2017,1,1),"New","")</f>
        <v/>
      </c>
      <c r="J38" s="30" t="str">
        <f>IF(OR(YEAR(ClientDB[[#This Row],[Start Date]])&lt;2013,ClientDB[[#This Row],[Events]]&gt;=15),"Yes","")</f>
        <v/>
      </c>
      <c r="K38" s="30" t="str">
        <f>VLOOKUP(ClientDB[[#This Row],[Events]],$M$10:$N$13,2,1)</f>
        <v>Bronze</v>
      </c>
    </row>
    <row r="39" spans="1:11" x14ac:dyDescent="0.25">
      <c r="A39" s="25">
        <v>12503</v>
      </c>
      <c r="B39" t="s">
        <v>429</v>
      </c>
      <c r="C39" t="s">
        <v>653</v>
      </c>
      <c r="D39" t="s">
        <v>295</v>
      </c>
      <c r="E39" s="33">
        <v>42320</v>
      </c>
      <c r="F39" t="str">
        <f>LOWER(LEFT(B39,1)&amp;C39&amp;"@"&amp;SUBSTITUTE(D39," ","")&amp;".com")</f>
        <v>ssalih@dataprosys.com</v>
      </c>
      <c r="G39" s="30" t="s">
        <v>307</v>
      </c>
      <c r="H39" s="30">
        <v>5</v>
      </c>
      <c r="I39" s="30" t="str">
        <f>IF(ClientDB[[#This Row],[Start Date]]&gt;=DATE(2017,1,1),"New","")</f>
        <v/>
      </c>
      <c r="J39" s="30" t="str">
        <f>IF(OR(YEAR(ClientDB[[#This Row],[Start Date]])&lt;2013,ClientDB[[#This Row],[Events]]&gt;=15),"Yes","")</f>
        <v/>
      </c>
      <c r="K39" s="30" t="str">
        <f>VLOOKUP(ClientDB[[#This Row],[Events]],$M$10:$N$13,2,1)</f>
        <v>Bronze</v>
      </c>
    </row>
    <row r="40" spans="1:11" x14ac:dyDescent="0.25">
      <c r="A40" s="25">
        <v>12714</v>
      </c>
      <c r="B40" t="s">
        <v>368</v>
      </c>
      <c r="C40" t="s">
        <v>369</v>
      </c>
      <c r="D40" t="s">
        <v>79</v>
      </c>
      <c r="E40" s="33">
        <v>41445</v>
      </c>
      <c r="F40" t="str">
        <f>LOWER(LEFT(B40,1)&amp;C40&amp;"@"&amp;SUBSTITUTE(D40," ","")&amp;".com")</f>
        <v>otenchev@zimsales.com</v>
      </c>
      <c r="G40" s="30" t="s">
        <v>370</v>
      </c>
      <c r="H40" s="30">
        <v>13</v>
      </c>
      <c r="I40" s="30" t="str">
        <f>IF(ClientDB[[#This Row],[Start Date]]&gt;=DATE(2017,1,1),"New","")</f>
        <v/>
      </c>
      <c r="J40" s="30" t="str">
        <f>IF(OR(YEAR(ClientDB[[#This Row],[Start Date]])&lt;2013,ClientDB[[#This Row],[Events]]&gt;=15),"Yes","")</f>
        <v/>
      </c>
      <c r="K40" s="30" t="str">
        <f>VLOOKUP(ClientDB[[#This Row],[Events]],$M$10:$N$13,2,1)</f>
        <v>Silver</v>
      </c>
    </row>
    <row r="41" spans="1:11" x14ac:dyDescent="0.25">
      <c r="A41" s="25">
        <v>12802</v>
      </c>
      <c r="B41" t="s">
        <v>562</v>
      </c>
      <c r="C41" t="s">
        <v>563</v>
      </c>
      <c r="D41" t="s">
        <v>159</v>
      </c>
      <c r="E41" s="33">
        <v>40598</v>
      </c>
      <c r="F41" t="str">
        <f>LOWER(LEFT(B41,1)&amp;C41&amp;"@"&amp;SUBSTITUTE(D41," ","")&amp;".com")</f>
        <v>malfarsi@intelligencesystems.com</v>
      </c>
      <c r="G41" s="30" t="s">
        <v>173</v>
      </c>
      <c r="H41" s="30">
        <v>17</v>
      </c>
      <c r="I41" s="30" t="str">
        <f>IF(ClientDB[[#This Row],[Start Date]]&gt;=DATE(2017,1,1),"New","")</f>
        <v/>
      </c>
      <c r="J41" s="30" t="str">
        <f>IF(OR(YEAR(ClientDB[[#This Row],[Start Date]])&lt;2013,ClientDB[[#This Row],[Events]]&gt;=15),"Yes","")</f>
        <v>Yes</v>
      </c>
      <c r="K41" s="30" t="str">
        <f>VLOOKUP(ClientDB[[#This Row],[Events]],$M$10:$N$13,2,1)</f>
        <v>Silver</v>
      </c>
    </row>
    <row r="42" spans="1:11" x14ac:dyDescent="0.25">
      <c r="A42" s="25">
        <v>12808</v>
      </c>
      <c r="B42" t="s">
        <v>353</v>
      </c>
      <c r="C42" t="s">
        <v>734</v>
      </c>
      <c r="D42" t="s">
        <v>36</v>
      </c>
      <c r="E42" s="33">
        <v>40233</v>
      </c>
      <c r="F42" t="str">
        <f>LOWER(LEFT(B42,1)&amp;C42&amp;"@"&amp;SUBSTITUTE(D42," ","")&amp;".com")</f>
        <v>sbecker@respiranetworks.com</v>
      </c>
      <c r="G42" s="30" t="s">
        <v>76</v>
      </c>
      <c r="H42" s="30">
        <v>26</v>
      </c>
      <c r="I42" s="30" t="str">
        <f>IF(ClientDB[[#This Row],[Start Date]]&gt;=DATE(2017,1,1),"New","")</f>
        <v/>
      </c>
      <c r="J42" s="30" t="str">
        <f>IF(OR(YEAR(ClientDB[[#This Row],[Start Date]])&lt;2013,ClientDB[[#This Row],[Events]]&gt;=15),"Yes","")</f>
        <v>Yes</v>
      </c>
      <c r="K42" s="30" t="str">
        <f>VLOOKUP(ClientDB[[#This Row],[Events]],$M$10:$N$13,2,1)</f>
        <v>Gold</v>
      </c>
    </row>
    <row r="43" spans="1:11" x14ac:dyDescent="0.25">
      <c r="A43" s="25">
        <v>12811</v>
      </c>
      <c r="B43" t="s">
        <v>600</v>
      </c>
      <c r="C43" t="s">
        <v>601</v>
      </c>
      <c r="D43" t="s">
        <v>451</v>
      </c>
      <c r="E43" s="33">
        <v>41552</v>
      </c>
      <c r="F43" t="str">
        <f>LOWER(LEFT(B43,1)&amp;C43&amp;"@"&amp;SUBSTITUTE(D43," ","")&amp;".com")</f>
        <v>ibagdonas@eyn.com</v>
      </c>
      <c r="G43" s="30" t="s">
        <v>45</v>
      </c>
      <c r="H43" s="30">
        <v>3</v>
      </c>
      <c r="I43" s="30" t="str">
        <f>IF(ClientDB[[#This Row],[Start Date]]&gt;=DATE(2017,1,1),"New","")</f>
        <v/>
      </c>
      <c r="J43" s="30" t="str">
        <f>IF(OR(YEAR(ClientDB[[#This Row],[Start Date]])&lt;2013,ClientDB[[#This Row],[Events]]&gt;=15),"Yes","")</f>
        <v/>
      </c>
      <c r="K43" s="30" t="str">
        <f>VLOOKUP(ClientDB[[#This Row],[Events]],$M$10:$N$13,2,1)</f>
        <v>Bronze</v>
      </c>
    </row>
    <row r="44" spans="1:11" x14ac:dyDescent="0.25">
      <c r="A44" s="25">
        <v>12838</v>
      </c>
      <c r="B44" t="s">
        <v>298</v>
      </c>
      <c r="C44" t="s">
        <v>299</v>
      </c>
      <c r="D44" t="s">
        <v>135</v>
      </c>
      <c r="E44" s="33">
        <v>42831</v>
      </c>
      <c r="F44" t="str">
        <f>LOWER(LEFT(B44,1)&amp;C44&amp;"@"&amp;SUBSTITUTE(D44," ","")&amp;".com")</f>
        <v>nbalouma@pilcostreambank.com</v>
      </c>
      <c r="G44" s="30" t="s">
        <v>185</v>
      </c>
      <c r="H44" s="30">
        <v>2</v>
      </c>
      <c r="I44" s="30" t="str">
        <f>IF(ClientDB[[#This Row],[Start Date]]&gt;=DATE(2017,1,1),"New","")</f>
        <v>New</v>
      </c>
      <c r="J44" s="30" t="str">
        <f>IF(OR(YEAR(ClientDB[[#This Row],[Start Date]])&lt;2013,ClientDB[[#This Row],[Events]]&gt;=15),"Yes","")</f>
        <v/>
      </c>
      <c r="K44" s="30" t="str">
        <f>VLOOKUP(ClientDB[[#This Row],[Events]],$M$10:$N$13,2,1)</f>
        <v>Bronze</v>
      </c>
    </row>
    <row r="45" spans="1:11" x14ac:dyDescent="0.25">
      <c r="A45" s="25">
        <v>12940</v>
      </c>
      <c r="B45" t="s">
        <v>657</v>
      </c>
      <c r="C45" t="s">
        <v>658</v>
      </c>
      <c r="D45" t="s">
        <v>52</v>
      </c>
      <c r="E45" s="33">
        <v>41510</v>
      </c>
      <c r="F45" t="str">
        <f>LOWER(LEFT(B45,1)&amp;C45&amp;"@"&amp;SUBSTITUTE(D45," ","")&amp;".com")</f>
        <v>gajabahian@ripplecom.com</v>
      </c>
      <c r="G45" s="30" t="s">
        <v>45</v>
      </c>
      <c r="H45" s="30">
        <v>9</v>
      </c>
      <c r="I45" s="30" t="str">
        <f>IF(ClientDB[[#This Row],[Start Date]]&gt;=DATE(2017,1,1),"New","")</f>
        <v/>
      </c>
      <c r="J45" s="30" t="str">
        <f>IF(OR(YEAR(ClientDB[[#This Row],[Start Date]])&lt;2013,ClientDB[[#This Row],[Events]]&gt;=15),"Yes","")</f>
        <v/>
      </c>
      <c r="K45" s="30" t="str">
        <f>VLOOKUP(ClientDB[[#This Row],[Events]],$M$10:$N$13,2,1)</f>
        <v>Bronze</v>
      </c>
    </row>
    <row r="46" spans="1:11" x14ac:dyDescent="0.25">
      <c r="A46" s="25">
        <v>12942</v>
      </c>
      <c r="B46" t="s">
        <v>165</v>
      </c>
      <c r="C46" t="s">
        <v>652</v>
      </c>
      <c r="D46" t="s">
        <v>179</v>
      </c>
      <c r="E46" s="33">
        <v>42295</v>
      </c>
      <c r="F46" t="str">
        <f>LOWER(LEFT(B46,1)&amp;C46&amp;"@"&amp;SUBSTITUTE(D46," ","")&amp;".com")</f>
        <v>phoogsteder@ctx.com</v>
      </c>
      <c r="G46" s="30" t="s">
        <v>89</v>
      </c>
      <c r="H46" s="30">
        <v>7</v>
      </c>
      <c r="I46" s="30" t="str">
        <f>IF(ClientDB[[#This Row],[Start Date]]&gt;=DATE(2017,1,1),"New","")</f>
        <v/>
      </c>
      <c r="J46" s="30" t="str">
        <f>IF(OR(YEAR(ClientDB[[#This Row],[Start Date]])&lt;2013,ClientDB[[#This Row],[Events]]&gt;=15),"Yes","")</f>
        <v/>
      </c>
      <c r="K46" s="30" t="str">
        <f>VLOOKUP(ClientDB[[#This Row],[Events]],$M$10:$N$13,2,1)</f>
        <v>Bronze</v>
      </c>
    </row>
    <row r="47" spans="1:11" x14ac:dyDescent="0.25">
      <c r="A47" s="25">
        <v>13063</v>
      </c>
      <c r="B47" t="s">
        <v>73</v>
      </c>
      <c r="C47" t="s">
        <v>74</v>
      </c>
      <c r="D47" t="s">
        <v>75</v>
      </c>
      <c r="E47" s="33">
        <v>41250</v>
      </c>
      <c r="F47" t="str">
        <f>LOWER(LEFT(B47,1)&amp;C47&amp;"@"&amp;SUBSTITUTE(D47," ","")&amp;".com")</f>
        <v>cdietzel@xlaninternetexchange.com</v>
      </c>
      <c r="G47" s="30" t="s">
        <v>76</v>
      </c>
      <c r="H47" s="30">
        <v>1</v>
      </c>
      <c r="I47" s="30" t="str">
        <f>IF(ClientDB[[#This Row],[Start Date]]&gt;=DATE(2017,1,1),"New","")</f>
        <v/>
      </c>
      <c r="J47" s="30" t="str">
        <f>IF(OR(YEAR(ClientDB[[#This Row],[Start Date]])&lt;2013,ClientDB[[#This Row],[Events]]&gt;=15),"Yes","")</f>
        <v>Yes</v>
      </c>
      <c r="K47" s="30" t="str">
        <f>VLOOKUP(ClientDB[[#This Row],[Events]],$M$10:$N$13,2,1)</f>
        <v>Bronze</v>
      </c>
    </row>
    <row r="48" spans="1:11" x14ac:dyDescent="0.25">
      <c r="A48" s="25">
        <v>13210</v>
      </c>
      <c r="B48" t="s">
        <v>657</v>
      </c>
      <c r="C48" t="s">
        <v>727</v>
      </c>
      <c r="D48" t="s">
        <v>130</v>
      </c>
      <c r="E48" s="33">
        <v>41660</v>
      </c>
      <c r="F48" t="str">
        <f>LOWER(LEFT(B48,1)&amp;C48&amp;"@"&amp;SUBSTITUTE(D48," ","")&amp;".com")</f>
        <v>gadonaylo@lacne.com</v>
      </c>
      <c r="G48" s="30" t="s">
        <v>728</v>
      </c>
      <c r="H48" s="30">
        <v>3</v>
      </c>
      <c r="I48" s="30" t="str">
        <f>IF(ClientDB[[#This Row],[Start Date]]&gt;=DATE(2017,1,1),"New","")</f>
        <v/>
      </c>
      <c r="J48" s="30" t="str">
        <f>IF(OR(YEAR(ClientDB[[#This Row],[Start Date]])&lt;2013,ClientDB[[#This Row],[Events]]&gt;=15),"Yes","")</f>
        <v/>
      </c>
      <c r="K48" s="30" t="str">
        <f>VLOOKUP(ClientDB[[#This Row],[Events]],$M$10:$N$13,2,1)</f>
        <v>Bronze</v>
      </c>
    </row>
    <row r="49" spans="1:11" x14ac:dyDescent="0.25">
      <c r="A49" s="25">
        <v>13229</v>
      </c>
      <c r="B49" t="s">
        <v>90</v>
      </c>
      <c r="C49" t="s">
        <v>91</v>
      </c>
      <c r="D49" t="s">
        <v>92</v>
      </c>
      <c r="E49" s="33">
        <v>41258</v>
      </c>
      <c r="F49" t="str">
        <f>LOWER(LEFT(B49,1)&amp;C49&amp;"@"&amp;SUBSTITUTE(D49," ","")&amp;".com")</f>
        <v>etitova@asetplc.com</v>
      </c>
      <c r="G49" s="30" t="s">
        <v>93</v>
      </c>
      <c r="H49" s="30">
        <v>2</v>
      </c>
      <c r="I49" s="30" t="str">
        <f>IF(ClientDB[[#This Row],[Start Date]]&gt;=DATE(2017,1,1),"New","")</f>
        <v/>
      </c>
      <c r="J49" s="30" t="str">
        <f>IF(OR(YEAR(ClientDB[[#This Row],[Start Date]])&lt;2013,ClientDB[[#This Row],[Events]]&gt;=15),"Yes","")</f>
        <v>Yes</v>
      </c>
      <c r="K49" s="30" t="str">
        <f>VLOOKUP(ClientDB[[#This Row],[Events]],$M$10:$N$13,2,1)</f>
        <v>Bronze</v>
      </c>
    </row>
    <row r="50" spans="1:11" x14ac:dyDescent="0.25">
      <c r="A50" s="25">
        <v>13301</v>
      </c>
      <c r="B50" t="s">
        <v>572</v>
      </c>
      <c r="C50" t="s">
        <v>573</v>
      </c>
      <c r="D50" t="s">
        <v>48</v>
      </c>
      <c r="E50" s="33">
        <v>41926</v>
      </c>
      <c r="F50" t="str">
        <f>LOWER(LEFT(B50,1)&amp;C50&amp;"@"&amp;SUBSTITUTE(D50," ","")&amp;".com")</f>
        <v>svahabzadeh@icant.com</v>
      </c>
      <c r="G50" s="30" t="s">
        <v>37</v>
      </c>
      <c r="H50" s="30">
        <v>4</v>
      </c>
      <c r="I50" s="30" t="str">
        <f>IF(ClientDB[[#This Row],[Start Date]]&gt;=DATE(2017,1,1),"New","")</f>
        <v/>
      </c>
      <c r="J50" s="30" t="str">
        <f>IF(OR(YEAR(ClientDB[[#This Row],[Start Date]])&lt;2013,ClientDB[[#This Row],[Events]]&gt;=15),"Yes","")</f>
        <v/>
      </c>
      <c r="K50" s="30" t="str">
        <f>VLOOKUP(ClientDB[[#This Row],[Events]],$M$10:$N$13,2,1)</f>
        <v>Bronze</v>
      </c>
    </row>
    <row r="51" spans="1:11" x14ac:dyDescent="0.25">
      <c r="A51" s="25">
        <v>13380</v>
      </c>
      <c r="B51" t="s">
        <v>477</v>
      </c>
      <c r="C51" t="s">
        <v>478</v>
      </c>
      <c r="D51" t="s">
        <v>48</v>
      </c>
      <c r="E51" s="33">
        <v>41420</v>
      </c>
      <c r="F51" t="str">
        <f>LOWER(LEFT(B51,1)&amp;C51&amp;"@"&amp;SUBSTITUTE(D51," ","")&amp;".com")</f>
        <v>sgharghi@icant.com</v>
      </c>
      <c r="G51" s="30" t="s">
        <v>37</v>
      </c>
      <c r="H51" s="30">
        <v>6</v>
      </c>
      <c r="I51" s="30" t="str">
        <f>IF(ClientDB[[#This Row],[Start Date]]&gt;=DATE(2017,1,1),"New","")</f>
        <v/>
      </c>
      <c r="J51" s="30" t="str">
        <f>IF(OR(YEAR(ClientDB[[#This Row],[Start Date]])&lt;2013,ClientDB[[#This Row],[Events]]&gt;=15),"Yes","")</f>
        <v/>
      </c>
      <c r="K51" s="30" t="str">
        <f>VLOOKUP(ClientDB[[#This Row],[Events]],$M$10:$N$13,2,1)</f>
        <v>Bronze</v>
      </c>
    </row>
    <row r="52" spans="1:11" x14ac:dyDescent="0.25">
      <c r="A52" s="25">
        <v>13382</v>
      </c>
      <c r="B52" t="s">
        <v>475</v>
      </c>
      <c r="C52" t="s">
        <v>476</v>
      </c>
      <c r="D52" t="s">
        <v>135</v>
      </c>
      <c r="E52" s="33">
        <v>41135</v>
      </c>
      <c r="F52" t="str">
        <f>LOWER(LEFT(B52,1)&amp;C52&amp;"@"&amp;SUBSTITUTE(D52," ","")&amp;".com")</f>
        <v>jhelsingius@pilcostreambank.com</v>
      </c>
      <c r="G52" s="30" t="s">
        <v>89</v>
      </c>
      <c r="H52" s="30">
        <v>8</v>
      </c>
      <c r="I52" s="30" t="str">
        <f>IF(ClientDB[[#This Row],[Start Date]]&gt;=DATE(2017,1,1),"New","")</f>
        <v/>
      </c>
      <c r="J52" s="30" t="str">
        <f>IF(OR(YEAR(ClientDB[[#This Row],[Start Date]])&lt;2013,ClientDB[[#This Row],[Events]]&gt;=15),"Yes","")</f>
        <v>Yes</v>
      </c>
      <c r="K52" s="30" t="str">
        <f>VLOOKUP(ClientDB[[#This Row],[Events]],$M$10:$N$13,2,1)</f>
        <v>Bronze</v>
      </c>
    </row>
    <row r="53" spans="1:11" x14ac:dyDescent="0.25">
      <c r="A53" s="25">
        <v>13420</v>
      </c>
      <c r="B53" t="s">
        <v>97</v>
      </c>
      <c r="C53" t="s">
        <v>557</v>
      </c>
      <c r="D53" t="s">
        <v>40</v>
      </c>
      <c r="E53" s="33">
        <v>41623</v>
      </c>
      <c r="F53" t="str">
        <f>LOWER(LEFT(B53,1)&amp;C53&amp;"@"&amp;SUBSTITUTE(D53," ","")&amp;".com")</f>
        <v>trosenstein@denil.com</v>
      </c>
      <c r="G53" s="30" t="s">
        <v>41</v>
      </c>
      <c r="H53" s="30">
        <v>17</v>
      </c>
      <c r="I53" s="30" t="str">
        <f>IF(ClientDB[[#This Row],[Start Date]]&gt;=DATE(2017,1,1),"New","")</f>
        <v/>
      </c>
      <c r="J53" s="30" t="str">
        <f>IF(OR(YEAR(ClientDB[[#This Row],[Start Date]])&lt;2013,ClientDB[[#This Row],[Events]]&gt;=15),"Yes","")</f>
        <v>Yes</v>
      </c>
      <c r="K53" s="30" t="str">
        <f>VLOOKUP(ClientDB[[#This Row],[Events]],$M$10:$N$13,2,1)</f>
        <v>Silver</v>
      </c>
    </row>
    <row r="54" spans="1:11" x14ac:dyDescent="0.25">
      <c r="A54" s="25">
        <v>13485</v>
      </c>
      <c r="B54" t="s">
        <v>165</v>
      </c>
      <c r="C54" t="s">
        <v>204</v>
      </c>
      <c r="D54" t="s">
        <v>179</v>
      </c>
      <c r="E54" s="33">
        <v>41971</v>
      </c>
      <c r="F54" t="str">
        <f>LOWER(LEFT(B54,1)&amp;C54&amp;"@"&amp;SUBSTITUTE(D54," ","")&amp;".com")</f>
        <v>pwilson@ctx.com</v>
      </c>
      <c r="G54" s="30" t="s">
        <v>205</v>
      </c>
      <c r="H54" s="30">
        <v>6</v>
      </c>
      <c r="I54" s="30" t="str">
        <f>IF(ClientDB[[#This Row],[Start Date]]&gt;=DATE(2017,1,1),"New","")</f>
        <v/>
      </c>
      <c r="J54" s="30" t="str">
        <f>IF(OR(YEAR(ClientDB[[#This Row],[Start Date]])&lt;2013,ClientDB[[#This Row],[Events]]&gt;=15),"Yes","")</f>
        <v/>
      </c>
      <c r="K54" s="30" t="str">
        <f>VLOOKUP(ClientDB[[#This Row],[Events]],$M$10:$N$13,2,1)</f>
        <v>Bronze</v>
      </c>
    </row>
    <row r="55" spans="1:11" x14ac:dyDescent="0.25">
      <c r="A55" s="25">
        <v>13650</v>
      </c>
      <c r="B55" t="s">
        <v>566</v>
      </c>
      <c r="C55" t="s">
        <v>567</v>
      </c>
      <c r="D55" t="s">
        <v>40</v>
      </c>
      <c r="E55" s="33">
        <v>43000</v>
      </c>
      <c r="F55" t="str">
        <f>LOWER(LEFT(B55,1)&amp;C55&amp;"@"&amp;SUBSTITUTE(D55," ","")&amp;".com")</f>
        <v>bkrsic@denil.com</v>
      </c>
      <c r="G55" s="30" t="s">
        <v>76</v>
      </c>
      <c r="H55" s="30">
        <v>17</v>
      </c>
      <c r="I55" s="30" t="str">
        <f>IF(ClientDB[[#This Row],[Start Date]]&gt;=DATE(2017,1,1),"New","")</f>
        <v>New</v>
      </c>
      <c r="J55" s="30" t="str">
        <f>IF(OR(YEAR(ClientDB[[#This Row],[Start Date]])&lt;2013,ClientDB[[#This Row],[Events]]&gt;=15),"Yes","")</f>
        <v>Yes</v>
      </c>
      <c r="K55" s="30" t="str">
        <f>VLOOKUP(ClientDB[[#This Row],[Events]],$M$10:$N$13,2,1)</f>
        <v>Silver</v>
      </c>
    </row>
    <row r="56" spans="1:11" x14ac:dyDescent="0.25">
      <c r="A56" s="25">
        <v>13671</v>
      </c>
      <c r="B56" t="s">
        <v>792</v>
      </c>
      <c r="C56" t="s">
        <v>793</v>
      </c>
      <c r="D56" t="s">
        <v>52</v>
      </c>
      <c r="E56" s="33">
        <v>41932</v>
      </c>
      <c r="F56" t="str">
        <f>LOWER(LEFT(B56,1)&amp;C56&amp;"@"&amp;SUBSTITUTE(D56," ","")&amp;".com")</f>
        <v>rzwart@ripplecom.com</v>
      </c>
      <c r="G56" s="30" t="s">
        <v>37</v>
      </c>
      <c r="H56" s="30">
        <v>8</v>
      </c>
      <c r="I56" s="30" t="str">
        <f>IF(ClientDB[[#This Row],[Start Date]]&gt;=DATE(2017,1,1),"New","")</f>
        <v/>
      </c>
      <c r="J56" s="30" t="str">
        <f>IF(OR(YEAR(ClientDB[[#This Row],[Start Date]])&lt;2013,ClientDB[[#This Row],[Events]]&gt;=15),"Yes","")</f>
        <v/>
      </c>
      <c r="K56" s="30" t="str">
        <f>VLOOKUP(ClientDB[[#This Row],[Events]],$M$10:$N$13,2,1)</f>
        <v>Bronze</v>
      </c>
    </row>
    <row r="57" spans="1:11" x14ac:dyDescent="0.25">
      <c r="A57" s="25">
        <v>13684</v>
      </c>
      <c r="B57" t="s">
        <v>249</v>
      </c>
      <c r="C57" t="s">
        <v>250</v>
      </c>
      <c r="D57" t="s">
        <v>52</v>
      </c>
      <c r="E57" s="33">
        <v>42420</v>
      </c>
      <c r="F57" t="str">
        <f>LOWER(LEFT(B57,1)&amp;C57&amp;"@"&amp;SUBSTITUTE(D57," ","")&amp;".com")</f>
        <v>lhoogendoorn@ripplecom.com</v>
      </c>
      <c r="G57" s="30" t="s">
        <v>45</v>
      </c>
      <c r="H57" s="30">
        <v>10</v>
      </c>
      <c r="I57" s="30" t="str">
        <f>IF(ClientDB[[#This Row],[Start Date]]&gt;=DATE(2017,1,1),"New","")</f>
        <v/>
      </c>
      <c r="J57" s="30" t="str">
        <f>IF(OR(YEAR(ClientDB[[#This Row],[Start Date]])&lt;2013,ClientDB[[#This Row],[Events]]&gt;=15),"Yes","")</f>
        <v/>
      </c>
      <c r="K57" s="30" t="str">
        <f>VLOOKUP(ClientDB[[#This Row],[Events]],$M$10:$N$13,2,1)</f>
        <v>Silver</v>
      </c>
    </row>
    <row r="58" spans="1:11" x14ac:dyDescent="0.25">
      <c r="A58" s="25">
        <v>13713</v>
      </c>
      <c r="B58" t="s">
        <v>447</v>
      </c>
      <c r="C58" t="s">
        <v>448</v>
      </c>
      <c r="D58" t="s">
        <v>52</v>
      </c>
      <c r="E58" s="33">
        <v>41606</v>
      </c>
      <c r="F58" t="str">
        <f>LOWER(LEFT(B58,1)&amp;C58&amp;"@"&amp;SUBSTITUTE(D58," ","")&amp;".com")</f>
        <v>jzsako@ripplecom.com</v>
      </c>
      <c r="G58" s="30" t="s">
        <v>449</v>
      </c>
      <c r="H58" s="30">
        <v>20</v>
      </c>
      <c r="I58" s="30" t="str">
        <f>IF(ClientDB[[#This Row],[Start Date]]&gt;=DATE(2017,1,1),"New","")</f>
        <v/>
      </c>
      <c r="J58" s="30" t="str">
        <f>IF(OR(YEAR(ClientDB[[#This Row],[Start Date]])&lt;2013,ClientDB[[#This Row],[Events]]&gt;=15),"Yes","")</f>
        <v>Yes</v>
      </c>
      <c r="K58" s="30" t="str">
        <f>VLOOKUP(ClientDB[[#This Row],[Events]],$M$10:$N$13,2,1)</f>
        <v>Gold</v>
      </c>
    </row>
    <row r="59" spans="1:11" x14ac:dyDescent="0.25">
      <c r="A59" s="25">
        <v>13824</v>
      </c>
      <c r="B59" t="s">
        <v>140</v>
      </c>
      <c r="C59" t="s">
        <v>141</v>
      </c>
      <c r="D59" t="s">
        <v>83</v>
      </c>
      <c r="E59" s="33">
        <v>40286</v>
      </c>
      <c r="F59" t="str">
        <f>LOWER(LEFT(B59,1)&amp;C59&amp;"@"&amp;SUBSTITUTE(D59," ","")&amp;".com")</f>
        <v>zshaik@wizlabs.com</v>
      </c>
      <c r="G59" s="30" t="s">
        <v>127</v>
      </c>
      <c r="H59" s="30">
        <v>31</v>
      </c>
      <c r="I59" s="30" t="str">
        <f>IF(ClientDB[[#This Row],[Start Date]]&gt;=DATE(2017,1,1),"New","")</f>
        <v/>
      </c>
      <c r="J59" s="30" t="str">
        <f>IF(OR(YEAR(ClientDB[[#This Row],[Start Date]])&lt;2013,ClientDB[[#This Row],[Events]]&gt;=15),"Yes","")</f>
        <v>Yes</v>
      </c>
      <c r="K59" s="30" t="str">
        <f>VLOOKUP(ClientDB[[#This Row],[Events]],$M$10:$N$13,2,1)</f>
        <v>Platinum</v>
      </c>
    </row>
    <row r="60" spans="1:11" x14ac:dyDescent="0.25">
      <c r="A60" s="25">
        <v>13865</v>
      </c>
      <c r="B60" t="s">
        <v>402</v>
      </c>
      <c r="C60" t="s">
        <v>403</v>
      </c>
      <c r="D60" t="s">
        <v>126</v>
      </c>
      <c r="E60" s="33">
        <v>41651</v>
      </c>
      <c r="F60" t="str">
        <f>LOWER(LEFT(B60,1)&amp;C60&amp;"@"&amp;SUBSTITUTE(D60," ","")&amp;".com")</f>
        <v>mperzi@heatproof.com</v>
      </c>
      <c r="G60" s="30" t="s">
        <v>41</v>
      </c>
      <c r="H60" s="30">
        <v>4</v>
      </c>
      <c r="I60" s="30" t="str">
        <f>IF(ClientDB[[#This Row],[Start Date]]&gt;=DATE(2017,1,1),"New","")</f>
        <v/>
      </c>
      <c r="J60" s="30" t="str">
        <f>IF(OR(YEAR(ClientDB[[#This Row],[Start Date]])&lt;2013,ClientDB[[#This Row],[Events]]&gt;=15),"Yes","")</f>
        <v/>
      </c>
      <c r="K60" s="30" t="str">
        <f>VLOOKUP(ClientDB[[#This Row],[Events]],$M$10:$N$13,2,1)</f>
        <v>Bronze</v>
      </c>
    </row>
    <row r="61" spans="1:11" x14ac:dyDescent="0.25">
      <c r="A61" s="25">
        <v>13875</v>
      </c>
      <c r="B61" t="s">
        <v>438</v>
      </c>
      <c r="C61" t="s">
        <v>439</v>
      </c>
      <c r="D61" t="s">
        <v>104</v>
      </c>
      <c r="E61" s="33">
        <v>41234</v>
      </c>
      <c r="F61" t="str">
        <f>LOWER(LEFT(B61,1)&amp;C61&amp;"@"&amp;SUBSTITUTE(D61," ","")&amp;".com")</f>
        <v>hhajiseyedjavadi@parmistechnologies.com</v>
      </c>
      <c r="G61" s="30" t="s">
        <v>37</v>
      </c>
      <c r="H61" s="30">
        <v>12</v>
      </c>
      <c r="I61" s="30" t="str">
        <f>IF(ClientDB[[#This Row],[Start Date]]&gt;=DATE(2017,1,1),"New","")</f>
        <v/>
      </c>
      <c r="J61" s="30" t="str">
        <f>IF(OR(YEAR(ClientDB[[#This Row],[Start Date]])&lt;2013,ClientDB[[#This Row],[Events]]&gt;=15),"Yes","")</f>
        <v>Yes</v>
      </c>
      <c r="K61" s="30" t="str">
        <f>VLOOKUP(ClientDB[[#This Row],[Events]],$M$10:$N$13,2,1)</f>
        <v>Silver</v>
      </c>
    </row>
    <row r="62" spans="1:11" x14ac:dyDescent="0.25">
      <c r="A62" s="25">
        <v>13906</v>
      </c>
      <c r="B62" t="s">
        <v>570</v>
      </c>
      <c r="C62" t="s">
        <v>571</v>
      </c>
      <c r="D62" t="s">
        <v>36</v>
      </c>
      <c r="E62" s="33">
        <v>42164</v>
      </c>
      <c r="F62" t="str">
        <f>LOWER(LEFT(B62,1)&amp;C62&amp;"@"&amp;SUBSTITUTE(D62," ","")&amp;".com")</f>
        <v>avaezi@respiranetworks.com</v>
      </c>
      <c r="G62" s="30" t="s">
        <v>37</v>
      </c>
      <c r="H62" s="30">
        <v>8</v>
      </c>
      <c r="I62" s="30" t="str">
        <f>IF(ClientDB[[#This Row],[Start Date]]&gt;=DATE(2017,1,1),"New","")</f>
        <v/>
      </c>
      <c r="J62" s="30" t="str">
        <f>IF(OR(YEAR(ClientDB[[#This Row],[Start Date]])&lt;2013,ClientDB[[#This Row],[Events]]&gt;=15),"Yes","")</f>
        <v/>
      </c>
      <c r="K62" s="30" t="str">
        <f>VLOOKUP(ClientDB[[#This Row],[Events]],$M$10:$N$13,2,1)</f>
        <v>Bronze</v>
      </c>
    </row>
    <row r="63" spans="1:11" x14ac:dyDescent="0.25">
      <c r="A63" s="25">
        <v>14010</v>
      </c>
      <c r="B63" t="s">
        <v>619</v>
      </c>
      <c r="C63" t="s">
        <v>620</v>
      </c>
      <c r="D63" t="s">
        <v>335</v>
      </c>
      <c r="E63" s="33">
        <v>41543</v>
      </c>
      <c r="F63" t="str">
        <f>LOWER(LEFT(B63,1)&amp;C63&amp;"@"&amp;SUBSTITUTE(D63," ","")&amp;".com")</f>
        <v>ffarjadmanesh@cyberdataprocessing.com</v>
      </c>
      <c r="G63" s="30" t="s">
        <v>37</v>
      </c>
      <c r="H63" s="30">
        <v>27</v>
      </c>
      <c r="I63" s="30" t="str">
        <f>IF(ClientDB[[#This Row],[Start Date]]&gt;=DATE(2017,1,1),"New","")</f>
        <v/>
      </c>
      <c r="J63" s="30" t="str">
        <f>IF(OR(YEAR(ClientDB[[#This Row],[Start Date]])&lt;2013,ClientDB[[#This Row],[Events]]&gt;=15),"Yes","")</f>
        <v>Yes</v>
      </c>
      <c r="K63" s="30" t="str">
        <f>VLOOKUP(ClientDB[[#This Row],[Events]],$M$10:$N$13,2,1)</f>
        <v>Gold</v>
      </c>
    </row>
    <row r="64" spans="1:11" x14ac:dyDescent="0.25">
      <c r="A64" s="25">
        <v>14051</v>
      </c>
      <c r="B64" t="s">
        <v>558</v>
      </c>
      <c r="C64" t="s">
        <v>559</v>
      </c>
      <c r="D64" t="s">
        <v>147</v>
      </c>
      <c r="E64" s="33">
        <v>41922</v>
      </c>
      <c r="F64" t="str">
        <f>LOWER(LEFT(B64,1)&amp;C64&amp;"@"&amp;SUBSTITUTE(D64," ","")&amp;".com")</f>
        <v>mgruen@euro-m.com</v>
      </c>
      <c r="G64" s="30" t="s">
        <v>76</v>
      </c>
      <c r="H64" s="30">
        <v>8</v>
      </c>
      <c r="I64" s="30" t="str">
        <f>IF(ClientDB[[#This Row],[Start Date]]&gt;=DATE(2017,1,1),"New","")</f>
        <v/>
      </c>
      <c r="J64" s="30" t="str">
        <f>IF(OR(YEAR(ClientDB[[#This Row],[Start Date]])&lt;2013,ClientDB[[#This Row],[Events]]&gt;=15),"Yes","")</f>
        <v/>
      </c>
      <c r="K64" s="30" t="str">
        <f>VLOOKUP(ClientDB[[#This Row],[Events]],$M$10:$N$13,2,1)</f>
        <v>Bronze</v>
      </c>
    </row>
    <row r="65" spans="1:11" x14ac:dyDescent="0.25">
      <c r="A65" s="25">
        <v>14099</v>
      </c>
      <c r="B65" t="s">
        <v>699</v>
      </c>
      <c r="C65" t="s">
        <v>700</v>
      </c>
      <c r="D65" t="s">
        <v>99</v>
      </c>
      <c r="E65" s="33">
        <v>41754</v>
      </c>
      <c r="F65" t="str">
        <f>LOWER(LEFT(B65,1)&amp;C65&amp;"@"&amp;SUBSTITUTE(D65," ","")&amp;".com")</f>
        <v>pgopinath@bytesize.com</v>
      </c>
      <c r="G65" s="30" t="s">
        <v>185</v>
      </c>
      <c r="H65" s="30">
        <v>22</v>
      </c>
      <c r="I65" s="30" t="str">
        <f>IF(ClientDB[[#This Row],[Start Date]]&gt;=DATE(2017,1,1),"New","")</f>
        <v/>
      </c>
      <c r="J65" s="30" t="str">
        <f>IF(OR(YEAR(ClientDB[[#This Row],[Start Date]])&lt;2013,ClientDB[[#This Row],[Events]]&gt;=15),"Yes","")</f>
        <v>Yes</v>
      </c>
      <c r="K65" s="30" t="str">
        <f>VLOOKUP(ClientDB[[#This Row],[Events]],$M$10:$N$13,2,1)</f>
        <v>Gold</v>
      </c>
    </row>
    <row r="66" spans="1:11" x14ac:dyDescent="0.25">
      <c r="A66" s="25">
        <v>14159</v>
      </c>
      <c r="B66" t="s">
        <v>124</v>
      </c>
      <c r="C66" t="s">
        <v>382</v>
      </c>
      <c r="D66" t="s">
        <v>52</v>
      </c>
      <c r="E66" s="33">
        <v>41137</v>
      </c>
      <c r="F66" t="str">
        <f>LOWER(LEFT(B66,1)&amp;C66&amp;"@"&amp;SUBSTITUTE(D66," ","")&amp;".com")</f>
        <v>briddle@ripplecom.com</v>
      </c>
      <c r="G66" s="30" t="s">
        <v>45</v>
      </c>
      <c r="H66" s="30">
        <v>22</v>
      </c>
      <c r="I66" s="30" t="str">
        <f>IF(ClientDB[[#This Row],[Start Date]]&gt;=DATE(2017,1,1),"New","")</f>
        <v/>
      </c>
      <c r="J66" s="30" t="str">
        <f>IF(OR(YEAR(ClientDB[[#This Row],[Start Date]])&lt;2013,ClientDB[[#This Row],[Events]]&gt;=15),"Yes","")</f>
        <v>Yes</v>
      </c>
      <c r="K66" s="30" t="str">
        <f>VLOOKUP(ClientDB[[#This Row],[Events]],$M$10:$N$13,2,1)</f>
        <v>Gold</v>
      </c>
    </row>
    <row r="67" spans="1:11" x14ac:dyDescent="0.25">
      <c r="A67" s="25">
        <v>14194</v>
      </c>
      <c r="B67" t="s">
        <v>531</v>
      </c>
      <c r="C67" t="s">
        <v>634</v>
      </c>
      <c r="D67" t="s">
        <v>104</v>
      </c>
      <c r="E67" s="33">
        <v>42823</v>
      </c>
      <c r="F67" t="str">
        <f>LOWER(LEFT(B67,1)&amp;C67&amp;"@"&amp;SUBSTITUTE(D67," ","")&amp;".com")</f>
        <v>phessler@parmistechnologies.com</v>
      </c>
      <c r="G67" s="30" t="s">
        <v>76</v>
      </c>
      <c r="H67" s="30">
        <v>4</v>
      </c>
      <c r="I67" s="30" t="str">
        <f>IF(ClientDB[[#This Row],[Start Date]]&gt;=DATE(2017,1,1),"New","")</f>
        <v>New</v>
      </c>
      <c r="J67" s="30" t="str">
        <f>IF(OR(YEAR(ClientDB[[#This Row],[Start Date]])&lt;2013,ClientDB[[#This Row],[Events]]&gt;=15),"Yes","")</f>
        <v/>
      </c>
      <c r="K67" s="30" t="str">
        <f>VLOOKUP(ClientDB[[#This Row],[Events]],$M$10:$N$13,2,1)</f>
        <v>Bronze</v>
      </c>
    </row>
    <row r="68" spans="1:11" x14ac:dyDescent="0.25">
      <c r="A68" s="25">
        <v>14279</v>
      </c>
      <c r="B68" t="s">
        <v>464</v>
      </c>
      <c r="C68" t="s">
        <v>465</v>
      </c>
      <c r="D68" t="s">
        <v>75</v>
      </c>
      <c r="E68" s="33">
        <v>41884</v>
      </c>
      <c r="F68" t="str">
        <f>LOWER(LEFT(B68,1)&amp;C68&amp;"@"&amp;SUBSTITUTE(D68," ","")&amp;".com")</f>
        <v>mraissi@xlaninternetexchange.com</v>
      </c>
      <c r="G68" s="30" t="s">
        <v>37</v>
      </c>
      <c r="H68" s="30">
        <v>5</v>
      </c>
      <c r="I68" s="30" t="str">
        <f>IF(ClientDB[[#This Row],[Start Date]]&gt;=DATE(2017,1,1),"New","")</f>
        <v/>
      </c>
      <c r="J68" s="30" t="str">
        <f>IF(OR(YEAR(ClientDB[[#This Row],[Start Date]])&lt;2013,ClientDB[[#This Row],[Events]]&gt;=15),"Yes","")</f>
        <v/>
      </c>
      <c r="K68" s="30" t="str">
        <f>VLOOKUP(ClientDB[[#This Row],[Events]],$M$10:$N$13,2,1)</f>
        <v>Bronze</v>
      </c>
    </row>
    <row r="69" spans="1:11" x14ac:dyDescent="0.25">
      <c r="A69" s="25">
        <v>14484</v>
      </c>
      <c r="B69" t="s">
        <v>529</v>
      </c>
      <c r="C69" t="s">
        <v>530</v>
      </c>
      <c r="D69" t="s">
        <v>52</v>
      </c>
      <c r="E69" s="33">
        <v>41562</v>
      </c>
      <c r="F69" t="str">
        <f>LOWER(LEFT(B69,1)&amp;C69&amp;"@"&amp;SUBSTITUTE(D69," ","")&amp;".com")</f>
        <v>soostdijck@ripplecom.com</v>
      </c>
      <c r="G69" s="30" t="s">
        <v>45</v>
      </c>
      <c r="H69" s="30">
        <v>18</v>
      </c>
      <c r="I69" s="30" t="str">
        <f>IF(ClientDB[[#This Row],[Start Date]]&gt;=DATE(2017,1,1),"New","")</f>
        <v/>
      </c>
      <c r="J69" s="30" t="str">
        <f>IF(OR(YEAR(ClientDB[[#This Row],[Start Date]])&lt;2013,ClientDB[[#This Row],[Events]]&gt;=15),"Yes","")</f>
        <v>Yes</v>
      </c>
      <c r="K69" s="30" t="str">
        <f>VLOOKUP(ClientDB[[#This Row],[Events]],$M$10:$N$13,2,1)</f>
        <v>Silver</v>
      </c>
    </row>
    <row r="70" spans="1:11" x14ac:dyDescent="0.25">
      <c r="A70" s="25">
        <v>14486</v>
      </c>
      <c r="B70" t="s">
        <v>648</v>
      </c>
      <c r="C70" t="s">
        <v>649</v>
      </c>
      <c r="D70" t="s">
        <v>289</v>
      </c>
      <c r="E70" s="33">
        <v>42777</v>
      </c>
      <c r="F70" t="str">
        <f>LOWER(LEFT(B70,1)&amp;C70&amp;"@"&amp;SUBSTITUTE(D70," ","")&amp;".com")</f>
        <v>pgurbani@stepsittraining.com</v>
      </c>
      <c r="G70" s="30" t="s">
        <v>304</v>
      </c>
      <c r="H70" s="30">
        <v>3</v>
      </c>
      <c r="I70" s="30" t="str">
        <f>IF(ClientDB[[#This Row],[Start Date]]&gt;=DATE(2017,1,1),"New","")</f>
        <v>New</v>
      </c>
      <c r="J70" s="30" t="str">
        <f>IF(OR(YEAR(ClientDB[[#This Row],[Start Date]])&lt;2013,ClientDB[[#This Row],[Events]]&gt;=15),"Yes","")</f>
        <v/>
      </c>
      <c r="K70" s="30" t="str">
        <f>VLOOKUP(ClientDB[[#This Row],[Events]],$M$10:$N$13,2,1)</f>
        <v>Bronze</v>
      </c>
    </row>
    <row r="71" spans="1:11" x14ac:dyDescent="0.25">
      <c r="A71" s="25">
        <v>14504</v>
      </c>
      <c r="B71" t="s">
        <v>408</v>
      </c>
      <c r="C71" t="s">
        <v>409</v>
      </c>
      <c r="D71" t="s">
        <v>266</v>
      </c>
      <c r="E71" s="33">
        <v>42291</v>
      </c>
      <c r="F71" t="str">
        <f>LOWER(LEFT(B71,1)&amp;C71&amp;"@"&amp;SUBSTITUTE(D71," ","")&amp;".com")</f>
        <v>ocaletka@tqprocesses.com</v>
      </c>
      <c r="G71" s="30" t="s">
        <v>68</v>
      </c>
      <c r="H71" s="30">
        <v>11</v>
      </c>
      <c r="I71" s="30" t="str">
        <f>IF(ClientDB[[#This Row],[Start Date]]&gt;=DATE(2017,1,1),"New","")</f>
        <v/>
      </c>
      <c r="J71" s="30" t="str">
        <f>IF(OR(YEAR(ClientDB[[#This Row],[Start Date]])&lt;2013,ClientDB[[#This Row],[Events]]&gt;=15),"Yes","")</f>
        <v/>
      </c>
      <c r="K71" s="30" t="str">
        <f>VLOOKUP(ClientDB[[#This Row],[Events]],$M$10:$N$13,2,1)</f>
        <v>Silver</v>
      </c>
    </row>
    <row r="72" spans="1:11" x14ac:dyDescent="0.25">
      <c r="A72" s="25">
        <v>14515</v>
      </c>
      <c r="B72" t="s">
        <v>267</v>
      </c>
      <c r="C72" t="s">
        <v>268</v>
      </c>
      <c r="D72" t="s">
        <v>71</v>
      </c>
      <c r="E72" s="33">
        <v>42537</v>
      </c>
      <c r="F72" t="str">
        <f>LOWER(LEFT(B72,1)&amp;C72&amp;"@"&amp;SUBSTITUTE(D72," ","")&amp;".com")</f>
        <v>ukieber@oglev.com</v>
      </c>
      <c r="G72" s="30" t="s">
        <v>269</v>
      </c>
      <c r="H72" s="30">
        <v>5</v>
      </c>
      <c r="I72" s="30" t="str">
        <f>IF(ClientDB[[#This Row],[Start Date]]&gt;=DATE(2017,1,1),"New","")</f>
        <v/>
      </c>
      <c r="J72" s="30" t="str">
        <f>IF(OR(YEAR(ClientDB[[#This Row],[Start Date]])&lt;2013,ClientDB[[#This Row],[Events]]&gt;=15),"Yes","")</f>
        <v/>
      </c>
      <c r="K72" s="30" t="str">
        <f>VLOOKUP(ClientDB[[#This Row],[Events]],$M$10:$N$13,2,1)</f>
        <v>Bronze</v>
      </c>
    </row>
    <row r="73" spans="1:11" x14ac:dyDescent="0.25">
      <c r="A73" s="25">
        <v>14530</v>
      </c>
      <c r="B73" t="s">
        <v>663</v>
      </c>
      <c r="C73" t="s">
        <v>664</v>
      </c>
      <c r="D73" t="s">
        <v>130</v>
      </c>
      <c r="E73" s="33">
        <v>40452</v>
      </c>
      <c r="F73" t="str">
        <f>LOWER(LEFT(B73,1)&amp;C73&amp;"@"&amp;SUBSTITUTE(D73," ","")&amp;".com")</f>
        <v>ssolmone@lacne.com</v>
      </c>
      <c r="G73" s="30" t="s">
        <v>45</v>
      </c>
      <c r="H73" s="30">
        <v>36</v>
      </c>
      <c r="I73" s="30" t="str">
        <f>IF(ClientDB[[#This Row],[Start Date]]&gt;=DATE(2017,1,1),"New","")</f>
        <v/>
      </c>
      <c r="J73" s="30" t="str">
        <f>IF(OR(YEAR(ClientDB[[#This Row],[Start Date]])&lt;2013,ClientDB[[#This Row],[Events]]&gt;=15),"Yes","")</f>
        <v>Yes</v>
      </c>
      <c r="K73" s="30" t="str">
        <f>VLOOKUP(ClientDB[[#This Row],[Events]],$M$10:$N$13,2,1)</f>
        <v>Platinum</v>
      </c>
    </row>
    <row r="74" spans="1:11" x14ac:dyDescent="0.25">
      <c r="A74" s="25">
        <v>14621</v>
      </c>
      <c r="B74" t="s">
        <v>152</v>
      </c>
      <c r="C74" t="s">
        <v>153</v>
      </c>
      <c r="D74" t="s">
        <v>52</v>
      </c>
      <c r="E74" s="33">
        <v>42642</v>
      </c>
      <c r="F74" t="str">
        <f>LOWER(LEFT(B74,1)&amp;C74&amp;"@"&amp;SUBSTITUTE(D74," ","")&amp;".com")</f>
        <v>syamout@ripplecom.com</v>
      </c>
      <c r="G74" s="30" t="s">
        <v>154</v>
      </c>
      <c r="H74" s="30">
        <v>8</v>
      </c>
      <c r="I74" s="30" t="str">
        <f>IF(ClientDB[[#This Row],[Start Date]]&gt;=DATE(2017,1,1),"New","")</f>
        <v/>
      </c>
      <c r="J74" s="30" t="str">
        <f>IF(OR(YEAR(ClientDB[[#This Row],[Start Date]])&lt;2013,ClientDB[[#This Row],[Events]]&gt;=15),"Yes","")</f>
        <v/>
      </c>
      <c r="K74" s="30" t="str">
        <f>VLOOKUP(ClientDB[[#This Row],[Events]],$M$10:$N$13,2,1)</f>
        <v>Bronze</v>
      </c>
    </row>
    <row r="75" spans="1:11" x14ac:dyDescent="0.25">
      <c r="A75" s="25">
        <v>14634</v>
      </c>
      <c r="B75" t="s">
        <v>564</v>
      </c>
      <c r="C75" t="s">
        <v>565</v>
      </c>
      <c r="D75" t="s">
        <v>135</v>
      </c>
      <c r="E75" s="33">
        <v>42073</v>
      </c>
      <c r="F75" t="str">
        <f>LOWER(LEFT(B75,1)&amp;C75&amp;"@"&amp;SUBSTITUTE(D75," ","")&amp;".com")</f>
        <v>apotter@pilcostreambank.com</v>
      </c>
      <c r="G75" s="30" t="s">
        <v>64</v>
      </c>
      <c r="H75" s="30">
        <v>4</v>
      </c>
      <c r="I75" s="30" t="str">
        <f>IF(ClientDB[[#This Row],[Start Date]]&gt;=DATE(2017,1,1),"New","")</f>
        <v/>
      </c>
      <c r="J75" s="30" t="str">
        <f>IF(OR(YEAR(ClientDB[[#This Row],[Start Date]])&lt;2013,ClientDB[[#This Row],[Events]]&gt;=15),"Yes","")</f>
        <v/>
      </c>
      <c r="K75" s="30" t="str">
        <f>VLOOKUP(ClientDB[[#This Row],[Events]],$M$10:$N$13,2,1)</f>
        <v>Bronze</v>
      </c>
    </row>
    <row r="76" spans="1:11" x14ac:dyDescent="0.25">
      <c r="A76" s="25">
        <v>14675</v>
      </c>
      <c r="B76" t="s">
        <v>264</v>
      </c>
      <c r="C76" t="s">
        <v>265</v>
      </c>
      <c r="D76" t="s">
        <v>266</v>
      </c>
      <c r="E76" s="33">
        <v>42793</v>
      </c>
      <c r="F76" t="str">
        <f>LOWER(LEFT(B76,1)&amp;C76&amp;"@"&amp;SUBSTITUTE(D76," ","")&amp;".com")</f>
        <v>zhammoudi@tqprocesses.com</v>
      </c>
      <c r="G76" s="30" t="s">
        <v>64</v>
      </c>
      <c r="H76" s="30">
        <v>1</v>
      </c>
      <c r="I76" s="30" t="str">
        <f>IF(ClientDB[[#This Row],[Start Date]]&gt;=DATE(2017,1,1),"New","")</f>
        <v>New</v>
      </c>
      <c r="J76" s="30" t="str">
        <f>IF(OR(YEAR(ClientDB[[#This Row],[Start Date]])&lt;2013,ClientDB[[#This Row],[Events]]&gt;=15),"Yes","")</f>
        <v/>
      </c>
      <c r="K76" s="30" t="str">
        <f>VLOOKUP(ClientDB[[#This Row],[Events]],$M$10:$N$13,2,1)</f>
        <v>Bronze</v>
      </c>
    </row>
    <row r="77" spans="1:11" x14ac:dyDescent="0.25">
      <c r="A77" s="25">
        <v>15000</v>
      </c>
      <c r="B77" t="s">
        <v>87</v>
      </c>
      <c r="C77" t="s">
        <v>88</v>
      </c>
      <c r="D77" t="s">
        <v>67</v>
      </c>
      <c r="E77" s="33">
        <v>42892</v>
      </c>
      <c r="F77" t="str">
        <f>LOWER(LEFT(B77,1)&amp;C77&amp;"@"&amp;SUBSTITUTE(D77," ","")&amp;".com")</f>
        <v>floefflat@pinkcloudnetworks.com</v>
      </c>
      <c r="G77" s="30" t="s">
        <v>89</v>
      </c>
      <c r="H77" s="30">
        <v>3</v>
      </c>
      <c r="I77" s="30" t="str">
        <f>IF(ClientDB[[#This Row],[Start Date]]&gt;=DATE(2017,1,1),"New","")</f>
        <v>New</v>
      </c>
      <c r="J77" s="30" t="str">
        <f>IF(OR(YEAR(ClientDB[[#This Row],[Start Date]])&lt;2013,ClientDB[[#This Row],[Events]]&gt;=15),"Yes","")</f>
        <v/>
      </c>
      <c r="K77" s="30" t="str">
        <f>VLOOKUP(ClientDB[[#This Row],[Events]],$M$10:$N$13,2,1)</f>
        <v>Bronze</v>
      </c>
    </row>
    <row r="78" spans="1:11" x14ac:dyDescent="0.25">
      <c r="A78" s="25">
        <v>15111</v>
      </c>
      <c r="B78" t="s">
        <v>713</v>
      </c>
      <c r="C78" t="s">
        <v>714</v>
      </c>
      <c r="D78" t="s">
        <v>59</v>
      </c>
      <c r="E78" s="33">
        <v>41333</v>
      </c>
      <c r="F78" t="str">
        <f>LOWER(LEFT(B78,1)&amp;C78&amp;"@"&amp;SUBSTITUTE(D78," ","")&amp;".com")</f>
        <v>msalah@duet.com</v>
      </c>
      <c r="G78" s="30" t="s">
        <v>715</v>
      </c>
      <c r="H78" s="30">
        <v>34</v>
      </c>
      <c r="I78" s="30" t="str">
        <f>IF(ClientDB[[#This Row],[Start Date]]&gt;=DATE(2017,1,1),"New","")</f>
        <v/>
      </c>
      <c r="J78" s="30" t="str">
        <f>IF(OR(YEAR(ClientDB[[#This Row],[Start Date]])&lt;2013,ClientDB[[#This Row],[Events]]&gt;=15),"Yes","")</f>
        <v>Yes</v>
      </c>
      <c r="K78" s="30" t="str">
        <f>VLOOKUP(ClientDB[[#This Row],[Events]],$M$10:$N$13,2,1)</f>
        <v>Platinum</v>
      </c>
    </row>
    <row r="79" spans="1:11" x14ac:dyDescent="0.25">
      <c r="A79" s="25">
        <v>15232</v>
      </c>
      <c r="B79" t="s">
        <v>65</v>
      </c>
      <c r="C79" t="s">
        <v>199</v>
      </c>
      <c r="D79" t="s">
        <v>48</v>
      </c>
      <c r="E79" s="33">
        <v>41967</v>
      </c>
      <c r="F79" t="str">
        <f>LOWER(LEFT(B79,1)&amp;C79&amp;"@"&amp;SUBSTITUTE(D79," ","")&amp;".com")</f>
        <v>schumak@icant.com</v>
      </c>
      <c r="G79" s="30" t="s">
        <v>56</v>
      </c>
      <c r="H79" s="30">
        <v>4</v>
      </c>
      <c r="I79" s="30" t="str">
        <f>IF(ClientDB[[#This Row],[Start Date]]&gt;=DATE(2017,1,1),"New","")</f>
        <v/>
      </c>
      <c r="J79" s="30" t="str">
        <f>IF(OR(YEAR(ClientDB[[#This Row],[Start Date]])&lt;2013,ClientDB[[#This Row],[Events]]&gt;=15),"Yes","")</f>
        <v/>
      </c>
      <c r="K79" s="30" t="str">
        <f>VLOOKUP(ClientDB[[#This Row],[Events]],$M$10:$N$13,2,1)</f>
        <v>Bronze</v>
      </c>
    </row>
    <row r="80" spans="1:11" x14ac:dyDescent="0.25">
      <c r="A80" s="25">
        <v>15266</v>
      </c>
      <c r="B80" t="s">
        <v>578</v>
      </c>
      <c r="C80" t="s">
        <v>579</v>
      </c>
      <c r="D80" t="s">
        <v>59</v>
      </c>
      <c r="E80" s="33">
        <v>42805</v>
      </c>
      <c r="F80" t="str">
        <f>LOWER(LEFT(B80,1)&amp;C80&amp;"@"&amp;SUBSTITUTE(D80," ","")&amp;".com")</f>
        <v>halmheiri@duet.com</v>
      </c>
      <c r="G80" s="30" t="s">
        <v>185</v>
      </c>
      <c r="H80" s="30">
        <v>5</v>
      </c>
      <c r="I80" s="30" t="str">
        <f>IF(ClientDB[[#This Row],[Start Date]]&gt;=DATE(2017,1,1),"New","")</f>
        <v>New</v>
      </c>
      <c r="J80" s="30" t="str">
        <f>IF(OR(YEAR(ClientDB[[#This Row],[Start Date]])&lt;2013,ClientDB[[#This Row],[Events]]&gt;=15),"Yes","")</f>
        <v/>
      </c>
      <c r="K80" s="30" t="str">
        <f>VLOOKUP(ClientDB[[#This Row],[Events]],$M$10:$N$13,2,1)</f>
        <v>Bronze</v>
      </c>
    </row>
    <row r="81" spans="1:11" x14ac:dyDescent="0.25">
      <c r="A81" s="25">
        <v>15329</v>
      </c>
      <c r="B81" t="s">
        <v>162</v>
      </c>
      <c r="C81" t="s">
        <v>163</v>
      </c>
      <c r="D81" t="s">
        <v>164</v>
      </c>
      <c r="E81" s="33">
        <v>42971</v>
      </c>
      <c r="F81" t="str">
        <f>LOWER(LEFT(B81,1)&amp;C81&amp;"@"&amp;SUBSTITUTE(D81," ","")&amp;".com")</f>
        <v>ibaranovskyi@zconnect,inc.com</v>
      </c>
      <c r="G81" s="30" t="s">
        <v>56</v>
      </c>
      <c r="H81" s="30">
        <v>1</v>
      </c>
      <c r="I81" s="30" t="str">
        <f>IF(ClientDB[[#This Row],[Start Date]]&gt;=DATE(2017,1,1),"New","")</f>
        <v>New</v>
      </c>
      <c r="J81" s="30" t="str">
        <f>IF(OR(YEAR(ClientDB[[#This Row],[Start Date]])&lt;2013,ClientDB[[#This Row],[Events]]&gt;=15),"Yes","")</f>
        <v/>
      </c>
      <c r="K81" s="30" t="str">
        <f>VLOOKUP(ClientDB[[#This Row],[Events]],$M$10:$N$13,2,1)</f>
        <v>Bronze</v>
      </c>
    </row>
    <row r="82" spans="1:11" x14ac:dyDescent="0.25">
      <c r="A82" s="25">
        <v>15378</v>
      </c>
      <c r="B82" t="s">
        <v>460</v>
      </c>
      <c r="C82" t="s">
        <v>461</v>
      </c>
      <c r="D82" t="s">
        <v>164</v>
      </c>
      <c r="E82" s="33">
        <v>42957</v>
      </c>
      <c r="F82" t="str">
        <f>LOWER(LEFT(B82,1)&amp;C82&amp;"@"&amp;SUBSTITUTE(D82," ","")&amp;".com")</f>
        <v>cleanca@zconnect,inc.com</v>
      </c>
      <c r="G82" s="30" t="s">
        <v>84</v>
      </c>
      <c r="H82" s="30">
        <v>2</v>
      </c>
      <c r="I82" s="30" t="str">
        <f>IF(ClientDB[[#This Row],[Start Date]]&gt;=DATE(2017,1,1),"New","")</f>
        <v>New</v>
      </c>
      <c r="J82" s="30" t="str">
        <f>IF(OR(YEAR(ClientDB[[#This Row],[Start Date]])&lt;2013,ClientDB[[#This Row],[Events]]&gt;=15),"Yes","")</f>
        <v/>
      </c>
      <c r="K82" s="30" t="str">
        <f>VLOOKUP(ClientDB[[#This Row],[Events]],$M$10:$N$13,2,1)</f>
        <v>Bronze</v>
      </c>
    </row>
    <row r="83" spans="1:11" x14ac:dyDescent="0.25">
      <c r="A83" s="25">
        <v>15458</v>
      </c>
      <c r="B83" t="s">
        <v>61</v>
      </c>
      <c r="C83" t="s">
        <v>62</v>
      </c>
      <c r="D83" t="s">
        <v>63</v>
      </c>
      <c r="E83" s="33">
        <v>42281</v>
      </c>
      <c r="F83" t="str">
        <f>LOWER(LEFT(B83,1)&amp;C83&amp;"@"&amp;SUBSTITUTE(D83," ","")&amp;".com")</f>
        <v>kpack@ahanetworks.com</v>
      </c>
      <c r="G83" s="30" t="s">
        <v>64</v>
      </c>
      <c r="H83" s="30">
        <v>13</v>
      </c>
      <c r="I83" s="30" t="str">
        <f>IF(ClientDB[[#This Row],[Start Date]]&gt;=DATE(2017,1,1),"New","")</f>
        <v/>
      </c>
      <c r="J83" s="30" t="str">
        <f>IF(OR(YEAR(ClientDB[[#This Row],[Start Date]])&lt;2013,ClientDB[[#This Row],[Events]]&gt;=15),"Yes","")</f>
        <v/>
      </c>
      <c r="K83" s="30" t="str">
        <f>VLOOKUP(ClientDB[[#This Row],[Events]],$M$10:$N$13,2,1)</f>
        <v>Silver</v>
      </c>
    </row>
    <row r="84" spans="1:11" x14ac:dyDescent="0.25">
      <c r="A84" s="25">
        <v>15513</v>
      </c>
      <c r="B84" t="s">
        <v>702</v>
      </c>
      <c r="C84" t="s">
        <v>703</v>
      </c>
      <c r="D84" t="s">
        <v>289</v>
      </c>
      <c r="E84" s="33">
        <v>42440</v>
      </c>
      <c r="F84" t="str">
        <f>LOWER(LEFT(B84,1)&amp;C84&amp;"@"&amp;SUBSTITUTE(D84," ","")&amp;".com")</f>
        <v>zkrapavickas@stepsittraining.com</v>
      </c>
      <c r="G84" s="30" t="s">
        <v>426</v>
      </c>
      <c r="H84" s="30">
        <v>4</v>
      </c>
      <c r="I84" s="30" t="str">
        <f>IF(ClientDB[[#This Row],[Start Date]]&gt;=DATE(2017,1,1),"New","")</f>
        <v/>
      </c>
      <c r="J84" s="30" t="str">
        <f>IF(OR(YEAR(ClientDB[[#This Row],[Start Date]])&lt;2013,ClientDB[[#This Row],[Events]]&gt;=15),"Yes","")</f>
        <v/>
      </c>
      <c r="K84" s="30" t="str">
        <f>VLOOKUP(ClientDB[[#This Row],[Events]],$M$10:$N$13,2,1)</f>
        <v>Bronze</v>
      </c>
    </row>
    <row r="85" spans="1:11" x14ac:dyDescent="0.25">
      <c r="A85" s="25">
        <v>15627</v>
      </c>
      <c r="B85" t="s">
        <v>231</v>
      </c>
      <c r="C85" t="s">
        <v>232</v>
      </c>
      <c r="D85" t="s">
        <v>221</v>
      </c>
      <c r="E85" s="33">
        <v>42858</v>
      </c>
      <c r="F85" t="str">
        <f>LOWER(LEFT(B85,1)&amp;C85&amp;"@"&amp;SUBSTITUTE(D85," ","")&amp;".com")</f>
        <v>ebyaruhanga@westtelco.com</v>
      </c>
      <c r="G85" s="30" t="s">
        <v>233</v>
      </c>
      <c r="H85" s="30">
        <v>3</v>
      </c>
      <c r="I85" s="30" t="str">
        <f>IF(ClientDB[[#This Row],[Start Date]]&gt;=DATE(2017,1,1),"New","")</f>
        <v>New</v>
      </c>
      <c r="J85" s="30" t="str">
        <f>IF(OR(YEAR(ClientDB[[#This Row],[Start Date]])&lt;2013,ClientDB[[#This Row],[Events]]&gt;=15),"Yes","")</f>
        <v/>
      </c>
      <c r="K85" s="30" t="str">
        <f>VLOOKUP(ClientDB[[#This Row],[Events]],$M$10:$N$13,2,1)</f>
        <v>Bronze</v>
      </c>
    </row>
    <row r="86" spans="1:11" x14ac:dyDescent="0.25">
      <c r="A86" s="25">
        <v>15663</v>
      </c>
      <c r="B86" t="s">
        <v>342</v>
      </c>
      <c r="C86" t="s">
        <v>343</v>
      </c>
      <c r="D86" t="s">
        <v>75</v>
      </c>
      <c r="E86" s="33">
        <v>41935</v>
      </c>
      <c r="F86" t="str">
        <f>LOWER(LEFT(B86,1)&amp;C86&amp;"@"&amp;SUBSTITUTE(D86," ","")&amp;".com")</f>
        <v>snair@xlaninternetexchange.com</v>
      </c>
      <c r="G86" s="30" t="s">
        <v>64</v>
      </c>
      <c r="H86" s="30">
        <v>5</v>
      </c>
      <c r="I86" s="30" t="str">
        <f>IF(ClientDB[[#This Row],[Start Date]]&gt;=DATE(2017,1,1),"New","")</f>
        <v/>
      </c>
      <c r="J86" s="30" t="str">
        <f>IF(OR(YEAR(ClientDB[[#This Row],[Start Date]])&lt;2013,ClientDB[[#This Row],[Events]]&gt;=15),"Yes","")</f>
        <v/>
      </c>
      <c r="K86" s="30" t="str">
        <f>VLOOKUP(ClientDB[[#This Row],[Events]],$M$10:$N$13,2,1)</f>
        <v>Bronze</v>
      </c>
    </row>
    <row r="87" spans="1:11" x14ac:dyDescent="0.25">
      <c r="A87" s="25">
        <v>15843</v>
      </c>
      <c r="B87" t="s">
        <v>775</v>
      </c>
      <c r="C87" t="s">
        <v>776</v>
      </c>
      <c r="D87" t="s">
        <v>79</v>
      </c>
      <c r="E87" s="33">
        <v>41227</v>
      </c>
      <c r="F87" t="str">
        <f>LOWER(LEFT(B87,1)&amp;C87&amp;"@"&amp;SUBSTITUTE(D87," ","")&amp;".com")</f>
        <v>ynushev@zimsales.com</v>
      </c>
      <c r="G87" s="30" t="s">
        <v>370</v>
      </c>
      <c r="H87" s="30">
        <v>10</v>
      </c>
      <c r="I87" s="30" t="str">
        <f>IF(ClientDB[[#This Row],[Start Date]]&gt;=DATE(2017,1,1),"New","")</f>
        <v/>
      </c>
      <c r="J87" s="30" t="str">
        <f>IF(OR(YEAR(ClientDB[[#This Row],[Start Date]])&lt;2013,ClientDB[[#This Row],[Events]]&gt;=15),"Yes","")</f>
        <v>Yes</v>
      </c>
      <c r="K87" s="30" t="str">
        <f>VLOOKUP(ClientDB[[#This Row],[Events]],$M$10:$N$13,2,1)</f>
        <v>Silver</v>
      </c>
    </row>
    <row r="88" spans="1:11" x14ac:dyDescent="0.25">
      <c r="A88" s="25">
        <v>15866</v>
      </c>
      <c r="B88" t="s">
        <v>705</v>
      </c>
      <c r="C88" t="s">
        <v>706</v>
      </c>
      <c r="D88" t="s">
        <v>179</v>
      </c>
      <c r="E88" s="33">
        <v>42037</v>
      </c>
      <c r="F88" t="str">
        <f>LOWER(LEFT(B88,1)&amp;C88&amp;"@"&amp;SUBSTITUTE(D88," ","")&amp;".com")</f>
        <v>jsilva damas@ctx.com</v>
      </c>
      <c r="G88" s="30" t="s">
        <v>304</v>
      </c>
      <c r="H88" s="30">
        <v>14</v>
      </c>
      <c r="I88" s="30" t="str">
        <f>IF(ClientDB[[#This Row],[Start Date]]&gt;=DATE(2017,1,1),"New","")</f>
        <v/>
      </c>
      <c r="J88" s="30" t="str">
        <f>IF(OR(YEAR(ClientDB[[#This Row],[Start Date]])&lt;2013,ClientDB[[#This Row],[Events]]&gt;=15),"Yes","")</f>
        <v/>
      </c>
      <c r="K88" s="30" t="str">
        <f>VLOOKUP(ClientDB[[#This Row],[Events]],$M$10:$N$13,2,1)</f>
        <v>Silver</v>
      </c>
    </row>
    <row r="89" spans="1:11" x14ac:dyDescent="0.25">
      <c r="A89" s="25">
        <v>15895</v>
      </c>
      <c r="B89" t="s">
        <v>189</v>
      </c>
      <c r="C89" t="s">
        <v>190</v>
      </c>
      <c r="D89" t="s">
        <v>52</v>
      </c>
      <c r="E89" s="33">
        <v>41780</v>
      </c>
      <c r="F89" t="str">
        <f>LOWER(LEFT(B89,1)&amp;C89&amp;"@"&amp;SUBSTITUTE(D89," ","")&amp;".com")</f>
        <v>acima@ripplecom.com</v>
      </c>
      <c r="G89" s="30" t="s">
        <v>45</v>
      </c>
      <c r="H89" s="30">
        <v>11</v>
      </c>
      <c r="I89" s="30" t="str">
        <f>IF(ClientDB[[#This Row],[Start Date]]&gt;=DATE(2017,1,1),"New","")</f>
        <v/>
      </c>
      <c r="J89" s="30" t="str">
        <f>IF(OR(YEAR(ClientDB[[#This Row],[Start Date]])&lt;2013,ClientDB[[#This Row],[Events]]&gt;=15),"Yes","")</f>
        <v/>
      </c>
      <c r="K89" s="30" t="str">
        <f>VLOOKUP(ClientDB[[#This Row],[Events]],$M$10:$N$13,2,1)</f>
        <v>Silver</v>
      </c>
    </row>
    <row r="90" spans="1:11" x14ac:dyDescent="0.25">
      <c r="A90" s="25">
        <v>15928</v>
      </c>
      <c r="B90" t="s">
        <v>525</v>
      </c>
      <c r="C90" t="s">
        <v>526</v>
      </c>
      <c r="D90" t="s">
        <v>150</v>
      </c>
      <c r="E90" s="33">
        <v>41396</v>
      </c>
      <c r="F90" t="str">
        <f>LOWER(LEFT(B90,1)&amp;C90&amp;"@"&amp;SUBSTITUTE(D90," ","")&amp;".com")</f>
        <v>khlobilová@ebonytelecoms.com</v>
      </c>
      <c r="G90" s="30" t="s">
        <v>68</v>
      </c>
      <c r="H90" s="30">
        <v>7</v>
      </c>
      <c r="I90" s="30" t="str">
        <f>IF(ClientDB[[#This Row],[Start Date]]&gt;=DATE(2017,1,1),"New","")</f>
        <v/>
      </c>
      <c r="J90" s="30" t="str">
        <f>IF(OR(YEAR(ClientDB[[#This Row],[Start Date]])&lt;2013,ClientDB[[#This Row],[Events]]&gt;=15),"Yes","")</f>
        <v/>
      </c>
      <c r="K90" s="30" t="str">
        <f>VLOOKUP(ClientDB[[#This Row],[Events]],$M$10:$N$13,2,1)</f>
        <v>Bronze</v>
      </c>
    </row>
    <row r="91" spans="1:11" x14ac:dyDescent="0.25">
      <c r="A91" s="25">
        <v>15957</v>
      </c>
      <c r="B91" t="s">
        <v>646</v>
      </c>
      <c r="C91" t="s">
        <v>647</v>
      </c>
      <c r="D91" t="s">
        <v>55</v>
      </c>
      <c r="E91" s="33">
        <v>42854</v>
      </c>
      <c r="F91" t="str">
        <f>LOWER(LEFT(B91,1)&amp;C91&amp;"@"&amp;SUBSTITUTE(D91," ","")&amp;".com")</f>
        <v>mafshari@wwt.com</v>
      </c>
      <c r="G91" s="30" t="s">
        <v>37</v>
      </c>
      <c r="H91" s="30">
        <v>12</v>
      </c>
      <c r="I91" s="30" t="str">
        <f>IF(ClientDB[[#This Row],[Start Date]]&gt;=DATE(2017,1,1),"New","")</f>
        <v>New</v>
      </c>
      <c r="J91" s="30" t="str">
        <f>IF(OR(YEAR(ClientDB[[#This Row],[Start Date]])&lt;2013,ClientDB[[#This Row],[Events]]&gt;=15),"Yes","")</f>
        <v/>
      </c>
      <c r="K91" s="30" t="str">
        <f>VLOOKUP(ClientDB[[#This Row],[Events]],$M$10:$N$13,2,1)</f>
        <v>Silver</v>
      </c>
    </row>
    <row r="92" spans="1:11" x14ac:dyDescent="0.25">
      <c r="A92" s="25">
        <v>16000</v>
      </c>
      <c r="B92" t="s">
        <v>623</v>
      </c>
      <c r="C92" t="s">
        <v>624</v>
      </c>
      <c r="D92" t="s">
        <v>48</v>
      </c>
      <c r="E92" s="33">
        <v>40472</v>
      </c>
      <c r="F92" t="str">
        <f>LOWER(LEFT(B92,1)&amp;C92&amp;"@"&amp;SUBSTITUTE(D92," ","")&amp;".com")</f>
        <v>jjansen@icant.com</v>
      </c>
      <c r="G92" s="30" t="s">
        <v>89</v>
      </c>
      <c r="H92" s="30">
        <v>37</v>
      </c>
      <c r="I92" s="30" t="str">
        <f>IF(ClientDB[[#This Row],[Start Date]]&gt;=DATE(2017,1,1),"New","")</f>
        <v/>
      </c>
      <c r="J92" s="30" t="str">
        <f>IF(OR(YEAR(ClientDB[[#This Row],[Start Date]])&lt;2013,ClientDB[[#This Row],[Events]]&gt;=15),"Yes","")</f>
        <v>Yes</v>
      </c>
      <c r="K92" s="30" t="str">
        <f>VLOOKUP(ClientDB[[#This Row],[Events]],$M$10:$N$13,2,1)</f>
        <v>Platinum</v>
      </c>
    </row>
    <row r="93" spans="1:11" x14ac:dyDescent="0.25">
      <c r="A93" s="25">
        <v>16152</v>
      </c>
      <c r="B93" t="s">
        <v>65</v>
      </c>
      <c r="C93" t="s">
        <v>66</v>
      </c>
      <c r="D93" t="s">
        <v>67</v>
      </c>
      <c r="E93" s="33">
        <v>42595</v>
      </c>
      <c r="F93" t="str">
        <f>LOWER(LEFT(B93,1)&amp;C93&amp;"@"&amp;SUBSTITUTE(D93," ","")&amp;".com")</f>
        <v>smyasoedov@pinkcloudnetworks.com</v>
      </c>
      <c r="G93" s="30" t="s">
        <v>68</v>
      </c>
      <c r="H93" s="30">
        <v>19</v>
      </c>
      <c r="I93" s="30" t="str">
        <f>IF(ClientDB[[#This Row],[Start Date]]&gt;=DATE(2017,1,1),"New","")</f>
        <v/>
      </c>
      <c r="J93" s="30" t="str">
        <f>IF(OR(YEAR(ClientDB[[#This Row],[Start Date]])&lt;2013,ClientDB[[#This Row],[Events]]&gt;=15),"Yes","")</f>
        <v>Yes</v>
      </c>
      <c r="K93" s="30" t="str">
        <f>VLOOKUP(ClientDB[[#This Row],[Events]],$M$10:$N$13,2,1)</f>
        <v>Silver</v>
      </c>
    </row>
    <row r="94" spans="1:11" x14ac:dyDescent="0.25">
      <c r="A94" s="25">
        <v>16316</v>
      </c>
      <c r="B94" t="s">
        <v>219</v>
      </c>
      <c r="C94" t="s">
        <v>749</v>
      </c>
      <c r="D94" t="s">
        <v>92</v>
      </c>
      <c r="E94" s="33">
        <v>41985</v>
      </c>
      <c r="F94" t="str">
        <f>LOWER(LEFT(B94,1)&amp;C94&amp;"@"&amp;SUBSTITUTE(D94," ","")&amp;".com")</f>
        <v>aali taghavi@asetplc.com</v>
      </c>
      <c r="G94" s="30" t="s">
        <v>37</v>
      </c>
      <c r="H94" s="30">
        <v>8</v>
      </c>
      <c r="I94" s="30" t="str">
        <f>IF(ClientDB[[#This Row],[Start Date]]&gt;=DATE(2017,1,1),"New","")</f>
        <v/>
      </c>
      <c r="J94" s="30" t="str">
        <f>IF(OR(YEAR(ClientDB[[#This Row],[Start Date]])&lt;2013,ClientDB[[#This Row],[Events]]&gt;=15),"Yes","")</f>
        <v/>
      </c>
      <c r="K94" s="30" t="str">
        <f>VLOOKUP(ClientDB[[#This Row],[Events]],$M$10:$N$13,2,1)</f>
        <v>Bronze</v>
      </c>
    </row>
    <row r="95" spans="1:11" x14ac:dyDescent="0.25">
      <c r="A95" s="25">
        <v>16399</v>
      </c>
      <c r="B95" t="s">
        <v>366</v>
      </c>
      <c r="C95" t="s">
        <v>367</v>
      </c>
      <c r="D95" t="s">
        <v>135</v>
      </c>
      <c r="E95" s="33">
        <v>41115</v>
      </c>
      <c r="F95" t="str">
        <f>LOWER(LEFT(B95,1)&amp;C95&amp;"@"&amp;SUBSTITUTE(D95," ","")&amp;".com")</f>
        <v>smanne@pilcostreambank.com</v>
      </c>
      <c r="G95" s="30" t="s">
        <v>185</v>
      </c>
      <c r="H95" s="30">
        <v>2</v>
      </c>
      <c r="I95" s="30" t="str">
        <f>IF(ClientDB[[#This Row],[Start Date]]&gt;=DATE(2017,1,1),"New","")</f>
        <v/>
      </c>
      <c r="J95" s="30" t="str">
        <f>IF(OR(YEAR(ClientDB[[#This Row],[Start Date]])&lt;2013,ClientDB[[#This Row],[Events]]&gt;=15),"Yes","")</f>
        <v>Yes</v>
      </c>
      <c r="K95" s="30" t="str">
        <f>VLOOKUP(ClientDB[[#This Row],[Events]],$M$10:$N$13,2,1)</f>
        <v>Bronze</v>
      </c>
    </row>
    <row r="96" spans="1:11" x14ac:dyDescent="0.25">
      <c r="A96" s="25">
        <v>16572</v>
      </c>
      <c r="B96" t="s">
        <v>180</v>
      </c>
      <c r="C96" t="s">
        <v>181</v>
      </c>
      <c r="D96" t="s">
        <v>130</v>
      </c>
      <c r="E96" s="33">
        <v>41264</v>
      </c>
      <c r="F96" t="str">
        <f>LOWER(LEFT(B96,1)&amp;C96&amp;"@"&amp;SUBSTITUTE(D96," ","")&amp;".com")</f>
        <v>revans@lacne.com</v>
      </c>
      <c r="G96" s="30" t="s">
        <v>45</v>
      </c>
      <c r="H96" s="30">
        <v>30</v>
      </c>
      <c r="I96" s="30" t="str">
        <f>IF(ClientDB[[#This Row],[Start Date]]&gt;=DATE(2017,1,1),"New","")</f>
        <v/>
      </c>
      <c r="J96" s="30" t="str">
        <f>IF(OR(YEAR(ClientDB[[#This Row],[Start Date]])&lt;2013,ClientDB[[#This Row],[Events]]&gt;=15),"Yes","")</f>
        <v>Yes</v>
      </c>
      <c r="K96" s="30" t="str">
        <f>VLOOKUP(ClientDB[[#This Row],[Events]],$M$10:$N$13,2,1)</f>
        <v>Platinum</v>
      </c>
    </row>
    <row r="97" spans="1:11" x14ac:dyDescent="0.25">
      <c r="A97" s="25">
        <v>16755</v>
      </c>
      <c r="B97" t="s">
        <v>353</v>
      </c>
      <c r="C97" t="s">
        <v>354</v>
      </c>
      <c r="D97" t="s">
        <v>59</v>
      </c>
      <c r="E97" s="33">
        <v>42340</v>
      </c>
      <c r="F97" t="str">
        <f>LOWER(LEFT(B97,1)&amp;C97&amp;"@"&amp;SUBSTITUTE(D97," ","")&amp;".com")</f>
        <v>scastro@duet.com</v>
      </c>
      <c r="G97" s="30" t="s">
        <v>355</v>
      </c>
      <c r="H97" s="30">
        <v>8</v>
      </c>
      <c r="I97" s="30" t="str">
        <f>IF(ClientDB[[#This Row],[Start Date]]&gt;=DATE(2017,1,1),"New","")</f>
        <v/>
      </c>
      <c r="J97" s="30" t="str">
        <f>IF(OR(YEAR(ClientDB[[#This Row],[Start Date]])&lt;2013,ClientDB[[#This Row],[Events]]&gt;=15),"Yes","")</f>
        <v/>
      </c>
      <c r="K97" s="30" t="str">
        <f>VLOOKUP(ClientDB[[#This Row],[Events]],$M$10:$N$13,2,1)</f>
        <v>Bronze</v>
      </c>
    </row>
    <row r="98" spans="1:11" x14ac:dyDescent="0.25">
      <c r="A98" s="25">
        <v>16823</v>
      </c>
      <c r="B98" t="s">
        <v>735</v>
      </c>
      <c r="C98" t="s">
        <v>736</v>
      </c>
      <c r="D98" t="s">
        <v>79</v>
      </c>
      <c r="E98" s="33">
        <v>41124</v>
      </c>
      <c r="F98" t="str">
        <f>LOWER(LEFT(B98,1)&amp;C98&amp;"@"&amp;SUBSTITUTE(D98," ","")&amp;".com")</f>
        <v>ktammling@zimsales.com</v>
      </c>
      <c r="G98" s="30" t="s">
        <v>76</v>
      </c>
      <c r="H98" s="30">
        <v>16</v>
      </c>
      <c r="I98" s="30" t="str">
        <f>IF(ClientDB[[#This Row],[Start Date]]&gt;=DATE(2017,1,1),"New","")</f>
        <v/>
      </c>
      <c r="J98" s="30" t="str">
        <f>IF(OR(YEAR(ClientDB[[#This Row],[Start Date]])&lt;2013,ClientDB[[#This Row],[Events]]&gt;=15),"Yes","")</f>
        <v>Yes</v>
      </c>
      <c r="K98" s="30" t="str">
        <f>VLOOKUP(ClientDB[[#This Row],[Events]],$M$10:$N$13,2,1)</f>
        <v>Silver</v>
      </c>
    </row>
    <row r="99" spans="1:11" x14ac:dyDescent="0.25">
      <c r="A99" s="25">
        <v>16991</v>
      </c>
      <c r="B99" t="s">
        <v>308</v>
      </c>
      <c r="C99" t="s">
        <v>309</v>
      </c>
      <c r="D99" t="s">
        <v>52</v>
      </c>
      <c r="E99" s="33">
        <v>42248</v>
      </c>
      <c r="F99" t="str">
        <f>LOWER(LEFT(B99,1)&amp;C99&amp;"@"&amp;SUBSTITUTE(D99," ","")&amp;".com")</f>
        <v>kleknes@ripplecom.com</v>
      </c>
      <c r="G99" s="30" t="s">
        <v>64</v>
      </c>
      <c r="H99" s="30">
        <v>19</v>
      </c>
      <c r="I99" s="30" t="str">
        <f>IF(ClientDB[[#This Row],[Start Date]]&gt;=DATE(2017,1,1),"New","")</f>
        <v/>
      </c>
      <c r="J99" s="30" t="str">
        <f>IF(OR(YEAR(ClientDB[[#This Row],[Start Date]])&lt;2013,ClientDB[[#This Row],[Events]]&gt;=15),"Yes","")</f>
        <v>Yes</v>
      </c>
      <c r="K99" s="30" t="str">
        <f>VLOOKUP(ClientDB[[#This Row],[Events]],$M$10:$N$13,2,1)</f>
        <v>Silver</v>
      </c>
    </row>
    <row r="100" spans="1:11" x14ac:dyDescent="0.25">
      <c r="A100" s="25">
        <v>17020</v>
      </c>
      <c r="B100" t="s">
        <v>508</v>
      </c>
      <c r="C100" t="s">
        <v>509</v>
      </c>
      <c r="D100" t="s">
        <v>144</v>
      </c>
      <c r="E100" s="33">
        <v>41588</v>
      </c>
      <c r="F100" t="str">
        <f>LOWER(LEFT(B100,1)&amp;C100&amp;"@"&amp;SUBSTITUTE(D100," ","")&amp;".com")</f>
        <v>pwensing@picsure.com</v>
      </c>
      <c r="G100" s="30" t="s">
        <v>89</v>
      </c>
      <c r="H100" s="30">
        <v>2</v>
      </c>
      <c r="I100" s="30" t="str">
        <f>IF(ClientDB[[#This Row],[Start Date]]&gt;=DATE(2017,1,1),"New","")</f>
        <v/>
      </c>
      <c r="J100" s="30" t="str">
        <f>IF(OR(YEAR(ClientDB[[#This Row],[Start Date]])&lt;2013,ClientDB[[#This Row],[Events]]&gt;=15),"Yes","")</f>
        <v/>
      </c>
      <c r="K100" s="30" t="str">
        <f>VLOOKUP(ClientDB[[#This Row],[Events]],$M$10:$N$13,2,1)</f>
        <v>Bronze</v>
      </c>
    </row>
    <row r="101" spans="1:11" x14ac:dyDescent="0.25">
      <c r="A101" s="25">
        <v>17050</v>
      </c>
      <c r="B101" t="s">
        <v>784</v>
      </c>
      <c r="C101" t="s">
        <v>785</v>
      </c>
      <c r="D101" t="s">
        <v>52</v>
      </c>
      <c r="E101" s="33">
        <v>41302</v>
      </c>
      <c r="F101" t="str">
        <f>LOWER(LEFT(B101,1)&amp;C101&amp;"@"&amp;SUBSTITUTE(D101," ","")&amp;".com")</f>
        <v>apawlik@ripplecom.com</v>
      </c>
      <c r="G101" s="30" t="s">
        <v>45</v>
      </c>
      <c r="H101" s="30">
        <v>12</v>
      </c>
      <c r="I101" s="30" t="str">
        <f>IF(ClientDB[[#This Row],[Start Date]]&gt;=DATE(2017,1,1),"New","")</f>
        <v/>
      </c>
      <c r="J101" s="30" t="str">
        <f>IF(OR(YEAR(ClientDB[[#This Row],[Start Date]])&lt;2013,ClientDB[[#This Row],[Events]]&gt;=15),"Yes","")</f>
        <v/>
      </c>
      <c r="K101" s="30" t="str">
        <f>VLOOKUP(ClientDB[[#This Row],[Events]],$M$10:$N$13,2,1)</f>
        <v>Silver</v>
      </c>
    </row>
    <row r="102" spans="1:11" x14ac:dyDescent="0.25">
      <c r="A102" s="25">
        <v>17091</v>
      </c>
      <c r="B102" t="s">
        <v>695</v>
      </c>
      <c r="C102" t="s">
        <v>696</v>
      </c>
      <c r="D102" t="s">
        <v>325</v>
      </c>
      <c r="E102" s="33">
        <v>41119</v>
      </c>
      <c r="F102" t="str">
        <f>LOWER(LEFT(B102,1)&amp;C102&amp;"@"&amp;SUBSTITUTE(D102," ","")&amp;".com")</f>
        <v>mmccredie@mojbal.com</v>
      </c>
      <c r="G102" s="30" t="s">
        <v>64</v>
      </c>
      <c r="H102" s="30">
        <v>11</v>
      </c>
      <c r="I102" s="30" t="str">
        <f>IF(ClientDB[[#This Row],[Start Date]]&gt;=DATE(2017,1,1),"New","")</f>
        <v/>
      </c>
      <c r="J102" s="30" t="str">
        <f>IF(OR(YEAR(ClientDB[[#This Row],[Start Date]])&lt;2013,ClientDB[[#This Row],[Events]]&gt;=15),"Yes","")</f>
        <v>Yes</v>
      </c>
      <c r="K102" s="30" t="str">
        <f>VLOOKUP(ClientDB[[#This Row],[Events]],$M$10:$N$13,2,1)</f>
        <v>Silver</v>
      </c>
    </row>
    <row r="103" spans="1:11" x14ac:dyDescent="0.25">
      <c r="A103" s="25">
        <v>17163</v>
      </c>
      <c r="B103" t="s">
        <v>560</v>
      </c>
      <c r="C103" t="s">
        <v>561</v>
      </c>
      <c r="D103" t="s">
        <v>63</v>
      </c>
      <c r="E103" s="33">
        <v>42366</v>
      </c>
      <c r="F103" t="str">
        <f>LOWER(LEFT(B103,1)&amp;C103&amp;"@"&amp;SUBSTITUTE(D103," ","")&amp;".com")</f>
        <v>fvon bornstaedt@ahanetworks.com</v>
      </c>
      <c r="G103" s="30" t="s">
        <v>76</v>
      </c>
      <c r="H103" s="30">
        <v>21</v>
      </c>
      <c r="I103" s="30" t="str">
        <f>IF(ClientDB[[#This Row],[Start Date]]&gt;=DATE(2017,1,1),"New","")</f>
        <v/>
      </c>
      <c r="J103" s="30" t="str">
        <f>IF(OR(YEAR(ClientDB[[#This Row],[Start Date]])&lt;2013,ClientDB[[#This Row],[Events]]&gt;=15),"Yes","")</f>
        <v>Yes</v>
      </c>
      <c r="K103" s="30" t="str">
        <f>VLOOKUP(ClientDB[[#This Row],[Events]],$M$10:$N$13,2,1)</f>
        <v>Gold</v>
      </c>
    </row>
    <row r="104" spans="1:11" x14ac:dyDescent="0.25">
      <c r="A104" s="25">
        <v>17367</v>
      </c>
      <c r="B104" t="s">
        <v>225</v>
      </c>
      <c r="C104" t="s">
        <v>226</v>
      </c>
      <c r="D104" t="s">
        <v>138</v>
      </c>
      <c r="E104" s="33">
        <v>41034</v>
      </c>
      <c r="F104" t="str">
        <f>LOWER(LEFT(B104,1)&amp;C104&amp;"@"&amp;SUBSTITUTE(D104," ","")&amp;".com")</f>
        <v>pfältström@colot.com</v>
      </c>
      <c r="G104" s="30" t="s">
        <v>108</v>
      </c>
      <c r="H104" s="30">
        <v>26</v>
      </c>
      <c r="I104" s="30" t="str">
        <f>IF(ClientDB[[#This Row],[Start Date]]&gt;=DATE(2017,1,1),"New","")</f>
        <v/>
      </c>
      <c r="J104" s="30" t="str">
        <f>IF(OR(YEAR(ClientDB[[#This Row],[Start Date]])&lt;2013,ClientDB[[#This Row],[Events]]&gt;=15),"Yes","")</f>
        <v>Yes</v>
      </c>
      <c r="K104" s="30" t="str">
        <f>VLOOKUP(ClientDB[[#This Row],[Events]],$M$10:$N$13,2,1)</f>
        <v>Gold</v>
      </c>
    </row>
    <row r="105" spans="1:11" x14ac:dyDescent="0.25">
      <c r="A105" s="25">
        <v>17422</v>
      </c>
      <c r="B105" t="s">
        <v>753</v>
      </c>
      <c r="C105" t="s">
        <v>754</v>
      </c>
      <c r="D105" t="s">
        <v>92</v>
      </c>
      <c r="E105" s="33">
        <v>41107</v>
      </c>
      <c r="F105" t="str">
        <f>LOWER(LEFT(B105,1)&amp;C105&amp;"@"&amp;SUBSTITUTE(D105," ","")&amp;".com")</f>
        <v>smuyal@asetplc.com</v>
      </c>
      <c r="G105" s="30" t="s">
        <v>341</v>
      </c>
      <c r="H105" s="30">
        <v>11</v>
      </c>
      <c r="I105" s="30" t="str">
        <f>IF(ClientDB[[#This Row],[Start Date]]&gt;=DATE(2017,1,1),"New","")</f>
        <v/>
      </c>
      <c r="J105" s="30" t="str">
        <f>IF(OR(YEAR(ClientDB[[#This Row],[Start Date]])&lt;2013,ClientDB[[#This Row],[Events]]&gt;=15),"Yes","")</f>
        <v>Yes</v>
      </c>
      <c r="K105" s="30" t="str">
        <f>VLOOKUP(ClientDB[[#This Row],[Events]],$M$10:$N$13,2,1)</f>
        <v>Silver</v>
      </c>
    </row>
    <row r="106" spans="1:11" x14ac:dyDescent="0.25">
      <c r="A106" s="25">
        <v>17464</v>
      </c>
      <c r="B106" t="s">
        <v>462</v>
      </c>
      <c r="C106" t="s">
        <v>463</v>
      </c>
      <c r="D106" t="s">
        <v>459</v>
      </c>
      <c r="E106" s="33">
        <v>42399</v>
      </c>
      <c r="F106" t="str">
        <f>LOWER(LEFT(B106,1)&amp;C106&amp;"@"&amp;SUBSTITUTE(D106," ","")&amp;".com")</f>
        <v>ojacobsen@fzigfibre.com</v>
      </c>
      <c r="G106" s="30" t="s">
        <v>64</v>
      </c>
      <c r="H106" s="30">
        <v>11</v>
      </c>
      <c r="I106" s="30" t="str">
        <f>IF(ClientDB[[#This Row],[Start Date]]&gt;=DATE(2017,1,1),"New","")</f>
        <v/>
      </c>
      <c r="J106" s="30" t="str">
        <f>IF(OR(YEAR(ClientDB[[#This Row],[Start Date]])&lt;2013,ClientDB[[#This Row],[Events]]&gt;=15),"Yes","")</f>
        <v/>
      </c>
      <c r="K106" s="30" t="str">
        <f>VLOOKUP(ClientDB[[#This Row],[Events]],$M$10:$N$13,2,1)</f>
        <v>Silver</v>
      </c>
    </row>
    <row r="107" spans="1:11" x14ac:dyDescent="0.25">
      <c r="A107" s="25">
        <v>17546</v>
      </c>
      <c r="B107" t="s">
        <v>611</v>
      </c>
      <c r="C107" t="s">
        <v>612</v>
      </c>
      <c r="D107" t="s">
        <v>196</v>
      </c>
      <c r="E107" s="33">
        <v>42237</v>
      </c>
      <c r="F107" t="str">
        <f>LOWER(LEFT(B107,1)&amp;C107&amp;"@"&amp;SUBSTITUTE(D107," ","")&amp;".com")</f>
        <v>mgrégr@verisize.com</v>
      </c>
      <c r="G107" s="30" t="s">
        <v>68</v>
      </c>
      <c r="H107" s="30">
        <v>3</v>
      </c>
      <c r="I107" s="30" t="str">
        <f>IF(ClientDB[[#This Row],[Start Date]]&gt;=DATE(2017,1,1),"New","")</f>
        <v/>
      </c>
      <c r="J107" s="30" t="str">
        <f>IF(OR(YEAR(ClientDB[[#This Row],[Start Date]])&lt;2013,ClientDB[[#This Row],[Events]]&gt;=15),"Yes","")</f>
        <v/>
      </c>
      <c r="K107" s="30" t="str">
        <f>VLOOKUP(ClientDB[[#This Row],[Events]],$M$10:$N$13,2,1)</f>
        <v>Bronze</v>
      </c>
    </row>
    <row r="108" spans="1:11" x14ac:dyDescent="0.25">
      <c r="A108" s="25">
        <v>17637</v>
      </c>
      <c r="B108" t="s">
        <v>613</v>
      </c>
      <c r="C108" t="s">
        <v>614</v>
      </c>
      <c r="D108" t="s">
        <v>266</v>
      </c>
      <c r="E108" s="33">
        <v>41577</v>
      </c>
      <c r="F108" t="str">
        <f>LOWER(LEFT(B108,1)&amp;C108&amp;"@"&amp;SUBSTITUTE(D108," ","")&amp;".com")</f>
        <v>faldaghar@tqprocesses.com</v>
      </c>
      <c r="G108" s="30" t="s">
        <v>185</v>
      </c>
      <c r="H108" s="30">
        <v>6</v>
      </c>
      <c r="I108" s="30" t="str">
        <f>IF(ClientDB[[#This Row],[Start Date]]&gt;=DATE(2017,1,1),"New","")</f>
        <v/>
      </c>
      <c r="J108" s="30" t="str">
        <f>IF(OR(YEAR(ClientDB[[#This Row],[Start Date]])&lt;2013,ClientDB[[#This Row],[Events]]&gt;=15),"Yes","")</f>
        <v/>
      </c>
      <c r="K108" s="30" t="str">
        <f>VLOOKUP(ClientDB[[#This Row],[Events]],$M$10:$N$13,2,1)</f>
        <v>Bronze</v>
      </c>
    </row>
    <row r="109" spans="1:11" x14ac:dyDescent="0.25">
      <c r="A109" s="25">
        <v>17721</v>
      </c>
      <c r="B109" t="s">
        <v>296</v>
      </c>
      <c r="C109" t="s">
        <v>297</v>
      </c>
      <c r="D109" t="s">
        <v>92</v>
      </c>
      <c r="E109" s="33">
        <v>41358</v>
      </c>
      <c r="F109" t="str">
        <f>LOWER(LEFT(B109,1)&amp;C109&amp;"@"&amp;SUBSTITUTE(D109," ","")&amp;".com")</f>
        <v>nkharchenko@asetplc.com</v>
      </c>
      <c r="G109" s="30" t="s">
        <v>56</v>
      </c>
      <c r="H109" s="30">
        <v>29</v>
      </c>
      <c r="I109" s="30" t="str">
        <f>IF(ClientDB[[#This Row],[Start Date]]&gt;=DATE(2017,1,1),"New","")</f>
        <v/>
      </c>
      <c r="J109" s="30" t="str">
        <f>IF(OR(YEAR(ClientDB[[#This Row],[Start Date]])&lt;2013,ClientDB[[#This Row],[Events]]&gt;=15),"Yes","")</f>
        <v>Yes</v>
      </c>
      <c r="K109" s="30" t="str">
        <f>VLOOKUP(ClientDB[[#This Row],[Events]],$M$10:$N$13,2,1)</f>
        <v>Gold</v>
      </c>
    </row>
    <row r="110" spans="1:11" x14ac:dyDescent="0.25">
      <c r="A110" s="25">
        <v>17722</v>
      </c>
      <c r="B110" t="s">
        <v>779</v>
      </c>
      <c r="C110" t="s">
        <v>780</v>
      </c>
      <c r="D110" t="s">
        <v>52</v>
      </c>
      <c r="E110" s="33">
        <v>41221</v>
      </c>
      <c r="F110" t="str">
        <f>LOWER(LEFT(B110,1)&amp;C110&amp;"@"&amp;SUBSTITUTE(D110," ","")&amp;".com")</f>
        <v>xle bris@ripplecom.com</v>
      </c>
      <c r="G110" s="30" t="s">
        <v>45</v>
      </c>
      <c r="H110" s="30">
        <v>5</v>
      </c>
      <c r="I110" s="30" t="str">
        <f>IF(ClientDB[[#This Row],[Start Date]]&gt;=DATE(2017,1,1),"New","")</f>
        <v/>
      </c>
      <c r="J110" s="30" t="str">
        <f>IF(OR(YEAR(ClientDB[[#This Row],[Start Date]])&lt;2013,ClientDB[[#This Row],[Events]]&gt;=15),"Yes","")</f>
        <v>Yes</v>
      </c>
      <c r="K110" s="30" t="str">
        <f>VLOOKUP(ClientDB[[#This Row],[Events]],$M$10:$N$13,2,1)</f>
        <v>Bronze</v>
      </c>
    </row>
    <row r="111" spans="1:11" x14ac:dyDescent="0.25">
      <c r="A111" s="25">
        <v>17769</v>
      </c>
      <c r="B111" t="s">
        <v>731</v>
      </c>
      <c r="C111" t="s">
        <v>732</v>
      </c>
      <c r="D111" t="s">
        <v>184</v>
      </c>
      <c r="E111" s="33">
        <v>41462</v>
      </c>
      <c r="F111" t="str">
        <f>LOWER(LEFT(B111,1)&amp;C111&amp;"@"&amp;SUBSTITUTE(D111," ","")&amp;".com")</f>
        <v>gvan emelen@chirahtechnologies.com</v>
      </c>
      <c r="G111" s="30" t="s">
        <v>416</v>
      </c>
      <c r="H111" s="30">
        <v>15</v>
      </c>
      <c r="I111" s="30" t="str">
        <f>IF(ClientDB[[#This Row],[Start Date]]&gt;=DATE(2017,1,1),"New","")</f>
        <v/>
      </c>
      <c r="J111" s="30" t="str">
        <f>IF(OR(YEAR(ClientDB[[#This Row],[Start Date]])&lt;2013,ClientDB[[#This Row],[Events]]&gt;=15),"Yes","")</f>
        <v>Yes</v>
      </c>
      <c r="K111" s="30" t="str">
        <f>VLOOKUP(ClientDB[[#This Row],[Events]],$M$10:$N$13,2,1)</f>
        <v>Silver</v>
      </c>
    </row>
    <row r="112" spans="1:11" x14ac:dyDescent="0.25">
      <c r="A112" s="25">
        <v>17805</v>
      </c>
      <c r="B112" t="s">
        <v>34</v>
      </c>
      <c r="C112" t="s">
        <v>35</v>
      </c>
      <c r="D112" t="s">
        <v>36</v>
      </c>
      <c r="E112" s="33">
        <v>41366</v>
      </c>
      <c r="F112" t="str">
        <f>LOWER(LEFT(B112,1)&amp;C112&amp;"@"&amp;SUBSTITUTE(D112," ","")&amp;".com")</f>
        <v>nkiaee@respiranetworks.com</v>
      </c>
      <c r="G112" s="30" t="s">
        <v>37</v>
      </c>
      <c r="H112" s="30">
        <v>7</v>
      </c>
      <c r="I112" s="30" t="str">
        <f>IF(ClientDB[[#This Row],[Start Date]]&gt;=DATE(2017,1,1),"New","")</f>
        <v/>
      </c>
      <c r="J112" s="30" t="str">
        <f>IF(OR(YEAR(ClientDB[[#This Row],[Start Date]])&lt;2013,ClientDB[[#This Row],[Events]]&gt;=15),"Yes","")</f>
        <v/>
      </c>
      <c r="K112" s="30" t="str">
        <f>VLOOKUP(ClientDB[[#This Row],[Events]],$M$10:$N$13,2,1)</f>
        <v>Bronze</v>
      </c>
    </row>
    <row r="113" spans="1:11" x14ac:dyDescent="0.25">
      <c r="A113" s="25">
        <v>18104</v>
      </c>
      <c r="B113" t="s">
        <v>400</v>
      </c>
      <c r="C113" t="s">
        <v>401</v>
      </c>
      <c r="D113" t="s">
        <v>335</v>
      </c>
      <c r="E113" s="33">
        <v>42675</v>
      </c>
      <c r="F113" t="str">
        <f>LOWER(LEFT(B113,1)&amp;C113&amp;"@"&amp;SUBSTITUTE(D113," ","")&amp;".com")</f>
        <v>aghafarallahi@cyberdataprocessing.com</v>
      </c>
      <c r="G113" s="30" t="s">
        <v>37</v>
      </c>
      <c r="H113" s="30">
        <v>10</v>
      </c>
      <c r="I113" s="30" t="str">
        <f>IF(ClientDB[[#This Row],[Start Date]]&gt;=DATE(2017,1,1),"New","")</f>
        <v/>
      </c>
      <c r="J113" s="30" t="str">
        <f>IF(OR(YEAR(ClientDB[[#This Row],[Start Date]])&lt;2013,ClientDB[[#This Row],[Events]]&gt;=15),"Yes","")</f>
        <v/>
      </c>
      <c r="K113" s="30" t="str">
        <f>VLOOKUP(ClientDB[[#This Row],[Events]],$M$10:$N$13,2,1)</f>
        <v>Silver</v>
      </c>
    </row>
    <row r="114" spans="1:11" x14ac:dyDescent="0.25">
      <c r="A114" s="25">
        <v>18235</v>
      </c>
      <c r="B114" t="s">
        <v>53</v>
      </c>
      <c r="C114" t="s">
        <v>54</v>
      </c>
      <c r="D114" t="s">
        <v>55</v>
      </c>
      <c r="E114" s="33">
        <v>42149</v>
      </c>
      <c r="F114" t="str">
        <f>LOWER(LEFT(B114,1)&amp;C114&amp;"@"&amp;SUBSTITUTE(D114," ","")&amp;".com")</f>
        <v>monyshchenko@wwt.com</v>
      </c>
      <c r="G114" s="30" t="s">
        <v>56</v>
      </c>
      <c r="H114" s="30">
        <v>8</v>
      </c>
      <c r="I114" s="30" t="str">
        <f>IF(ClientDB[[#This Row],[Start Date]]&gt;=DATE(2017,1,1),"New","")</f>
        <v/>
      </c>
      <c r="J114" s="30" t="str">
        <f>IF(OR(YEAR(ClientDB[[#This Row],[Start Date]])&lt;2013,ClientDB[[#This Row],[Events]]&gt;=15),"Yes","")</f>
        <v/>
      </c>
      <c r="K114" s="30" t="str">
        <f>VLOOKUP(ClientDB[[#This Row],[Events]],$M$10:$N$13,2,1)</f>
        <v>Bronze</v>
      </c>
    </row>
    <row r="115" spans="1:11" x14ac:dyDescent="0.25">
      <c r="A115" s="25">
        <v>18253</v>
      </c>
      <c r="B115" t="s">
        <v>197</v>
      </c>
      <c r="C115" t="s">
        <v>781</v>
      </c>
      <c r="D115" t="s">
        <v>266</v>
      </c>
      <c r="E115" s="33">
        <v>41260</v>
      </c>
      <c r="F115" t="str">
        <f>LOWER(LEFT(B115,1)&amp;C115&amp;"@"&amp;SUBSTITUTE(D115," ","")&amp;".com")</f>
        <v>drodriguez@tqprocesses.com</v>
      </c>
      <c r="G115" s="30" t="s">
        <v>127</v>
      </c>
      <c r="H115" s="30">
        <v>11</v>
      </c>
      <c r="I115" s="30" t="str">
        <f>IF(ClientDB[[#This Row],[Start Date]]&gt;=DATE(2017,1,1),"New","")</f>
        <v/>
      </c>
      <c r="J115" s="30" t="str">
        <f>IF(OR(YEAR(ClientDB[[#This Row],[Start Date]])&lt;2013,ClientDB[[#This Row],[Events]]&gt;=15),"Yes","")</f>
        <v>Yes</v>
      </c>
      <c r="K115" s="30" t="str">
        <f>VLOOKUP(ClientDB[[#This Row],[Events]],$M$10:$N$13,2,1)</f>
        <v>Silver</v>
      </c>
    </row>
    <row r="116" spans="1:11" x14ac:dyDescent="0.25">
      <c r="A116" s="25">
        <v>18366</v>
      </c>
      <c r="B116" t="s">
        <v>259</v>
      </c>
      <c r="C116" t="s">
        <v>260</v>
      </c>
      <c r="D116" t="s">
        <v>164</v>
      </c>
      <c r="E116" s="33">
        <v>41502</v>
      </c>
      <c r="F116" t="str">
        <f>LOWER(LEFT(B116,1)&amp;C116&amp;"@"&amp;SUBSTITUTE(D116," ","")&amp;".com")</f>
        <v>ydemenin@zconnect,inc.com</v>
      </c>
      <c r="G116" s="30" t="s">
        <v>56</v>
      </c>
      <c r="H116" s="30">
        <v>5</v>
      </c>
      <c r="I116" s="30" t="str">
        <f>IF(ClientDB[[#This Row],[Start Date]]&gt;=DATE(2017,1,1),"New","")</f>
        <v/>
      </c>
      <c r="J116" s="30" t="str">
        <f>IF(OR(YEAR(ClientDB[[#This Row],[Start Date]])&lt;2013,ClientDB[[#This Row],[Events]]&gt;=15),"Yes","")</f>
        <v/>
      </c>
      <c r="K116" s="30" t="str">
        <f>VLOOKUP(ClientDB[[#This Row],[Events]],$M$10:$N$13,2,1)</f>
        <v>Bronze</v>
      </c>
    </row>
    <row r="117" spans="1:11" x14ac:dyDescent="0.25">
      <c r="A117" s="25">
        <v>18487</v>
      </c>
      <c r="B117" t="s">
        <v>353</v>
      </c>
      <c r="C117" t="s">
        <v>538</v>
      </c>
      <c r="D117" t="s">
        <v>188</v>
      </c>
      <c r="E117" s="33">
        <v>41437</v>
      </c>
      <c r="F117" t="str">
        <f>LOWER(LEFT(B117,1)&amp;C117&amp;"@"&amp;SUBSTITUTE(D117," ","")&amp;".com")</f>
        <v>slohff@ares.com</v>
      </c>
      <c r="G117" s="30" t="s">
        <v>76</v>
      </c>
      <c r="H117" s="30">
        <v>8</v>
      </c>
      <c r="I117" s="30" t="str">
        <f>IF(ClientDB[[#This Row],[Start Date]]&gt;=DATE(2017,1,1),"New","")</f>
        <v/>
      </c>
      <c r="J117" s="30" t="str">
        <f>IF(OR(YEAR(ClientDB[[#This Row],[Start Date]])&lt;2013,ClientDB[[#This Row],[Events]]&gt;=15),"Yes","")</f>
        <v/>
      </c>
      <c r="K117" s="30" t="str">
        <f>VLOOKUP(ClientDB[[#This Row],[Events]],$M$10:$N$13,2,1)</f>
        <v>Bronze</v>
      </c>
    </row>
    <row r="118" spans="1:11" x14ac:dyDescent="0.25">
      <c r="A118" s="25">
        <v>18489</v>
      </c>
      <c r="B118" t="s">
        <v>186</v>
      </c>
      <c r="C118" t="s">
        <v>187</v>
      </c>
      <c r="D118" t="s">
        <v>188</v>
      </c>
      <c r="E118" s="33">
        <v>42408</v>
      </c>
      <c r="F118" t="str">
        <f>LOWER(LEFT(B118,1)&amp;C118&amp;"@"&amp;SUBSTITUTE(D118," ","")&amp;".com")</f>
        <v>hholen@ares.com</v>
      </c>
      <c r="G118" s="30" t="s">
        <v>114</v>
      </c>
      <c r="H118" s="30">
        <v>6</v>
      </c>
      <c r="I118" s="30" t="str">
        <f>IF(ClientDB[[#This Row],[Start Date]]&gt;=DATE(2017,1,1),"New","")</f>
        <v/>
      </c>
      <c r="J118" s="30" t="str">
        <f>IF(OR(YEAR(ClientDB[[#This Row],[Start Date]])&lt;2013,ClientDB[[#This Row],[Events]]&gt;=15),"Yes","")</f>
        <v/>
      </c>
      <c r="K118" s="30" t="str">
        <f>VLOOKUP(ClientDB[[#This Row],[Events]],$M$10:$N$13,2,1)</f>
        <v>Bronze</v>
      </c>
    </row>
    <row r="119" spans="1:11" x14ac:dyDescent="0.25">
      <c r="A119" s="25">
        <v>18528</v>
      </c>
      <c r="B119" t="s">
        <v>772</v>
      </c>
      <c r="C119" t="s">
        <v>773</v>
      </c>
      <c r="D119" t="s">
        <v>104</v>
      </c>
      <c r="E119" s="33">
        <v>42874</v>
      </c>
      <c r="F119" t="str">
        <f>LOWER(LEFT(B119,1)&amp;C119&amp;"@"&amp;SUBSTITUTE(D119," ","")&amp;".com")</f>
        <v>lhasnawi@parmistechnologies.com</v>
      </c>
      <c r="G119" s="30" t="s">
        <v>307</v>
      </c>
      <c r="H119" s="30">
        <v>3</v>
      </c>
      <c r="I119" s="30" t="str">
        <f>IF(ClientDB[[#This Row],[Start Date]]&gt;=DATE(2017,1,1),"New","")</f>
        <v>New</v>
      </c>
      <c r="J119" s="30" t="str">
        <f>IF(OR(YEAR(ClientDB[[#This Row],[Start Date]])&lt;2013,ClientDB[[#This Row],[Events]]&gt;=15),"Yes","")</f>
        <v/>
      </c>
      <c r="K119" s="30" t="str">
        <f>VLOOKUP(ClientDB[[#This Row],[Events]],$M$10:$N$13,2,1)</f>
        <v>Bronze</v>
      </c>
    </row>
    <row r="120" spans="1:11" x14ac:dyDescent="0.25">
      <c r="A120" s="25">
        <v>18536</v>
      </c>
      <c r="B120" t="s">
        <v>261</v>
      </c>
      <c r="C120" t="s">
        <v>262</v>
      </c>
      <c r="D120" t="s">
        <v>263</v>
      </c>
      <c r="E120" s="33">
        <v>41524</v>
      </c>
      <c r="F120" t="str">
        <f>LOWER(LEFT(B120,1)&amp;C120&amp;"@"&amp;SUBSTITUTE(D120," ","")&amp;".com")</f>
        <v>isandu@ipibucharest.com</v>
      </c>
      <c r="G120" s="30" t="s">
        <v>84</v>
      </c>
      <c r="H120" s="30">
        <v>9</v>
      </c>
      <c r="I120" s="30" t="str">
        <f>IF(ClientDB[[#This Row],[Start Date]]&gt;=DATE(2017,1,1),"New","")</f>
        <v/>
      </c>
      <c r="J120" s="30" t="str">
        <f>IF(OR(YEAR(ClientDB[[#This Row],[Start Date]])&lt;2013,ClientDB[[#This Row],[Events]]&gt;=15),"Yes","")</f>
        <v/>
      </c>
      <c r="K120" s="30" t="str">
        <f>VLOOKUP(ClientDB[[#This Row],[Events]],$M$10:$N$13,2,1)</f>
        <v>Bronze</v>
      </c>
    </row>
    <row r="121" spans="1:11" x14ac:dyDescent="0.25">
      <c r="A121" s="25">
        <v>18610</v>
      </c>
      <c r="B121" t="s">
        <v>380</v>
      </c>
      <c r="C121" t="s">
        <v>796</v>
      </c>
      <c r="D121" t="s">
        <v>335</v>
      </c>
      <c r="E121" s="33">
        <v>42706</v>
      </c>
      <c r="F121" t="str">
        <f>LOWER(LEFT(B121,1)&amp;C121&amp;"@"&amp;SUBSTITUTE(D121," ","")&amp;".com")</f>
        <v>mhostacny@cyberdataprocessing.com</v>
      </c>
      <c r="G121" s="30" t="s">
        <v>45</v>
      </c>
      <c r="H121" s="30">
        <v>8</v>
      </c>
      <c r="I121" s="30" t="str">
        <f>IF(ClientDB[[#This Row],[Start Date]]&gt;=DATE(2017,1,1),"New","")</f>
        <v/>
      </c>
      <c r="J121" s="30" t="str">
        <f>IF(OR(YEAR(ClientDB[[#This Row],[Start Date]])&lt;2013,ClientDB[[#This Row],[Events]]&gt;=15),"Yes","")</f>
        <v/>
      </c>
      <c r="K121" s="30" t="str">
        <f>VLOOKUP(ClientDB[[#This Row],[Events]],$M$10:$N$13,2,1)</f>
        <v>Bronze</v>
      </c>
    </row>
    <row r="122" spans="1:11" x14ac:dyDescent="0.25">
      <c r="A122" s="25">
        <v>18895</v>
      </c>
      <c r="B122" t="s">
        <v>272</v>
      </c>
      <c r="C122" t="s">
        <v>273</v>
      </c>
      <c r="D122" t="s">
        <v>107</v>
      </c>
      <c r="E122" s="33">
        <v>42110</v>
      </c>
      <c r="F122" t="str">
        <f>LOWER(LEFT(B122,1)&amp;C122&amp;"@"&amp;SUBSTITUTE(D122," ","")&amp;".com")</f>
        <v>omamontova@axellgroup.com</v>
      </c>
      <c r="G122" s="30" t="s">
        <v>176</v>
      </c>
      <c r="H122" s="30">
        <v>12</v>
      </c>
      <c r="I122" s="30" t="str">
        <f>IF(ClientDB[[#This Row],[Start Date]]&gt;=DATE(2017,1,1),"New","")</f>
        <v/>
      </c>
      <c r="J122" s="30" t="str">
        <f>IF(OR(YEAR(ClientDB[[#This Row],[Start Date]])&lt;2013,ClientDB[[#This Row],[Events]]&gt;=15),"Yes","")</f>
        <v/>
      </c>
      <c r="K122" s="30" t="str">
        <f>VLOOKUP(ClientDB[[#This Row],[Events]],$M$10:$N$13,2,1)</f>
        <v>Silver</v>
      </c>
    </row>
    <row r="123" spans="1:11" x14ac:dyDescent="0.25">
      <c r="A123" s="25">
        <v>19009</v>
      </c>
      <c r="B123" t="s">
        <v>798</v>
      </c>
      <c r="C123" t="s">
        <v>799</v>
      </c>
      <c r="D123" t="s">
        <v>67</v>
      </c>
      <c r="E123" s="33">
        <v>41960</v>
      </c>
      <c r="F123" t="str">
        <f>LOWER(LEFT(B123,1)&amp;C123&amp;"@"&amp;SUBSTITUTE(D123," ","")&amp;".com")</f>
        <v>fblankman@pinkcloudnetworks.com</v>
      </c>
      <c r="G123" s="30" t="s">
        <v>89</v>
      </c>
      <c r="H123" s="30">
        <v>3</v>
      </c>
      <c r="I123" s="30" t="str">
        <f>IF(ClientDB[[#This Row],[Start Date]]&gt;=DATE(2017,1,1),"New","")</f>
        <v/>
      </c>
      <c r="J123" s="30" t="str">
        <f>IF(OR(YEAR(ClientDB[[#This Row],[Start Date]])&lt;2013,ClientDB[[#This Row],[Events]]&gt;=15),"Yes","")</f>
        <v/>
      </c>
      <c r="K123" s="30" t="str">
        <f>VLOOKUP(ClientDB[[#This Row],[Events]],$M$10:$N$13,2,1)</f>
        <v>Bronze</v>
      </c>
    </row>
    <row r="124" spans="1:11" x14ac:dyDescent="0.25">
      <c r="A124" s="25">
        <v>19381</v>
      </c>
      <c r="B124" t="s">
        <v>527</v>
      </c>
      <c r="C124" t="s">
        <v>528</v>
      </c>
      <c r="D124" t="s">
        <v>221</v>
      </c>
      <c r="E124" s="33">
        <v>41837</v>
      </c>
      <c r="F124" t="str">
        <f>LOWER(LEFT(B124,1)&amp;C124&amp;"@"&amp;SUBSTITUTE(D124," ","")&amp;".com")</f>
        <v>nbeyrle@westtelco.com</v>
      </c>
      <c r="G124" s="30" t="s">
        <v>76</v>
      </c>
      <c r="H124" s="30">
        <v>6</v>
      </c>
      <c r="I124" s="30" t="str">
        <f>IF(ClientDB[[#This Row],[Start Date]]&gt;=DATE(2017,1,1),"New","")</f>
        <v/>
      </c>
      <c r="J124" s="30" t="str">
        <f>IF(OR(YEAR(ClientDB[[#This Row],[Start Date]])&lt;2013,ClientDB[[#This Row],[Events]]&gt;=15),"Yes","")</f>
        <v/>
      </c>
      <c r="K124" s="30" t="str">
        <f>VLOOKUP(ClientDB[[#This Row],[Events]],$M$10:$N$13,2,1)</f>
        <v>Bronze</v>
      </c>
    </row>
    <row r="125" spans="1:11" x14ac:dyDescent="0.25">
      <c r="A125" s="25">
        <v>19467</v>
      </c>
      <c r="B125" t="s">
        <v>751</v>
      </c>
      <c r="C125" t="s">
        <v>752</v>
      </c>
      <c r="D125" t="s">
        <v>52</v>
      </c>
      <c r="E125" s="33">
        <v>41310</v>
      </c>
      <c r="F125" t="str">
        <f>LOWER(LEFT(B125,1)&amp;C125&amp;"@"&amp;SUBSTITUTE(D125," ","")&amp;".com")</f>
        <v>afragkouli@ripplecom.com</v>
      </c>
      <c r="G125" s="30" t="s">
        <v>45</v>
      </c>
      <c r="H125" s="30">
        <v>13</v>
      </c>
      <c r="I125" s="30" t="str">
        <f>IF(ClientDB[[#This Row],[Start Date]]&gt;=DATE(2017,1,1),"New","")</f>
        <v/>
      </c>
      <c r="J125" s="30" t="str">
        <f>IF(OR(YEAR(ClientDB[[#This Row],[Start Date]])&lt;2013,ClientDB[[#This Row],[Events]]&gt;=15),"Yes","")</f>
        <v/>
      </c>
      <c r="K125" s="30" t="str">
        <f>VLOOKUP(ClientDB[[#This Row],[Events]],$M$10:$N$13,2,1)</f>
        <v>Silver</v>
      </c>
    </row>
    <row r="126" spans="1:11" x14ac:dyDescent="0.25">
      <c r="A126" s="25">
        <v>19488</v>
      </c>
      <c r="B126" t="s">
        <v>111</v>
      </c>
      <c r="C126" t="s">
        <v>112</v>
      </c>
      <c r="D126" t="s">
        <v>113</v>
      </c>
      <c r="E126" s="33">
        <v>41249</v>
      </c>
      <c r="F126" t="str">
        <f>LOWER(LEFT(B126,1)&amp;C126&amp;"@"&amp;SUBSTITUTE(D126," ","")&amp;".com")</f>
        <v>ksyed@shawconstruction.com</v>
      </c>
      <c r="G126" s="30" t="s">
        <v>114</v>
      </c>
      <c r="H126" s="30">
        <v>21</v>
      </c>
      <c r="I126" s="30" t="str">
        <f>IF(ClientDB[[#This Row],[Start Date]]&gt;=DATE(2017,1,1),"New","")</f>
        <v/>
      </c>
      <c r="J126" s="30" t="str">
        <f>IF(OR(YEAR(ClientDB[[#This Row],[Start Date]])&lt;2013,ClientDB[[#This Row],[Events]]&gt;=15),"Yes","")</f>
        <v>Yes</v>
      </c>
      <c r="K126" s="30" t="str">
        <f>VLOOKUP(ClientDB[[#This Row],[Events]],$M$10:$N$13,2,1)</f>
        <v>Gold</v>
      </c>
    </row>
    <row r="127" spans="1:11" x14ac:dyDescent="0.25">
      <c r="A127" s="25">
        <v>19639</v>
      </c>
      <c r="B127" t="s">
        <v>165</v>
      </c>
      <c r="C127" t="s">
        <v>607</v>
      </c>
      <c r="D127" t="s">
        <v>159</v>
      </c>
      <c r="E127" s="33">
        <v>41708</v>
      </c>
      <c r="F127" t="str">
        <f>LOWER(LEFT(B127,1)&amp;C127&amp;"@"&amp;SUBSTITUTE(D127," ","")&amp;".com")</f>
        <v>pandersen@intelligencesystems.com</v>
      </c>
      <c r="G127" s="30" t="s">
        <v>608</v>
      </c>
      <c r="H127" s="30">
        <v>10</v>
      </c>
      <c r="I127" s="30" t="str">
        <f>IF(ClientDB[[#This Row],[Start Date]]&gt;=DATE(2017,1,1),"New","")</f>
        <v/>
      </c>
      <c r="J127" s="30" t="str">
        <f>IF(OR(YEAR(ClientDB[[#This Row],[Start Date]])&lt;2013,ClientDB[[#This Row],[Events]]&gt;=15),"Yes","")</f>
        <v/>
      </c>
      <c r="K127" s="30" t="str">
        <f>VLOOKUP(ClientDB[[#This Row],[Events]],$M$10:$N$13,2,1)</f>
        <v>Silver</v>
      </c>
    </row>
    <row r="128" spans="1:11" x14ac:dyDescent="0.25">
      <c r="A128" s="25">
        <v>19766</v>
      </c>
      <c r="B128" t="s">
        <v>246</v>
      </c>
      <c r="C128" t="s">
        <v>247</v>
      </c>
      <c r="D128" t="s">
        <v>164</v>
      </c>
      <c r="E128" s="33">
        <v>42367</v>
      </c>
      <c r="F128" t="str">
        <f>LOWER(LEFT(B128,1)&amp;C128&amp;"@"&amp;SUBSTITUTE(D128," ","")&amp;".com")</f>
        <v>rkuchin@zconnect,inc.com</v>
      </c>
      <c r="G128" s="30" t="s">
        <v>248</v>
      </c>
      <c r="H128" s="30">
        <v>5</v>
      </c>
      <c r="I128" s="30" t="str">
        <f>IF(ClientDB[[#This Row],[Start Date]]&gt;=DATE(2017,1,1),"New","")</f>
        <v/>
      </c>
      <c r="J128" s="30" t="str">
        <f>IF(OR(YEAR(ClientDB[[#This Row],[Start Date]])&lt;2013,ClientDB[[#This Row],[Events]]&gt;=15),"Yes","")</f>
        <v/>
      </c>
      <c r="K128" s="30" t="str">
        <f>VLOOKUP(ClientDB[[#This Row],[Events]],$M$10:$N$13,2,1)</f>
        <v>Bronze</v>
      </c>
    </row>
    <row r="129" spans="1:11" x14ac:dyDescent="0.25">
      <c r="A129" s="25">
        <v>20093</v>
      </c>
      <c r="B129" t="s">
        <v>587</v>
      </c>
      <c r="C129" t="s">
        <v>588</v>
      </c>
      <c r="D129" t="s">
        <v>52</v>
      </c>
      <c r="E129" s="33">
        <v>41325</v>
      </c>
      <c r="F129" t="str">
        <f>LOWER(LEFT(B129,1)&amp;C129&amp;"@"&amp;SUBSTITUTE(D129," ","")&amp;".com")</f>
        <v>iwijte@ripplecom.com</v>
      </c>
      <c r="G129" s="30" t="s">
        <v>45</v>
      </c>
      <c r="H129" s="30">
        <v>28</v>
      </c>
      <c r="I129" s="30" t="str">
        <f>IF(ClientDB[[#This Row],[Start Date]]&gt;=DATE(2017,1,1),"New","")</f>
        <v/>
      </c>
      <c r="J129" s="30" t="str">
        <f>IF(OR(YEAR(ClientDB[[#This Row],[Start Date]])&lt;2013,ClientDB[[#This Row],[Events]]&gt;=15),"Yes","")</f>
        <v>Yes</v>
      </c>
      <c r="K129" s="30" t="str">
        <f>VLOOKUP(ClientDB[[#This Row],[Events]],$M$10:$N$13,2,1)</f>
        <v>Gold</v>
      </c>
    </row>
    <row r="130" spans="1:11" x14ac:dyDescent="0.25">
      <c r="A130" s="25">
        <v>20210</v>
      </c>
      <c r="B130" t="s">
        <v>498</v>
      </c>
      <c r="C130" t="s">
        <v>499</v>
      </c>
      <c r="D130" t="s">
        <v>52</v>
      </c>
      <c r="E130" s="33">
        <v>42389</v>
      </c>
      <c r="F130" t="str">
        <f>LOWER(LEFT(B130,1)&amp;C130&amp;"@"&amp;SUBSTITUTE(D130," ","")&amp;".com")</f>
        <v>tbruijnzeels@ripplecom.com</v>
      </c>
      <c r="G130" s="30" t="s">
        <v>64</v>
      </c>
      <c r="H130" s="30">
        <v>13</v>
      </c>
      <c r="I130" s="30" t="str">
        <f>IF(ClientDB[[#This Row],[Start Date]]&gt;=DATE(2017,1,1),"New","")</f>
        <v/>
      </c>
      <c r="J130" s="30" t="str">
        <f>IF(OR(YEAR(ClientDB[[#This Row],[Start Date]])&lt;2013,ClientDB[[#This Row],[Events]]&gt;=15),"Yes","")</f>
        <v/>
      </c>
      <c r="K130" s="30" t="str">
        <f>VLOOKUP(ClientDB[[#This Row],[Events]],$M$10:$N$13,2,1)</f>
        <v>Silver</v>
      </c>
    </row>
    <row r="131" spans="1:11" x14ac:dyDescent="0.25">
      <c r="A131" s="25">
        <v>20262</v>
      </c>
      <c r="B131" t="s">
        <v>283</v>
      </c>
      <c r="C131" t="s">
        <v>284</v>
      </c>
      <c r="D131" t="s">
        <v>52</v>
      </c>
      <c r="E131" s="33">
        <v>41281</v>
      </c>
      <c r="F131" t="str">
        <f>LOWER(LEFT(B131,1)&amp;C131&amp;"@"&amp;SUBSTITUTE(D131," ","")&amp;".com")</f>
        <v>ihommes@ripplecom.com</v>
      </c>
      <c r="G131" s="30" t="s">
        <v>45</v>
      </c>
      <c r="H131" s="30">
        <v>5</v>
      </c>
      <c r="I131" s="30" t="str">
        <f>IF(ClientDB[[#This Row],[Start Date]]&gt;=DATE(2017,1,1),"New","")</f>
        <v/>
      </c>
      <c r="J131" s="30" t="str">
        <f>IF(OR(YEAR(ClientDB[[#This Row],[Start Date]])&lt;2013,ClientDB[[#This Row],[Events]]&gt;=15),"Yes","")</f>
        <v/>
      </c>
      <c r="K131" s="30" t="str">
        <f>VLOOKUP(ClientDB[[#This Row],[Events]],$M$10:$N$13,2,1)</f>
        <v>Bronze</v>
      </c>
    </row>
    <row r="132" spans="1:11" x14ac:dyDescent="0.25">
      <c r="A132" s="25">
        <v>20326</v>
      </c>
      <c r="B132" t="s">
        <v>305</v>
      </c>
      <c r="C132" t="s">
        <v>306</v>
      </c>
      <c r="D132" t="s">
        <v>144</v>
      </c>
      <c r="E132" s="33">
        <v>41781</v>
      </c>
      <c r="F132" t="str">
        <f>LOWER(LEFT(B132,1)&amp;C132&amp;"@"&amp;SUBSTITUTE(D132," ","")&amp;".com")</f>
        <v>balderwish@picsure.com</v>
      </c>
      <c r="G132" s="30" t="s">
        <v>307</v>
      </c>
      <c r="H132" s="30">
        <v>9</v>
      </c>
      <c r="I132" s="30" t="str">
        <f>IF(ClientDB[[#This Row],[Start Date]]&gt;=DATE(2017,1,1),"New","")</f>
        <v/>
      </c>
      <c r="J132" s="30" t="str">
        <f>IF(OR(YEAR(ClientDB[[#This Row],[Start Date]])&lt;2013,ClientDB[[#This Row],[Events]]&gt;=15),"Yes","")</f>
        <v/>
      </c>
      <c r="K132" s="30" t="str">
        <f>VLOOKUP(ClientDB[[#This Row],[Events]],$M$10:$N$13,2,1)</f>
        <v>Bronze</v>
      </c>
    </row>
    <row r="133" spans="1:11" x14ac:dyDescent="0.25">
      <c r="A133" s="25">
        <v>20467</v>
      </c>
      <c r="B133" t="s">
        <v>326</v>
      </c>
      <c r="C133" t="s">
        <v>450</v>
      </c>
      <c r="D133" t="s">
        <v>451</v>
      </c>
      <c r="E133" s="33">
        <v>41444</v>
      </c>
      <c r="F133" t="str">
        <f>LOWER(LEFT(B133,1)&amp;C133&amp;"@"&amp;SUBSTITUTE(D133," ","")&amp;".com")</f>
        <v>rho@eyn.com</v>
      </c>
      <c r="G133" s="30" t="s">
        <v>393</v>
      </c>
      <c r="H133" s="30">
        <v>2</v>
      </c>
      <c r="I133" s="30" t="str">
        <f>IF(ClientDB[[#This Row],[Start Date]]&gt;=DATE(2017,1,1),"New","")</f>
        <v/>
      </c>
      <c r="J133" s="30" t="str">
        <f>IF(OR(YEAR(ClientDB[[#This Row],[Start Date]])&lt;2013,ClientDB[[#This Row],[Events]]&gt;=15),"Yes","")</f>
        <v/>
      </c>
      <c r="K133" s="30" t="str">
        <f>VLOOKUP(ClientDB[[#This Row],[Events]],$M$10:$N$13,2,1)</f>
        <v>Bronze</v>
      </c>
    </row>
    <row r="134" spans="1:11" x14ac:dyDescent="0.25">
      <c r="A134" s="25">
        <v>20546</v>
      </c>
      <c r="B134" t="s">
        <v>655</v>
      </c>
      <c r="C134" t="s">
        <v>656</v>
      </c>
      <c r="D134" t="s">
        <v>48</v>
      </c>
      <c r="E134" s="33">
        <v>41421</v>
      </c>
      <c r="F134" t="str">
        <f>LOWER(LEFT(B134,1)&amp;C134&amp;"@"&amp;SUBSTITUTE(D134," ","")&amp;".com")</f>
        <v>myousefizadeh@icant.com</v>
      </c>
      <c r="G134" s="30" t="s">
        <v>37</v>
      </c>
      <c r="H134" s="30">
        <v>8</v>
      </c>
      <c r="I134" s="30" t="str">
        <f>IF(ClientDB[[#This Row],[Start Date]]&gt;=DATE(2017,1,1),"New","")</f>
        <v/>
      </c>
      <c r="J134" s="30" t="str">
        <f>IF(OR(YEAR(ClientDB[[#This Row],[Start Date]])&lt;2013,ClientDB[[#This Row],[Events]]&gt;=15),"Yes","")</f>
        <v/>
      </c>
      <c r="K134" s="30" t="str">
        <f>VLOOKUP(ClientDB[[#This Row],[Events]],$M$10:$N$13,2,1)</f>
        <v>Bronze</v>
      </c>
    </row>
    <row r="135" spans="1:11" x14ac:dyDescent="0.25">
      <c r="A135" s="25">
        <v>20580</v>
      </c>
      <c r="B135" t="s">
        <v>468</v>
      </c>
      <c r="C135" t="s">
        <v>469</v>
      </c>
      <c r="D135" t="s">
        <v>52</v>
      </c>
      <c r="E135" s="33">
        <v>41683</v>
      </c>
      <c r="F135" t="str">
        <f>LOWER(LEFT(B135,1)&amp;C135&amp;"@"&amp;SUBSTITUTE(D135," ","")&amp;".com")</f>
        <v>gpetrova@ripplecom.com</v>
      </c>
      <c r="G135" s="30" t="s">
        <v>45</v>
      </c>
      <c r="H135" s="30">
        <v>12</v>
      </c>
      <c r="I135" s="30" t="str">
        <f>IF(ClientDB[[#This Row],[Start Date]]&gt;=DATE(2017,1,1),"New","")</f>
        <v/>
      </c>
      <c r="J135" s="30" t="str">
        <f>IF(OR(YEAR(ClientDB[[#This Row],[Start Date]])&lt;2013,ClientDB[[#This Row],[Events]]&gt;=15),"Yes","")</f>
        <v/>
      </c>
      <c r="K135" s="30" t="str">
        <f>VLOOKUP(ClientDB[[#This Row],[Events]],$M$10:$N$13,2,1)</f>
        <v>Silver</v>
      </c>
    </row>
    <row r="136" spans="1:11" x14ac:dyDescent="0.25">
      <c r="A136" s="25">
        <v>20596</v>
      </c>
      <c r="B136" t="s">
        <v>671</v>
      </c>
      <c r="C136" t="s">
        <v>672</v>
      </c>
      <c r="D136" t="s">
        <v>159</v>
      </c>
      <c r="E136" s="33">
        <v>41569</v>
      </c>
      <c r="F136" t="str">
        <f>LOWER(LEFT(B136,1)&amp;C136&amp;"@"&amp;SUBSTITUTE(D136," ","")&amp;".com")</f>
        <v>esert@intelligencesystems.com</v>
      </c>
      <c r="G136" s="30" t="s">
        <v>673</v>
      </c>
      <c r="H136" s="30">
        <v>20</v>
      </c>
      <c r="I136" s="30" t="str">
        <f>IF(ClientDB[[#This Row],[Start Date]]&gt;=DATE(2017,1,1),"New","")</f>
        <v/>
      </c>
      <c r="J136" s="30" t="str">
        <f>IF(OR(YEAR(ClientDB[[#This Row],[Start Date]])&lt;2013,ClientDB[[#This Row],[Events]]&gt;=15),"Yes","")</f>
        <v>Yes</v>
      </c>
      <c r="K136" s="30" t="str">
        <f>VLOOKUP(ClientDB[[#This Row],[Events]],$M$10:$N$13,2,1)</f>
        <v>Gold</v>
      </c>
    </row>
    <row r="137" spans="1:11" x14ac:dyDescent="0.25">
      <c r="A137" s="25">
        <v>20616</v>
      </c>
      <c r="B137" t="s">
        <v>234</v>
      </c>
      <c r="C137" t="s">
        <v>235</v>
      </c>
      <c r="D137" t="s">
        <v>150</v>
      </c>
      <c r="E137" s="33">
        <v>42297</v>
      </c>
      <c r="F137" t="str">
        <f>LOWER(LEFT(B137,1)&amp;C137&amp;"@"&amp;SUBSTITUTE(D137," ","")&amp;".com")</f>
        <v>pfonseca@ebonytelecoms.com</v>
      </c>
      <c r="G137" s="30" t="s">
        <v>151</v>
      </c>
      <c r="H137" s="30">
        <v>2</v>
      </c>
      <c r="I137" s="30" t="str">
        <f>IF(ClientDB[[#This Row],[Start Date]]&gt;=DATE(2017,1,1),"New","")</f>
        <v/>
      </c>
      <c r="J137" s="30" t="str">
        <f>IF(OR(YEAR(ClientDB[[#This Row],[Start Date]])&lt;2013,ClientDB[[#This Row],[Events]]&gt;=15),"Yes","")</f>
        <v/>
      </c>
      <c r="K137" s="30" t="str">
        <f>VLOOKUP(ClientDB[[#This Row],[Events]],$M$10:$N$13,2,1)</f>
        <v>Bronze</v>
      </c>
    </row>
    <row r="138" spans="1:11" x14ac:dyDescent="0.25">
      <c r="A138" s="25">
        <v>20626</v>
      </c>
      <c r="B138" t="s">
        <v>666</v>
      </c>
      <c r="C138" t="s">
        <v>667</v>
      </c>
      <c r="D138" t="s">
        <v>96</v>
      </c>
      <c r="E138" s="33">
        <v>41513</v>
      </c>
      <c r="F138" t="str">
        <f>LOWER(LEFT(B138,1)&amp;C138&amp;"@"&amp;SUBSTITUTE(D138," ","")&amp;".com")</f>
        <v>pstrzyżewski@epsilontech.com</v>
      </c>
      <c r="G138" s="30" t="s">
        <v>292</v>
      </c>
      <c r="H138" s="30">
        <v>7</v>
      </c>
      <c r="I138" s="30" t="str">
        <f>IF(ClientDB[[#This Row],[Start Date]]&gt;=DATE(2017,1,1),"New","")</f>
        <v/>
      </c>
      <c r="J138" s="30" t="str">
        <f>IF(OR(YEAR(ClientDB[[#This Row],[Start Date]])&lt;2013,ClientDB[[#This Row],[Events]]&gt;=15),"Yes","")</f>
        <v/>
      </c>
      <c r="K138" s="30" t="str">
        <f>VLOOKUP(ClientDB[[#This Row],[Events]],$M$10:$N$13,2,1)</f>
        <v>Bronze</v>
      </c>
    </row>
    <row r="139" spans="1:11" x14ac:dyDescent="0.25">
      <c r="A139" s="25">
        <v>20636</v>
      </c>
      <c r="B139" t="s">
        <v>202</v>
      </c>
      <c r="C139" t="s">
        <v>203</v>
      </c>
      <c r="D139" t="s">
        <v>123</v>
      </c>
      <c r="E139" s="33">
        <v>41695</v>
      </c>
      <c r="F139" t="str">
        <f>LOWER(LEFT(B139,1)&amp;C139&amp;"@"&amp;SUBSTITUTE(D139," ","")&amp;".com")</f>
        <v>smousavi@tatsan.com</v>
      </c>
      <c r="G139" s="30" t="s">
        <v>37</v>
      </c>
      <c r="H139" s="30">
        <v>1</v>
      </c>
      <c r="I139" s="30" t="str">
        <f>IF(ClientDB[[#This Row],[Start Date]]&gt;=DATE(2017,1,1),"New","")</f>
        <v/>
      </c>
      <c r="J139" s="30" t="str">
        <f>IF(OR(YEAR(ClientDB[[#This Row],[Start Date]])&lt;2013,ClientDB[[#This Row],[Events]]&gt;=15),"Yes","")</f>
        <v/>
      </c>
      <c r="K139" s="30" t="str">
        <f>VLOOKUP(ClientDB[[#This Row],[Events]],$M$10:$N$13,2,1)</f>
        <v>Bronze</v>
      </c>
    </row>
    <row r="140" spans="1:11" x14ac:dyDescent="0.25">
      <c r="A140" s="25">
        <v>20752</v>
      </c>
      <c r="B140" t="s">
        <v>417</v>
      </c>
      <c r="C140" t="s">
        <v>418</v>
      </c>
      <c r="D140" t="s">
        <v>263</v>
      </c>
      <c r="E140" s="33">
        <v>41126</v>
      </c>
      <c r="F140" t="str">
        <f>LOWER(LEFT(B140,1)&amp;C140&amp;"@"&amp;SUBSTITUTE(D140," ","")&amp;".com")</f>
        <v>jkloots@ipibucharest.com</v>
      </c>
      <c r="G140" s="30" t="s">
        <v>89</v>
      </c>
      <c r="H140" s="30">
        <v>11</v>
      </c>
      <c r="I140" s="30" t="str">
        <f>IF(ClientDB[[#This Row],[Start Date]]&gt;=DATE(2017,1,1),"New","")</f>
        <v/>
      </c>
      <c r="J140" s="30" t="str">
        <f>IF(OR(YEAR(ClientDB[[#This Row],[Start Date]])&lt;2013,ClientDB[[#This Row],[Events]]&gt;=15),"Yes","")</f>
        <v>Yes</v>
      </c>
      <c r="K140" s="30" t="str">
        <f>VLOOKUP(ClientDB[[#This Row],[Events]],$M$10:$N$13,2,1)</f>
        <v>Silver</v>
      </c>
    </row>
    <row r="141" spans="1:11" x14ac:dyDescent="0.25">
      <c r="A141" s="25">
        <v>20767</v>
      </c>
      <c r="B141" t="s">
        <v>280</v>
      </c>
      <c r="C141" t="s">
        <v>281</v>
      </c>
      <c r="D141" t="s">
        <v>75</v>
      </c>
      <c r="E141" s="33">
        <v>41317</v>
      </c>
      <c r="F141" t="str">
        <f>LOWER(LEFT(B141,1)&amp;C141&amp;"@"&amp;SUBSTITUTE(D141," ","")&amp;".com")</f>
        <v>inazzal@xlaninternetexchange.com</v>
      </c>
      <c r="G141" s="30" t="s">
        <v>282</v>
      </c>
      <c r="H141" s="30">
        <v>13</v>
      </c>
      <c r="I141" s="30" t="str">
        <f>IF(ClientDB[[#This Row],[Start Date]]&gt;=DATE(2017,1,1),"New","")</f>
        <v/>
      </c>
      <c r="J141" s="30" t="str">
        <f>IF(OR(YEAR(ClientDB[[#This Row],[Start Date]])&lt;2013,ClientDB[[#This Row],[Events]]&gt;=15),"Yes","")</f>
        <v/>
      </c>
      <c r="K141" s="30" t="str">
        <f>VLOOKUP(ClientDB[[#This Row],[Events]],$M$10:$N$13,2,1)</f>
        <v>Silver</v>
      </c>
    </row>
    <row r="142" spans="1:11" x14ac:dyDescent="0.25">
      <c r="A142" s="25">
        <v>21000</v>
      </c>
      <c r="B142" t="s">
        <v>349</v>
      </c>
      <c r="C142" t="s">
        <v>350</v>
      </c>
      <c r="D142" t="s">
        <v>113</v>
      </c>
      <c r="E142" s="33">
        <v>42684</v>
      </c>
      <c r="F142" t="str">
        <f>LOWER(LEFT(B142,1)&amp;C142&amp;"@"&amp;SUBSTITUTE(D142," ","")&amp;".com")</f>
        <v>odelong@shawconstruction.com</v>
      </c>
      <c r="G142" s="30" t="s">
        <v>64</v>
      </c>
      <c r="H142" s="30">
        <v>25</v>
      </c>
      <c r="I142" s="30" t="str">
        <f>IF(ClientDB[[#This Row],[Start Date]]&gt;=DATE(2017,1,1),"New","")</f>
        <v/>
      </c>
      <c r="J142" s="30" t="str">
        <f>IF(OR(YEAR(ClientDB[[#This Row],[Start Date]])&lt;2013,ClientDB[[#This Row],[Events]]&gt;=15),"Yes","")</f>
        <v>Yes</v>
      </c>
      <c r="K142" s="30" t="str">
        <f>VLOOKUP(ClientDB[[#This Row],[Events]],$M$10:$N$13,2,1)</f>
        <v>Gold</v>
      </c>
    </row>
    <row r="143" spans="1:11" x14ac:dyDescent="0.25">
      <c r="A143" s="25">
        <v>21037</v>
      </c>
      <c r="B143" t="s">
        <v>257</v>
      </c>
      <c r="C143" t="s">
        <v>258</v>
      </c>
      <c r="D143" t="s">
        <v>52</v>
      </c>
      <c r="E143" s="33">
        <v>41690</v>
      </c>
      <c r="F143" t="str">
        <f>LOWER(LEFT(B143,1)&amp;C143&amp;"@"&amp;SUBSTITUTE(D143," ","")&amp;".com")</f>
        <v>ibabych@ripplecom.com</v>
      </c>
      <c r="G143" s="30" t="s">
        <v>56</v>
      </c>
      <c r="H143" s="30">
        <v>12</v>
      </c>
      <c r="I143" s="30" t="str">
        <f>IF(ClientDB[[#This Row],[Start Date]]&gt;=DATE(2017,1,1),"New","")</f>
        <v/>
      </c>
      <c r="J143" s="30" t="str">
        <f>IF(OR(YEAR(ClientDB[[#This Row],[Start Date]])&lt;2013,ClientDB[[#This Row],[Events]]&gt;=15),"Yes","")</f>
        <v/>
      </c>
      <c r="K143" s="30" t="str">
        <f>VLOOKUP(ClientDB[[#This Row],[Events]],$M$10:$N$13,2,1)</f>
        <v>Silver</v>
      </c>
    </row>
    <row r="144" spans="1:11" x14ac:dyDescent="0.25">
      <c r="A144" s="25">
        <v>21129</v>
      </c>
      <c r="B144" t="s">
        <v>214</v>
      </c>
      <c r="C144" t="s">
        <v>215</v>
      </c>
      <c r="D144" t="s">
        <v>59</v>
      </c>
      <c r="E144" s="33">
        <v>41423</v>
      </c>
      <c r="F144" t="str">
        <f>LOWER(LEFT(B144,1)&amp;C144&amp;"@"&amp;SUBSTITUTE(D144," ","")&amp;".com")</f>
        <v>jzorz@duet.com</v>
      </c>
      <c r="G144" s="30" t="s">
        <v>216</v>
      </c>
      <c r="H144" s="30">
        <v>7</v>
      </c>
      <c r="I144" s="30" t="str">
        <f>IF(ClientDB[[#This Row],[Start Date]]&gt;=DATE(2017,1,1),"New","")</f>
        <v/>
      </c>
      <c r="J144" s="30" t="str">
        <f>IF(OR(YEAR(ClientDB[[#This Row],[Start Date]])&lt;2013,ClientDB[[#This Row],[Events]]&gt;=15),"Yes","")</f>
        <v/>
      </c>
      <c r="K144" s="30" t="str">
        <f>VLOOKUP(ClientDB[[#This Row],[Events]],$M$10:$N$13,2,1)</f>
        <v>Bronze</v>
      </c>
    </row>
    <row r="145" spans="1:11" x14ac:dyDescent="0.25">
      <c r="A145" s="25">
        <v>21245</v>
      </c>
      <c r="B145" t="s">
        <v>333</v>
      </c>
      <c r="C145" t="s">
        <v>334</v>
      </c>
      <c r="D145" t="s">
        <v>196</v>
      </c>
      <c r="E145" s="33">
        <v>42273</v>
      </c>
      <c r="F145" t="str">
        <f>LOWER(LEFT(B145,1)&amp;C145&amp;"@"&amp;SUBSTITUTE(D145," ","")&amp;".com")</f>
        <v>rjetten@verisize.com</v>
      </c>
      <c r="G145" s="30" t="s">
        <v>80</v>
      </c>
      <c r="H145" s="30">
        <v>8</v>
      </c>
      <c r="I145" s="30" t="str">
        <f>IF(ClientDB[[#This Row],[Start Date]]&gt;=DATE(2017,1,1),"New","")</f>
        <v/>
      </c>
      <c r="J145" s="30" t="str">
        <f>IF(OR(YEAR(ClientDB[[#This Row],[Start Date]])&lt;2013,ClientDB[[#This Row],[Events]]&gt;=15),"Yes","")</f>
        <v/>
      </c>
      <c r="K145" s="30" t="str">
        <f>VLOOKUP(ClientDB[[#This Row],[Events]],$M$10:$N$13,2,1)</f>
        <v>Bronze</v>
      </c>
    </row>
    <row r="146" spans="1:11" x14ac:dyDescent="0.25">
      <c r="A146" s="25">
        <v>21379</v>
      </c>
      <c r="B146" t="s">
        <v>244</v>
      </c>
      <c r="C146" t="s">
        <v>245</v>
      </c>
      <c r="D146" t="s">
        <v>52</v>
      </c>
      <c r="E146" s="33">
        <v>42026</v>
      </c>
      <c r="F146" t="str">
        <f>LOWER(LEFT(B146,1)&amp;C146&amp;"@"&amp;SUBSTITUTE(D146," ","")&amp;".com")</f>
        <v>abuddhdev@ripplecom.com</v>
      </c>
      <c r="G146" s="30" t="s">
        <v>45</v>
      </c>
      <c r="H146" s="30">
        <v>14</v>
      </c>
      <c r="I146" s="30" t="str">
        <f>IF(ClientDB[[#This Row],[Start Date]]&gt;=DATE(2017,1,1),"New","")</f>
        <v/>
      </c>
      <c r="J146" s="30" t="str">
        <f>IF(OR(YEAR(ClientDB[[#This Row],[Start Date]])&lt;2013,ClientDB[[#This Row],[Events]]&gt;=15),"Yes","")</f>
        <v/>
      </c>
      <c r="K146" s="30" t="str">
        <f>VLOOKUP(ClientDB[[#This Row],[Events]],$M$10:$N$13,2,1)</f>
        <v>Silver</v>
      </c>
    </row>
    <row r="147" spans="1:11" x14ac:dyDescent="0.25">
      <c r="A147" s="25">
        <v>21397</v>
      </c>
      <c r="B147" t="s">
        <v>542</v>
      </c>
      <c r="C147" t="s">
        <v>543</v>
      </c>
      <c r="D147" t="s">
        <v>144</v>
      </c>
      <c r="E147" s="33">
        <v>41853</v>
      </c>
      <c r="F147" t="str">
        <f>LOWER(LEFT(B147,1)&amp;C147&amp;"@"&amp;SUBSTITUTE(D147," ","")&amp;".com")</f>
        <v>hal balushi@picsure.com</v>
      </c>
      <c r="G147" s="30" t="s">
        <v>173</v>
      </c>
      <c r="H147" s="30">
        <v>8</v>
      </c>
      <c r="I147" s="30" t="str">
        <f>IF(ClientDB[[#This Row],[Start Date]]&gt;=DATE(2017,1,1),"New","")</f>
        <v/>
      </c>
      <c r="J147" s="30" t="str">
        <f>IF(OR(YEAR(ClientDB[[#This Row],[Start Date]])&lt;2013,ClientDB[[#This Row],[Events]]&gt;=15),"Yes","")</f>
        <v/>
      </c>
      <c r="K147" s="30" t="str">
        <f>VLOOKUP(ClientDB[[#This Row],[Events]],$M$10:$N$13,2,1)</f>
        <v>Bronze</v>
      </c>
    </row>
    <row r="148" spans="1:11" x14ac:dyDescent="0.25">
      <c r="A148" s="25">
        <v>21652</v>
      </c>
      <c r="B148" t="s">
        <v>646</v>
      </c>
      <c r="C148" t="s">
        <v>739</v>
      </c>
      <c r="D148" t="s">
        <v>52</v>
      </c>
      <c r="E148" s="33">
        <v>41727</v>
      </c>
      <c r="F148" t="str">
        <f>LOWER(LEFT(B148,1)&amp;C148&amp;"@"&amp;SUBSTITUTE(D148," ","")&amp;".com")</f>
        <v>mmomeni@ripplecom.com</v>
      </c>
      <c r="G148" s="30" t="s">
        <v>37</v>
      </c>
      <c r="H148" s="30">
        <v>22</v>
      </c>
      <c r="I148" s="30" t="str">
        <f>IF(ClientDB[[#This Row],[Start Date]]&gt;=DATE(2017,1,1),"New","")</f>
        <v/>
      </c>
      <c r="J148" s="30" t="str">
        <f>IF(OR(YEAR(ClientDB[[#This Row],[Start Date]])&lt;2013,ClientDB[[#This Row],[Events]]&gt;=15),"Yes","")</f>
        <v>Yes</v>
      </c>
      <c r="K148" s="30" t="str">
        <f>VLOOKUP(ClientDB[[#This Row],[Events]],$M$10:$N$13,2,1)</f>
        <v>Gold</v>
      </c>
    </row>
    <row r="149" spans="1:11" x14ac:dyDescent="0.25">
      <c r="A149" s="25">
        <v>21701</v>
      </c>
      <c r="B149" t="s">
        <v>576</v>
      </c>
      <c r="C149" t="s">
        <v>577</v>
      </c>
      <c r="D149" t="s">
        <v>221</v>
      </c>
      <c r="E149" s="33">
        <v>41572</v>
      </c>
      <c r="F149" t="str">
        <f>LOWER(LEFT(B149,1)&amp;C149&amp;"@"&amp;SUBSTITUTE(D149," ","")&amp;".com")</f>
        <v>jbrenes@westtelco.com</v>
      </c>
      <c r="G149" s="30" t="s">
        <v>304</v>
      </c>
      <c r="H149" s="30">
        <v>4</v>
      </c>
      <c r="I149" s="30" t="str">
        <f>IF(ClientDB[[#This Row],[Start Date]]&gt;=DATE(2017,1,1),"New","")</f>
        <v/>
      </c>
      <c r="J149" s="30" t="str">
        <f>IF(OR(YEAR(ClientDB[[#This Row],[Start Date]])&lt;2013,ClientDB[[#This Row],[Events]]&gt;=15),"Yes","")</f>
        <v/>
      </c>
      <c r="K149" s="30" t="str">
        <f>VLOOKUP(ClientDB[[#This Row],[Events]],$M$10:$N$13,2,1)</f>
        <v>Bronze</v>
      </c>
    </row>
    <row r="150" spans="1:11" x14ac:dyDescent="0.25">
      <c r="A150" s="25">
        <v>21746</v>
      </c>
      <c r="B150" t="s">
        <v>550</v>
      </c>
      <c r="C150" t="s">
        <v>551</v>
      </c>
      <c r="D150" t="s">
        <v>55</v>
      </c>
      <c r="E150" s="33">
        <v>41613</v>
      </c>
      <c r="F150" t="str">
        <f>LOWER(LEFT(B150,1)&amp;C150&amp;"@"&amp;SUBSTITUTE(D150," ","")&amp;".com")</f>
        <v>arezk@wwt.com</v>
      </c>
      <c r="G150" s="30" t="s">
        <v>45</v>
      </c>
      <c r="H150" s="30">
        <v>15</v>
      </c>
      <c r="I150" s="30" t="str">
        <f>IF(ClientDB[[#This Row],[Start Date]]&gt;=DATE(2017,1,1),"New","")</f>
        <v/>
      </c>
      <c r="J150" s="30" t="str">
        <f>IF(OR(YEAR(ClientDB[[#This Row],[Start Date]])&lt;2013,ClientDB[[#This Row],[Events]]&gt;=15),"Yes","")</f>
        <v>Yes</v>
      </c>
      <c r="K150" s="30" t="str">
        <f>VLOOKUP(ClientDB[[#This Row],[Events]],$M$10:$N$13,2,1)</f>
        <v>Silver</v>
      </c>
    </row>
    <row r="151" spans="1:11" x14ac:dyDescent="0.25">
      <c r="A151" s="25">
        <v>21994</v>
      </c>
      <c r="B151" t="s">
        <v>191</v>
      </c>
      <c r="C151" t="s">
        <v>192</v>
      </c>
      <c r="D151" t="s">
        <v>96</v>
      </c>
      <c r="E151" s="33">
        <v>41610</v>
      </c>
      <c r="F151" t="str">
        <f>LOWER(LEFT(B151,1)&amp;C151&amp;"@"&amp;SUBSTITUTE(D151," ","")&amp;".com")</f>
        <v>zdaghles@epsilontech.com</v>
      </c>
      <c r="G151" s="30" t="s">
        <v>193</v>
      </c>
      <c r="H151" s="30">
        <v>13</v>
      </c>
      <c r="I151" s="30" t="str">
        <f>IF(ClientDB[[#This Row],[Start Date]]&gt;=DATE(2017,1,1),"New","")</f>
        <v/>
      </c>
      <c r="J151" s="30" t="str">
        <f>IF(OR(YEAR(ClientDB[[#This Row],[Start Date]])&lt;2013,ClientDB[[#This Row],[Events]]&gt;=15),"Yes","")</f>
        <v/>
      </c>
      <c r="K151" s="30" t="str">
        <f>VLOOKUP(ClientDB[[#This Row],[Events]],$M$10:$N$13,2,1)</f>
        <v>Silver</v>
      </c>
    </row>
    <row r="152" spans="1:11" x14ac:dyDescent="0.25">
      <c r="A152" s="25">
        <v>22054</v>
      </c>
      <c r="B152" t="s">
        <v>777</v>
      </c>
      <c r="C152" t="s">
        <v>778</v>
      </c>
      <c r="D152" t="s">
        <v>52</v>
      </c>
      <c r="E152" s="33">
        <v>42508</v>
      </c>
      <c r="F152" t="str">
        <f>LOWER(LEFT(B152,1)&amp;C152&amp;"@"&amp;SUBSTITUTE(D152," ","")&amp;".com")</f>
        <v>rkanis@ripplecom.com</v>
      </c>
      <c r="G152" s="30" t="s">
        <v>45</v>
      </c>
      <c r="H152" s="30">
        <v>3</v>
      </c>
      <c r="I152" s="30" t="str">
        <f>IF(ClientDB[[#This Row],[Start Date]]&gt;=DATE(2017,1,1),"New","")</f>
        <v/>
      </c>
      <c r="J152" s="30" t="str">
        <f>IF(OR(YEAR(ClientDB[[#This Row],[Start Date]])&lt;2013,ClientDB[[#This Row],[Events]]&gt;=15),"Yes","")</f>
        <v/>
      </c>
      <c r="K152" s="30" t="str">
        <f>VLOOKUP(ClientDB[[#This Row],[Events]],$M$10:$N$13,2,1)</f>
        <v>Bronze</v>
      </c>
    </row>
    <row r="153" spans="1:11" x14ac:dyDescent="0.25">
      <c r="A153" s="25">
        <v>22216</v>
      </c>
      <c r="B153" t="s">
        <v>642</v>
      </c>
      <c r="C153" t="s">
        <v>643</v>
      </c>
      <c r="D153" t="s">
        <v>338</v>
      </c>
      <c r="E153" s="33">
        <v>41798</v>
      </c>
      <c r="F153" t="str">
        <f>LOWER(LEFT(B153,1)&amp;C153&amp;"@"&amp;SUBSTITUTE(D153," ","")&amp;".com")</f>
        <v>umeier-hahn@qinisar.com</v>
      </c>
      <c r="G153" s="30" t="s">
        <v>76</v>
      </c>
      <c r="H153" s="30">
        <v>24</v>
      </c>
      <c r="I153" s="30" t="str">
        <f>IF(ClientDB[[#This Row],[Start Date]]&gt;=DATE(2017,1,1),"New","")</f>
        <v/>
      </c>
      <c r="J153" s="30" t="str">
        <f>IF(OR(YEAR(ClientDB[[#This Row],[Start Date]])&lt;2013,ClientDB[[#This Row],[Events]]&gt;=15),"Yes","")</f>
        <v>Yes</v>
      </c>
      <c r="K153" s="30" t="str">
        <f>VLOOKUP(ClientDB[[#This Row],[Events]],$M$10:$N$13,2,1)</f>
        <v>Gold</v>
      </c>
    </row>
    <row r="154" spans="1:11" x14ac:dyDescent="0.25">
      <c r="A154" s="25">
        <v>22256</v>
      </c>
      <c r="B154" t="s">
        <v>591</v>
      </c>
      <c r="C154" t="s">
        <v>592</v>
      </c>
      <c r="D154" t="s">
        <v>52</v>
      </c>
      <c r="E154" s="33">
        <v>42011</v>
      </c>
      <c r="F154" t="str">
        <f>LOWER(LEFT(B154,1)&amp;C154&amp;"@"&amp;SUBSTITUTE(D154," ","")&amp;".com")</f>
        <v>cpetrie@ripplecom.com</v>
      </c>
      <c r="G154" s="30" t="s">
        <v>45</v>
      </c>
      <c r="H154" s="30">
        <v>12</v>
      </c>
      <c r="I154" s="30" t="str">
        <f>IF(ClientDB[[#This Row],[Start Date]]&gt;=DATE(2017,1,1),"New","")</f>
        <v/>
      </c>
      <c r="J154" s="30" t="str">
        <f>IF(OR(YEAR(ClientDB[[#This Row],[Start Date]])&lt;2013,ClientDB[[#This Row],[Events]]&gt;=15),"Yes","")</f>
        <v/>
      </c>
      <c r="K154" s="30" t="str">
        <f>VLOOKUP(ClientDB[[#This Row],[Events]],$M$10:$N$13,2,1)</f>
        <v>Silver</v>
      </c>
    </row>
    <row r="155" spans="1:11" x14ac:dyDescent="0.25">
      <c r="A155" s="25">
        <v>22329</v>
      </c>
      <c r="B155" t="s">
        <v>170</v>
      </c>
      <c r="C155" t="s">
        <v>171</v>
      </c>
      <c r="D155" t="s">
        <v>172</v>
      </c>
      <c r="E155" s="33">
        <v>41559</v>
      </c>
      <c r="F155" t="str">
        <f>LOWER(LEFT(B155,1)&amp;C155&amp;"@"&amp;SUBSTITUTE(D155," ","")&amp;".com")</f>
        <v>bal mamari@uon.com</v>
      </c>
      <c r="G155" s="30" t="s">
        <v>173</v>
      </c>
      <c r="H155" s="30">
        <v>19</v>
      </c>
      <c r="I155" s="30" t="str">
        <f>IF(ClientDB[[#This Row],[Start Date]]&gt;=DATE(2017,1,1),"New","")</f>
        <v/>
      </c>
      <c r="J155" s="30" t="str">
        <f>IF(OR(YEAR(ClientDB[[#This Row],[Start Date]])&lt;2013,ClientDB[[#This Row],[Events]]&gt;=15),"Yes","")</f>
        <v>Yes</v>
      </c>
      <c r="K155" s="30" t="str">
        <f>VLOOKUP(ClientDB[[#This Row],[Events]],$M$10:$N$13,2,1)</f>
        <v>Silver</v>
      </c>
    </row>
    <row r="156" spans="1:11" x14ac:dyDescent="0.25">
      <c r="A156" s="25">
        <v>22347</v>
      </c>
      <c r="B156" t="s">
        <v>716</v>
      </c>
      <c r="C156" t="s">
        <v>717</v>
      </c>
      <c r="D156" t="s">
        <v>138</v>
      </c>
      <c r="E156" s="33">
        <v>41281</v>
      </c>
      <c r="F156" t="str">
        <f>LOWER(LEFT(B156,1)&amp;C156&amp;"@"&amp;SUBSTITUTE(D156," ","")&amp;".com")</f>
        <v>fkorsbäck@colot.com</v>
      </c>
      <c r="G156" s="30" t="s">
        <v>108</v>
      </c>
      <c r="H156" s="30">
        <v>5</v>
      </c>
      <c r="I156" s="30" t="str">
        <f>IF(ClientDB[[#This Row],[Start Date]]&gt;=DATE(2017,1,1),"New","")</f>
        <v/>
      </c>
      <c r="J156" s="30" t="str">
        <f>IF(OR(YEAR(ClientDB[[#This Row],[Start Date]])&lt;2013,ClientDB[[#This Row],[Events]]&gt;=15),"Yes","")</f>
        <v/>
      </c>
      <c r="K156" s="30" t="str">
        <f>VLOOKUP(ClientDB[[#This Row],[Events]],$M$10:$N$13,2,1)</f>
        <v>Bronze</v>
      </c>
    </row>
    <row r="157" spans="1:11" x14ac:dyDescent="0.25">
      <c r="A157" s="25">
        <v>22368</v>
      </c>
      <c r="B157" t="s">
        <v>197</v>
      </c>
      <c r="C157" t="s">
        <v>198</v>
      </c>
      <c r="D157" t="s">
        <v>52</v>
      </c>
      <c r="E157" s="33">
        <v>41680</v>
      </c>
      <c r="F157" t="str">
        <f>LOWER(LEFT(B157,1)&amp;C157&amp;"@"&amp;SUBSTITUTE(D157," ","")&amp;".com")</f>
        <v>dkarrenberg@ripplecom.com</v>
      </c>
      <c r="G157" s="30" t="s">
        <v>45</v>
      </c>
      <c r="H157" s="30">
        <v>2</v>
      </c>
      <c r="I157" s="30" t="str">
        <f>IF(ClientDB[[#This Row],[Start Date]]&gt;=DATE(2017,1,1),"New","")</f>
        <v/>
      </c>
      <c r="J157" s="30" t="str">
        <f>IF(OR(YEAR(ClientDB[[#This Row],[Start Date]])&lt;2013,ClientDB[[#This Row],[Events]]&gt;=15),"Yes","")</f>
        <v/>
      </c>
      <c r="K157" s="30" t="str">
        <f>VLOOKUP(ClientDB[[#This Row],[Events]],$M$10:$N$13,2,1)</f>
        <v>Bronze</v>
      </c>
    </row>
    <row r="158" spans="1:11" x14ac:dyDescent="0.25">
      <c r="A158" s="25">
        <v>22459</v>
      </c>
      <c r="B158" t="s">
        <v>625</v>
      </c>
      <c r="C158" t="s">
        <v>626</v>
      </c>
      <c r="D158" t="s">
        <v>83</v>
      </c>
      <c r="E158" s="33">
        <v>42337</v>
      </c>
      <c r="F158" t="str">
        <f>LOWER(LEFT(B158,1)&amp;C158&amp;"@"&amp;SUBSTITUTE(D158," ","")&amp;".com")</f>
        <v>mgandía@wizlabs.com</v>
      </c>
      <c r="G158" s="30" t="s">
        <v>304</v>
      </c>
      <c r="H158" s="30">
        <v>4</v>
      </c>
      <c r="I158" s="30" t="str">
        <f>IF(ClientDB[[#This Row],[Start Date]]&gt;=DATE(2017,1,1),"New","")</f>
        <v/>
      </c>
      <c r="J158" s="30" t="str">
        <f>IF(OR(YEAR(ClientDB[[#This Row],[Start Date]])&lt;2013,ClientDB[[#This Row],[Events]]&gt;=15),"Yes","")</f>
        <v/>
      </c>
      <c r="K158" s="30" t="str">
        <f>VLOOKUP(ClientDB[[#This Row],[Events]],$M$10:$N$13,2,1)</f>
        <v>Bronze</v>
      </c>
    </row>
    <row r="159" spans="1:11" x14ac:dyDescent="0.25">
      <c r="A159" s="25">
        <v>22475</v>
      </c>
      <c r="B159" t="s">
        <v>200</v>
      </c>
      <c r="C159" t="s">
        <v>201</v>
      </c>
      <c r="D159" t="s">
        <v>55</v>
      </c>
      <c r="E159" s="33">
        <v>42407</v>
      </c>
      <c r="F159" t="str">
        <f>LOWER(LEFT(B159,1)&amp;C159&amp;"@"&amp;SUBSTITUTE(D159," ","")&amp;".com")</f>
        <v>salblooshi@wwt.com</v>
      </c>
      <c r="G159" s="30" t="s">
        <v>185</v>
      </c>
      <c r="H159" s="30">
        <v>33</v>
      </c>
      <c r="I159" s="30" t="str">
        <f>IF(ClientDB[[#This Row],[Start Date]]&gt;=DATE(2017,1,1),"New","")</f>
        <v/>
      </c>
      <c r="J159" s="30" t="str">
        <f>IF(OR(YEAR(ClientDB[[#This Row],[Start Date]])&lt;2013,ClientDB[[#This Row],[Events]]&gt;=15),"Yes","")</f>
        <v>Yes</v>
      </c>
      <c r="K159" s="30" t="str">
        <f>VLOOKUP(ClientDB[[#This Row],[Events]],$M$10:$N$13,2,1)</f>
        <v>Platinum</v>
      </c>
    </row>
    <row r="160" spans="1:11" x14ac:dyDescent="0.25">
      <c r="A160" s="25">
        <v>23011</v>
      </c>
      <c r="B160" t="s">
        <v>797</v>
      </c>
      <c r="C160" t="s">
        <v>441</v>
      </c>
      <c r="D160" t="s">
        <v>52</v>
      </c>
      <c r="E160" s="33">
        <v>42007</v>
      </c>
      <c r="F160" t="str">
        <f>LOWER(LEFT(B160,1)&amp;C160&amp;"@"&amp;SUBSTITUTE(D160," ","")&amp;".com")</f>
        <v>adavies@ripplecom.com</v>
      </c>
      <c r="G160" s="30" t="s">
        <v>45</v>
      </c>
      <c r="H160" s="30">
        <v>8</v>
      </c>
      <c r="I160" s="30" t="str">
        <f>IF(ClientDB[[#This Row],[Start Date]]&gt;=DATE(2017,1,1),"New","")</f>
        <v/>
      </c>
      <c r="J160" s="30" t="str">
        <f>IF(OR(YEAR(ClientDB[[#This Row],[Start Date]])&lt;2013,ClientDB[[#This Row],[Events]]&gt;=15),"Yes","")</f>
        <v/>
      </c>
      <c r="K160" s="30" t="str">
        <f>VLOOKUP(ClientDB[[#This Row],[Events]],$M$10:$N$13,2,1)</f>
        <v>Bronze</v>
      </c>
    </row>
    <row r="161" spans="1:11" x14ac:dyDescent="0.25">
      <c r="A161" s="25">
        <v>23052</v>
      </c>
      <c r="B161" t="s">
        <v>760</v>
      </c>
      <c r="C161" t="s">
        <v>761</v>
      </c>
      <c r="D161" t="s">
        <v>167</v>
      </c>
      <c r="E161" s="33">
        <v>42634</v>
      </c>
      <c r="F161" t="str">
        <f>LOWER(LEFT(B161,1)&amp;C161&amp;"@"&amp;SUBSTITUTE(D161," ","")&amp;".com")</f>
        <v>lsawyer@netaassist.com</v>
      </c>
      <c r="G161" s="30" t="s">
        <v>64</v>
      </c>
      <c r="H161" s="30">
        <v>13</v>
      </c>
      <c r="I161" s="30" t="str">
        <f>IF(ClientDB[[#This Row],[Start Date]]&gt;=DATE(2017,1,1),"New","")</f>
        <v/>
      </c>
      <c r="J161" s="30" t="str">
        <f>IF(OR(YEAR(ClientDB[[#This Row],[Start Date]])&lt;2013,ClientDB[[#This Row],[Events]]&gt;=15),"Yes","")</f>
        <v/>
      </c>
      <c r="K161" s="30" t="str">
        <f>VLOOKUP(ClientDB[[#This Row],[Events]],$M$10:$N$13,2,1)</f>
        <v>Silver</v>
      </c>
    </row>
    <row r="162" spans="1:11" x14ac:dyDescent="0.25">
      <c r="A162" s="25">
        <v>23238</v>
      </c>
      <c r="B162" t="s">
        <v>589</v>
      </c>
      <c r="C162" t="s">
        <v>590</v>
      </c>
      <c r="D162" t="s">
        <v>184</v>
      </c>
      <c r="E162" s="33">
        <v>42885</v>
      </c>
      <c r="F162" t="str">
        <f>LOWER(LEFT(B162,1)&amp;C162&amp;"@"&amp;SUBSTITUTE(D162," ","")&amp;".com")</f>
        <v>phall@chirahtechnologies.com</v>
      </c>
      <c r="G162" s="30" t="s">
        <v>185</v>
      </c>
      <c r="H162" s="30">
        <v>3</v>
      </c>
      <c r="I162" s="30" t="str">
        <f>IF(ClientDB[[#This Row],[Start Date]]&gt;=DATE(2017,1,1),"New","")</f>
        <v>New</v>
      </c>
      <c r="J162" s="30" t="str">
        <f>IF(OR(YEAR(ClientDB[[#This Row],[Start Date]])&lt;2013,ClientDB[[#This Row],[Events]]&gt;=15),"Yes","")</f>
        <v/>
      </c>
      <c r="K162" s="30" t="str">
        <f>VLOOKUP(ClientDB[[#This Row],[Events]],$M$10:$N$13,2,1)</f>
        <v>Bronze</v>
      </c>
    </row>
    <row r="163" spans="1:11" x14ac:dyDescent="0.25">
      <c r="A163" s="25">
        <v>23254</v>
      </c>
      <c r="B163" t="s">
        <v>454</v>
      </c>
      <c r="C163" t="s">
        <v>455</v>
      </c>
      <c r="D163" t="s">
        <v>52</v>
      </c>
      <c r="E163" s="33">
        <v>42220</v>
      </c>
      <c r="F163" t="str">
        <f>LOWER(LEFT(B163,1)&amp;C163&amp;"@"&amp;SUBSTITUTE(D163," ","")&amp;".com")</f>
        <v>rvan mook@ripplecom.com</v>
      </c>
      <c r="G163" s="30" t="s">
        <v>89</v>
      </c>
      <c r="H163" s="30">
        <v>7</v>
      </c>
      <c r="I163" s="30" t="str">
        <f>IF(ClientDB[[#This Row],[Start Date]]&gt;=DATE(2017,1,1),"New","")</f>
        <v/>
      </c>
      <c r="J163" s="30" t="str">
        <f>IF(OR(YEAR(ClientDB[[#This Row],[Start Date]])&lt;2013,ClientDB[[#This Row],[Events]]&gt;=15),"Yes","")</f>
        <v/>
      </c>
      <c r="K163" s="30" t="str">
        <f>VLOOKUP(ClientDB[[#This Row],[Events]],$M$10:$N$13,2,1)</f>
        <v>Bronze</v>
      </c>
    </row>
    <row r="164" spans="1:11" x14ac:dyDescent="0.25">
      <c r="A164" s="25">
        <v>23268</v>
      </c>
      <c r="B164" t="s">
        <v>145</v>
      </c>
      <c r="C164" t="s">
        <v>146</v>
      </c>
      <c r="D164" t="s">
        <v>147</v>
      </c>
      <c r="E164" s="33">
        <v>41094</v>
      </c>
      <c r="F164" t="str">
        <f>LOWER(LEFT(B164,1)&amp;C164&amp;"@"&amp;SUBSTITUTE(D164," ","")&amp;".com")</f>
        <v>bsanghani@euro-m.com</v>
      </c>
      <c r="G164" s="30" t="s">
        <v>45</v>
      </c>
      <c r="H164" s="30">
        <v>14</v>
      </c>
      <c r="I164" s="30" t="str">
        <f>IF(ClientDB[[#This Row],[Start Date]]&gt;=DATE(2017,1,1),"New","")</f>
        <v/>
      </c>
      <c r="J164" s="30" t="str">
        <f>IF(OR(YEAR(ClientDB[[#This Row],[Start Date]])&lt;2013,ClientDB[[#This Row],[Events]]&gt;=15),"Yes","")</f>
        <v>Yes</v>
      </c>
      <c r="K164" s="30" t="str">
        <f>VLOOKUP(ClientDB[[#This Row],[Events]],$M$10:$N$13,2,1)</f>
        <v>Silver</v>
      </c>
    </row>
    <row r="165" spans="1:11" x14ac:dyDescent="0.25">
      <c r="A165" s="25">
        <v>23449</v>
      </c>
      <c r="B165" t="s">
        <v>733</v>
      </c>
      <c r="C165" t="s">
        <v>488</v>
      </c>
      <c r="D165" t="s">
        <v>52</v>
      </c>
      <c r="E165" s="33">
        <v>42832</v>
      </c>
      <c r="F165" t="str">
        <f>LOWER(LEFT(B165,1)&amp;C165&amp;"@"&amp;SUBSTITUTE(D165," ","")&amp;".com")</f>
        <v>sahmed@ripplecom.com</v>
      </c>
      <c r="G165" s="30" t="s">
        <v>307</v>
      </c>
      <c r="H165" s="30">
        <v>7</v>
      </c>
      <c r="I165" s="30" t="str">
        <f>IF(ClientDB[[#This Row],[Start Date]]&gt;=DATE(2017,1,1),"New","")</f>
        <v>New</v>
      </c>
      <c r="J165" s="30" t="str">
        <f>IF(OR(YEAR(ClientDB[[#This Row],[Start Date]])&lt;2013,ClientDB[[#This Row],[Events]]&gt;=15),"Yes","")</f>
        <v/>
      </c>
      <c r="K165" s="30" t="str">
        <f>VLOOKUP(ClientDB[[#This Row],[Events]],$M$10:$N$13,2,1)</f>
        <v>Bronze</v>
      </c>
    </row>
    <row r="166" spans="1:11" x14ac:dyDescent="0.25">
      <c r="A166" s="25">
        <v>23623</v>
      </c>
      <c r="B166" t="s">
        <v>293</v>
      </c>
      <c r="C166" t="s">
        <v>423</v>
      </c>
      <c r="D166" t="s">
        <v>325</v>
      </c>
      <c r="E166" s="33">
        <v>42912</v>
      </c>
      <c r="F166" t="str">
        <f>LOWER(LEFT(B166,1)&amp;C166&amp;"@"&amp;SUBSTITUTE(D166," ","")&amp;".com")</f>
        <v>cpetrasch@mojbal.com</v>
      </c>
      <c r="G166" s="30" t="s">
        <v>76</v>
      </c>
      <c r="H166" s="30">
        <v>2</v>
      </c>
      <c r="I166" s="30" t="str">
        <f>IF(ClientDB[[#This Row],[Start Date]]&gt;=DATE(2017,1,1),"New","")</f>
        <v>New</v>
      </c>
      <c r="J166" s="30" t="str">
        <f>IF(OR(YEAR(ClientDB[[#This Row],[Start Date]])&lt;2013,ClientDB[[#This Row],[Events]]&gt;=15),"Yes","")</f>
        <v/>
      </c>
      <c r="K166" s="30" t="str">
        <f>VLOOKUP(ClientDB[[#This Row],[Events]],$M$10:$N$13,2,1)</f>
        <v>Bronze</v>
      </c>
    </row>
    <row r="167" spans="1:11" x14ac:dyDescent="0.25">
      <c r="A167" s="25">
        <v>23689</v>
      </c>
      <c r="B167" t="s">
        <v>317</v>
      </c>
      <c r="C167" t="s">
        <v>318</v>
      </c>
      <c r="D167" t="s">
        <v>75</v>
      </c>
      <c r="E167" s="33">
        <v>42842</v>
      </c>
      <c r="F167" t="str">
        <f>LOWER(LEFT(B167,1)&amp;C167&amp;"@"&amp;SUBSTITUTE(D167," ","")&amp;".com")</f>
        <v>arapa@xlaninternetexchange.com</v>
      </c>
      <c r="G167" s="30" t="s">
        <v>84</v>
      </c>
      <c r="H167" s="30">
        <v>2</v>
      </c>
      <c r="I167" s="30" t="str">
        <f>IF(ClientDB[[#This Row],[Start Date]]&gt;=DATE(2017,1,1),"New","")</f>
        <v>New</v>
      </c>
      <c r="J167" s="30" t="str">
        <f>IF(OR(YEAR(ClientDB[[#This Row],[Start Date]])&lt;2013,ClientDB[[#This Row],[Events]]&gt;=15),"Yes","")</f>
        <v/>
      </c>
      <c r="K167" s="30" t="str">
        <f>VLOOKUP(ClientDB[[#This Row],[Events]],$M$10:$N$13,2,1)</f>
        <v>Bronze</v>
      </c>
    </row>
    <row r="168" spans="1:11" x14ac:dyDescent="0.25">
      <c r="A168" s="25">
        <v>23830</v>
      </c>
      <c r="B168" t="s">
        <v>385</v>
      </c>
      <c r="C168" t="s">
        <v>386</v>
      </c>
      <c r="D168" t="s">
        <v>338</v>
      </c>
      <c r="E168" s="33">
        <v>42872</v>
      </c>
      <c r="F168" t="str">
        <f>LOWER(LEFT(B168,1)&amp;C168&amp;"@"&amp;SUBSTITUTE(D168," ","")&amp;".com")</f>
        <v>klisovyi@qinisar.com</v>
      </c>
      <c r="G168" s="30" t="s">
        <v>56</v>
      </c>
      <c r="H168" s="30">
        <v>3</v>
      </c>
      <c r="I168" s="30" t="str">
        <f>IF(ClientDB[[#This Row],[Start Date]]&gt;=DATE(2017,1,1),"New","")</f>
        <v>New</v>
      </c>
      <c r="J168" s="30" t="str">
        <f>IF(OR(YEAR(ClientDB[[#This Row],[Start Date]])&lt;2013,ClientDB[[#This Row],[Events]]&gt;=15),"Yes","")</f>
        <v/>
      </c>
      <c r="K168" s="30" t="str">
        <f>VLOOKUP(ClientDB[[#This Row],[Events]],$M$10:$N$13,2,1)</f>
        <v>Bronze</v>
      </c>
    </row>
    <row r="169" spans="1:11" x14ac:dyDescent="0.25">
      <c r="A169" s="25">
        <v>24004</v>
      </c>
      <c r="B169" t="s">
        <v>404</v>
      </c>
      <c r="C169" t="s">
        <v>405</v>
      </c>
      <c r="D169" t="s">
        <v>138</v>
      </c>
      <c r="E169" s="33">
        <v>42983</v>
      </c>
      <c r="F169" t="str">
        <f>LOWER(LEFT(B169,1)&amp;C169&amp;"@"&amp;SUBSTITUTE(D169," ","")&amp;".com")</f>
        <v>avan der veen@colot.com</v>
      </c>
      <c r="G169" s="30" t="s">
        <v>89</v>
      </c>
      <c r="H169" s="30">
        <v>1</v>
      </c>
      <c r="I169" s="30" t="str">
        <f>IF(ClientDB[[#This Row],[Start Date]]&gt;=DATE(2017,1,1),"New","")</f>
        <v>New</v>
      </c>
      <c r="J169" s="30" t="str">
        <f>IF(OR(YEAR(ClientDB[[#This Row],[Start Date]])&lt;2013,ClientDB[[#This Row],[Events]]&gt;=15),"Yes","")</f>
        <v/>
      </c>
      <c r="K169" s="30" t="str">
        <f>VLOOKUP(ClientDB[[#This Row],[Events]],$M$10:$N$13,2,1)</f>
        <v>Bronze</v>
      </c>
    </row>
    <row r="170" spans="1:11" x14ac:dyDescent="0.25">
      <c r="A170" s="25">
        <v>24144</v>
      </c>
      <c r="B170" t="s">
        <v>770</v>
      </c>
      <c r="C170" t="s">
        <v>771</v>
      </c>
      <c r="D170" t="s">
        <v>150</v>
      </c>
      <c r="E170" s="33">
        <v>42145</v>
      </c>
      <c r="F170" t="str">
        <f>LOWER(LEFT(B170,1)&amp;C170&amp;"@"&amp;SUBSTITUTE(D170," ","")&amp;".com")</f>
        <v>jsilveira@ebonytelecoms.com</v>
      </c>
      <c r="G170" s="30" t="s">
        <v>151</v>
      </c>
      <c r="H170" s="30">
        <v>6</v>
      </c>
      <c r="I170" s="30" t="str">
        <f>IF(ClientDB[[#This Row],[Start Date]]&gt;=DATE(2017,1,1),"New","")</f>
        <v/>
      </c>
      <c r="J170" s="30" t="str">
        <f>IF(OR(YEAR(ClientDB[[#This Row],[Start Date]])&lt;2013,ClientDB[[#This Row],[Events]]&gt;=15),"Yes","")</f>
        <v/>
      </c>
      <c r="K170" s="30" t="str">
        <f>VLOOKUP(ClientDB[[#This Row],[Events]],$M$10:$N$13,2,1)</f>
        <v>Bronze</v>
      </c>
    </row>
    <row r="171" spans="1:11" x14ac:dyDescent="0.25">
      <c r="A171" s="25">
        <v>24205</v>
      </c>
      <c r="B171" t="s">
        <v>276</v>
      </c>
      <c r="C171" t="s">
        <v>277</v>
      </c>
      <c r="D171" t="s">
        <v>184</v>
      </c>
      <c r="E171" s="33">
        <v>42099</v>
      </c>
      <c r="F171" t="str">
        <f>LOWER(LEFT(B171,1)&amp;C171&amp;"@"&amp;SUBSTITUTE(D171," ","")&amp;".com")</f>
        <v>ayessayan@chirahtechnologies.com</v>
      </c>
      <c r="G171" s="30" t="s">
        <v>93</v>
      </c>
      <c r="H171" s="30">
        <v>1</v>
      </c>
      <c r="I171" s="30" t="str">
        <f>IF(ClientDB[[#This Row],[Start Date]]&gt;=DATE(2017,1,1),"New","")</f>
        <v/>
      </c>
      <c r="J171" s="30" t="str">
        <f>IF(OR(YEAR(ClientDB[[#This Row],[Start Date]])&lt;2013,ClientDB[[#This Row],[Events]]&gt;=15),"Yes","")</f>
        <v/>
      </c>
      <c r="K171" s="30" t="str">
        <f>VLOOKUP(ClientDB[[#This Row],[Events]],$M$10:$N$13,2,1)</f>
        <v>Bronze</v>
      </c>
    </row>
    <row r="172" spans="1:11" x14ac:dyDescent="0.25">
      <c r="A172" s="25">
        <v>24276</v>
      </c>
      <c r="B172" t="s">
        <v>466</v>
      </c>
      <c r="C172" t="s">
        <v>467</v>
      </c>
      <c r="D172" t="s">
        <v>83</v>
      </c>
      <c r="E172" s="33">
        <v>42348</v>
      </c>
      <c r="F172" t="str">
        <f>LOWER(LEFT(B172,1)&amp;C172&amp;"@"&amp;SUBSTITUTE(D172," ","")&amp;".com")</f>
        <v>bovereinder@wizlabs.com</v>
      </c>
      <c r="G172" s="30" t="s">
        <v>89</v>
      </c>
      <c r="H172" s="30">
        <v>5</v>
      </c>
      <c r="I172" s="30" t="str">
        <f>IF(ClientDB[[#This Row],[Start Date]]&gt;=DATE(2017,1,1),"New","")</f>
        <v/>
      </c>
      <c r="J172" s="30" t="str">
        <f>IF(OR(YEAR(ClientDB[[#This Row],[Start Date]])&lt;2013,ClientDB[[#This Row],[Events]]&gt;=15),"Yes","")</f>
        <v/>
      </c>
      <c r="K172" s="30" t="str">
        <f>VLOOKUP(ClientDB[[#This Row],[Events]],$M$10:$N$13,2,1)</f>
        <v>Bronze</v>
      </c>
    </row>
    <row r="173" spans="1:11" x14ac:dyDescent="0.25">
      <c r="A173" s="25">
        <v>24292</v>
      </c>
      <c r="B173" t="s">
        <v>745</v>
      </c>
      <c r="C173" t="s">
        <v>746</v>
      </c>
      <c r="D173" t="s">
        <v>147</v>
      </c>
      <c r="E173" s="33">
        <v>41728</v>
      </c>
      <c r="F173" t="str">
        <f>LOWER(LEFT(B173,1)&amp;C173&amp;"@"&amp;SUBSTITUTE(D173," ","")&amp;".com")</f>
        <v>hnabizadeh alamdari@euro-m.com</v>
      </c>
      <c r="G173" s="30" t="s">
        <v>37</v>
      </c>
      <c r="H173" s="30">
        <v>3</v>
      </c>
      <c r="I173" s="30" t="str">
        <f>IF(ClientDB[[#This Row],[Start Date]]&gt;=DATE(2017,1,1),"New","")</f>
        <v/>
      </c>
      <c r="J173" s="30" t="str">
        <f>IF(OR(YEAR(ClientDB[[#This Row],[Start Date]])&lt;2013,ClientDB[[#This Row],[Events]]&gt;=15),"Yes","")</f>
        <v/>
      </c>
      <c r="K173" s="30" t="str">
        <f>VLOOKUP(ClientDB[[#This Row],[Events]],$M$10:$N$13,2,1)</f>
        <v>Bronze</v>
      </c>
    </row>
    <row r="174" spans="1:11" x14ac:dyDescent="0.25">
      <c r="A174" s="25">
        <v>24317</v>
      </c>
      <c r="B174" t="s">
        <v>427</v>
      </c>
      <c r="C174" t="s">
        <v>428</v>
      </c>
      <c r="D174" t="s">
        <v>263</v>
      </c>
      <c r="E174" s="33">
        <v>41753</v>
      </c>
      <c r="F174" t="str">
        <f>LOWER(LEFT(B174,1)&amp;C174&amp;"@"&amp;SUBSTITUTE(D174," ","")&amp;".com")</f>
        <v>ssteffann@ipibucharest.com</v>
      </c>
      <c r="G174" s="30" t="s">
        <v>89</v>
      </c>
      <c r="H174" s="30">
        <v>6</v>
      </c>
      <c r="I174" s="30" t="str">
        <f>IF(ClientDB[[#This Row],[Start Date]]&gt;=DATE(2017,1,1),"New","")</f>
        <v/>
      </c>
      <c r="J174" s="30" t="str">
        <f>IF(OR(YEAR(ClientDB[[#This Row],[Start Date]])&lt;2013,ClientDB[[#This Row],[Events]]&gt;=15),"Yes","")</f>
        <v/>
      </c>
      <c r="K174" s="30" t="str">
        <f>VLOOKUP(ClientDB[[#This Row],[Events]],$M$10:$N$13,2,1)</f>
        <v>Bronze</v>
      </c>
    </row>
    <row r="175" spans="1:11" x14ac:dyDescent="0.25">
      <c r="A175" s="25">
        <v>24350</v>
      </c>
      <c r="B175" t="s">
        <v>424</v>
      </c>
      <c r="C175" t="s">
        <v>425</v>
      </c>
      <c r="D175" t="s">
        <v>107</v>
      </c>
      <c r="E175" s="33">
        <v>42598</v>
      </c>
      <c r="F175" t="str">
        <f>LOWER(LEFT(B175,1)&amp;C175&amp;"@"&amp;SUBSTITUTE(D175," ","")&amp;".com")</f>
        <v>kcernauskis@axellgroup.com</v>
      </c>
      <c r="G175" s="30" t="s">
        <v>426</v>
      </c>
      <c r="H175" s="30">
        <v>3</v>
      </c>
      <c r="I175" s="30" t="str">
        <f>IF(ClientDB[[#This Row],[Start Date]]&gt;=DATE(2017,1,1),"New","")</f>
        <v/>
      </c>
      <c r="J175" s="30" t="str">
        <f>IF(OR(YEAR(ClientDB[[#This Row],[Start Date]])&lt;2013,ClientDB[[#This Row],[Events]]&gt;=15),"Yes","")</f>
        <v/>
      </c>
      <c r="K175" s="30" t="str">
        <f>VLOOKUP(ClientDB[[#This Row],[Events]],$M$10:$N$13,2,1)</f>
        <v>Bronze</v>
      </c>
    </row>
    <row r="176" spans="1:11" x14ac:dyDescent="0.25">
      <c r="A176" s="25">
        <v>24398</v>
      </c>
      <c r="B176" t="s">
        <v>755</v>
      </c>
      <c r="C176" t="s">
        <v>756</v>
      </c>
      <c r="D176" t="s">
        <v>325</v>
      </c>
      <c r="E176" s="33">
        <v>41245</v>
      </c>
      <c r="F176" t="str">
        <f>LOWER(LEFT(B176,1)&amp;C176&amp;"@"&amp;SUBSTITUTE(D176," ","")&amp;".com")</f>
        <v>ashahini@mojbal.com</v>
      </c>
      <c r="G176" s="30" t="s">
        <v>37</v>
      </c>
      <c r="H176" s="30">
        <v>7</v>
      </c>
      <c r="I176" s="30" t="str">
        <f>IF(ClientDB[[#This Row],[Start Date]]&gt;=DATE(2017,1,1),"New","")</f>
        <v/>
      </c>
      <c r="J176" s="30" t="str">
        <f>IF(OR(YEAR(ClientDB[[#This Row],[Start Date]])&lt;2013,ClientDB[[#This Row],[Events]]&gt;=15),"Yes","")</f>
        <v>Yes</v>
      </c>
      <c r="K176" s="30" t="str">
        <f>VLOOKUP(ClientDB[[#This Row],[Events]],$M$10:$N$13,2,1)</f>
        <v>Bronze</v>
      </c>
    </row>
    <row r="177" spans="1:11" x14ac:dyDescent="0.25">
      <c r="A177" s="25">
        <v>24600</v>
      </c>
      <c r="B177" t="s">
        <v>431</v>
      </c>
      <c r="C177" t="s">
        <v>432</v>
      </c>
      <c r="D177" t="s">
        <v>55</v>
      </c>
      <c r="E177" s="33">
        <v>41753</v>
      </c>
      <c r="F177" t="str">
        <f>LOWER(LEFT(B177,1)&amp;C177&amp;"@"&amp;SUBSTITUTE(D177," ","")&amp;".com")</f>
        <v>izaikina@wwt.com</v>
      </c>
      <c r="G177" s="30" t="s">
        <v>56</v>
      </c>
      <c r="H177" s="30">
        <v>3</v>
      </c>
      <c r="I177" s="30" t="str">
        <f>IF(ClientDB[[#This Row],[Start Date]]&gt;=DATE(2017,1,1),"New","")</f>
        <v/>
      </c>
      <c r="J177" s="30" t="str">
        <f>IF(OR(YEAR(ClientDB[[#This Row],[Start Date]])&lt;2013,ClientDB[[#This Row],[Events]]&gt;=15),"Yes","")</f>
        <v/>
      </c>
      <c r="K177" s="30" t="str">
        <f>VLOOKUP(ClientDB[[#This Row],[Events]],$M$10:$N$13,2,1)</f>
        <v>Bronze</v>
      </c>
    </row>
    <row r="178" spans="1:11" x14ac:dyDescent="0.25">
      <c r="A178" s="25">
        <v>24841</v>
      </c>
      <c r="B178" t="s">
        <v>637</v>
      </c>
      <c r="C178" t="s">
        <v>638</v>
      </c>
      <c r="D178" t="s">
        <v>36</v>
      </c>
      <c r="E178" s="33">
        <v>41337</v>
      </c>
      <c r="F178" t="str">
        <f>LOWER(LEFT(B178,1)&amp;C178&amp;"@"&amp;SUBSTITUTE(D178," ","")&amp;".com")</f>
        <v>sbalakrichenan@respiranetworks.com</v>
      </c>
      <c r="G178" s="30" t="s">
        <v>341</v>
      </c>
      <c r="H178" s="30">
        <v>7</v>
      </c>
      <c r="I178" s="30" t="str">
        <f>IF(ClientDB[[#This Row],[Start Date]]&gt;=DATE(2017,1,1),"New","")</f>
        <v/>
      </c>
      <c r="J178" s="30" t="str">
        <f>IF(OR(YEAR(ClientDB[[#This Row],[Start Date]])&lt;2013,ClientDB[[#This Row],[Events]]&gt;=15),"Yes","")</f>
        <v/>
      </c>
      <c r="K178" s="30" t="str">
        <f>VLOOKUP(ClientDB[[#This Row],[Events]],$M$10:$N$13,2,1)</f>
        <v>Bronze</v>
      </c>
    </row>
    <row r="179" spans="1:11" x14ac:dyDescent="0.25">
      <c r="A179" s="25">
        <v>24884</v>
      </c>
      <c r="B179" t="s">
        <v>182</v>
      </c>
      <c r="C179" t="s">
        <v>183</v>
      </c>
      <c r="D179" t="s">
        <v>184</v>
      </c>
      <c r="E179" s="33">
        <v>41625</v>
      </c>
      <c r="F179" t="str">
        <f>LOWER(LEFT(B179,1)&amp;C179&amp;"@"&amp;SUBSTITUTE(D179," ","")&amp;".com")</f>
        <v>sfulop@chirahtechnologies.com</v>
      </c>
      <c r="G179" s="30" t="s">
        <v>185</v>
      </c>
      <c r="H179" s="30">
        <v>15</v>
      </c>
      <c r="I179" s="30" t="str">
        <f>IF(ClientDB[[#This Row],[Start Date]]&gt;=DATE(2017,1,1),"New","")</f>
        <v/>
      </c>
      <c r="J179" s="30" t="str">
        <f>IF(OR(YEAR(ClientDB[[#This Row],[Start Date]])&lt;2013,ClientDB[[#This Row],[Events]]&gt;=15),"Yes","")</f>
        <v>Yes</v>
      </c>
      <c r="K179" s="30" t="str">
        <f>VLOOKUP(ClientDB[[#This Row],[Events]],$M$10:$N$13,2,1)</f>
        <v>Silver</v>
      </c>
    </row>
    <row r="180" spans="1:11" x14ac:dyDescent="0.25">
      <c r="A180" s="25">
        <v>24998</v>
      </c>
      <c r="B180" t="s">
        <v>596</v>
      </c>
      <c r="C180" t="s">
        <v>597</v>
      </c>
      <c r="D180" t="s">
        <v>150</v>
      </c>
      <c r="E180" s="33">
        <v>41939</v>
      </c>
      <c r="F180" t="str">
        <f>LOWER(LEFT(B180,1)&amp;C180&amp;"@"&amp;SUBSTITUTE(D180," ","")&amp;".com")</f>
        <v>acavadas@ebonytelecoms.com</v>
      </c>
      <c r="G180" s="30" t="s">
        <v>151</v>
      </c>
      <c r="H180" s="30">
        <v>6</v>
      </c>
      <c r="I180" s="30" t="str">
        <f>IF(ClientDB[[#This Row],[Start Date]]&gt;=DATE(2017,1,1),"New","")</f>
        <v/>
      </c>
      <c r="J180" s="30" t="str">
        <f>IF(OR(YEAR(ClientDB[[#This Row],[Start Date]])&lt;2013,ClientDB[[#This Row],[Events]]&gt;=15),"Yes","")</f>
        <v/>
      </c>
      <c r="K180" s="30" t="str">
        <f>VLOOKUP(ClientDB[[#This Row],[Events]],$M$10:$N$13,2,1)</f>
        <v>Bronze</v>
      </c>
    </row>
    <row r="181" spans="1:11" x14ac:dyDescent="0.25">
      <c r="A181" s="25">
        <v>25034</v>
      </c>
      <c r="B181" t="s">
        <v>419</v>
      </c>
      <c r="C181" t="s">
        <v>712</v>
      </c>
      <c r="D181" t="s">
        <v>451</v>
      </c>
      <c r="E181" s="33">
        <v>41076</v>
      </c>
      <c r="F181" t="str">
        <f>LOWER(LEFT(B181,1)&amp;C181&amp;"@"&amp;SUBSTITUTE(D181," ","")&amp;".com")</f>
        <v>rcziva@eyn.com</v>
      </c>
      <c r="G181" s="30" t="s">
        <v>45</v>
      </c>
      <c r="H181" s="30">
        <v>3</v>
      </c>
      <c r="I181" s="30" t="str">
        <f>IF(ClientDB[[#This Row],[Start Date]]&gt;=DATE(2017,1,1),"New","")</f>
        <v/>
      </c>
      <c r="J181" s="30" t="str">
        <f>IF(OR(YEAR(ClientDB[[#This Row],[Start Date]])&lt;2013,ClientDB[[#This Row],[Events]]&gt;=15),"Yes","")</f>
        <v>Yes</v>
      </c>
      <c r="K181" s="30" t="str">
        <f>VLOOKUP(ClientDB[[#This Row],[Events]],$M$10:$N$13,2,1)</f>
        <v>Bronze</v>
      </c>
    </row>
    <row r="182" spans="1:11" x14ac:dyDescent="0.25">
      <c r="A182" s="25">
        <v>25049</v>
      </c>
      <c r="B182" t="s">
        <v>602</v>
      </c>
      <c r="C182" t="s">
        <v>603</v>
      </c>
      <c r="D182" t="s">
        <v>104</v>
      </c>
      <c r="E182" s="33">
        <v>41242</v>
      </c>
      <c r="F182" t="str">
        <f>LOWER(LEFT(B182,1)&amp;C182&amp;"@"&amp;SUBSTITUTE(D182," ","")&amp;".com")</f>
        <v>bfarrokhi@parmistechnologies.com</v>
      </c>
      <c r="G182" s="30" t="s">
        <v>37</v>
      </c>
      <c r="H182" s="30">
        <v>9</v>
      </c>
      <c r="I182" s="30" t="str">
        <f>IF(ClientDB[[#This Row],[Start Date]]&gt;=DATE(2017,1,1),"New","")</f>
        <v/>
      </c>
      <c r="J182" s="30" t="str">
        <f>IF(OR(YEAR(ClientDB[[#This Row],[Start Date]])&lt;2013,ClientDB[[#This Row],[Events]]&gt;=15),"Yes","")</f>
        <v>Yes</v>
      </c>
      <c r="K182" s="30" t="str">
        <f>VLOOKUP(ClientDB[[#This Row],[Events]],$M$10:$N$13,2,1)</f>
        <v>Bronze</v>
      </c>
    </row>
    <row r="183" spans="1:11" x14ac:dyDescent="0.25">
      <c r="A183" s="25">
        <v>25080</v>
      </c>
      <c r="B183" t="s">
        <v>412</v>
      </c>
      <c r="C183" t="s">
        <v>413</v>
      </c>
      <c r="D183" t="s">
        <v>172</v>
      </c>
      <c r="E183" s="33">
        <v>42014</v>
      </c>
      <c r="F183" t="str">
        <f>LOWER(LEFT(B183,1)&amp;C183&amp;"@"&amp;SUBSTITUTE(D183," ","")&amp;".com")</f>
        <v>lkaspar@uon.com</v>
      </c>
      <c r="G183" s="30" t="s">
        <v>68</v>
      </c>
      <c r="H183" s="30">
        <v>11</v>
      </c>
      <c r="I183" s="30" t="str">
        <f>IF(ClientDB[[#This Row],[Start Date]]&gt;=DATE(2017,1,1),"New","")</f>
        <v/>
      </c>
      <c r="J183" s="30" t="str">
        <f>IF(OR(YEAR(ClientDB[[#This Row],[Start Date]])&lt;2013,ClientDB[[#This Row],[Events]]&gt;=15),"Yes","")</f>
        <v/>
      </c>
      <c r="K183" s="30" t="str">
        <f>VLOOKUP(ClientDB[[#This Row],[Events]],$M$10:$N$13,2,1)</f>
        <v>Silver</v>
      </c>
    </row>
    <row r="184" spans="1:11" x14ac:dyDescent="0.25">
      <c r="A184" s="25">
        <v>25295</v>
      </c>
      <c r="B184" t="s">
        <v>531</v>
      </c>
      <c r="C184" t="s">
        <v>711</v>
      </c>
      <c r="D184" t="s">
        <v>295</v>
      </c>
      <c r="E184" s="33">
        <v>42877</v>
      </c>
      <c r="F184" t="str">
        <f>LOWER(LEFT(B184,1)&amp;C184&amp;"@"&amp;SUBSTITUTE(D184," ","")&amp;".com")</f>
        <v>psteinhaeuser@dataprosys.com</v>
      </c>
      <c r="G184" s="30" t="s">
        <v>76</v>
      </c>
      <c r="H184" s="30">
        <v>1</v>
      </c>
      <c r="I184" s="30" t="str">
        <f>IF(ClientDB[[#This Row],[Start Date]]&gt;=DATE(2017,1,1),"New","")</f>
        <v>New</v>
      </c>
      <c r="J184" s="30" t="str">
        <f>IF(OR(YEAR(ClientDB[[#This Row],[Start Date]])&lt;2013,ClientDB[[#This Row],[Events]]&gt;=15),"Yes","")</f>
        <v/>
      </c>
      <c r="K184" s="30" t="str">
        <f>VLOOKUP(ClientDB[[#This Row],[Events]],$M$10:$N$13,2,1)</f>
        <v>Bronze</v>
      </c>
    </row>
    <row r="185" spans="1:11" x14ac:dyDescent="0.25">
      <c r="A185" s="25">
        <v>25310</v>
      </c>
      <c r="B185" t="s">
        <v>668</v>
      </c>
      <c r="C185" t="s">
        <v>669</v>
      </c>
      <c r="D185" t="s">
        <v>113</v>
      </c>
      <c r="E185" s="33">
        <v>42731</v>
      </c>
      <c r="F185" t="str">
        <f>LOWER(LEFT(B185,1)&amp;C185&amp;"@"&amp;SUBSTITUTE(D185," ","")&amp;".com")</f>
        <v>fduke@shawconstruction.com</v>
      </c>
      <c r="G185" s="30" t="s">
        <v>56</v>
      </c>
      <c r="H185" s="30">
        <v>7</v>
      </c>
      <c r="I185" s="30" t="str">
        <f>IF(ClientDB[[#This Row],[Start Date]]&gt;=DATE(2017,1,1),"New","")</f>
        <v/>
      </c>
      <c r="J185" s="30" t="str">
        <f>IF(OR(YEAR(ClientDB[[#This Row],[Start Date]])&lt;2013,ClientDB[[#This Row],[Events]]&gt;=15),"Yes","")</f>
        <v/>
      </c>
      <c r="K185" s="30" t="str">
        <f>VLOOKUP(ClientDB[[#This Row],[Events]],$M$10:$N$13,2,1)</f>
        <v>Bronze</v>
      </c>
    </row>
    <row r="186" spans="1:11" x14ac:dyDescent="0.25">
      <c r="A186" s="25">
        <v>25387</v>
      </c>
      <c r="B186" t="s">
        <v>362</v>
      </c>
      <c r="C186" t="s">
        <v>363</v>
      </c>
      <c r="D186" t="s">
        <v>52</v>
      </c>
      <c r="E186" s="33">
        <v>42351</v>
      </c>
      <c r="F186" t="str">
        <f>LOWER(LEFT(B186,1)&amp;C186&amp;"@"&amp;SUBSTITUTE(D186," ","")&amp;".com")</f>
        <v>mschepers@ripplecom.com</v>
      </c>
      <c r="G186" s="30" t="s">
        <v>45</v>
      </c>
      <c r="H186" s="30">
        <v>4</v>
      </c>
      <c r="I186" s="30" t="str">
        <f>IF(ClientDB[[#This Row],[Start Date]]&gt;=DATE(2017,1,1),"New","")</f>
        <v/>
      </c>
      <c r="J186" s="30" t="str">
        <f>IF(OR(YEAR(ClientDB[[#This Row],[Start Date]])&lt;2013,ClientDB[[#This Row],[Events]]&gt;=15),"Yes","")</f>
        <v/>
      </c>
      <c r="K186" s="30" t="str">
        <f>VLOOKUP(ClientDB[[#This Row],[Events]],$M$10:$N$13,2,1)</f>
        <v>Bronze</v>
      </c>
    </row>
    <row r="187" spans="1:11" x14ac:dyDescent="0.25">
      <c r="A187" s="25">
        <v>25412</v>
      </c>
      <c r="B187" t="s">
        <v>319</v>
      </c>
      <c r="C187" t="s">
        <v>320</v>
      </c>
      <c r="D187" t="s">
        <v>48</v>
      </c>
      <c r="E187" s="33">
        <v>42599</v>
      </c>
      <c r="F187" t="str">
        <f>LOWER(LEFT(B187,1)&amp;C187&amp;"@"&amp;SUBSTITUTE(D187," ","")&amp;".com")</f>
        <v>rarends@icant.com</v>
      </c>
      <c r="G187" s="30" t="s">
        <v>45</v>
      </c>
      <c r="H187" s="30">
        <v>7</v>
      </c>
      <c r="I187" s="30" t="str">
        <f>IF(ClientDB[[#This Row],[Start Date]]&gt;=DATE(2017,1,1),"New","")</f>
        <v/>
      </c>
      <c r="J187" s="30" t="str">
        <f>IF(OR(YEAR(ClientDB[[#This Row],[Start Date]])&lt;2013,ClientDB[[#This Row],[Events]]&gt;=15),"Yes","")</f>
        <v/>
      </c>
      <c r="K187" s="30" t="str">
        <f>VLOOKUP(ClientDB[[#This Row],[Events]],$M$10:$N$13,2,1)</f>
        <v>Bronze</v>
      </c>
    </row>
    <row r="188" spans="1:11" x14ac:dyDescent="0.25">
      <c r="A188" s="25">
        <v>25440</v>
      </c>
      <c r="B188" t="s">
        <v>209</v>
      </c>
      <c r="C188" t="s">
        <v>210</v>
      </c>
      <c r="D188" t="s">
        <v>211</v>
      </c>
      <c r="E188" s="33">
        <v>41340</v>
      </c>
      <c r="F188" t="str">
        <f>LOWER(LEFT(B188,1)&amp;C188&amp;"@"&amp;SUBSTITUTE(D188," ","")&amp;".com")</f>
        <v>gmounier@stepahead.com</v>
      </c>
      <c r="G188" s="30" t="s">
        <v>89</v>
      </c>
      <c r="H188" s="30">
        <v>5</v>
      </c>
      <c r="I188" s="30" t="str">
        <f>IF(ClientDB[[#This Row],[Start Date]]&gt;=DATE(2017,1,1),"New","")</f>
        <v/>
      </c>
      <c r="J188" s="30" t="str">
        <f>IF(OR(YEAR(ClientDB[[#This Row],[Start Date]])&lt;2013,ClientDB[[#This Row],[Events]]&gt;=15),"Yes","")</f>
        <v/>
      </c>
      <c r="K188" s="30" t="str">
        <f>VLOOKUP(ClientDB[[#This Row],[Events]],$M$10:$N$13,2,1)</f>
        <v>Bronze</v>
      </c>
    </row>
    <row r="189" spans="1:11" x14ac:dyDescent="0.25">
      <c r="A189" s="25">
        <v>25549</v>
      </c>
      <c r="B189" t="s">
        <v>659</v>
      </c>
      <c r="C189" t="s">
        <v>660</v>
      </c>
      <c r="D189" t="s">
        <v>113</v>
      </c>
      <c r="E189" s="33">
        <v>41316</v>
      </c>
      <c r="F189" t="str">
        <f>LOWER(LEFT(B189,1)&amp;C189&amp;"@"&amp;SUBSTITUTE(D189," ","")&amp;".com")</f>
        <v>tkuettner@shawconstruction.com</v>
      </c>
      <c r="G189" s="30" t="s">
        <v>76</v>
      </c>
      <c r="H189" s="30">
        <v>8</v>
      </c>
      <c r="I189" s="30" t="str">
        <f>IF(ClientDB[[#This Row],[Start Date]]&gt;=DATE(2017,1,1),"New","")</f>
        <v/>
      </c>
      <c r="J189" s="30" t="str">
        <f>IF(OR(YEAR(ClientDB[[#This Row],[Start Date]])&lt;2013,ClientDB[[#This Row],[Events]]&gt;=15),"Yes","")</f>
        <v/>
      </c>
      <c r="K189" s="30" t="str">
        <f>VLOOKUP(ClientDB[[#This Row],[Events]],$M$10:$N$13,2,1)</f>
        <v>Bronze</v>
      </c>
    </row>
    <row r="190" spans="1:11" x14ac:dyDescent="0.25">
      <c r="A190" s="25">
        <v>25596</v>
      </c>
      <c r="B190" t="s">
        <v>278</v>
      </c>
      <c r="C190" t="s">
        <v>279</v>
      </c>
      <c r="D190" t="s">
        <v>263</v>
      </c>
      <c r="E190" s="33">
        <v>42008</v>
      </c>
      <c r="F190" t="str">
        <f>LOWER(LEFT(B190,1)&amp;C190&amp;"@"&amp;SUBSTITUTE(D190," ","")&amp;".com")</f>
        <v>csevcenco@ipibucharest.com</v>
      </c>
      <c r="G190" s="30" t="s">
        <v>84</v>
      </c>
      <c r="H190" s="30">
        <v>2</v>
      </c>
      <c r="I190" s="30" t="str">
        <f>IF(ClientDB[[#This Row],[Start Date]]&gt;=DATE(2017,1,1),"New","")</f>
        <v/>
      </c>
      <c r="J190" s="30" t="str">
        <f>IF(OR(YEAR(ClientDB[[#This Row],[Start Date]])&lt;2013,ClientDB[[#This Row],[Events]]&gt;=15),"Yes","")</f>
        <v/>
      </c>
      <c r="K190" s="30" t="str">
        <f>VLOOKUP(ClientDB[[#This Row],[Events]],$M$10:$N$13,2,1)</f>
        <v>Bronze</v>
      </c>
    </row>
    <row r="191" spans="1:11" x14ac:dyDescent="0.25">
      <c r="A191" s="25">
        <v>25632</v>
      </c>
      <c r="B191" t="s">
        <v>598</v>
      </c>
      <c r="C191" t="s">
        <v>599</v>
      </c>
      <c r="D191" t="s">
        <v>451</v>
      </c>
      <c r="E191" s="33">
        <v>42550</v>
      </c>
      <c r="F191" t="str">
        <f>LOWER(LEFT(B191,1)&amp;C191&amp;"@"&amp;SUBSTITUTE(D191," ","")&amp;".com")</f>
        <v>mhazas@eyn.com</v>
      </c>
      <c r="G191" s="30" t="s">
        <v>45</v>
      </c>
      <c r="H191" s="30">
        <v>3</v>
      </c>
      <c r="I191" s="30" t="str">
        <f>IF(ClientDB[[#This Row],[Start Date]]&gt;=DATE(2017,1,1),"New","")</f>
        <v/>
      </c>
      <c r="J191" s="30" t="str">
        <f>IF(OR(YEAR(ClientDB[[#This Row],[Start Date]])&lt;2013,ClientDB[[#This Row],[Events]]&gt;=15),"Yes","")</f>
        <v/>
      </c>
      <c r="K191" s="30" t="str">
        <f>VLOOKUP(ClientDB[[#This Row],[Events]],$M$10:$N$13,2,1)</f>
        <v>Bronze</v>
      </c>
    </row>
    <row r="192" spans="1:11" x14ac:dyDescent="0.25">
      <c r="A192" s="25">
        <v>25709</v>
      </c>
      <c r="B192" t="s">
        <v>313</v>
      </c>
      <c r="C192" t="s">
        <v>314</v>
      </c>
      <c r="D192" t="s">
        <v>52</v>
      </c>
      <c r="E192" s="33">
        <v>41782</v>
      </c>
      <c r="F192" t="str">
        <f>LOWER(LEFT(B192,1)&amp;C192&amp;"@"&amp;SUBSTITUTE(D192," ","")&amp;".com")</f>
        <v>cbuckridge@ripplecom.com</v>
      </c>
      <c r="G192" s="30" t="s">
        <v>45</v>
      </c>
      <c r="H192" s="30">
        <v>7</v>
      </c>
      <c r="I192" s="30" t="str">
        <f>IF(ClientDB[[#This Row],[Start Date]]&gt;=DATE(2017,1,1),"New","")</f>
        <v/>
      </c>
      <c r="J192" s="30" t="str">
        <f>IF(OR(YEAR(ClientDB[[#This Row],[Start Date]])&lt;2013,ClientDB[[#This Row],[Events]]&gt;=15),"Yes","")</f>
        <v/>
      </c>
      <c r="K192" s="30" t="str">
        <f>VLOOKUP(ClientDB[[#This Row],[Events]],$M$10:$N$13,2,1)</f>
        <v>Bronze</v>
      </c>
    </row>
    <row r="193" spans="1:11" x14ac:dyDescent="0.25">
      <c r="A193" s="25">
        <v>25731</v>
      </c>
      <c r="B193" t="s">
        <v>57</v>
      </c>
      <c r="C193" t="s">
        <v>58</v>
      </c>
      <c r="D193" t="s">
        <v>59</v>
      </c>
      <c r="E193" s="33">
        <v>41556</v>
      </c>
      <c r="F193" t="str">
        <f>LOWER(LEFT(B193,1)&amp;C193&amp;"@"&amp;SUBSTITUTE(D193," ","")&amp;".com")</f>
        <v>dpathak@duet.com</v>
      </c>
      <c r="G193" s="30" t="s">
        <v>60</v>
      </c>
      <c r="H193" s="30">
        <v>6</v>
      </c>
      <c r="I193" s="30" t="str">
        <f>IF(ClientDB[[#This Row],[Start Date]]&gt;=DATE(2017,1,1),"New","")</f>
        <v/>
      </c>
      <c r="J193" s="30" t="str">
        <f>IF(OR(YEAR(ClientDB[[#This Row],[Start Date]])&lt;2013,ClientDB[[#This Row],[Events]]&gt;=15),"Yes","")</f>
        <v/>
      </c>
      <c r="K193" s="30" t="str">
        <f>VLOOKUP(ClientDB[[#This Row],[Events]],$M$10:$N$13,2,1)</f>
        <v>Bronze</v>
      </c>
    </row>
    <row r="194" spans="1:11" x14ac:dyDescent="0.25">
      <c r="A194" s="25">
        <v>25911</v>
      </c>
      <c r="B194" t="s">
        <v>584</v>
      </c>
      <c r="C194" t="s">
        <v>585</v>
      </c>
      <c r="D194" t="s">
        <v>144</v>
      </c>
      <c r="E194" s="33">
        <v>42314</v>
      </c>
      <c r="F194" t="str">
        <f>LOWER(LEFT(B194,1)&amp;C194&amp;"@"&amp;SUBSTITUTE(D194," ","")&amp;".com")</f>
        <v>rmullally@picsure.com</v>
      </c>
      <c r="G194" s="30" t="s">
        <v>45</v>
      </c>
      <c r="H194" s="30">
        <v>10</v>
      </c>
      <c r="I194" s="30" t="str">
        <f>IF(ClientDB[[#This Row],[Start Date]]&gt;=DATE(2017,1,1),"New","")</f>
        <v/>
      </c>
      <c r="J194" s="30" t="str">
        <f>IF(OR(YEAR(ClientDB[[#This Row],[Start Date]])&lt;2013,ClientDB[[#This Row],[Events]]&gt;=15),"Yes","")</f>
        <v/>
      </c>
      <c r="K194" s="30" t="str">
        <f>VLOOKUP(ClientDB[[#This Row],[Events]],$M$10:$N$13,2,1)</f>
        <v>Silver</v>
      </c>
    </row>
    <row r="195" spans="1:11" x14ac:dyDescent="0.25">
      <c r="A195" s="25">
        <v>25957</v>
      </c>
      <c r="B195" t="s">
        <v>270</v>
      </c>
      <c r="C195" t="s">
        <v>271</v>
      </c>
      <c r="D195" t="s">
        <v>52</v>
      </c>
      <c r="E195" s="33">
        <v>42633</v>
      </c>
      <c r="F195" t="str">
        <f>LOWER(LEFT(B195,1)&amp;C195&amp;"@"&amp;SUBSTITUTE(D195," ","")&amp;".com")</f>
        <v>camin@ripplecom.com</v>
      </c>
      <c r="G195" s="30" t="s">
        <v>45</v>
      </c>
      <c r="H195" s="30">
        <v>2</v>
      </c>
      <c r="I195" s="30" t="str">
        <f>IF(ClientDB[[#This Row],[Start Date]]&gt;=DATE(2017,1,1),"New","")</f>
        <v/>
      </c>
      <c r="J195" s="30" t="str">
        <f>IF(OR(YEAR(ClientDB[[#This Row],[Start Date]])&lt;2013,ClientDB[[#This Row],[Events]]&gt;=15),"Yes","")</f>
        <v/>
      </c>
      <c r="K195" s="30" t="str">
        <f>VLOOKUP(ClientDB[[#This Row],[Events]],$M$10:$N$13,2,1)</f>
        <v>Bronze</v>
      </c>
    </row>
    <row r="196" spans="1:11" x14ac:dyDescent="0.25">
      <c r="A196" s="25">
        <v>26058</v>
      </c>
      <c r="B196" t="s">
        <v>537</v>
      </c>
      <c r="C196" t="s">
        <v>220</v>
      </c>
      <c r="D196" t="s">
        <v>221</v>
      </c>
      <c r="E196" s="33">
        <v>41244</v>
      </c>
      <c r="F196" t="str">
        <f>LOWER(LEFT(B196,1)&amp;C196&amp;"@"&amp;SUBSTITUTE(D196," ","")&amp;".com")</f>
        <v>mnazari mehrabi@westtelco.com</v>
      </c>
      <c r="G196" s="30" t="s">
        <v>185</v>
      </c>
      <c r="H196" s="30">
        <v>3</v>
      </c>
      <c r="I196" s="30" t="str">
        <f>IF(ClientDB[[#This Row],[Start Date]]&gt;=DATE(2017,1,1),"New","")</f>
        <v/>
      </c>
      <c r="J196" s="30" t="str">
        <f>IF(OR(YEAR(ClientDB[[#This Row],[Start Date]])&lt;2013,ClientDB[[#This Row],[Events]]&gt;=15),"Yes","")</f>
        <v>Yes</v>
      </c>
      <c r="K196" s="30" t="str">
        <f>VLOOKUP(ClientDB[[#This Row],[Events]],$M$10:$N$13,2,1)</f>
        <v>Bronze</v>
      </c>
    </row>
    <row r="197" spans="1:11" x14ac:dyDescent="0.25">
      <c r="A197" s="25">
        <v>26180</v>
      </c>
      <c r="B197" t="s">
        <v>609</v>
      </c>
      <c r="C197" t="s">
        <v>610</v>
      </c>
      <c r="D197" t="s">
        <v>184</v>
      </c>
      <c r="E197" s="33">
        <v>41499</v>
      </c>
      <c r="F197" t="str">
        <f>LOWER(LEFT(B197,1)&amp;C197&amp;"@"&amp;SUBSTITUTE(D197," ","")&amp;".com")</f>
        <v>lpoinsignon@chirahtechnologies.com</v>
      </c>
      <c r="G197" s="30" t="s">
        <v>45</v>
      </c>
      <c r="H197" s="30">
        <v>5</v>
      </c>
      <c r="I197" s="30" t="str">
        <f>IF(ClientDB[[#This Row],[Start Date]]&gt;=DATE(2017,1,1),"New","")</f>
        <v/>
      </c>
      <c r="J197" s="30" t="str">
        <f>IF(OR(YEAR(ClientDB[[#This Row],[Start Date]])&lt;2013,ClientDB[[#This Row],[Events]]&gt;=15),"Yes","")</f>
        <v/>
      </c>
      <c r="K197" s="30" t="str">
        <f>VLOOKUP(ClientDB[[#This Row],[Events]],$M$10:$N$13,2,1)</f>
        <v>Bronze</v>
      </c>
    </row>
    <row r="198" spans="1:11" x14ac:dyDescent="0.25">
      <c r="A198" s="25">
        <v>26212</v>
      </c>
      <c r="B198" t="s">
        <v>494</v>
      </c>
      <c r="C198" t="s">
        <v>495</v>
      </c>
      <c r="D198" t="s">
        <v>266</v>
      </c>
      <c r="E198" s="33">
        <v>42583</v>
      </c>
      <c r="F198" t="str">
        <f>LOWER(LEFT(B198,1)&amp;C198&amp;"@"&amp;SUBSTITUTE(D198," ","")&amp;".com")</f>
        <v>jleitao@tqprocesses.com</v>
      </c>
      <c r="G198" s="30" t="s">
        <v>127</v>
      </c>
      <c r="H198" s="30">
        <v>2</v>
      </c>
      <c r="I198" s="30" t="str">
        <f>IF(ClientDB[[#This Row],[Start Date]]&gt;=DATE(2017,1,1),"New","")</f>
        <v/>
      </c>
      <c r="J198" s="30" t="str">
        <f>IF(OR(YEAR(ClientDB[[#This Row],[Start Date]])&lt;2013,ClientDB[[#This Row],[Events]]&gt;=15),"Yes","")</f>
        <v/>
      </c>
      <c r="K198" s="30" t="str">
        <f>VLOOKUP(ClientDB[[#This Row],[Events]],$M$10:$N$13,2,1)</f>
        <v>Bronze</v>
      </c>
    </row>
    <row r="199" spans="1:11" x14ac:dyDescent="0.25">
      <c r="A199" s="25">
        <v>26256</v>
      </c>
      <c r="B199" t="s">
        <v>274</v>
      </c>
      <c r="C199" t="s">
        <v>435</v>
      </c>
      <c r="D199" t="s">
        <v>67</v>
      </c>
      <c r="E199" s="33">
        <v>41022</v>
      </c>
      <c r="F199" t="str">
        <f>LOWER(LEFT(B199,1)&amp;C199&amp;"@"&amp;SUBSTITUTE(D199," ","")&amp;".com")</f>
        <v>asaroyan@pinkcloudnetworks.com</v>
      </c>
      <c r="G199" s="30" t="s">
        <v>93</v>
      </c>
      <c r="H199" s="30">
        <v>11</v>
      </c>
      <c r="I199" s="30" t="str">
        <f>IF(ClientDB[[#This Row],[Start Date]]&gt;=DATE(2017,1,1),"New","")</f>
        <v/>
      </c>
      <c r="J199" s="30" t="str">
        <f>IF(OR(YEAR(ClientDB[[#This Row],[Start Date]])&lt;2013,ClientDB[[#This Row],[Events]]&gt;=15),"Yes","")</f>
        <v>Yes</v>
      </c>
      <c r="K199" s="30" t="str">
        <f>VLOOKUP(ClientDB[[#This Row],[Events]],$M$10:$N$13,2,1)</f>
        <v>Silver</v>
      </c>
    </row>
    <row r="200" spans="1:11" x14ac:dyDescent="0.25">
      <c r="A200" s="25">
        <v>26273</v>
      </c>
      <c r="B200" t="s">
        <v>177</v>
      </c>
      <c r="C200" t="s">
        <v>704</v>
      </c>
      <c r="D200" t="s">
        <v>52</v>
      </c>
      <c r="E200" s="33">
        <v>41422</v>
      </c>
      <c r="F200" t="str">
        <f>LOWER(LEFT(B200,1)&amp;C200&amp;"@"&amp;SUBSTITUTE(D200," ","")&amp;".com")</f>
        <v>mschmidt@ripplecom.com</v>
      </c>
      <c r="G200" s="30" t="s">
        <v>45</v>
      </c>
      <c r="H200" s="30">
        <v>1</v>
      </c>
      <c r="I200" s="30" t="str">
        <f>IF(ClientDB[[#This Row],[Start Date]]&gt;=DATE(2017,1,1),"New","")</f>
        <v/>
      </c>
      <c r="J200" s="30" t="str">
        <f>IF(OR(YEAR(ClientDB[[#This Row],[Start Date]])&lt;2013,ClientDB[[#This Row],[Events]]&gt;=15),"Yes","")</f>
        <v/>
      </c>
      <c r="K200" s="30" t="str">
        <f>VLOOKUP(ClientDB[[#This Row],[Events]],$M$10:$N$13,2,1)</f>
        <v>Bronze</v>
      </c>
    </row>
    <row r="201" spans="1:11" x14ac:dyDescent="0.25">
      <c r="A201" s="25">
        <v>26370</v>
      </c>
      <c r="B201" t="s">
        <v>519</v>
      </c>
      <c r="C201" t="s">
        <v>520</v>
      </c>
      <c r="D201" t="s">
        <v>295</v>
      </c>
      <c r="E201" s="33">
        <v>42764</v>
      </c>
      <c r="F201" t="str">
        <f>LOWER(LEFT(B201,1)&amp;C201&amp;"@"&amp;SUBSTITUTE(D201," ","")&amp;".com")</f>
        <v>akahloul@dataprosys.com</v>
      </c>
      <c r="G201" s="30" t="s">
        <v>154</v>
      </c>
      <c r="H201" s="30">
        <v>1</v>
      </c>
      <c r="I201" s="30" t="str">
        <f>IF(ClientDB[[#This Row],[Start Date]]&gt;=DATE(2017,1,1),"New","")</f>
        <v>New</v>
      </c>
      <c r="J201" s="30" t="str">
        <f>IF(OR(YEAR(ClientDB[[#This Row],[Start Date]])&lt;2013,ClientDB[[#This Row],[Events]]&gt;=15),"Yes","")</f>
        <v/>
      </c>
      <c r="K201" s="30" t="str">
        <f>VLOOKUP(ClientDB[[#This Row],[Events]],$M$10:$N$13,2,1)</f>
        <v>Bronze</v>
      </c>
    </row>
    <row r="202" spans="1:11" x14ac:dyDescent="0.25">
      <c r="A202" s="25">
        <v>26383</v>
      </c>
      <c r="B202" t="s">
        <v>498</v>
      </c>
      <c r="C202" t="s">
        <v>654</v>
      </c>
      <c r="D202" t="s">
        <v>266</v>
      </c>
      <c r="E202" s="33">
        <v>41898</v>
      </c>
      <c r="F202" t="str">
        <f>LOWER(LEFT(B202,1)&amp;C202&amp;"@"&amp;SUBSTITUTE(D202," ","")&amp;".com")</f>
        <v>tarmstrong@tqprocesses.com</v>
      </c>
      <c r="G202" s="30" t="s">
        <v>89</v>
      </c>
      <c r="H202" s="30">
        <v>9</v>
      </c>
      <c r="I202" s="30" t="str">
        <f>IF(ClientDB[[#This Row],[Start Date]]&gt;=DATE(2017,1,1),"New","")</f>
        <v/>
      </c>
      <c r="J202" s="30" t="str">
        <f>IF(OR(YEAR(ClientDB[[#This Row],[Start Date]])&lt;2013,ClientDB[[#This Row],[Events]]&gt;=15),"Yes","")</f>
        <v/>
      </c>
      <c r="K202" s="30" t="str">
        <f>VLOOKUP(ClientDB[[#This Row],[Events]],$M$10:$N$13,2,1)</f>
        <v>Bronze</v>
      </c>
    </row>
    <row r="203" spans="1:11" x14ac:dyDescent="0.25">
      <c r="A203" s="25">
        <v>26457</v>
      </c>
      <c r="B203" t="s">
        <v>757</v>
      </c>
      <c r="C203" t="s">
        <v>758</v>
      </c>
      <c r="D203" t="s">
        <v>52</v>
      </c>
      <c r="E203" s="33">
        <v>41658</v>
      </c>
      <c r="F203" t="str">
        <f>LOWER(LEFT(B203,1)&amp;C203&amp;"@"&amp;SUBSTITUTE(D203," ","")&amp;".com")</f>
        <v>sradovcic@ripplecom.com</v>
      </c>
      <c r="G203" s="30" t="s">
        <v>45</v>
      </c>
      <c r="H203" s="30">
        <v>6</v>
      </c>
      <c r="I203" s="30" t="str">
        <f>IF(ClientDB[[#This Row],[Start Date]]&gt;=DATE(2017,1,1),"New","")</f>
        <v/>
      </c>
      <c r="J203" s="30" t="str">
        <f>IF(OR(YEAR(ClientDB[[#This Row],[Start Date]])&lt;2013,ClientDB[[#This Row],[Events]]&gt;=15),"Yes","")</f>
        <v/>
      </c>
      <c r="K203" s="30" t="str">
        <f>VLOOKUP(ClientDB[[#This Row],[Events]],$M$10:$N$13,2,1)</f>
        <v>Bronze</v>
      </c>
    </row>
    <row r="204" spans="1:11" x14ac:dyDescent="0.25">
      <c r="A204" s="25">
        <v>26525</v>
      </c>
      <c r="B204" t="s">
        <v>148</v>
      </c>
      <c r="C204" t="s">
        <v>149</v>
      </c>
      <c r="D204" t="s">
        <v>150</v>
      </c>
      <c r="E204" s="33">
        <v>41877</v>
      </c>
      <c r="F204" t="str">
        <f>LOWER(LEFT(B204,1)&amp;C204&amp;"@"&amp;SUBSTITUTE(D204," ","")&amp;".com")</f>
        <v>ngarcia dos santos@ebonytelecoms.com</v>
      </c>
      <c r="G204" s="30" t="s">
        <v>151</v>
      </c>
      <c r="H204" s="30">
        <v>5</v>
      </c>
      <c r="I204" s="30" t="str">
        <f>IF(ClientDB[[#This Row],[Start Date]]&gt;=DATE(2017,1,1),"New","")</f>
        <v/>
      </c>
      <c r="J204" s="30" t="str">
        <f>IF(OR(YEAR(ClientDB[[#This Row],[Start Date]])&lt;2013,ClientDB[[#This Row],[Events]]&gt;=15),"Yes","")</f>
        <v/>
      </c>
      <c r="K204" s="30" t="str">
        <f>VLOOKUP(ClientDB[[#This Row],[Events]],$M$10:$N$13,2,1)</f>
        <v>Bronze</v>
      </c>
    </row>
    <row r="205" spans="1:11" x14ac:dyDescent="0.25">
      <c r="A205" s="25">
        <v>26529</v>
      </c>
      <c r="B205" t="s">
        <v>661</v>
      </c>
      <c r="C205" t="s">
        <v>662</v>
      </c>
      <c r="D205" t="s">
        <v>459</v>
      </c>
      <c r="E205" s="33">
        <v>41593</v>
      </c>
      <c r="F205" t="str">
        <f>LOWER(LEFT(B205,1)&amp;C205&amp;"@"&amp;SUBSTITUTE(D205," ","")&amp;".com")</f>
        <v>elinkova@fzigfibre.com</v>
      </c>
      <c r="G205" s="30" t="s">
        <v>205</v>
      </c>
      <c r="H205" s="30">
        <v>11</v>
      </c>
      <c r="I205" s="30" t="str">
        <f>IF(ClientDB[[#This Row],[Start Date]]&gt;=DATE(2017,1,1),"New","")</f>
        <v/>
      </c>
      <c r="J205" s="30" t="str">
        <f>IF(OR(YEAR(ClientDB[[#This Row],[Start Date]])&lt;2013,ClientDB[[#This Row],[Events]]&gt;=15),"Yes","")</f>
        <v/>
      </c>
      <c r="K205" s="30" t="str">
        <f>VLOOKUP(ClientDB[[#This Row],[Events]],$M$10:$N$13,2,1)</f>
        <v>Silver</v>
      </c>
    </row>
    <row r="206" spans="1:11" x14ac:dyDescent="0.25">
      <c r="A206" s="25">
        <v>26537</v>
      </c>
      <c r="B206" t="s">
        <v>376</v>
      </c>
      <c r="C206" t="s">
        <v>377</v>
      </c>
      <c r="D206" t="s">
        <v>44</v>
      </c>
      <c r="E206" s="33">
        <v>42371</v>
      </c>
      <c r="F206" t="str">
        <f>LOWER(LEFT(B206,1)&amp;C206&amp;"@"&amp;SUBSTITUTE(D206," ","")&amp;".com")</f>
        <v>sabdel-hafez@collingsuniversity.com</v>
      </c>
      <c r="G206" s="30" t="s">
        <v>89</v>
      </c>
      <c r="H206" s="30">
        <v>8</v>
      </c>
      <c r="I206" s="30" t="str">
        <f>IF(ClientDB[[#This Row],[Start Date]]&gt;=DATE(2017,1,1),"New","")</f>
        <v/>
      </c>
      <c r="J206" s="30" t="str">
        <f>IF(OR(YEAR(ClientDB[[#This Row],[Start Date]])&lt;2013,ClientDB[[#This Row],[Events]]&gt;=15),"Yes","")</f>
        <v/>
      </c>
      <c r="K206" s="30" t="str">
        <f>VLOOKUP(ClientDB[[#This Row],[Events]],$M$10:$N$13,2,1)</f>
        <v>Bronze</v>
      </c>
    </row>
    <row r="207" spans="1:11" x14ac:dyDescent="0.25">
      <c r="A207" s="25">
        <v>26762</v>
      </c>
      <c r="B207" t="s">
        <v>253</v>
      </c>
      <c r="C207" t="s">
        <v>254</v>
      </c>
      <c r="D207" t="s">
        <v>164</v>
      </c>
      <c r="E207" s="33">
        <v>41418</v>
      </c>
      <c r="F207" t="str">
        <f>LOWER(LEFT(B207,1)&amp;C207&amp;"@"&amp;SUBSTITUTE(D207," ","")&amp;".com")</f>
        <v>mdumitrache@zconnect,inc.com</v>
      </c>
      <c r="G207" s="30" t="s">
        <v>84</v>
      </c>
      <c r="H207" s="30">
        <v>2</v>
      </c>
      <c r="I207" s="30" t="str">
        <f>IF(ClientDB[[#This Row],[Start Date]]&gt;=DATE(2017,1,1),"New","")</f>
        <v/>
      </c>
      <c r="J207" s="30" t="str">
        <f>IF(OR(YEAR(ClientDB[[#This Row],[Start Date]])&lt;2013,ClientDB[[#This Row],[Events]]&gt;=15),"Yes","")</f>
        <v/>
      </c>
      <c r="K207" s="30" t="str">
        <f>VLOOKUP(ClientDB[[#This Row],[Events]],$M$10:$N$13,2,1)</f>
        <v>Bronze</v>
      </c>
    </row>
    <row r="208" spans="1:11" x14ac:dyDescent="0.25">
      <c r="A208" s="25">
        <v>26794</v>
      </c>
      <c r="B208" t="s">
        <v>389</v>
      </c>
      <c r="C208" t="s">
        <v>774</v>
      </c>
      <c r="D208" t="s">
        <v>159</v>
      </c>
      <c r="E208" s="33">
        <v>41734</v>
      </c>
      <c r="F208" t="str">
        <f>LOWER(LEFT(B208,1)&amp;C208&amp;"@"&amp;SUBSTITUTE(D208," ","")&amp;".com")</f>
        <v>jcurran@intelligencesystems.com</v>
      </c>
      <c r="G208" s="30" t="s">
        <v>64</v>
      </c>
      <c r="H208" s="30">
        <v>7</v>
      </c>
      <c r="I208" s="30" t="str">
        <f>IF(ClientDB[[#This Row],[Start Date]]&gt;=DATE(2017,1,1),"New","")</f>
        <v/>
      </c>
      <c r="J208" s="30" t="str">
        <f>IF(OR(YEAR(ClientDB[[#This Row],[Start Date]])&lt;2013,ClientDB[[#This Row],[Events]]&gt;=15),"Yes","")</f>
        <v/>
      </c>
      <c r="K208" s="30" t="str">
        <f>VLOOKUP(ClientDB[[#This Row],[Events]],$M$10:$N$13,2,1)</f>
        <v>Bronze</v>
      </c>
    </row>
    <row r="209" spans="1:11" x14ac:dyDescent="0.25">
      <c r="A209" s="25">
        <v>26873</v>
      </c>
      <c r="B209" t="s">
        <v>81</v>
      </c>
      <c r="C209" t="s">
        <v>82</v>
      </c>
      <c r="D209" t="s">
        <v>83</v>
      </c>
      <c r="E209" s="33">
        <v>42868</v>
      </c>
      <c r="F209" t="str">
        <f>LOWER(LEFT(B209,1)&amp;C209&amp;"@"&amp;SUBSTITUTE(D209," ","")&amp;".com")</f>
        <v>rghidiceanu@wizlabs.com</v>
      </c>
      <c r="G209" s="30" t="s">
        <v>84</v>
      </c>
      <c r="H209" s="30">
        <v>10</v>
      </c>
      <c r="I209" s="30" t="str">
        <f>IF(ClientDB[[#This Row],[Start Date]]&gt;=DATE(2017,1,1),"New","")</f>
        <v>New</v>
      </c>
      <c r="J209" s="30" t="str">
        <f>IF(OR(YEAR(ClientDB[[#This Row],[Start Date]])&lt;2013,ClientDB[[#This Row],[Events]]&gt;=15),"Yes","")</f>
        <v/>
      </c>
      <c r="K209" s="30" t="str">
        <f>VLOOKUP(ClientDB[[#This Row],[Events]],$M$10:$N$13,2,1)</f>
        <v>Silver</v>
      </c>
    </row>
    <row r="210" spans="1:11" x14ac:dyDescent="0.25">
      <c r="A210" s="25">
        <v>26887</v>
      </c>
      <c r="B210" t="s">
        <v>177</v>
      </c>
      <c r="C210" t="s">
        <v>344</v>
      </c>
      <c r="D210" t="s">
        <v>52</v>
      </c>
      <c r="E210" s="33">
        <v>41831</v>
      </c>
      <c r="F210" t="str">
        <f>LOWER(LEFT(B210,1)&amp;C210&amp;"@"&amp;SUBSTITUTE(D210," ","")&amp;".com")</f>
        <v>mhogewoning@ripplecom.com</v>
      </c>
      <c r="G210" s="30" t="s">
        <v>45</v>
      </c>
      <c r="H210" s="30">
        <v>12</v>
      </c>
      <c r="I210" s="30" t="str">
        <f>IF(ClientDB[[#This Row],[Start Date]]&gt;=DATE(2017,1,1),"New","")</f>
        <v/>
      </c>
      <c r="J210" s="30" t="str">
        <f>IF(OR(YEAR(ClientDB[[#This Row],[Start Date]])&lt;2013,ClientDB[[#This Row],[Events]]&gt;=15),"Yes","")</f>
        <v/>
      </c>
      <c r="K210" s="30" t="str">
        <f>VLOOKUP(ClientDB[[#This Row],[Events]],$M$10:$N$13,2,1)</f>
        <v>Silver</v>
      </c>
    </row>
    <row r="211" spans="1:11" x14ac:dyDescent="0.25">
      <c r="A211" s="25">
        <v>26888</v>
      </c>
      <c r="B211" t="s">
        <v>77</v>
      </c>
      <c r="C211" t="s">
        <v>78</v>
      </c>
      <c r="D211" t="s">
        <v>79</v>
      </c>
      <c r="E211" s="33">
        <v>41065</v>
      </c>
      <c r="F211" t="str">
        <f>LOWER(LEFT(B211,1)&amp;C211&amp;"@"&amp;SUBSTITUTE(D211," ","")&amp;".com")</f>
        <v>thopponen@zimsales.com</v>
      </c>
      <c r="G211" s="30" t="s">
        <v>80</v>
      </c>
      <c r="H211" s="30">
        <v>1</v>
      </c>
      <c r="I211" s="30" t="str">
        <f>IF(ClientDB[[#This Row],[Start Date]]&gt;=DATE(2017,1,1),"New","")</f>
        <v/>
      </c>
      <c r="J211" s="30" t="str">
        <f>IF(OR(YEAR(ClientDB[[#This Row],[Start Date]])&lt;2013,ClientDB[[#This Row],[Events]]&gt;=15),"Yes","")</f>
        <v>Yes</v>
      </c>
      <c r="K211" s="30" t="str">
        <f>VLOOKUP(ClientDB[[#This Row],[Events]],$M$10:$N$13,2,1)</f>
        <v>Bronze</v>
      </c>
    </row>
    <row r="212" spans="1:11" x14ac:dyDescent="0.25">
      <c r="A212" s="25">
        <v>26949</v>
      </c>
      <c r="B212" t="s">
        <v>272</v>
      </c>
      <c r="C212" t="s">
        <v>759</v>
      </c>
      <c r="D212" t="s">
        <v>99</v>
      </c>
      <c r="E212" s="33">
        <v>42663</v>
      </c>
      <c r="F212" t="str">
        <f>LOWER(LEFT(B212,1)&amp;C212&amp;"@"&amp;SUBSTITUTE(D212," ","")&amp;".com")</f>
        <v>okyryliuk@bytesize.com</v>
      </c>
      <c r="G212" s="30" t="s">
        <v>56</v>
      </c>
      <c r="H212" s="30">
        <v>2</v>
      </c>
      <c r="I212" s="30" t="str">
        <f>IF(ClientDB[[#This Row],[Start Date]]&gt;=DATE(2017,1,1),"New","")</f>
        <v/>
      </c>
      <c r="J212" s="30" t="str">
        <f>IF(OR(YEAR(ClientDB[[#This Row],[Start Date]])&lt;2013,ClientDB[[#This Row],[Events]]&gt;=15),"Yes","")</f>
        <v/>
      </c>
      <c r="K212" s="30" t="str">
        <f>VLOOKUP(ClientDB[[#This Row],[Events]],$M$10:$N$13,2,1)</f>
        <v>Bronze</v>
      </c>
    </row>
    <row r="213" spans="1:11" x14ac:dyDescent="0.25">
      <c r="A213" s="25">
        <v>27034</v>
      </c>
      <c r="B213" t="s">
        <v>452</v>
      </c>
      <c r="C213" t="s">
        <v>453</v>
      </c>
      <c r="D213" t="s">
        <v>52</v>
      </c>
      <c r="E213" s="33">
        <v>41349</v>
      </c>
      <c r="F213" t="str">
        <f>LOWER(LEFT(B213,1)&amp;C213&amp;"@"&amp;SUBSTITUTE(D213," ","")&amp;".com")</f>
        <v>sgijzen@ripplecom.com</v>
      </c>
      <c r="G213" s="30" t="s">
        <v>45</v>
      </c>
      <c r="H213" s="30">
        <v>8</v>
      </c>
      <c r="I213" s="30" t="str">
        <f>IF(ClientDB[[#This Row],[Start Date]]&gt;=DATE(2017,1,1),"New","")</f>
        <v/>
      </c>
      <c r="J213" s="30" t="str">
        <f>IF(OR(YEAR(ClientDB[[#This Row],[Start Date]])&lt;2013,ClientDB[[#This Row],[Events]]&gt;=15),"Yes","")</f>
        <v/>
      </c>
      <c r="K213" s="30" t="str">
        <f>VLOOKUP(ClientDB[[#This Row],[Events]],$M$10:$N$13,2,1)</f>
        <v>Bronze</v>
      </c>
    </row>
    <row r="214" spans="1:11" x14ac:dyDescent="0.25">
      <c r="A214" s="25">
        <v>27232</v>
      </c>
      <c r="B214" t="s">
        <v>482</v>
      </c>
      <c r="C214" t="s">
        <v>483</v>
      </c>
      <c r="D214" t="s">
        <v>172</v>
      </c>
      <c r="E214" s="33">
        <v>42643</v>
      </c>
      <c r="F214" t="str">
        <f>LOWER(LEFT(B214,1)&amp;C214&amp;"@"&amp;SUBSTITUTE(D214," ","")&amp;".com")</f>
        <v>ghankins@uon.com</v>
      </c>
      <c r="G214" s="30" t="s">
        <v>64</v>
      </c>
      <c r="H214" s="30">
        <v>1</v>
      </c>
      <c r="I214" s="30" t="str">
        <f>IF(ClientDB[[#This Row],[Start Date]]&gt;=DATE(2017,1,1),"New","")</f>
        <v/>
      </c>
      <c r="J214" s="30" t="str">
        <f>IF(OR(YEAR(ClientDB[[#This Row],[Start Date]])&lt;2013,ClientDB[[#This Row],[Events]]&gt;=15),"Yes","")</f>
        <v/>
      </c>
      <c r="K214" s="30" t="str">
        <f>VLOOKUP(ClientDB[[#This Row],[Events]],$M$10:$N$13,2,1)</f>
        <v>Bronze</v>
      </c>
    </row>
    <row r="215" spans="1:11" x14ac:dyDescent="0.25">
      <c r="A215" s="25">
        <v>27293</v>
      </c>
      <c r="B215" t="s">
        <v>513</v>
      </c>
      <c r="C215" t="s">
        <v>514</v>
      </c>
      <c r="D215" t="s">
        <v>172</v>
      </c>
      <c r="E215" s="33">
        <v>41286</v>
      </c>
      <c r="F215" t="str">
        <f>LOWER(LEFT(B215,1)&amp;C215&amp;"@"&amp;SUBSTITUTE(D215," ","")&amp;".com")</f>
        <v>whoward@uon.com</v>
      </c>
      <c r="G215" s="30" t="s">
        <v>64</v>
      </c>
      <c r="H215" s="30">
        <v>6</v>
      </c>
      <c r="I215" s="30" t="str">
        <f>IF(ClientDB[[#This Row],[Start Date]]&gt;=DATE(2017,1,1),"New","")</f>
        <v/>
      </c>
      <c r="J215" s="30" t="str">
        <f>IF(OR(YEAR(ClientDB[[#This Row],[Start Date]])&lt;2013,ClientDB[[#This Row],[Events]]&gt;=15),"Yes","")</f>
        <v/>
      </c>
      <c r="K215" s="30" t="str">
        <f>VLOOKUP(ClientDB[[#This Row],[Events]],$M$10:$N$13,2,1)</f>
        <v>Bronze</v>
      </c>
    </row>
    <row r="216" spans="1:11" x14ac:dyDescent="0.25">
      <c r="A216" s="25">
        <v>27300</v>
      </c>
      <c r="B216" t="s">
        <v>786</v>
      </c>
      <c r="C216" t="s">
        <v>787</v>
      </c>
      <c r="D216" t="s">
        <v>52</v>
      </c>
      <c r="E216" s="33">
        <v>41882</v>
      </c>
      <c r="F216" t="str">
        <f>LOWER(LEFT(B216,1)&amp;C216&amp;"@"&amp;SUBSTITUTE(D216," ","")&amp;".com")</f>
        <v>agollan@ripplecom.com</v>
      </c>
      <c r="G216" s="30" t="s">
        <v>45</v>
      </c>
      <c r="H216" s="30">
        <v>1</v>
      </c>
      <c r="I216" s="30" t="str">
        <f>IF(ClientDB[[#This Row],[Start Date]]&gt;=DATE(2017,1,1),"New","")</f>
        <v/>
      </c>
      <c r="J216" s="30" t="str">
        <f>IF(OR(YEAR(ClientDB[[#This Row],[Start Date]])&lt;2013,ClientDB[[#This Row],[Events]]&gt;=15),"Yes","")</f>
        <v/>
      </c>
      <c r="K216" s="30" t="str">
        <f>VLOOKUP(ClientDB[[#This Row],[Events]],$M$10:$N$13,2,1)</f>
        <v>Bronze</v>
      </c>
    </row>
    <row r="217" spans="1:11" x14ac:dyDescent="0.25">
      <c r="A217" s="25">
        <v>27309</v>
      </c>
      <c r="B217" t="s">
        <v>515</v>
      </c>
      <c r="C217" t="s">
        <v>516</v>
      </c>
      <c r="D217" t="s">
        <v>52</v>
      </c>
      <c r="E217" s="33">
        <v>42054</v>
      </c>
      <c r="F217" t="str">
        <f>LOWER(LEFT(B217,1)&amp;C217&amp;"@"&amp;SUBSTITUTE(D217," ","")&amp;".com")</f>
        <v>smader@ripplecom.com</v>
      </c>
      <c r="G217" s="30" t="s">
        <v>45</v>
      </c>
      <c r="H217" s="30">
        <v>3</v>
      </c>
      <c r="I217" s="30" t="str">
        <f>IF(ClientDB[[#This Row],[Start Date]]&gt;=DATE(2017,1,1),"New","")</f>
        <v/>
      </c>
      <c r="J217" s="30" t="str">
        <f>IF(OR(YEAR(ClientDB[[#This Row],[Start Date]])&lt;2013,ClientDB[[#This Row],[Events]]&gt;=15),"Yes","")</f>
        <v/>
      </c>
      <c r="K217" s="30" t="str">
        <f>VLOOKUP(ClientDB[[#This Row],[Events]],$M$10:$N$13,2,1)</f>
        <v>Bronze</v>
      </c>
    </row>
    <row r="218" spans="1:11" x14ac:dyDescent="0.25">
      <c r="A218" s="25">
        <v>27397</v>
      </c>
      <c r="B218" t="s">
        <v>351</v>
      </c>
      <c r="C218" t="s">
        <v>352</v>
      </c>
      <c r="D218" t="s">
        <v>52</v>
      </c>
      <c r="E218" s="33">
        <v>42320</v>
      </c>
      <c r="F218" t="str">
        <f>LOWER(LEFT(B218,1)&amp;C218&amp;"@"&amp;SUBSTITUTE(D218," ","")&amp;".com")</f>
        <v>nhyrka@ripplecom.com</v>
      </c>
      <c r="G218" s="30" t="s">
        <v>45</v>
      </c>
      <c r="H218" s="30">
        <v>6</v>
      </c>
      <c r="I218" s="30" t="str">
        <f>IF(ClientDB[[#This Row],[Start Date]]&gt;=DATE(2017,1,1),"New","")</f>
        <v/>
      </c>
      <c r="J218" s="30" t="str">
        <f>IF(OR(YEAR(ClientDB[[#This Row],[Start Date]])&lt;2013,ClientDB[[#This Row],[Events]]&gt;=15),"Yes","")</f>
        <v/>
      </c>
      <c r="K218" s="30" t="str">
        <f>VLOOKUP(ClientDB[[#This Row],[Events]],$M$10:$N$13,2,1)</f>
        <v>Bronze</v>
      </c>
    </row>
    <row r="219" spans="1:11" x14ac:dyDescent="0.25">
      <c r="A219" s="25">
        <v>27471</v>
      </c>
      <c r="B219" t="s">
        <v>740</v>
      </c>
      <c r="C219" t="s">
        <v>741</v>
      </c>
      <c r="D219" t="s">
        <v>130</v>
      </c>
      <c r="E219" s="33">
        <v>42375</v>
      </c>
      <c r="F219" t="str">
        <f>LOWER(LEFT(B219,1)&amp;C219&amp;"@"&amp;SUBSTITUTE(D219," ","")&amp;".com")</f>
        <v>mchoaib@lacne.com</v>
      </c>
      <c r="G219" s="30" t="s">
        <v>154</v>
      </c>
      <c r="H219" s="30">
        <v>7</v>
      </c>
      <c r="I219" s="30" t="str">
        <f>IF(ClientDB[[#This Row],[Start Date]]&gt;=DATE(2017,1,1),"New","")</f>
        <v/>
      </c>
      <c r="J219" s="30" t="str">
        <f>IF(OR(YEAR(ClientDB[[#This Row],[Start Date]])&lt;2013,ClientDB[[#This Row],[Events]]&gt;=15),"Yes","")</f>
        <v/>
      </c>
      <c r="K219" s="30" t="str">
        <f>VLOOKUP(ClientDB[[#This Row],[Events]],$M$10:$N$13,2,1)</f>
        <v>Bronze</v>
      </c>
    </row>
    <row r="220" spans="1:11" x14ac:dyDescent="0.25">
      <c r="A220" s="25">
        <v>27531</v>
      </c>
      <c r="B220" t="s">
        <v>593</v>
      </c>
      <c r="C220" t="s">
        <v>594</v>
      </c>
      <c r="D220" t="s">
        <v>289</v>
      </c>
      <c r="E220" s="33">
        <v>41297</v>
      </c>
      <c r="F220" t="str">
        <f>LOWER(LEFT(B220,1)&amp;C220&amp;"@"&amp;SUBSTITUTE(D220," ","")&amp;".com")</f>
        <v>sjabri@stepsittraining.com</v>
      </c>
      <c r="G220" s="30" t="s">
        <v>595</v>
      </c>
      <c r="H220" s="30">
        <v>2</v>
      </c>
      <c r="I220" s="30" t="str">
        <f>IF(ClientDB[[#This Row],[Start Date]]&gt;=DATE(2017,1,1),"New","")</f>
        <v/>
      </c>
      <c r="J220" s="30" t="str">
        <f>IF(OR(YEAR(ClientDB[[#This Row],[Start Date]])&lt;2013,ClientDB[[#This Row],[Events]]&gt;=15),"Yes","")</f>
        <v/>
      </c>
      <c r="K220" s="30" t="str">
        <f>VLOOKUP(ClientDB[[#This Row],[Events]],$M$10:$N$13,2,1)</f>
        <v>Bronze</v>
      </c>
    </row>
    <row r="221" spans="1:11" x14ac:dyDescent="0.25">
      <c r="A221" s="25">
        <v>27673</v>
      </c>
      <c r="B221" t="s">
        <v>719</v>
      </c>
      <c r="C221" t="s">
        <v>720</v>
      </c>
      <c r="D221" t="s">
        <v>107</v>
      </c>
      <c r="E221" s="33">
        <v>42404</v>
      </c>
      <c r="F221" t="str">
        <f>LOWER(LEFT(B221,1)&amp;C221&amp;"@"&amp;SUBSTITUTE(D221," ","")&amp;".com")</f>
        <v>emamontov@axellgroup.com</v>
      </c>
      <c r="G221" s="30" t="s">
        <v>176</v>
      </c>
      <c r="H221" s="30">
        <v>5</v>
      </c>
      <c r="I221" s="30" t="str">
        <f>IF(ClientDB[[#This Row],[Start Date]]&gt;=DATE(2017,1,1),"New","")</f>
        <v/>
      </c>
      <c r="J221" s="30" t="str">
        <f>IF(OR(YEAR(ClientDB[[#This Row],[Start Date]])&lt;2013,ClientDB[[#This Row],[Events]]&gt;=15),"Yes","")</f>
        <v/>
      </c>
      <c r="K221" s="30" t="str">
        <f>VLOOKUP(ClientDB[[#This Row],[Events]],$M$10:$N$13,2,1)</f>
        <v>Bronze</v>
      </c>
    </row>
    <row r="222" spans="1:11" x14ac:dyDescent="0.25">
      <c r="A222" s="25">
        <v>27765</v>
      </c>
      <c r="B222" t="s">
        <v>492</v>
      </c>
      <c r="C222" t="s">
        <v>493</v>
      </c>
      <c r="D222" t="s">
        <v>167</v>
      </c>
      <c r="E222" s="33">
        <v>41970</v>
      </c>
      <c r="F222" t="str">
        <f>LOWER(LEFT(B222,1)&amp;C222&amp;"@"&amp;SUBSTITUTE(D222," ","")&amp;".com")</f>
        <v>gdöring@netaassist.com</v>
      </c>
      <c r="G222" s="30" t="s">
        <v>76</v>
      </c>
      <c r="H222" s="30">
        <v>6</v>
      </c>
      <c r="I222" s="30" t="str">
        <f>IF(ClientDB[[#This Row],[Start Date]]&gt;=DATE(2017,1,1),"New","")</f>
        <v/>
      </c>
      <c r="J222" s="30" t="str">
        <f>IF(OR(YEAR(ClientDB[[#This Row],[Start Date]])&lt;2013,ClientDB[[#This Row],[Events]]&gt;=15),"Yes","")</f>
        <v/>
      </c>
      <c r="K222" s="30" t="str">
        <f>VLOOKUP(ClientDB[[#This Row],[Events]],$M$10:$N$13,2,1)</f>
        <v>Bronze</v>
      </c>
    </row>
    <row r="223" spans="1:11" x14ac:dyDescent="0.25">
      <c r="A223" s="25">
        <v>27771</v>
      </c>
      <c r="B223" t="s">
        <v>682</v>
      </c>
      <c r="C223" t="s">
        <v>683</v>
      </c>
      <c r="D223" t="s">
        <v>179</v>
      </c>
      <c r="E223" s="33">
        <v>41839</v>
      </c>
      <c r="F223" t="str">
        <f>LOWER(LEFT(B223,1)&amp;C223&amp;"@"&amp;SUBSTITUTE(D223," ","")&amp;".com")</f>
        <v>anipper@ctx.com</v>
      </c>
      <c r="G223" s="30" t="s">
        <v>76</v>
      </c>
      <c r="H223" s="30">
        <v>8</v>
      </c>
      <c r="I223" s="30" t="str">
        <f>IF(ClientDB[[#This Row],[Start Date]]&gt;=DATE(2017,1,1),"New","")</f>
        <v/>
      </c>
      <c r="J223" s="30" t="str">
        <f>IF(OR(YEAR(ClientDB[[#This Row],[Start Date]])&lt;2013,ClientDB[[#This Row],[Events]]&gt;=15),"Yes","")</f>
        <v/>
      </c>
      <c r="K223" s="30" t="str">
        <f>VLOOKUP(ClientDB[[#This Row],[Events]],$M$10:$N$13,2,1)</f>
        <v>Bronze</v>
      </c>
    </row>
    <row r="224" spans="1:11" x14ac:dyDescent="0.25">
      <c r="A224" s="25">
        <v>27801</v>
      </c>
      <c r="B224" t="s">
        <v>131</v>
      </c>
      <c r="C224" t="s">
        <v>132</v>
      </c>
      <c r="D224" t="s">
        <v>52</v>
      </c>
      <c r="E224" s="33">
        <v>42948</v>
      </c>
      <c r="F224" t="str">
        <f>LOWER(LEFT(B224,1)&amp;C224&amp;"@"&amp;SUBSTITUTE(D224," ","")&amp;".com")</f>
        <v>skhomenko@ripplecom.com</v>
      </c>
      <c r="G224" s="30" t="s">
        <v>56</v>
      </c>
      <c r="H224" s="30">
        <v>1</v>
      </c>
      <c r="I224" s="30" t="str">
        <f>IF(ClientDB[[#This Row],[Start Date]]&gt;=DATE(2017,1,1),"New","")</f>
        <v>New</v>
      </c>
      <c r="J224" s="30" t="str">
        <f>IF(OR(YEAR(ClientDB[[#This Row],[Start Date]])&lt;2013,ClientDB[[#This Row],[Events]]&gt;=15),"Yes","")</f>
        <v/>
      </c>
      <c r="K224" s="30" t="str">
        <f>VLOOKUP(ClientDB[[#This Row],[Events]],$M$10:$N$13,2,1)</f>
        <v>Bronze</v>
      </c>
    </row>
    <row r="225" spans="1:11" x14ac:dyDescent="0.25">
      <c r="A225" s="25">
        <v>27809</v>
      </c>
      <c r="B225" t="s">
        <v>617</v>
      </c>
      <c r="C225" t="s">
        <v>618</v>
      </c>
      <c r="D225" t="s">
        <v>459</v>
      </c>
      <c r="E225" s="33">
        <v>41079</v>
      </c>
      <c r="F225" t="str">
        <f>LOWER(LEFT(B225,1)&amp;C225&amp;"@"&amp;SUBSTITUTE(D225," ","")&amp;".com")</f>
        <v>kshioda@fzigfibre.com</v>
      </c>
      <c r="G225" s="30" t="s">
        <v>89</v>
      </c>
      <c r="H225" s="30">
        <v>2</v>
      </c>
      <c r="I225" s="30" t="str">
        <f>IF(ClientDB[[#This Row],[Start Date]]&gt;=DATE(2017,1,1),"New","")</f>
        <v/>
      </c>
      <c r="J225" s="30" t="str">
        <f>IF(OR(YEAR(ClientDB[[#This Row],[Start Date]])&lt;2013,ClientDB[[#This Row],[Events]]&gt;=15),"Yes","")</f>
        <v>Yes</v>
      </c>
      <c r="K225" s="30" t="str">
        <f>VLOOKUP(ClientDB[[#This Row],[Events]],$M$10:$N$13,2,1)</f>
        <v>Bronze</v>
      </c>
    </row>
    <row r="226" spans="1:11" x14ac:dyDescent="0.25">
      <c r="A226" s="25">
        <v>27886</v>
      </c>
      <c r="B226" t="s">
        <v>387</v>
      </c>
      <c r="C226" t="s">
        <v>539</v>
      </c>
      <c r="D226" t="s">
        <v>52</v>
      </c>
      <c r="E226" s="33">
        <v>42085</v>
      </c>
      <c r="F226" t="str">
        <f>LOWER(LEFT(B226,1)&amp;C226&amp;"@"&amp;SUBSTITUTE(D226," ","")&amp;".com")</f>
        <v>ade la haye@ripplecom.com</v>
      </c>
      <c r="G226" s="30" t="s">
        <v>45</v>
      </c>
      <c r="H226" s="30">
        <v>4</v>
      </c>
      <c r="I226" s="30" t="str">
        <f>IF(ClientDB[[#This Row],[Start Date]]&gt;=DATE(2017,1,1),"New","")</f>
        <v/>
      </c>
      <c r="J226" s="30" t="str">
        <f>IF(OR(YEAR(ClientDB[[#This Row],[Start Date]])&lt;2013,ClientDB[[#This Row],[Events]]&gt;=15),"Yes","")</f>
        <v/>
      </c>
      <c r="K226" s="30" t="str">
        <f>VLOOKUP(ClientDB[[#This Row],[Events]],$M$10:$N$13,2,1)</f>
        <v>Bronze</v>
      </c>
    </row>
    <row r="227" spans="1:11" x14ac:dyDescent="0.25">
      <c r="A227" s="25">
        <v>27950</v>
      </c>
      <c r="B227" t="s">
        <v>238</v>
      </c>
      <c r="C227" t="s">
        <v>239</v>
      </c>
      <c r="D227" t="s">
        <v>123</v>
      </c>
      <c r="E227" s="33">
        <v>42350</v>
      </c>
      <c r="F227" t="str">
        <f>LOWER(LEFT(B227,1)&amp;C227&amp;"@"&amp;SUBSTITUTE(D227," ","")&amp;".com")</f>
        <v>akrasnov@tatsan.com</v>
      </c>
      <c r="G227" s="30" t="s">
        <v>176</v>
      </c>
      <c r="H227" s="30">
        <v>11</v>
      </c>
      <c r="I227" s="30" t="str">
        <f>IF(ClientDB[[#This Row],[Start Date]]&gt;=DATE(2017,1,1),"New","")</f>
        <v/>
      </c>
      <c r="J227" s="30" t="str">
        <f>IF(OR(YEAR(ClientDB[[#This Row],[Start Date]])&lt;2013,ClientDB[[#This Row],[Events]]&gt;=15),"Yes","")</f>
        <v/>
      </c>
      <c r="K227" s="30" t="str">
        <f>VLOOKUP(ClientDB[[#This Row],[Events]],$M$10:$N$13,2,1)</f>
        <v>Silver</v>
      </c>
    </row>
    <row r="228" spans="1:11" x14ac:dyDescent="0.25">
      <c r="A228" s="25">
        <v>28005</v>
      </c>
      <c r="B228" t="s">
        <v>488</v>
      </c>
      <c r="C228" t="s">
        <v>681</v>
      </c>
      <c r="D228" t="s">
        <v>59</v>
      </c>
      <c r="E228" s="33">
        <v>42674</v>
      </c>
      <c r="F228" t="str">
        <f>LOWER(LEFT(B228,1)&amp;C228&amp;"@"&amp;SUBSTITUTE(D228," ","")&amp;".com")</f>
        <v>aalawadhi@duet.com</v>
      </c>
      <c r="G228" s="30" t="s">
        <v>185</v>
      </c>
      <c r="H228" s="30">
        <v>3</v>
      </c>
      <c r="I228" s="30" t="str">
        <f>IF(ClientDB[[#This Row],[Start Date]]&gt;=DATE(2017,1,1),"New","")</f>
        <v/>
      </c>
      <c r="J228" s="30" t="str">
        <f>IF(OR(YEAR(ClientDB[[#This Row],[Start Date]])&lt;2013,ClientDB[[#This Row],[Events]]&gt;=15),"Yes","")</f>
        <v/>
      </c>
      <c r="K228" s="30" t="str">
        <f>VLOOKUP(ClientDB[[#This Row],[Events]],$M$10:$N$13,2,1)</f>
        <v>Bronze</v>
      </c>
    </row>
    <row r="229" spans="1:11" x14ac:dyDescent="0.25">
      <c r="A229" s="25">
        <v>28181</v>
      </c>
      <c r="B229" t="s">
        <v>479</v>
      </c>
      <c r="C229" t="s">
        <v>480</v>
      </c>
      <c r="D229" t="s">
        <v>338</v>
      </c>
      <c r="E229" s="33">
        <v>41085</v>
      </c>
      <c r="F229" t="str">
        <f>LOWER(LEFT(B229,1)&amp;C229&amp;"@"&amp;SUBSTITUTE(D229," ","")&amp;".com")</f>
        <v>fpetre@qinisar.com</v>
      </c>
      <c r="G229" s="30" t="s">
        <v>84</v>
      </c>
      <c r="H229" s="30">
        <v>6</v>
      </c>
      <c r="I229" s="30" t="str">
        <f>IF(ClientDB[[#This Row],[Start Date]]&gt;=DATE(2017,1,1),"New","")</f>
        <v/>
      </c>
      <c r="J229" s="30" t="str">
        <f>IF(OR(YEAR(ClientDB[[#This Row],[Start Date]])&lt;2013,ClientDB[[#This Row],[Events]]&gt;=15),"Yes","")</f>
        <v>Yes</v>
      </c>
      <c r="K229" s="30" t="str">
        <f>VLOOKUP(ClientDB[[#This Row],[Events]],$M$10:$N$13,2,1)</f>
        <v>Bronze</v>
      </c>
    </row>
    <row r="230" spans="1:11" x14ac:dyDescent="0.25">
      <c r="A230" s="25">
        <v>28195</v>
      </c>
      <c r="B230" t="s">
        <v>701</v>
      </c>
      <c r="C230" t="s">
        <v>620</v>
      </c>
      <c r="D230" t="s">
        <v>335</v>
      </c>
      <c r="E230" s="33">
        <v>42690</v>
      </c>
      <c r="F230" t="str">
        <f>LOWER(LEFT(B230,1)&amp;C230&amp;"@"&amp;SUBSTITUTE(D230," ","")&amp;".com")</f>
        <v>ffarjadmanesh@cyberdataprocessing.com</v>
      </c>
      <c r="G230" s="30" t="s">
        <v>37</v>
      </c>
      <c r="H230" s="30">
        <v>3</v>
      </c>
      <c r="I230" s="30" t="str">
        <f>IF(ClientDB[[#This Row],[Start Date]]&gt;=DATE(2017,1,1),"New","")</f>
        <v/>
      </c>
      <c r="J230" s="30" t="str">
        <f>IF(OR(YEAR(ClientDB[[#This Row],[Start Date]])&lt;2013,ClientDB[[#This Row],[Events]]&gt;=15),"Yes","")</f>
        <v/>
      </c>
      <c r="K230" s="30" t="str">
        <f>VLOOKUP(ClientDB[[#This Row],[Events]],$M$10:$N$13,2,1)</f>
        <v>Bronze</v>
      </c>
    </row>
    <row r="231" spans="1:11" x14ac:dyDescent="0.25">
      <c r="A231" s="25">
        <v>28487</v>
      </c>
      <c r="B231" t="s">
        <v>533</v>
      </c>
      <c r="C231" t="s">
        <v>641</v>
      </c>
      <c r="D231" t="s">
        <v>179</v>
      </c>
      <c r="E231" s="33">
        <v>41513</v>
      </c>
      <c r="F231" t="str">
        <f>LOWER(LEFT(B231,1)&amp;C231&amp;"@"&amp;SUBSTITUTE(D231," ","")&amp;".com")</f>
        <v>wtremmel@ctx.com</v>
      </c>
      <c r="G231" s="30" t="s">
        <v>76</v>
      </c>
      <c r="H231" s="30">
        <v>5</v>
      </c>
      <c r="I231" s="30" t="str">
        <f>IF(ClientDB[[#This Row],[Start Date]]&gt;=DATE(2017,1,1),"New","")</f>
        <v/>
      </c>
      <c r="J231" s="30" t="str">
        <f>IF(OR(YEAR(ClientDB[[#This Row],[Start Date]])&lt;2013,ClientDB[[#This Row],[Events]]&gt;=15),"Yes","")</f>
        <v/>
      </c>
      <c r="K231" s="30" t="str">
        <f>VLOOKUP(ClientDB[[#This Row],[Events]],$M$10:$N$13,2,1)</f>
        <v>Bronze</v>
      </c>
    </row>
    <row r="232" spans="1:11" x14ac:dyDescent="0.25">
      <c r="A232" s="25">
        <v>28675</v>
      </c>
      <c r="B232" t="s">
        <v>124</v>
      </c>
      <c r="C232" t="s">
        <v>606</v>
      </c>
      <c r="D232" t="s">
        <v>451</v>
      </c>
      <c r="E232" s="33">
        <v>42244</v>
      </c>
      <c r="F232" t="str">
        <f>LOWER(LEFT(B232,1)&amp;C232&amp;"@"&amp;SUBSTITUTE(D232," ","")&amp;".com")</f>
        <v>btrammell@eyn.com</v>
      </c>
      <c r="G232" s="30" t="s">
        <v>269</v>
      </c>
      <c r="H232" s="30">
        <v>3</v>
      </c>
      <c r="I232" s="30" t="str">
        <f>IF(ClientDB[[#This Row],[Start Date]]&gt;=DATE(2017,1,1),"New","")</f>
        <v/>
      </c>
      <c r="J232" s="30" t="str">
        <f>IF(OR(YEAR(ClientDB[[#This Row],[Start Date]])&lt;2013,ClientDB[[#This Row],[Events]]&gt;=15),"Yes","")</f>
        <v/>
      </c>
      <c r="K232" s="30" t="str">
        <f>VLOOKUP(ClientDB[[#This Row],[Events]],$M$10:$N$13,2,1)</f>
        <v>Bronze</v>
      </c>
    </row>
    <row r="233" spans="1:11" x14ac:dyDescent="0.25">
      <c r="A233" s="25">
        <v>28781</v>
      </c>
      <c r="B233" t="s">
        <v>488</v>
      </c>
      <c r="C233" t="s">
        <v>489</v>
      </c>
      <c r="D233" t="s">
        <v>44</v>
      </c>
      <c r="E233" s="33">
        <v>42610</v>
      </c>
      <c r="F233" t="str">
        <f>LOWER(LEFT(B233,1)&amp;C233&amp;"@"&amp;SUBSTITUTE(D233," ","")&amp;".com")</f>
        <v>aaleroud@collingsuniversity.com</v>
      </c>
      <c r="G233" s="30" t="s">
        <v>193</v>
      </c>
      <c r="H233" s="30">
        <v>4</v>
      </c>
      <c r="I233" s="30" t="str">
        <f>IF(ClientDB[[#This Row],[Start Date]]&gt;=DATE(2017,1,1),"New","")</f>
        <v/>
      </c>
      <c r="J233" s="30" t="str">
        <f>IF(OR(YEAR(ClientDB[[#This Row],[Start Date]])&lt;2013,ClientDB[[#This Row],[Events]]&gt;=15),"Yes","")</f>
        <v/>
      </c>
      <c r="K233" s="30" t="str">
        <f>VLOOKUP(ClientDB[[#This Row],[Events]],$M$10:$N$13,2,1)</f>
        <v>Bronze</v>
      </c>
    </row>
    <row r="234" spans="1:11" x14ac:dyDescent="0.25">
      <c r="A234" s="25">
        <v>28784</v>
      </c>
      <c r="B234" t="s">
        <v>470</v>
      </c>
      <c r="C234" t="s">
        <v>471</v>
      </c>
      <c r="D234" t="s">
        <v>126</v>
      </c>
      <c r="E234" s="33">
        <v>42017</v>
      </c>
      <c r="F234" t="str">
        <f>LOWER(LEFT(B234,1)&amp;C234&amp;"@"&amp;SUBSTITUTE(D234," ","")&amp;".com")</f>
        <v>rnozari@heatproof.com</v>
      </c>
      <c r="G234" s="30" t="s">
        <v>37</v>
      </c>
      <c r="H234" s="30">
        <v>6</v>
      </c>
      <c r="I234" s="30" t="str">
        <f>IF(ClientDB[[#This Row],[Start Date]]&gt;=DATE(2017,1,1),"New","")</f>
        <v/>
      </c>
      <c r="J234" s="30" t="str">
        <f>IF(OR(YEAR(ClientDB[[#This Row],[Start Date]])&lt;2013,ClientDB[[#This Row],[Events]]&gt;=15),"Yes","")</f>
        <v/>
      </c>
      <c r="K234" s="30" t="str">
        <f>VLOOKUP(ClientDB[[#This Row],[Events]],$M$10:$N$13,2,1)</f>
        <v>Bronze</v>
      </c>
    </row>
    <row r="235" spans="1:11" x14ac:dyDescent="0.25">
      <c r="A235" s="25">
        <v>28939</v>
      </c>
      <c r="B235" t="s">
        <v>345</v>
      </c>
      <c r="C235" t="s">
        <v>472</v>
      </c>
      <c r="D235" t="s">
        <v>335</v>
      </c>
      <c r="E235" s="33">
        <v>41041</v>
      </c>
      <c r="F235" t="str">
        <f>LOWER(LEFT(B235,1)&amp;C235&amp;"@"&amp;SUBSTITUTE(D235," ","")&amp;".com")</f>
        <v>egerich@cyberdataprocessing.com</v>
      </c>
      <c r="G235" s="30" t="s">
        <v>64</v>
      </c>
      <c r="H235" s="30">
        <v>5</v>
      </c>
      <c r="I235" s="30" t="str">
        <f>IF(ClientDB[[#This Row],[Start Date]]&gt;=DATE(2017,1,1),"New","")</f>
        <v/>
      </c>
      <c r="J235" s="30" t="str">
        <f>IF(OR(YEAR(ClientDB[[#This Row],[Start Date]])&lt;2013,ClientDB[[#This Row],[Events]]&gt;=15),"Yes","")</f>
        <v>Yes</v>
      </c>
      <c r="K235" s="30" t="str">
        <f>VLOOKUP(ClientDB[[#This Row],[Events]],$M$10:$N$13,2,1)</f>
        <v>Bronze</v>
      </c>
    </row>
    <row r="236" spans="1:11" x14ac:dyDescent="0.25">
      <c r="A236" s="25">
        <v>28943</v>
      </c>
      <c r="B236" t="s">
        <v>788</v>
      </c>
      <c r="C236" t="s">
        <v>319</v>
      </c>
      <c r="D236" t="s">
        <v>144</v>
      </c>
      <c r="E236" s="33">
        <v>42360</v>
      </c>
      <c r="F236" t="str">
        <f>LOWER(LEFT(B236,1)&amp;C236&amp;"@"&amp;SUBSTITUTE(D236," ","")&amp;".com")</f>
        <v>troy@picsure.com</v>
      </c>
      <c r="G236" s="30" t="s">
        <v>173</v>
      </c>
      <c r="H236" s="30">
        <v>1</v>
      </c>
      <c r="I236" s="30" t="str">
        <f>IF(ClientDB[[#This Row],[Start Date]]&gt;=DATE(2017,1,1),"New","")</f>
        <v/>
      </c>
      <c r="J236" s="30" t="str">
        <f>IF(OR(YEAR(ClientDB[[#This Row],[Start Date]])&lt;2013,ClientDB[[#This Row],[Events]]&gt;=15),"Yes","")</f>
        <v/>
      </c>
      <c r="K236" s="30" t="str">
        <f>VLOOKUP(ClientDB[[#This Row],[Events]],$M$10:$N$13,2,1)</f>
        <v>Bronze</v>
      </c>
    </row>
    <row r="237" spans="1:11" x14ac:dyDescent="0.25">
      <c r="A237" s="25">
        <v>28961</v>
      </c>
      <c r="B237" t="s">
        <v>128</v>
      </c>
      <c r="C237" t="s">
        <v>129</v>
      </c>
      <c r="D237" t="s">
        <v>130</v>
      </c>
      <c r="E237" s="33">
        <v>41958</v>
      </c>
      <c r="F237" t="str">
        <f>LOWER(LEFT(B237,1)&amp;C237&amp;"@"&amp;SUBSTITUTE(D237," ","")&amp;".com")</f>
        <v>aguzman@lacne.com</v>
      </c>
      <c r="G237" s="30" t="s">
        <v>64</v>
      </c>
      <c r="H237" s="30">
        <v>1</v>
      </c>
      <c r="I237" s="30" t="str">
        <f>IF(ClientDB[[#This Row],[Start Date]]&gt;=DATE(2017,1,1),"New","")</f>
        <v/>
      </c>
      <c r="J237" s="30" t="str">
        <f>IF(OR(YEAR(ClientDB[[#This Row],[Start Date]])&lt;2013,ClientDB[[#This Row],[Events]]&gt;=15),"Yes","")</f>
        <v/>
      </c>
      <c r="K237" s="30" t="str">
        <f>VLOOKUP(ClientDB[[#This Row],[Events]],$M$10:$N$13,2,1)</f>
        <v>Bronze</v>
      </c>
    </row>
    <row r="238" spans="1:11" x14ac:dyDescent="0.25">
      <c r="A238" s="25">
        <v>28965</v>
      </c>
      <c r="B238" t="s">
        <v>396</v>
      </c>
      <c r="C238" t="s">
        <v>397</v>
      </c>
      <c r="D238" t="s">
        <v>44</v>
      </c>
      <c r="E238" s="33">
        <v>41229</v>
      </c>
      <c r="F238" t="str">
        <f>LOWER(LEFT(B238,1)&amp;C238&amp;"@"&amp;SUBSTITUTE(D238," ","")&amp;".com")</f>
        <v>nmorris@collingsuniversity.com</v>
      </c>
      <c r="G238" s="30" t="s">
        <v>45</v>
      </c>
      <c r="H238" s="30">
        <v>5</v>
      </c>
      <c r="I238" s="30" t="str">
        <f>IF(ClientDB[[#This Row],[Start Date]]&gt;=DATE(2017,1,1),"New","")</f>
        <v/>
      </c>
      <c r="J238" s="30" t="str">
        <f>IF(OR(YEAR(ClientDB[[#This Row],[Start Date]])&lt;2013,ClientDB[[#This Row],[Events]]&gt;=15),"Yes","")</f>
        <v>Yes</v>
      </c>
      <c r="K238" s="30" t="str">
        <f>VLOOKUP(ClientDB[[#This Row],[Events]],$M$10:$N$13,2,1)</f>
        <v>Bronze</v>
      </c>
    </row>
    <row r="239" spans="1:11" x14ac:dyDescent="0.25">
      <c r="A239" s="25">
        <v>29055</v>
      </c>
      <c r="B239" t="s">
        <v>540</v>
      </c>
      <c r="C239" t="s">
        <v>541</v>
      </c>
      <c r="D239" t="s">
        <v>459</v>
      </c>
      <c r="E239" s="33">
        <v>41479</v>
      </c>
      <c r="F239" t="str">
        <f>LOWER(LEFT(B239,1)&amp;C239&amp;"@"&amp;SUBSTITUTE(D239," ","")&amp;".com")</f>
        <v>salkhadra@fzigfibre.com</v>
      </c>
      <c r="G239" s="30" t="s">
        <v>154</v>
      </c>
      <c r="H239" s="30">
        <v>5</v>
      </c>
      <c r="I239" s="30" t="str">
        <f>IF(ClientDB[[#This Row],[Start Date]]&gt;=DATE(2017,1,1),"New","")</f>
        <v/>
      </c>
      <c r="J239" s="30" t="str">
        <f>IF(OR(YEAR(ClientDB[[#This Row],[Start Date]])&lt;2013,ClientDB[[#This Row],[Events]]&gt;=15),"Yes","")</f>
        <v/>
      </c>
      <c r="K239" s="30" t="str">
        <f>VLOOKUP(ClientDB[[#This Row],[Events]],$M$10:$N$13,2,1)</f>
        <v>Bronze</v>
      </c>
    </row>
    <row r="240" spans="1:11" x14ac:dyDescent="0.25">
      <c r="A240" s="25">
        <v>29101</v>
      </c>
      <c r="B240" t="s">
        <v>768</v>
      </c>
      <c r="C240" t="s">
        <v>769</v>
      </c>
      <c r="D240" t="s">
        <v>113</v>
      </c>
      <c r="E240" s="33">
        <v>42863</v>
      </c>
      <c r="F240" t="str">
        <f>LOWER(LEFT(B240,1)&amp;C240&amp;"@"&amp;SUBSTITUTE(D240," ","")&amp;".com")</f>
        <v>ksokol@shawconstruction.com</v>
      </c>
      <c r="G240" s="30" t="s">
        <v>56</v>
      </c>
      <c r="H240" s="30">
        <v>2</v>
      </c>
      <c r="I240" s="30" t="str">
        <f>IF(ClientDB[[#This Row],[Start Date]]&gt;=DATE(2017,1,1),"New","")</f>
        <v>New</v>
      </c>
      <c r="J240" s="30" t="str">
        <f>IF(OR(YEAR(ClientDB[[#This Row],[Start Date]])&lt;2013,ClientDB[[#This Row],[Events]]&gt;=15),"Yes","")</f>
        <v/>
      </c>
      <c r="K240" s="30" t="str">
        <f>VLOOKUP(ClientDB[[#This Row],[Events]],$M$10:$N$13,2,1)</f>
        <v>Bronze</v>
      </c>
    </row>
    <row r="241" spans="1:11" x14ac:dyDescent="0.25">
      <c r="A241" s="25">
        <v>29151</v>
      </c>
      <c r="B241" t="s">
        <v>121</v>
      </c>
      <c r="C241" t="s">
        <v>122</v>
      </c>
      <c r="D241" t="s">
        <v>123</v>
      </c>
      <c r="E241" s="33">
        <v>41370</v>
      </c>
      <c r="F241" t="str">
        <f>LOWER(LEFT(B241,1)&amp;C241&amp;"@"&amp;SUBSTITUTE(D241," ","")&amp;".com")</f>
        <v>epunt@tatsan.com</v>
      </c>
      <c r="G241" s="30" t="s">
        <v>89</v>
      </c>
      <c r="H241" s="30">
        <v>12</v>
      </c>
      <c r="I241" s="30" t="str">
        <f>IF(ClientDB[[#This Row],[Start Date]]&gt;=DATE(2017,1,1),"New","")</f>
        <v/>
      </c>
      <c r="J241" s="30" t="str">
        <f>IF(OR(YEAR(ClientDB[[#This Row],[Start Date]])&lt;2013,ClientDB[[#This Row],[Events]]&gt;=15),"Yes","")</f>
        <v/>
      </c>
      <c r="K241" s="30" t="str">
        <f>VLOOKUP(ClientDB[[#This Row],[Events]],$M$10:$N$13,2,1)</f>
        <v>Silver</v>
      </c>
    </row>
    <row r="242" spans="1:11" x14ac:dyDescent="0.25">
      <c r="A242" s="25">
        <v>29152</v>
      </c>
      <c r="B242" t="s">
        <v>574</v>
      </c>
      <c r="C242" t="s">
        <v>575</v>
      </c>
      <c r="D242" t="s">
        <v>79</v>
      </c>
      <c r="E242" s="33">
        <v>42659</v>
      </c>
      <c r="F242" t="str">
        <f>LOWER(LEFT(B242,1)&amp;C242&amp;"@"&amp;SUBSTITUTE(D242," ","")&amp;".com")</f>
        <v>apietkiewicz@zimsales.com</v>
      </c>
      <c r="G242" s="30" t="s">
        <v>292</v>
      </c>
      <c r="H242" s="30">
        <v>3</v>
      </c>
      <c r="I242" s="30" t="str">
        <f>IF(ClientDB[[#This Row],[Start Date]]&gt;=DATE(2017,1,1),"New","")</f>
        <v/>
      </c>
      <c r="J242" s="30" t="str">
        <f>IF(OR(YEAR(ClientDB[[#This Row],[Start Date]])&lt;2013,ClientDB[[#This Row],[Events]]&gt;=15),"Yes","")</f>
        <v/>
      </c>
      <c r="K242" s="30" t="str">
        <f>VLOOKUP(ClientDB[[#This Row],[Events]],$M$10:$N$13,2,1)</f>
        <v>Bronze</v>
      </c>
    </row>
    <row r="243" spans="1:11" x14ac:dyDescent="0.25">
      <c r="A243" s="25">
        <v>29544</v>
      </c>
      <c r="B243" t="s">
        <v>133</v>
      </c>
      <c r="C243" t="s">
        <v>134</v>
      </c>
      <c r="D243" t="s">
        <v>135</v>
      </c>
      <c r="E243" s="33">
        <v>40369</v>
      </c>
      <c r="F243" t="str">
        <f>LOWER(LEFT(B243,1)&amp;C243&amp;"@"&amp;SUBSTITUTE(D243," ","")&amp;".com")</f>
        <v>eising@pilcostreambank.com</v>
      </c>
      <c r="G243" s="30" t="s">
        <v>89</v>
      </c>
      <c r="H243" s="30">
        <v>17</v>
      </c>
      <c r="I243" s="30" t="str">
        <f>IF(ClientDB[[#This Row],[Start Date]]&gt;=DATE(2017,1,1),"New","")</f>
        <v/>
      </c>
      <c r="J243" s="30" t="str">
        <f>IF(OR(YEAR(ClientDB[[#This Row],[Start Date]])&lt;2013,ClientDB[[#This Row],[Events]]&gt;=15),"Yes","")</f>
        <v>Yes</v>
      </c>
      <c r="K243" s="30" t="str">
        <f>VLOOKUP(ClientDB[[#This Row],[Events]],$M$10:$N$13,2,1)</f>
        <v>Silver</v>
      </c>
    </row>
    <row r="244" spans="1:11" x14ac:dyDescent="0.25">
      <c r="A244" s="25">
        <v>29564</v>
      </c>
      <c r="B244" t="s">
        <v>102</v>
      </c>
      <c r="C244" t="s">
        <v>103</v>
      </c>
      <c r="D244" t="s">
        <v>104</v>
      </c>
      <c r="E244" s="33">
        <v>42816</v>
      </c>
      <c r="F244" t="str">
        <f>LOWER(LEFT(B244,1)&amp;C244&amp;"@"&amp;SUBSTITUTE(D244," ","")&amp;".com")</f>
        <v>gyengibaryan@parmistechnologies.com</v>
      </c>
      <c r="G244" s="30" t="s">
        <v>93</v>
      </c>
      <c r="H244" s="30">
        <v>3</v>
      </c>
      <c r="I244" s="30" t="str">
        <f>IF(ClientDB[[#This Row],[Start Date]]&gt;=DATE(2017,1,1),"New","")</f>
        <v>New</v>
      </c>
      <c r="J244" s="30" t="str">
        <f>IF(OR(YEAR(ClientDB[[#This Row],[Start Date]])&lt;2013,ClientDB[[#This Row],[Events]]&gt;=15),"Yes","")</f>
        <v/>
      </c>
      <c r="K244" s="30" t="str">
        <f>VLOOKUP(ClientDB[[#This Row],[Events]],$M$10:$N$13,2,1)</f>
        <v>Bronze</v>
      </c>
    </row>
    <row r="245" spans="1:11" x14ac:dyDescent="0.25">
      <c r="A245" s="25">
        <v>29651</v>
      </c>
      <c r="B245" t="s">
        <v>523</v>
      </c>
      <c r="C245" t="s">
        <v>524</v>
      </c>
      <c r="D245" t="s">
        <v>48</v>
      </c>
      <c r="E245" s="33">
        <v>42445</v>
      </c>
      <c r="F245" t="str">
        <f>LOWER(LEFT(B245,1)&amp;C245&amp;"@"&amp;SUBSTITUTE(D245," ","")&amp;".com")</f>
        <v>rda silva@icant.com</v>
      </c>
      <c r="G245" s="30" t="s">
        <v>64</v>
      </c>
      <c r="H245" s="30">
        <v>3</v>
      </c>
      <c r="I245" s="30" t="str">
        <f>IF(ClientDB[[#This Row],[Start Date]]&gt;=DATE(2017,1,1),"New","")</f>
        <v/>
      </c>
      <c r="J245" s="30" t="str">
        <f>IF(OR(YEAR(ClientDB[[#This Row],[Start Date]])&lt;2013,ClientDB[[#This Row],[Events]]&gt;=15),"Yes","")</f>
        <v/>
      </c>
      <c r="K245" s="30" t="str">
        <f>VLOOKUP(ClientDB[[#This Row],[Events]],$M$10:$N$13,2,1)</f>
        <v>Bronze</v>
      </c>
    </row>
    <row r="246" spans="1:11" x14ac:dyDescent="0.25">
      <c r="A246" s="25">
        <v>29695</v>
      </c>
      <c r="B246" t="s">
        <v>160</v>
      </c>
      <c r="C246" t="s">
        <v>161</v>
      </c>
      <c r="D246" t="s">
        <v>40</v>
      </c>
      <c r="E246" s="33">
        <v>41935</v>
      </c>
      <c r="F246" t="str">
        <f>LOWER(LEFT(B246,1)&amp;C246&amp;"@"&amp;SUBSTITUTE(D246," ","")&amp;".com")</f>
        <v>hmyronenko@denil.com</v>
      </c>
      <c r="G246" s="30" t="s">
        <v>56</v>
      </c>
      <c r="H246" s="30">
        <v>2</v>
      </c>
      <c r="I246" s="30" t="str">
        <f>IF(ClientDB[[#This Row],[Start Date]]&gt;=DATE(2017,1,1),"New","")</f>
        <v/>
      </c>
      <c r="J246" s="30" t="str">
        <f>IF(OR(YEAR(ClientDB[[#This Row],[Start Date]])&lt;2013,ClientDB[[#This Row],[Events]]&gt;=15),"Yes","")</f>
        <v/>
      </c>
      <c r="K246" s="30" t="str">
        <f>VLOOKUP(ClientDB[[#This Row],[Events]],$M$10:$N$13,2,1)</f>
        <v>Bronze</v>
      </c>
    </row>
    <row r="247" spans="1:11" x14ac:dyDescent="0.25">
      <c r="A247" s="25">
        <v>29717</v>
      </c>
      <c r="B247" t="s">
        <v>391</v>
      </c>
      <c r="C247" t="s">
        <v>392</v>
      </c>
      <c r="D247" t="s">
        <v>196</v>
      </c>
      <c r="E247" s="33">
        <v>42074</v>
      </c>
      <c r="F247" t="str">
        <f>LOWER(LEFT(B247,1)&amp;C247&amp;"@"&amp;SUBSTITUTE(D247," ","")&amp;".com")</f>
        <v>hlu@verisize.com</v>
      </c>
      <c r="G247" s="30" t="s">
        <v>393</v>
      </c>
      <c r="H247" s="30">
        <v>7</v>
      </c>
      <c r="I247" s="30" t="str">
        <f>IF(ClientDB[[#This Row],[Start Date]]&gt;=DATE(2017,1,1),"New","")</f>
        <v/>
      </c>
      <c r="J247" s="30" t="str">
        <f>IF(OR(YEAR(ClientDB[[#This Row],[Start Date]])&lt;2013,ClientDB[[#This Row],[Events]]&gt;=15),"Yes","")</f>
        <v/>
      </c>
      <c r="K247" s="30" t="str">
        <f>VLOOKUP(ClientDB[[#This Row],[Events]],$M$10:$N$13,2,1)</f>
        <v>Bronze</v>
      </c>
    </row>
    <row r="248" spans="1:11" x14ac:dyDescent="0.25">
      <c r="A248" s="25">
        <v>29720</v>
      </c>
      <c r="B248" t="s">
        <v>536</v>
      </c>
      <c r="C248" t="s">
        <v>152</v>
      </c>
      <c r="D248" t="s">
        <v>52</v>
      </c>
      <c r="E248" s="33">
        <v>41100</v>
      </c>
      <c r="F248" t="str">
        <f>LOWER(LEFT(B248,1)&amp;C248&amp;"@"&amp;SUBSTITUTE(D248," ","")&amp;".com")</f>
        <v>nsalam@ripplecom.com</v>
      </c>
      <c r="G248" s="30" t="s">
        <v>64</v>
      </c>
      <c r="H248" s="30">
        <v>17</v>
      </c>
      <c r="I248" s="30" t="str">
        <f>IF(ClientDB[[#This Row],[Start Date]]&gt;=DATE(2017,1,1),"New","")</f>
        <v/>
      </c>
      <c r="J248" s="30" t="str">
        <f>IF(OR(YEAR(ClientDB[[#This Row],[Start Date]])&lt;2013,ClientDB[[#This Row],[Events]]&gt;=15),"Yes","")</f>
        <v>Yes</v>
      </c>
      <c r="K248" s="30" t="str">
        <f>VLOOKUP(ClientDB[[#This Row],[Events]],$M$10:$N$13,2,1)</f>
        <v>Silver</v>
      </c>
    </row>
    <row r="249" spans="1:11" x14ac:dyDescent="0.25">
      <c r="A249" s="25">
        <v>29731</v>
      </c>
      <c r="B249" t="s">
        <v>580</v>
      </c>
      <c r="C249" t="s">
        <v>581</v>
      </c>
      <c r="D249" t="s">
        <v>113</v>
      </c>
      <c r="E249" s="33">
        <v>42155</v>
      </c>
      <c r="F249" t="str">
        <f>LOWER(LEFT(B249,1)&amp;C249&amp;"@"&amp;SUBSTITUTE(D249," ","")&amp;".com")</f>
        <v>achernii@shawconstruction.com</v>
      </c>
      <c r="G249" s="30" t="s">
        <v>56</v>
      </c>
      <c r="H249" s="30">
        <v>9</v>
      </c>
      <c r="I249" s="30" t="str">
        <f>IF(ClientDB[[#This Row],[Start Date]]&gt;=DATE(2017,1,1),"New","")</f>
        <v/>
      </c>
      <c r="J249" s="30" t="str">
        <f>IF(OR(YEAR(ClientDB[[#This Row],[Start Date]])&lt;2013,ClientDB[[#This Row],[Events]]&gt;=15),"Yes","")</f>
        <v/>
      </c>
      <c r="K249" s="30" t="str">
        <f>VLOOKUP(ClientDB[[#This Row],[Events]],$M$10:$N$13,2,1)</f>
        <v>Bronze</v>
      </c>
    </row>
    <row r="250" spans="1:11" x14ac:dyDescent="0.25">
      <c r="A250" s="25">
        <v>29823</v>
      </c>
      <c r="B250" t="s">
        <v>568</v>
      </c>
      <c r="C250" t="s">
        <v>569</v>
      </c>
      <c r="D250" t="s">
        <v>36</v>
      </c>
      <c r="E250" s="33">
        <v>41988</v>
      </c>
      <c r="F250" t="str">
        <f>LOWER(LEFT(B250,1)&amp;C250&amp;"@"&amp;SUBSTITUTE(D250," ","")&amp;".com")</f>
        <v>dgikaras@respiranetworks.com</v>
      </c>
      <c r="G250" s="30" t="s">
        <v>426</v>
      </c>
      <c r="H250" s="30">
        <v>12</v>
      </c>
      <c r="I250" s="30" t="str">
        <f>IF(ClientDB[[#This Row],[Start Date]]&gt;=DATE(2017,1,1),"New","")</f>
        <v/>
      </c>
      <c r="J250" s="30" t="str">
        <f>IF(OR(YEAR(ClientDB[[#This Row],[Start Date]])&lt;2013,ClientDB[[#This Row],[Events]]&gt;=15),"Yes","")</f>
        <v/>
      </c>
      <c r="K250" s="30" t="str">
        <f>VLOOKUP(ClientDB[[#This Row],[Events]],$M$10:$N$13,2,1)</f>
        <v>Silver</v>
      </c>
    </row>
    <row r="251" spans="1:11" x14ac:dyDescent="0.25">
      <c r="A251" s="25">
        <v>29879</v>
      </c>
      <c r="B251" t="s">
        <v>457</v>
      </c>
      <c r="C251" t="s">
        <v>458</v>
      </c>
      <c r="D251" t="s">
        <v>459</v>
      </c>
      <c r="E251" s="33">
        <v>41021</v>
      </c>
      <c r="F251" t="str">
        <f>LOWER(LEFT(B251,1)&amp;C251&amp;"@"&amp;SUBSTITUTE(D251," ","")&amp;".com")</f>
        <v>flavroff@fzigfibre.com</v>
      </c>
      <c r="G251" s="30" t="s">
        <v>89</v>
      </c>
      <c r="H251" s="30">
        <v>12</v>
      </c>
      <c r="I251" s="30" t="str">
        <f>IF(ClientDB[[#This Row],[Start Date]]&gt;=DATE(2017,1,1),"New","")</f>
        <v/>
      </c>
      <c r="J251" s="30" t="str">
        <f>IF(OR(YEAR(ClientDB[[#This Row],[Start Date]])&lt;2013,ClientDB[[#This Row],[Events]]&gt;=15),"Yes","")</f>
        <v>Yes</v>
      </c>
      <c r="K251" s="30" t="str">
        <f>VLOOKUP(ClientDB[[#This Row],[Events]],$M$10:$N$13,2,1)</f>
        <v>Silver</v>
      </c>
    </row>
    <row r="252" spans="1:11" x14ac:dyDescent="0.25">
      <c r="A252" s="25">
        <v>29924</v>
      </c>
      <c r="B252" t="s">
        <v>155</v>
      </c>
      <c r="C252" t="s">
        <v>156</v>
      </c>
      <c r="D252" t="s">
        <v>150</v>
      </c>
      <c r="E252" s="33">
        <v>41268</v>
      </c>
      <c r="F252" t="str">
        <f>LOWER(LEFT(B252,1)&amp;C252&amp;"@"&amp;SUBSTITUTE(D252," ","")&amp;".com")</f>
        <v>sdalmeida@ebonytelecoms.com</v>
      </c>
      <c r="G252" s="30" t="s">
        <v>64</v>
      </c>
      <c r="H252" s="30">
        <v>6</v>
      </c>
      <c r="I252" s="30" t="str">
        <f>IF(ClientDB[[#This Row],[Start Date]]&gt;=DATE(2017,1,1),"New","")</f>
        <v/>
      </c>
      <c r="J252" s="30" t="str">
        <f>IF(OR(YEAR(ClientDB[[#This Row],[Start Date]])&lt;2013,ClientDB[[#This Row],[Events]]&gt;=15),"Yes","")</f>
        <v>Yes</v>
      </c>
      <c r="K252" s="30" t="str">
        <f>VLOOKUP(ClientDB[[#This Row],[Events]],$M$10:$N$13,2,1)</f>
        <v>Bronze</v>
      </c>
    </row>
    <row r="253" spans="1:11" x14ac:dyDescent="0.25">
      <c r="A253" s="25">
        <v>30050</v>
      </c>
      <c r="B253" t="s">
        <v>794</v>
      </c>
      <c r="C253" t="s">
        <v>795</v>
      </c>
      <c r="D253" t="s">
        <v>67</v>
      </c>
      <c r="E253" s="33">
        <v>41034</v>
      </c>
      <c r="F253" t="str">
        <f>LOWER(LEFT(B253,1)&amp;C253&amp;"@"&amp;SUBSTITUTE(D253," ","")&amp;".com")</f>
        <v>jdelassus@pinkcloudnetworks.com</v>
      </c>
      <c r="G253" s="30" t="s">
        <v>185</v>
      </c>
      <c r="H253" s="30">
        <v>16</v>
      </c>
      <c r="I253" s="30" t="str">
        <f>IF(ClientDB[[#This Row],[Start Date]]&gt;=DATE(2017,1,1),"New","")</f>
        <v/>
      </c>
      <c r="J253" s="30" t="str">
        <f>IF(OR(YEAR(ClientDB[[#This Row],[Start Date]])&lt;2013,ClientDB[[#This Row],[Events]]&gt;=15),"Yes","")</f>
        <v>Yes</v>
      </c>
      <c r="K253" s="30" t="str">
        <f>VLOOKUP(ClientDB[[#This Row],[Events]],$M$10:$N$13,2,1)</f>
        <v>Silver</v>
      </c>
    </row>
    <row r="254" spans="1:11" x14ac:dyDescent="0.25">
      <c r="A254" s="25">
        <v>30118</v>
      </c>
      <c r="B254" t="s">
        <v>287</v>
      </c>
      <c r="C254" t="s">
        <v>288</v>
      </c>
      <c r="D254" t="s">
        <v>289</v>
      </c>
      <c r="E254" s="33">
        <v>42529</v>
      </c>
      <c r="F254" t="str">
        <f>LOWER(LEFT(B254,1)&amp;C254&amp;"@"&amp;SUBSTITUTE(D254," ","")&amp;".com")</f>
        <v>hkama@stepsittraining.com</v>
      </c>
      <c r="G254" s="30" t="s">
        <v>45</v>
      </c>
      <c r="H254" s="30">
        <v>5</v>
      </c>
      <c r="I254" s="30" t="str">
        <f>IF(ClientDB[[#This Row],[Start Date]]&gt;=DATE(2017,1,1),"New","")</f>
        <v/>
      </c>
      <c r="J254" s="30" t="str">
        <f>IF(OR(YEAR(ClientDB[[#This Row],[Start Date]])&lt;2013,ClientDB[[#This Row],[Events]]&gt;=15),"Yes","")</f>
        <v/>
      </c>
      <c r="K254" s="30" t="str">
        <f>VLOOKUP(ClientDB[[#This Row],[Events]],$M$10:$N$13,2,1)</f>
        <v>Bronze</v>
      </c>
    </row>
    <row r="255" spans="1:11" x14ac:dyDescent="0.25">
      <c r="A255" s="25">
        <v>30374</v>
      </c>
      <c r="B255" t="s">
        <v>533</v>
      </c>
      <c r="C255" t="s">
        <v>534</v>
      </c>
      <c r="D255" t="s">
        <v>211</v>
      </c>
      <c r="E255" s="33">
        <v>41085</v>
      </c>
      <c r="F255" t="str">
        <f>LOWER(LEFT(B255,1)&amp;C255&amp;"@"&amp;SUBSTITUTE(D255," ","")&amp;".com")</f>
        <v>wzenker@stepahead.com</v>
      </c>
      <c r="G255" s="30" t="s">
        <v>76</v>
      </c>
      <c r="H255" s="30">
        <v>12</v>
      </c>
      <c r="I255" s="30" t="str">
        <f>IF(ClientDB[[#This Row],[Start Date]]&gt;=DATE(2017,1,1),"New","")</f>
        <v/>
      </c>
      <c r="J255" s="30" t="str">
        <f>IF(OR(YEAR(ClientDB[[#This Row],[Start Date]])&lt;2013,ClientDB[[#This Row],[Events]]&gt;=15),"Yes","")</f>
        <v>Yes</v>
      </c>
      <c r="K255" s="30" t="str">
        <f>VLOOKUP(ClientDB[[#This Row],[Events]],$M$10:$N$13,2,1)</f>
        <v>Silver</v>
      </c>
    </row>
    <row r="256" spans="1:11" x14ac:dyDescent="0.25">
      <c r="A256" s="25">
        <v>30406</v>
      </c>
      <c r="B256" t="s">
        <v>689</v>
      </c>
      <c r="C256" t="s">
        <v>690</v>
      </c>
      <c r="D256" t="s">
        <v>52</v>
      </c>
      <c r="E256" s="33">
        <v>41061</v>
      </c>
      <c r="F256" t="str">
        <f>LOWER(LEFT(B256,1)&amp;C256&amp;"@"&amp;SUBSTITUTE(D256," ","")&amp;".com")</f>
        <v>jel cham@ripplecom.com</v>
      </c>
      <c r="G256" s="30" t="s">
        <v>45</v>
      </c>
      <c r="H256" s="30">
        <v>9</v>
      </c>
      <c r="I256" s="30" t="str">
        <f>IF(ClientDB[[#This Row],[Start Date]]&gt;=DATE(2017,1,1),"New","")</f>
        <v/>
      </c>
      <c r="J256" s="30" t="str">
        <f>IF(OR(YEAR(ClientDB[[#This Row],[Start Date]])&lt;2013,ClientDB[[#This Row],[Events]]&gt;=15),"Yes","")</f>
        <v>Yes</v>
      </c>
      <c r="K256" s="30" t="str">
        <f>VLOOKUP(ClientDB[[#This Row],[Events]],$M$10:$N$13,2,1)</f>
        <v>Bronze</v>
      </c>
    </row>
    <row r="257" spans="1:11" x14ac:dyDescent="0.25">
      <c r="A257" s="25">
        <v>30591</v>
      </c>
      <c r="B257" t="s">
        <v>389</v>
      </c>
      <c r="C257" t="s">
        <v>535</v>
      </c>
      <c r="D257" t="s">
        <v>451</v>
      </c>
      <c r="E257" s="33">
        <v>42883</v>
      </c>
      <c r="F257" t="str">
        <f>LOWER(LEFT(B257,1)&amp;C257&amp;"@"&amp;SUBSTITUTE(D257," ","")&amp;".com")</f>
        <v>jdendy@eyn.com</v>
      </c>
      <c r="G257" s="30" t="s">
        <v>64</v>
      </c>
      <c r="H257" s="30">
        <v>1</v>
      </c>
      <c r="I257" s="30" t="str">
        <f>IF(ClientDB[[#This Row],[Start Date]]&gt;=DATE(2017,1,1),"New","")</f>
        <v>New</v>
      </c>
      <c r="J257" s="30" t="str">
        <f>IF(OR(YEAR(ClientDB[[#This Row],[Start Date]])&lt;2013,ClientDB[[#This Row],[Events]]&gt;=15),"Yes","")</f>
        <v/>
      </c>
      <c r="K257" s="30" t="str">
        <f>VLOOKUP(ClientDB[[#This Row],[Events]],$M$10:$N$13,2,1)</f>
        <v>Bronze</v>
      </c>
    </row>
    <row r="258" spans="1:11" x14ac:dyDescent="0.25">
      <c r="A258" s="25">
        <v>30681</v>
      </c>
      <c r="B258" t="s">
        <v>510</v>
      </c>
      <c r="C258" t="s">
        <v>511</v>
      </c>
      <c r="D258" t="s">
        <v>52</v>
      </c>
      <c r="E258" s="33">
        <v>42299</v>
      </c>
      <c r="F258" t="str">
        <f>LOWER(LEFT(B258,1)&amp;C258&amp;"@"&amp;SUBSTITUTE(D258," ","")&amp;".com")</f>
        <v>ntitley@ripplecom.com</v>
      </c>
      <c r="G258" s="30" t="s">
        <v>45</v>
      </c>
      <c r="H258" s="30">
        <v>10</v>
      </c>
      <c r="I258" s="30" t="str">
        <f>IF(ClientDB[[#This Row],[Start Date]]&gt;=DATE(2017,1,1),"New","")</f>
        <v/>
      </c>
      <c r="J258" s="30" t="str">
        <f>IF(OR(YEAR(ClientDB[[#This Row],[Start Date]])&lt;2013,ClientDB[[#This Row],[Events]]&gt;=15),"Yes","")</f>
        <v/>
      </c>
      <c r="K258" s="30" t="str">
        <f>VLOOKUP(ClientDB[[#This Row],[Events]],$M$10:$N$13,2,1)</f>
        <v>Silver</v>
      </c>
    </row>
    <row r="259" spans="1:11" x14ac:dyDescent="0.25">
      <c r="A259" s="25">
        <v>30682</v>
      </c>
      <c r="B259" t="s">
        <v>223</v>
      </c>
      <c r="C259" t="s">
        <v>224</v>
      </c>
      <c r="D259" t="s">
        <v>150</v>
      </c>
      <c r="E259" s="33">
        <v>41244</v>
      </c>
      <c r="F259" t="str">
        <f>LOWER(LEFT(B259,1)&amp;C259&amp;"@"&amp;SUBSTITUTE(D259," ","")&amp;".com")</f>
        <v>esammerud@ebonytelecoms.com</v>
      </c>
      <c r="G259" s="30" t="s">
        <v>114</v>
      </c>
      <c r="H259" s="30">
        <v>17</v>
      </c>
      <c r="I259" s="30" t="str">
        <f>IF(ClientDB[[#This Row],[Start Date]]&gt;=DATE(2017,1,1),"New","")</f>
        <v/>
      </c>
      <c r="J259" s="30" t="str">
        <f>IF(OR(YEAR(ClientDB[[#This Row],[Start Date]])&lt;2013,ClientDB[[#This Row],[Events]]&gt;=15),"Yes","")</f>
        <v>Yes</v>
      </c>
      <c r="K259" s="30" t="str">
        <f>VLOOKUP(ClientDB[[#This Row],[Events]],$M$10:$N$13,2,1)</f>
        <v>Silver</v>
      </c>
    </row>
    <row r="260" spans="1:11" x14ac:dyDescent="0.25">
      <c r="A260" s="25">
        <v>30687</v>
      </c>
      <c r="B260" t="s">
        <v>240</v>
      </c>
      <c r="C260" t="s">
        <v>241</v>
      </c>
      <c r="D260" t="s">
        <v>188</v>
      </c>
      <c r="E260" s="33">
        <v>41307</v>
      </c>
      <c r="F260" t="str">
        <f>LOWER(LEFT(B260,1)&amp;C260&amp;"@"&amp;SUBSTITUTE(D260," ","")&amp;".com")</f>
        <v>jknez@ares.com</v>
      </c>
      <c r="G260" s="30" t="s">
        <v>216</v>
      </c>
      <c r="H260" s="30">
        <v>11</v>
      </c>
      <c r="I260" s="30" t="str">
        <f>IF(ClientDB[[#This Row],[Start Date]]&gt;=DATE(2017,1,1),"New","")</f>
        <v/>
      </c>
      <c r="J260" s="30" t="str">
        <f>IF(OR(YEAR(ClientDB[[#This Row],[Start Date]])&lt;2013,ClientDB[[#This Row],[Events]]&gt;=15),"Yes","")</f>
        <v/>
      </c>
      <c r="K260" s="30" t="str">
        <f>VLOOKUP(ClientDB[[#This Row],[Events]],$M$10:$N$13,2,1)</f>
        <v>Silver</v>
      </c>
    </row>
    <row r="261" spans="1:11" x14ac:dyDescent="0.25">
      <c r="A261" s="25">
        <v>30741</v>
      </c>
      <c r="B261" t="s">
        <v>165</v>
      </c>
      <c r="C261" t="s">
        <v>629</v>
      </c>
      <c r="D261" t="s">
        <v>52</v>
      </c>
      <c r="E261" s="33">
        <v>42101</v>
      </c>
      <c r="F261" t="str">
        <f>LOWER(LEFT(B261,1)&amp;C261&amp;"@"&amp;SUBSTITUTE(D261," ","")&amp;".com")</f>
        <v>prendek@ripplecom.com</v>
      </c>
      <c r="G261" s="30" t="s">
        <v>45</v>
      </c>
      <c r="H261" s="30">
        <v>4</v>
      </c>
      <c r="I261" s="30" t="str">
        <f>IF(ClientDB[[#This Row],[Start Date]]&gt;=DATE(2017,1,1),"New","")</f>
        <v/>
      </c>
      <c r="J261" s="30" t="str">
        <f>IF(OR(YEAR(ClientDB[[#This Row],[Start Date]])&lt;2013,ClientDB[[#This Row],[Events]]&gt;=15),"Yes","")</f>
        <v/>
      </c>
      <c r="K261" s="30" t="str">
        <f>VLOOKUP(ClientDB[[#This Row],[Events]],$M$10:$N$13,2,1)</f>
        <v>Bronze</v>
      </c>
    </row>
    <row r="262" spans="1:11" x14ac:dyDescent="0.25">
      <c r="A262" s="25">
        <v>30840</v>
      </c>
      <c r="B262" t="s">
        <v>119</v>
      </c>
      <c r="C262" t="s">
        <v>120</v>
      </c>
      <c r="D262" t="s">
        <v>52</v>
      </c>
      <c r="E262" s="33">
        <v>42725</v>
      </c>
      <c r="F262" t="str">
        <f>LOWER(LEFT(B262,1)&amp;C262&amp;"@"&amp;SUBSTITUTE(D262," ","")&amp;".com")</f>
        <v>roprea@ripplecom.com</v>
      </c>
      <c r="G262" s="30" t="s">
        <v>45</v>
      </c>
      <c r="H262" s="30">
        <v>3</v>
      </c>
      <c r="I262" s="30" t="str">
        <f>IF(ClientDB[[#This Row],[Start Date]]&gt;=DATE(2017,1,1),"New","")</f>
        <v/>
      </c>
      <c r="J262" s="30" t="str">
        <f>IF(OR(YEAR(ClientDB[[#This Row],[Start Date]])&lt;2013,ClientDB[[#This Row],[Events]]&gt;=15),"Yes","")</f>
        <v/>
      </c>
      <c r="K262" s="30" t="str">
        <f>VLOOKUP(ClientDB[[#This Row],[Events]],$M$10:$N$13,2,1)</f>
        <v>Bronze</v>
      </c>
    </row>
    <row r="263" spans="1:11" x14ac:dyDescent="0.25">
      <c r="A263" s="25">
        <v>30863</v>
      </c>
      <c r="B263" t="s">
        <v>323</v>
      </c>
      <c r="C263" t="s">
        <v>324</v>
      </c>
      <c r="D263" t="s">
        <v>325</v>
      </c>
      <c r="E263" s="33">
        <v>42352</v>
      </c>
      <c r="F263" t="str">
        <f>LOWER(LEFT(B263,1)&amp;C263&amp;"@"&amp;SUBSTITUTE(D263," ","")&amp;".com")</f>
        <v>sjakob@mojbal.com</v>
      </c>
      <c r="G263" s="30" t="s">
        <v>76</v>
      </c>
      <c r="H263" s="30">
        <v>2</v>
      </c>
      <c r="I263" s="30" t="str">
        <f>IF(ClientDB[[#This Row],[Start Date]]&gt;=DATE(2017,1,1),"New","")</f>
        <v/>
      </c>
      <c r="J263" s="30" t="str">
        <f>IF(OR(YEAR(ClientDB[[#This Row],[Start Date]])&lt;2013,ClientDB[[#This Row],[Events]]&gt;=15),"Yes","")</f>
        <v/>
      </c>
      <c r="K263" s="30" t="str">
        <f>VLOOKUP(ClientDB[[#This Row],[Events]],$M$10:$N$13,2,1)</f>
        <v>Bronze</v>
      </c>
    </row>
    <row r="264" spans="1:11" x14ac:dyDescent="0.25">
      <c r="A264" s="25">
        <v>30978</v>
      </c>
      <c r="B264" t="s">
        <v>410</v>
      </c>
      <c r="C264" t="s">
        <v>411</v>
      </c>
      <c r="D264" t="s">
        <v>52</v>
      </c>
      <c r="E264" s="33">
        <v>42800</v>
      </c>
      <c r="F264" t="str">
        <f>LOWER(LEFT(B264,1)&amp;C264&amp;"@"&amp;SUBSTITUTE(D264," ","")&amp;".com")</f>
        <v>acastle@ripplecom.com</v>
      </c>
      <c r="G264" s="30" t="s">
        <v>64</v>
      </c>
      <c r="H264" s="30">
        <v>1</v>
      </c>
      <c r="I264" s="30" t="str">
        <f>IF(ClientDB[[#This Row],[Start Date]]&gt;=DATE(2017,1,1),"New","")</f>
        <v>New</v>
      </c>
      <c r="J264" s="30" t="str">
        <f>IF(OR(YEAR(ClientDB[[#This Row],[Start Date]])&lt;2013,ClientDB[[#This Row],[Events]]&gt;=15),"Yes","")</f>
        <v/>
      </c>
      <c r="K264" s="30" t="str">
        <f>VLOOKUP(ClientDB[[#This Row],[Events]],$M$10:$N$13,2,1)</f>
        <v>Bronze</v>
      </c>
    </row>
    <row r="265" spans="1:11" x14ac:dyDescent="0.25">
      <c r="A265" s="25">
        <v>31071</v>
      </c>
      <c r="B265" t="s">
        <v>782</v>
      </c>
      <c r="C265" t="s">
        <v>783</v>
      </c>
      <c r="D265" t="s">
        <v>325</v>
      </c>
      <c r="E265" s="33">
        <v>42809</v>
      </c>
      <c r="F265" t="str">
        <f>LOWER(LEFT(B265,1)&amp;C265&amp;"@"&amp;SUBSTITUTE(D265," ","")&amp;".com")</f>
        <v>msanz grosson@mojbal.com</v>
      </c>
      <c r="G265" s="30" t="s">
        <v>76</v>
      </c>
      <c r="H265" s="30">
        <v>2</v>
      </c>
      <c r="I265" s="30" t="str">
        <f>IF(ClientDB[[#This Row],[Start Date]]&gt;=DATE(2017,1,1),"New","")</f>
        <v>New</v>
      </c>
      <c r="J265" s="30" t="str">
        <f>IF(OR(YEAR(ClientDB[[#This Row],[Start Date]])&lt;2013,ClientDB[[#This Row],[Events]]&gt;=15),"Yes","")</f>
        <v/>
      </c>
      <c r="K265" s="30" t="str">
        <f>VLOOKUP(ClientDB[[#This Row],[Events]],$M$10:$N$13,2,1)</f>
        <v>Bronze</v>
      </c>
    </row>
    <row r="266" spans="1:11" x14ac:dyDescent="0.25">
      <c r="A266" s="25">
        <v>31204</v>
      </c>
      <c r="B266" t="s">
        <v>398</v>
      </c>
      <c r="C266" t="s">
        <v>399</v>
      </c>
      <c r="D266" t="s">
        <v>59</v>
      </c>
      <c r="E266" s="33">
        <v>41455</v>
      </c>
      <c r="F266" t="str">
        <f>LOWER(LEFT(B266,1)&amp;C266&amp;"@"&amp;SUBSTITUTE(D266," ","")&amp;".com")</f>
        <v>sabdalla@duet.com</v>
      </c>
      <c r="G266" s="30" t="s">
        <v>185</v>
      </c>
      <c r="H266" s="30">
        <v>20</v>
      </c>
      <c r="I266" s="30" t="str">
        <f>IF(ClientDB[[#This Row],[Start Date]]&gt;=DATE(2017,1,1),"New","")</f>
        <v/>
      </c>
      <c r="J266" s="30" t="str">
        <f>IF(OR(YEAR(ClientDB[[#This Row],[Start Date]])&lt;2013,ClientDB[[#This Row],[Events]]&gt;=15),"Yes","")</f>
        <v>Yes</v>
      </c>
      <c r="K266" s="30" t="str">
        <f>VLOOKUP(ClientDB[[#This Row],[Events]],$M$10:$N$13,2,1)</f>
        <v>Gold</v>
      </c>
    </row>
    <row r="267" spans="1:11" x14ac:dyDescent="0.25">
      <c r="A267" s="25">
        <v>31314</v>
      </c>
      <c r="B267" t="s">
        <v>725</v>
      </c>
      <c r="C267" t="s">
        <v>726</v>
      </c>
      <c r="D267" t="s">
        <v>325</v>
      </c>
      <c r="E267" s="33">
        <v>42296</v>
      </c>
      <c r="F267" t="str">
        <f>LOWER(LEFT(B267,1)&amp;C267&amp;"@"&amp;SUBSTITUTE(D267," ","")&amp;".com")</f>
        <v>isanz@mojbal.com</v>
      </c>
      <c r="G267" s="30" t="s">
        <v>64</v>
      </c>
      <c r="H267" s="30">
        <v>12</v>
      </c>
      <c r="I267" s="30" t="str">
        <f>IF(ClientDB[[#This Row],[Start Date]]&gt;=DATE(2017,1,1),"New","")</f>
        <v/>
      </c>
      <c r="J267" s="30" t="str">
        <f>IF(OR(YEAR(ClientDB[[#This Row],[Start Date]])&lt;2013,ClientDB[[#This Row],[Events]]&gt;=15),"Yes","")</f>
        <v/>
      </c>
      <c r="K267" s="30" t="str">
        <f>VLOOKUP(ClientDB[[#This Row],[Events]],$M$10:$N$13,2,1)</f>
        <v>Silver</v>
      </c>
    </row>
    <row r="268" spans="1:11" x14ac:dyDescent="0.25">
      <c r="A268" s="25">
        <v>31330</v>
      </c>
      <c r="B268" t="s">
        <v>383</v>
      </c>
      <c r="C268" t="s">
        <v>384</v>
      </c>
      <c r="D268" t="s">
        <v>138</v>
      </c>
      <c r="E268" s="33">
        <v>41654</v>
      </c>
      <c r="F268" t="str">
        <f>LOWER(LEFT(B268,1)&amp;C268&amp;"@"&amp;SUBSTITUTE(D268," ","")&amp;".com")</f>
        <v>kspencer@colot.com</v>
      </c>
      <c r="G268" s="30" t="s">
        <v>233</v>
      </c>
      <c r="H268" s="30">
        <v>1</v>
      </c>
      <c r="I268" s="30" t="str">
        <f>IF(ClientDB[[#This Row],[Start Date]]&gt;=DATE(2017,1,1),"New","")</f>
        <v/>
      </c>
      <c r="J268" s="30" t="str">
        <f>IF(OR(YEAR(ClientDB[[#This Row],[Start Date]])&lt;2013,ClientDB[[#This Row],[Events]]&gt;=15),"Yes","")</f>
        <v/>
      </c>
      <c r="K268" s="30" t="str">
        <f>VLOOKUP(ClientDB[[#This Row],[Events]],$M$10:$N$13,2,1)</f>
        <v>Bronze</v>
      </c>
    </row>
    <row r="269" spans="1:11" x14ac:dyDescent="0.25">
      <c r="A269" s="25">
        <v>31376</v>
      </c>
      <c r="B269" t="s">
        <v>345</v>
      </c>
      <c r="C269" t="s">
        <v>346</v>
      </c>
      <c r="D269" t="s">
        <v>123</v>
      </c>
      <c r="E269" s="33">
        <v>42680</v>
      </c>
      <c r="F269" t="str">
        <f>LOWER(LEFT(B269,1)&amp;C269&amp;"@"&amp;SUBSTITUTE(D269," ","")&amp;".com")</f>
        <v>evennegues@tatsan.com</v>
      </c>
      <c r="G269" s="30" t="s">
        <v>341</v>
      </c>
      <c r="H269" s="30">
        <v>4</v>
      </c>
      <c r="I269" s="30" t="str">
        <f>IF(ClientDB[[#This Row],[Start Date]]&gt;=DATE(2017,1,1),"New","")</f>
        <v/>
      </c>
      <c r="J269" s="30" t="str">
        <f>IF(OR(YEAR(ClientDB[[#This Row],[Start Date]])&lt;2013,ClientDB[[#This Row],[Events]]&gt;=15),"Yes","")</f>
        <v/>
      </c>
      <c r="K269" s="30" t="str">
        <f>VLOOKUP(ClientDB[[#This Row],[Events]],$M$10:$N$13,2,1)</f>
        <v>Bronze</v>
      </c>
    </row>
    <row r="270" spans="1:11" x14ac:dyDescent="0.25">
      <c r="A270" s="25">
        <v>31522</v>
      </c>
      <c r="B270" t="s">
        <v>488</v>
      </c>
      <c r="C270" t="s">
        <v>552</v>
      </c>
      <c r="D270" t="s">
        <v>59</v>
      </c>
      <c r="E270" s="33">
        <v>41820</v>
      </c>
      <c r="F270" t="str">
        <f>LOWER(LEFT(B270,1)&amp;C270&amp;"@"&amp;SUBSTITUTE(D270," ","")&amp;".com")</f>
        <v>aalshal@duet.com</v>
      </c>
      <c r="G270" s="30" t="s">
        <v>185</v>
      </c>
      <c r="H270" s="30">
        <v>3</v>
      </c>
      <c r="I270" s="30" t="str">
        <f>IF(ClientDB[[#This Row],[Start Date]]&gt;=DATE(2017,1,1),"New","")</f>
        <v/>
      </c>
      <c r="J270" s="30" t="str">
        <f>IF(OR(YEAR(ClientDB[[#This Row],[Start Date]])&lt;2013,ClientDB[[#This Row],[Events]]&gt;=15),"Yes","")</f>
        <v/>
      </c>
      <c r="K270" s="30" t="str">
        <f>VLOOKUP(ClientDB[[#This Row],[Events]],$M$10:$N$13,2,1)</f>
        <v>Bronze</v>
      </c>
    </row>
    <row r="271" spans="1:11" x14ac:dyDescent="0.25">
      <c r="A271" s="25">
        <v>31585</v>
      </c>
      <c r="B271" t="s">
        <v>217</v>
      </c>
      <c r="C271" t="s">
        <v>218</v>
      </c>
      <c r="D271" t="s">
        <v>99</v>
      </c>
      <c r="E271" s="33">
        <v>41483</v>
      </c>
      <c r="F271" t="str">
        <f>LOWER(LEFT(B271,1)&amp;C271&amp;"@"&amp;SUBSTITUTE(D271," ","")&amp;".com")</f>
        <v>akushnireuski@bytesize.com</v>
      </c>
      <c r="G271" s="30" t="s">
        <v>68</v>
      </c>
      <c r="H271" s="30">
        <v>16</v>
      </c>
      <c r="I271" s="30" t="str">
        <f>IF(ClientDB[[#This Row],[Start Date]]&gt;=DATE(2017,1,1),"New","")</f>
        <v/>
      </c>
      <c r="J271" s="30" t="str">
        <f>IF(OR(YEAR(ClientDB[[#This Row],[Start Date]])&lt;2013,ClientDB[[#This Row],[Events]]&gt;=15),"Yes","")</f>
        <v>Yes</v>
      </c>
      <c r="K271" s="30" t="str">
        <f>VLOOKUP(ClientDB[[#This Row],[Events]],$M$10:$N$13,2,1)</f>
        <v>Silver</v>
      </c>
    </row>
    <row r="272" spans="1:11" x14ac:dyDescent="0.25">
      <c r="A272" s="25">
        <v>31657</v>
      </c>
      <c r="B272" t="s">
        <v>177</v>
      </c>
      <c r="C272" t="s">
        <v>178</v>
      </c>
      <c r="D272" t="s">
        <v>179</v>
      </c>
      <c r="E272" s="33">
        <v>41752</v>
      </c>
      <c r="F272" t="str">
        <f>LOWER(LEFT(B272,1)&amp;C272&amp;"@"&amp;SUBSTITUTE(D272," ","")&amp;".com")</f>
        <v>mbrandstaetter@ctx.com</v>
      </c>
      <c r="G272" s="30" t="s">
        <v>41</v>
      </c>
      <c r="H272" s="30">
        <v>3</v>
      </c>
      <c r="I272" s="30" t="str">
        <f>IF(ClientDB[[#This Row],[Start Date]]&gt;=DATE(2017,1,1),"New","")</f>
        <v/>
      </c>
      <c r="J272" s="30" t="str">
        <f>IF(OR(YEAR(ClientDB[[#This Row],[Start Date]])&lt;2013,ClientDB[[#This Row],[Events]]&gt;=15),"Yes","")</f>
        <v/>
      </c>
      <c r="K272" s="30" t="str">
        <f>VLOOKUP(ClientDB[[#This Row],[Events]],$M$10:$N$13,2,1)</f>
        <v>Bronze</v>
      </c>
    </row>
    <row r="273" spans="1:11" x14ac:dyDescent="0.25">
      <c r="A273" s="25">
        <v>31724</v>
      </c>
      <c r="B273" t="s">
        <v>743</v>
      </c>
      <c r="C273" t="s">
        <v>744</v>
      </c>
      <c r="D273" t="s">
        <v>71</v>
      </c>
      <c r="E273" s="33">
        <v>41746</v>
      </c>
      <c r="F273" t="str">
        <f>LOWER(LEFT(B273,1)&amp;C273&amp;"@"&amp;SUBSTITUTE(D273," ","")&amp;".com")</f>
        <v>pmoroni@oglev.com</v>
      </c>
      <c r="G273" s="30" t="s">
        <v>269</v>
      </c>
      <c r="H273" s="30">
        <v>2</v>
      </c>
      <c r="I273" s="30" t="str">
        <f>IF(ClientDB[[#This Row],[Start Date]]&gt;=DATE(2017,1,1),"New","")</f>
        <v/>
      </c>
      <c r="J273" s="30" t="str">
        <f>IF(OR(YEAR(ClientDB[[#This Row],[Start Date]])&lt;2013,ClientDB[[#This Row],[Events]]&gt;=15),"Yes","")</f>
        <v/>
      </c>
      <c r="K273" s="30" t="str">
        <f>VLOOKUP(ClientDB[[#This Row],[Events]],$M$10:$N$13,2,1)</f>
        <v>Bronze</v>
      </c>
    </row>
    <row r="274" spans="1:11" x14ac:dyDescent="0.25">
      <c r="A274" s="25">
        <v>31774</v>
      </c>
      <c r="B274" t="s">
        <v>452</v>
      </c>
      <c r="C274" t="s">
        <v>635</v>
      </c>
      <c r="D274" t="s">
        <v>52</v>
      </c>
      <c r="E274" s="33">
        <v>41224</v>
      </c>
      <c r="F274" t="str">
        <f>LOWER(LEFT(B274,1)&amp;C274&amp;"@"&amp;SUBSTITUTE(D274," ","")&amp;".com")</f>
        <v>sbras@ripplecom.com</v>
      </c>
      <c r="G274" s="30" t="s">
        <v>45</v>
      </c>
      <c r="H274" s="30">
        <v>1</v>
      </c>
      <c r="I274" s="30" t="str">
        <f>IF(ClientDB[[#This Row],[Start Date]]&gt;=DATE(2017,1,1),"New","")</f>
        <v/>
      </c>
      <c r="J274" s="30" t="str">
        <f>IF(OR(YEAR(ClientDB[[#This Row],[Start Date]])&lt;2013,ClientDB[[#This Row],[Events]]&gt;=15),"Yes","")</f>
        <v>Yes</v>
      </c>
      <c r="K274" s="30" t="str">
        <f>VLOOKUP(ClientDB[[#This Row],[Events]],$M$10:$N$13,2,1)</f>
        <v>Bronze</v>
      </c>
    </row>
    <row r="275" spans="1:11" x14ac:dyDescent="0.25">
      <c r="A275" s="25">
        <v>31955</v>
      </c>
      <c r="B275" t="s">
        <v>473</v>
      </c>
      <c r="C275" t="s">
        <v>474</v>
      </c>
      <c r="D275" t="s">
        <v>107</v>
      </c>
      <c r="E275" s="33">
        <v>41387</v>
      </c>
      <c r="F275" t="str">
        <f>LOWER(LEFT(B275,1)&amp;C275&amp;"@"&amp;SUBSTITUTE(D275," ","")&amp;".com")</f>
        <v>jbogdanov@axellgroup.com</v>
      </c>
      <c r="G275" s="30" t="s">
        <v>176</v>
      </c>
      <c r="H275" s="30">
        <v>9</v>
      </c>
      <c r="I275" s="30" t="str">
        <f>IF(ClientDB[[#This Row],[Start Date]]&gt;=DATE(2017,1,1),"New","")</f>
        <v/>
      </c>
      <c r="J275" s="30" t="str">
        <f>IF(OR(YEAR(ClientDB[[#This Row],[Start Date]])&lt;2013,ClientDB[[#This Row],[Events]]&gt;=15),"Yes","")</f>
        <v/>
      </c>
      <c r="K275" s="30" t="str">
        <f>VLOOKUP(ClientDB[[#This Row],[Events]],$M$10:$N$13,2,1)</f>
        <v>Bronze</v>
      </c>
    </row>
    <row r="276" spans="1:11" x14ac:dyDescent="0.25">
      <c r="A276" s="25">
        <v>31981</v>
      </c>
      <c r="B276" t="s">
        <v>212</v>
      </c>
      <c r="C276" t="s">
        <v>213</v>
      </c>
      <c r="D276" t="s">
        <v>63</v>
      </c>
      <c r="E276" s="33">
        <v>42539</v>
      </c>
      <c r="F276" t="str">
        <f>LOWER(LEFT(B276,1)&amp;C276&amp;"@"&amp;SUBSTITUTE(D276," ","")&amp;".com")</f>
        <v>oaskochenska@ahanetworks.com</v>
      </c>
      <c r="G276" s="30" t="s">
        <v>56</v>
      </c>
      <c r="H276" s="30">
        <v>6</v>
      </c>
      <c r="I276" s="30" t="str">
        <f>IF(ClientDB[[#This Row],[Start Date]]&gt;=DATE(2017,1,1),"New","")</f>
        <v/>
      </c>
      <c r="J276" s="30" t="str">
        <f>IF(OR(YEAR(ClientDB[[#This Row],[Start Date]])&lt;2013,ClientDB[[#This Row],[Events]]&gt;=15),"Yes","")</f>
        <v/>
      </c>
      <c r="K276" s="30" t="str">
        <f>VLOOKUP(ClientDB[[#This Row],[Events]],$M$10:$N$13,2,1)</f>
        <v>Bronze</v>
      </c>
    </row>
    <row r="277" spans="1:11" x14ac:dyDescent="0.25">
      <c r="A277" s="25">
        <v>32133</v>
      </c>
      <c r="B277" t="s">
        <v>330</v>
      </c>
      <c r="C277" t="s">
        <v>331</v>
      </c>
      <c r="D277" t="s">
        <v>263</v>
      </c>
      <c r="E277" s="33">
        <v>41750</v>
      </c>
      <c r="F277" t="str">
        <f>LOWER(LEFT(B277,1)&amp;C277&amp;"@"&amp;SUBSTITUTE(D277," ","")&amp;".com")</f>
        <v>mbaig@ipibucharest.com</v>
      </c>
      <c r="G277" s="30" t="s">
        <v>332</v>
      </c>
      <c r="H277" s="30">
        <v>1</v>
      </c>
      <c r="I277" s="30" t="str">
        <f>IF(ClientDB[[#This Row],[Start Date]]&gt;=DATE(2017,1,1),"New","")</f>
        <v/>
      </c>
      <c r="J277" s="30" t="str">
        <f>IF(OR(YEAR(ClientDB[[#This Row],[Start Date]])&lt;2013,ClientDB[[#This Row],[Events]]&gt;=15),"Yes","")</f>
        <v/>
      </c>
      <c r="K277" s="30" t="str">
        <f>VLOOKUP(ClientDB[[#This Row],[Events]],$M$10:$N$13,2,1)</f>
        <v>Bronze</v>
      </c>
    </row>
    <row r="278" spans="1:11" x14ac:dyDescent="0.25">
      <c r="A278" s="25">
        <v>32255</v>
      </c>
      <c r="B278" t="s">
        <v>679</v>
      </c>
      <c r="C278" t="s">
        <v>718</v>
      </c>
      <c r="D278" t="s">
        <v>459</v>
      </c>
      <c r="E278" s="33">
        <v>41530</v>
      </c>
      <c r="F278" t="str">
        <f>LOWER(LEFT(B278,1)&amp;C278&amp;"@"&amp;SUBSTITUTE(D278," ","")&amp;".com")</f>
        <v>arask@fzigfibre.com</v>
      </c>
      <c r="G278" s="30" t="s">
        <v>688</v>
      </c>
      <c r="H278" s="30">
        <v>2</v>
      </c>
      <c r="I278" s="30" t="str">
        <f>IF(ClientDB[[#This Row],[Start Date]]&gt;=DATE(2017,1,1),"New","")</f>
        <v/>
      </c>
      <c r="J278" s="30" t="str">
        <f>IF(OR(YEAR(ClientDB[[#This Row],[Start Date]])&lt;2013,ClientDB[[#This Row],[Events]]&gt;=15),"Yes","")</f>
        <v/>
      </c>
      <c r="K278" s="30" t="str">
        <f>VLOOKUP(ClientDB[[#This Row],[Events]],$M$10:$N$13,2,1)</f>
        <v>Bronze</v>
      </c>
    </row>
    <row r="279" spans="1:11" x14ac:dyDescent="0.25">
      <c r="A279" s="25">
        <v>32407</v>
      </c>
      <c r="B279" t="s">
        <v>506</v>
      </c>
      <c r="C279" t="s">
        <v>507</v>
      </c>
      <c r="D279" t="s">
        <v>52</v>
      </c>
      <c r="E279" s="33">
        <v>42365</v>
      </c>
      <c r="F279" t="str">
        <f>LOWER(LEFT(B279,1)&amp;C279&amp;"@"&amp;SUBSTITUTE(D279," ","")&amp;".com")</f>
        <v>hibrahim@ripplecom.com</v>
      </c>
      <c r="G279" s="30" t="s">
        <v>45</v>
      </c>
      <c r="H279" s="30">
        <v>3</v>
      </c>
      <c r="I279" s="30" t="str">
        <f>IF(ClientDB[[#This Row],[Start Date]]&gt;=DATE(2017,1,1),"New","")</f>
        <v/>
      </c>
      <c r="J279" s="30" t="str">
        <f>IF(OR(YEAR(ClientDB[[#This Row],[Start Date]])&lt;2013,ClientDB[[#This Row],[Events]]&gt;=15),"Yes","")</f>
        <v/>
      </c>
      <c r="K279" s="30" t="str">
        <f>VLOOKUP(ClientDB[[#This Row],[Events]],$M$10:$N$13,2,1)</f>
        <v>Bronze</v>
      </c>
    </row>
    <row r="280" spans="1:11" x14ac:dyDescent="0.25">
      <c r="A280" s="25">
        <v>32513</v>
      </c>
      <c r="B280" t="s">
        <v>69</v>
      </c>
      <c r="C280" t="s">
        <v>70</v>
      </c>
      <c r="D280" t="s">
        <v>71</v>
      </c>
      <c r="E280" s="33">
        <v>41628</v>
      </c>
      <c r="F280" t="str">
        <f>LOWER(LEFT(B280,1)&amp;C280&amp;"@"&amp;SUBSTITUTE(D280," ","")&amp;".com")</f>
        <v>kmichal@oglev.com</v>
      </c>
      <c r="G280" s="30" t="s">
        <v>72</v>
      </c>
      <c r="H280" s="30">
        <v>19</v>
      </c>
      <c r="I280" s="30" t="str">
        <f>IF(ClientDB[[#This Row],[Start Date]]&gt;=DATE(2017,1,1),"New","")</f>
        <v/>
      </c>
      <c r="J280" s="30" t="str">
        <f>IF(OR(YEAR(ClientDB[[#This Row],[Start Date]])&lt;2013,ClientDB[[#This Row],[Events]]&gt;=15),"Yes","")</f>
        <v>Yes</v>
      </c>
      <c r="K280" s="30" t="str">
        <f>VLOOKUP(ClientDB[[#This Row],[Events]],$M$10:$N$13,2,1)</f>
        <v>Silver</v>
      </c>
    </row>
    <row r="281" spans="1:11" x14ac:dyDescent="0.25">
      <c r="A281" s="25">
        <v>32550</v>
      </c>
      <c r="B281" t="s">
        <v>436</v>
      </c>
      <c r="C281" t="s">
        <v>437</v>
      </c>
      <c r="D281" t="s">
        <v>338</v>
      </c>
      <c r="E281" s="33">
        <v>41323</v>
      </c>
      <c r="F281" t="str">
        <f>LOWER(LEFT(B281,1)&amp;C281&amp;"@"&amp;SUBSTITUTE(D281," ","")&amp;".com")</f>
        <v>apearson@qinisar.com</v>
      </c>
      <c r="G281" s="30" t="s">
        <v>45</v>
      </c>
      <c r="H281" s="30">
        <v>7</v>
      </c>
      <c r="I281" s="30" t="str">
        <f>IF(ClientDB[[#This Row],[Start Date]]&gt;=DATE(2017,1,1),"New","")</f>
        <v/>
      </c>
      <c r="J281" s="30" t="str">
        <f>IF(OR(YEAR(ClientDB[[#This Row],[Start Date]])&lt;2013,ClientDB[[#This Row],[Events]]&gt;=15),"Yes","")</f>
        <v/>
      </c>
      <c r="K281" s="30" t="str">
        <f>VLOOKUP(ClientDB[[#This Row],[Events]],$M$10:$N$13,2,1)</f>
        <v>Bronze</v>
      </c>
    </row>
    <row r="282" spans="1:11" x14ac:dyDescent="0.25">
      <c r="A282" s="25">
        <v>32699</v>
      </c>
      <c r="B282" t="s">
        <v>627</v>
      </c>
      <c r="C282" t="s">
        <v>628</v>
      </c>
      <c r="D282" t="s">
        <v>179</v>
      </c>
      <c r="E282" s="33">
        <v>42236</v>
      </c>
      <c r="F282" t="str">
        <f>LOWER(LEFT(B282,1)&amp;C282&amp;"@"&amp;SUBSTITUTE(D282," ","")&amp;".com")</f>
        <v>lhanoun@ctx.com</v>
      </c>
      <c r="G282" s="30" t="s">
        <v>193</v>
      </c>
      <c r="H282" s="30">
        <v>3</v>
      </c>
      <c r="I282" s="30" t="str">
        <f>IF(ClientDB[[#This Row],[Start Date]]&gt;=DATE(2017,1,1),"New","")</f>
        <v/>
      </c>
      <c r="J282" s="30" t="str">
        <f>IF(OR(YEAR(ClientDB[[#This Row],[Start Date]])&lt;2013,ClientDB[[#This Row],[Events]]&gt;=15),"Yes","")</f>
        <v/>
      </c>
      <c r="K282" s="30" t="str">
        <f>VLOOKUP(ClientDB[[#This Row],[Events]],$M$10:$N$13,2,1)</f>
        <v>Bronze</v>
      </c>
    </row>
    <row r="283" spans="1:11" x14ac:dyDescent="0.25">
      <c r="A283" s="25">
        <v>32721</v>
      </c>
      <c r="B283" t="s">
        <v>315</v>
      </c>
      <c r="C283" t="s">
        <v>316</v>
      </c>
      <c r="D283" t="s">
        <v>107</v>
      </c>
      <c r="E283" s="33">
        <v>42190</v>
      </c>
      <c r="F283" t="str">
        <f>LOWER(LEFT(B283,1)&amp;C283&amp;"@"&amp;SUBSTITUTE(D283," ","")&amp;".com")</f>
        <v>ssushkina@axellgroup.com</v>
      </c>
      <c r="G283" s="30" t="s">
        <v>176</v>
      </c>
      <c r="H283" s="30">
        <v>11</v>
      </c>
      <c r="I283" s="30" t="str">
        <f>IF(ClientDB[[#This Row],[Start Date]]&gt;=DATE(2017,1,1),"New","")</f>
        <v/>
      </c>
      <c r="J283" s="30" t="str">
        <f>IF(OR(YEAR(ClientDB[[#This Row],[Start Date]])&lt;2013,ClientDB[[#This Row],[Events]]&gt;=15),"Yes","")</f>
        <v/>
      </c>
      <c r="K283" s="30" t="str">
        <f>VLOOKUP(ClientDB[[#This Row],[Events]],$M$10:$N$13,2,1)</f>
        <v>Silver</v>
      </c>
    </row>
    <row r="284" spans="1:11" x14ac:dyDescent="0.25">
      <c r="A284" s="25">
        <v>32780</v>
      </c>
      <c r="B284" t="s">
        <v>531</v>
      </c>
      <c r="C284" t="s">
        <v>532</v>
      </c>
      <c r="D284" t="s">
        <v>172</v>
      </c>
      <c r="E284" s="33">
        <v>42299</v>
      </c>
      <c r="F284" t="str">
        <f>LOWER(LEFT(B284,1)&amp;C284&amp;"@"&amp;SUBSTITUTE(D284," ","")&amp;".com")</f>
        <v>phombach@uon.com</v>
      </c>
      <c r="G284" s="30" t="s">
        <v>76</v>
      </c>
      <c r="H284" s="30">
        <v>4</v>
      </c>
      <c r="I284" s="30" t="str">
        <f>IF(ClientDB[[#This Row],[Start Date]]&gt;=DATE(2017,1,1),"New","")</f>
        <v/>
      </c>
      <c r="J284" s="30" t="str">
        <f>IF(OR(YEAR(ClientDB[[#This Row],[Start Date]])&lt;2013,ClientDB[[#This Row],[Events]]&gt;=15),"Yes","")</f>
        <v/>
      </c>
      <c r="K284" s="30" t="str">
        <f>VLOOKUP(ClientDB[[#This Row],[Events]],$M$10:$N$13,2,1)</f>
        <v>Bronze</v>
      </c>
    </row>
    <row r="285" spans="1:11" x14ac:dyDescent="0.25">
      <c r="A285" s="25">
        <v>32910</v>
      </c>
      <c r="B285" t="s">
        <v>762</v>
      </c>
      <c r="C285" t="s">
        <v>763</v>
      </c>
      <c r="D285" t="s">
        <v>179</v>
      </c>
      <c r="E285" s="33">
        <v>42474</v>
      </c>
      <c r="F285" t="str">
        <f>LOWER(LEFT(B285,1)&amp;C285&amp;"@"&amp;SUBSTITUTE(D285," ","")&amp;".com")</f>
        <v>bspiess@ctx.com</v>
      </c>
      <c r="G285" s="30" t="s">
        <v>41</v>
      </c>
      <c r="H285" s="30">
        <v>8</v>
      </c>
      <c r="I285" s="30" t="str">
        <f>IF(ClientDB[[#This Row],[Start Date]]&gt;=DATE(2017,1,1),"New","")</f>
        <v/>
      </c>
      <c r="J285" s="30" t="str">
        <f>IF(OR(YEAR(ClientDB[[#This Row],[Start Date]])&lt;2013,ClientDB[[#This Row],[Events]]&gt;=15),"Yes","")</f>
        <v/>
      </c>
      <c r="K285" s="30" t="str">
        <f>VLOOKUP(ClientDB[[#This Row],[Events]],$M$10:$N$13,2,1)</f>
        <v>Bronze</v>
      </c>
    </row>
    <row r="286" spans="1:11" x14ac:dyDescent="0.25">
      <c r="A286" s="25">
        <v>32957</v>
      </c>
      <c r="B286" t="s">
        <v>387</v>
      </c>
      <c r="C286" t="s">
        <v>388</v>
      </c>
      <c r="D286" t="s">
        <v>266</v>
      </c>
      <c r="E286" s="33">
        <v>42363</v>
      </c>
      <c r="F286" t="str">
        <f>LOWER(LEFT(B286,1)&amp;C286&amp;"@"&amp;SUBSTITUTE(D286," ","")&amp;".com")</f>
        <v>abaskett@tqprocesses.com</v>
      </c>
      <c r="G286" s="30" t="s">
        <v>64</v>
      </c>
      <c r="H286" s="30">
        <v>8</v>
      </c>
      <c r="I286" s="30" t="str">
        <f>IF(ClientDB[[#This Row],[Start Date]]&gt;=DATE(2017,1,1),"New","")</f>
        <v/>
      </c>
      <c r="J286" s="30" t="str">
        <f>IF(OR(YEAR(ClientDB[[#This Row],[Start Date]])&lt;2013,ClientDB[[#This Row],[Events]]&gt;=15),"Yes","")</f>
        <v/>
      </c>
      <c r="K286" s="30" t="str">
        <f>VLOOKUP(ClientDB[[#This Row],[Events]],$M$10:$N$13,2,1)</f>
        <v>Bronze</v>
      </c>
    </row>
    <row r="287" spans="1:11" x14ac:dyDescent="0.25">
      <c r="A287" s="25">
        <v>32987</v>
      </c>
      <c r="B287" t="s">
        <v>364</v>
      </c>
      <c r="C287" t="s">
        <v>365</v>
      </c>
      <c r="D287" t="s">
        <v>52</v>
      </c>
      <c r="E287" s="33">
        <v>41109</v>
      </c>
      <c r="F287" t="str">
        <f>LOWER(LEFT(B287,1)&amp;C287&amp;"@"&amp;SUBSTITUTE(D287," ","")&amp;".com")</f>
        <v>avos@ripplecom.com</v>
      </c>
      <c r="G287" s="30" t="s">
        <v>45</v>
      </c>
      <c r="H287" s="30">
        <v>21</v>
      </c>
      <c r="I287" s="30" t="str">
        <f>IF(ClientDB[[#This Row],[Start Date]]&gt;=DATE(2017,1,1),"New","")</f>
        <v/>
      </c>
      <c r="J287" s="30" t="str">
        <f>IF(OR(YEAR(ClientDB[[#This Row],[Start Date]])&lt;2013,ClientDB[[#This Row],[Events]]&gt;=15),"Yes","")</f>
        <v>Yes</v>
      </c>
      <c r="K287" s="30" t="str">
        <f>VLOOKUP(ClientDB[[#This Row],[Events]],$M$10:$N$13,2,1)</f>
        <v>Gold</v>
      </c>
    </row>
    <row r="288" spans="1:11" x14ac:dyDescent="0.25">
      <c r="A288" s="25">
        <v>33008</v>
      </c>
      <c r="B288" t="s">
        <v>356</v>
      </c>
      <c r="C288" t="s">
        <v>357</v>
      </c>
      <c r="D288" t="s">
        <v>83</v>
      </c>
      <c r="E288" s="33">
        <v>41797</v>
      </c>
      <c r="F288" t="str">
        <f>LOWER(LEFT(B288,1)&amp;C288&amp;"@"&amp;SUBSTITUTE(D288," ","")&amp;".com")</f>
        <v>hrezaeian@wizlabs.com</v>
      </c>
      <c r="G288" s="30" t="s">
        <v>37</v>
      </c>
      <c r="H288" s="30">
        <v>3</v>
      </c>
      <c r="I288" s="30" t="str">
        <f>IF(ClientDB[[#This Row],[Start Date]]&gt;=DATE(2017,1,1),"New","")</f>
        <v/>
      </c>
      <c r="J288" s="30" t="str">
        <f>IF(OR(YEAR(ClientDB[[#This Row],[Start Date]])&lt;2013,ClientDB[[#This Row],[Events]]&gt;=15),"Yes","")</f>
        <v/>
      </c>
      <c r="K288" s="30" t="str">
        <f>VLOOKUP(ClientDB[[#This Row],[Events]],$M$10:$N$13,2,1)</f>
        <v>Bronze</v>
      </c>
    </row>
    <row r="289" spans="1:11" x14ac:dyDescent="0.25">
      <c r="A289" s="25">
        <v>33074</v>
      </c>
      <c r="B289" t="s">
        <v>50</v>
      </c>
      <c r="C289" t="s">
        <v>51</v>
      </c>
      <c r="D289" t="s">
        <v>52</v>
      </c>
      <c r="E289" s="33">
        <v>42168</v>
      </c>
      <c r="F289" t="str">
        <f>LOWER(LEFT(B289,1)&amp;C289&amp;"@"&amp;SUBSTITUTE(D289," ","")&amp;".com")</f>
        <v>mgalante@ripplecom.com</v>
      </c>
      <c r="G289" s="30" t="s">
        <v>45</v>
      </c>
      <c r="H289" s="30">
        <v>4</v>
      </c>
      <c r="I289" s="30" t="str">
        <f>IF(ClientDB[[#This Row],[Start Date]]&gt;=DATE(2017,1,1),"New","")</f>
        <v/>
      </c>
      <c r="J289" s="30" t="str">
        <f>IF(OR(YEAR(ClientDB[[#This Row],[Start Date]])&lt;2013,ClientDB[[#This Row],[Events]]&gt;=15),"Yes","")</f>
        <v/>
      </c>
      <c r="K289" s="30" t="str">
        <f>VLOOKUP(ClientDB[[#This Row],[Events]],$M$10:$N$13,2,1)</f>
        <v>Bronze</v>
      </c>
    </row>
    <row r="290" spans="1:11" x14ac:dyDescent="0.25">
      <c r="A290" s="25">
        <v>33131</v>
      </c>
      <c r="B290" t="s">
        <v>142</v>
      </c>
      <c r="C290" t="s">
        <v>143</v>
      </c>
      <c r="D290" t="s">
        <v>144</v>
      </c>
      <c r="E290" s="33">
        <v>42162</v>
      </c>
      <c r="F290" t="str">
        <f>LOWER(LEFT(B290,1)&amp;C290&amp;"@"&amp;SUBSTITUTE(D290," ","")&amp;".com")</f>
        <v>wvan renterghem@picsure.com</v>
      </c>
      <c r="G290" s="30" t="s">
        <v>89</v>
      </c>
      <c r="H290" s="30">
        <v>11</v>
      </c>
      <c r="I290" s="30" t="str">
        <f>IF(ClientDB[[#This Row],[Start Date]]&gt;=DATE(2017,1,1),"New","")</f>
        <v/>
      </c>
      <c r="J290" s="30" t="str">
        <f>IF(OR(YEAR(ClientDB[[#This Row],[Start Date]])&lt;2013,ClientDB[[#This Row],[Events]]&gt;=15),"Yes","")</f>
        <v/>
      </c>
      <c r="K290" s="30" t="str">
        <f>VLOOKUP(ClientDB[[#This Row],[Events]],$M$10:$N$13,2,1)</f>
        <v>Silver</v>
      </c>
    </row>
    <row r="291" spans="1:11" x14ac:dyDescent="0.25">
      <c r="A291" s="25">
        <v>33141</v>
      </c>
      <c r="B291" t="s">
        <v>697</v>
      </c>
      <c r="C291" t="s">
        <v>698</v>
      </c>
      <c r="D291" t="s">
        <v>289</v>
      </c>
      <c r="E291" s="33">
        <v>41417</v>
      </c>
      <c r="F291" t="str">
        <f>LOWER(LEFT(B291,1)&amp;C291&amp;"@"&amp;SUBSTITUTE(D291," ","")&amp;".com")</f>
        <v>mhalimeh@stepsittraining.com</v>
      </c>
      <c r="G291" s="30" t="s">
        <v>595</v>
      </c>
      <c r="H291" s="30">
        <v>7</v>
      </c>
      <c r="I291" s="30" t="str">
        <f>IF(ClientDB[[#This Row],[Start Date]]&gt;=DATE(2017,1,1),"New","")</f>
        <v/>
      </c>
      <c r="J291" s="30" t="str">
        <f>IF(OR(YEAR(ClientDB[[#This Row],[Start Date]])&lt;2013,ClientDB[[#This Row],[Events]]&gt;=15),"Yes","")</f>
        <v/>
      </c>
      <c r="K291" s="30" t="str">
        <f>VLOOKUP(ClientDB[[#This Row],[Events]],$M$10:$N$13,2,1)</f>
        <v>Bronze</v>
      </c>
    </row>
    <row r="292" spans="1:11" x14ac:dyDescent="0.25">
      <c r="A292" s="25">
        <v>33466</v>
      </c>
      <c r="B292" t="s">
        <v>46</v>
      </c>
      <c r="C292" t="s">
        <v>47</v>
      </c>
      <c r="D292" t="s">
        <v>48</v>
      </c>
      <c r="E292" s="33">
        <v>42284</v>
      </c>
      <c r="F292" t="str">
        <f>LOWER(LEFT(B292,1)&amp;C292&amp;"@"&amp;SUBSTITUTE(D292," ","")&amp;".com")</f>
        <v>amaemura@icant.com</v>
      </c>
      <c r="G292" s="30" t="s">
        <v>49</v>
      </c>
      <c r="H292" s="30">
        <v>2</v>
      </c>
      <c r="I292" s="30" t="str">
        <f>IF(ClientDB[[#This Row],[Start Date]]&gt;=DATE(2017,1,1),"New","")</f>
        <v/>
      </c>
      <c r="J292" s="30" t="str">
        <f>IF(OR(YEAR(ClientDB[[#This Row],[Start Date]])&lt;2013,ClientDB[[#This Row],[Events]]&gt;=15),"Yes","")</f>
        <v/>
      </c>
      <c r="K292" s="30" t="str">
        <f>VLOOKUP(ClientDB[[#This Row],[Events]],$M$10:$N$13,2,1)</f>
        <v>Bronze</v>
      </c>
    </row>
    <row r="293" spans="1:11" x14ac:dyDescent="0.25">
      <c r="A293" s="25">
        <v>33526</v>
      </c>
      <c r="B293" t="s">
        <v>766</v>
      </c>
      <c r="C293" t="s">
        <v>767</v>
      </c>
      <c r="D293" t="s">
        <v>67</v>
      </c>
      <c r="E293" s="33">
        <v>42925</v>
      </c>
      <c r="F293" t="str">
        <f>LOWER(LEFT(B293,1)&amp;C293&amp;"@"&amp;SUBSTITUTE(D293," ","")&amp;".com")</f>
        <v>mal-jaghbeer@pinkcloudnetworks.com</v>
      </c>
      <c r="G293" s="30" t="s">
        <v>193</v>
      </c>
      <c r="H293" s="30">
        <v>1</v>
      </c>
      <c r="I293" s="30" t="str">
        <f>IF(ClientDB[[#This Row],[Start Date]]&gt;=DATE(2017,1,1),"New","")</f>
        <v>New</v>
      </c>
      <c r="J293" s="30" t="str">
        <f>IF(OR(YEAR(ClientDB[[#This Row],[Start Date]])&lt;2013,ClientDB[[#This Row],[Events]]&gt;=15),"Yes","")</f>
        <v/>
      </c>
      <c r="K293" s="30" t="str">
        <f>VLOOKUP(ClientDB[[#This Row],[Events]],$M$10:$N$13,2,1)</f>
        <v>Bronze</v>
      </c>
    </row>
    <row r="294" spans="1:11" x14ac:dyDescent="0.25">
      <c r="A294" s="25">
        <v>33729</v>
      </c>
      <c r="B294" t="s">
        <v>360</v>
      </c>
      <c r="C294" t="s">
        <v>361</v>
      </c>
      <c r="D294" t="s">
        <v>52</v>
      </c>
      <c r="E294" s="33">
        <v>42636</v>
      </c>
      <c r="F294" t="str">
        <f>LOWER(LEFT(B294,1)&amp;C294&amp;"@"&amp;SUBSTITUTE(D294," ","")&amp;".com")</f>
        <v>agowland@ripplecom.com</v>
      </c>
      <c r="G294" s="30" t="s">
        <v>45</v>
      </c>
      <c r="H294" s="30">
        <v>3</v>
      </c>
      <c r="I294" s="30" t="str">
        <f>IF(ClientDB[[#This Row],[Start Date]]&gt;=DATE(2017,1,1),"New","")</f>
        <v/>
      </c>
      <c r="J294" s="30" t="str">
        <f>IF(OR(YEAR(ClientDB[[#This Row],[Start Date]])&lt;2013,ClientDB[[#This Row],[Events]]&gt;=15),"Yes","")</f>
        <v/>
      </c>
      <c r="K294" s="30" t="str">
        <f>VLOOKUP(ClientDB[[#This Row],[Events]],$M$10:$N$13,2,1)</f>
        <v>Bronze</v>
      </c>
    </row>
    <row r="295" spans="1:11" x14ac:dyDescent="0.25">
      <c r="A295" s="25">
        <v>33836</v>
      </c>
      <c r="B295" t="s">
        <v>548</v>
      </c>
      <c r="C295" t="s">
        <v>549</v>
      </c>
      <c r="D295" t="s">
        <v>167</v>
      </c>
      <c r="E295" s="33">
        <v>42635</v>
      </c>
      <c r="F295" t="str">
        <f>LOWER(LEFT(B295,1)&amp;C295&amp;"@"&amp;SUBSTITUTE(D295," ","")&amp;".com")</f>
        <v>wboeddinghaus@netaassist.com</v>
      </c>
      <c r="G295" s="30" t="s">
        <v>76</v>
      </c>
      <c r="H295" s="30">
        <v>8</v>
      </c>
      <c r="I295" s="30" t="str">
        <f>IF(ClientDB[[#This Row],[Start Date]]&gt;=DATE(2017,1,1),"New","")</f>
        <v/>
      </c>
      <c r="J295" s="30" t="str">
        <f>IF(OR(YEAR(ClientDB[[#This Row],[Start Date]])&lt;2013,ClientDB[[#This Row],[Events]]&gt;=15),"Yes","")</f>
        <v/>
      </c>
      <c r="K295" s="30" t="str">
        <f>VLOOKUP(ClientDB[[#This Row],[Events]],$M$10:$N$13,2,1)</f>
        <v>Bronze</v>
      </c>
    </row>
    <row r="296" spans="1:11" x14ac:dyDescent="0.25">
      <c r="A296" s="25">
        <v>33888</v>
      </c>
      <c r="B296" t="s">
        <v>336</v>
      </c>
      <c r="C296" t="s">
        <v>337</v>
      </c>
      <c r="D296" t="s">
        <v>338</v>
      </c>
      <c r="E296" s="33">
        <v>42135</v>
      </c>
      <c r="F296" t="str">
        <f>LOWER(LEFT(B296,1)&amp;C296&amp;"@"&amp;SUBSTITUTE(D296," ","")&amp;".com")</f>
        <v>pswoboda@qinisar.com</v>
      </c>
      <c r="G296" s="30" t="s">
        <v>185</v>
      </c>
      <c r="H296" s="30">
        <v>7</v>
      </c>
      <c r="I296" s="30" t="str">
        <f>IF(ClientDB[[#This Row],[Start Date]]&gt;=DATE(2017,1,1),"New","")</f>
        <v/>
      </c>
      <c r="J296" s="30" t="str">
        <f>IF(OR(YEAR(ClientDB[[#This Row],[Start Date]])&lt;2013,ClientDB[[#This Row],[Events]]&gt;=15),"Yes","")</f>
        <v/>
      </c>
      <c r="K296" s="30" t="str">
        <f>VLOOKUP(ClientDB[[#This Row],[Events]],$M$10:$N$13,2,1)</f>
        <v>Bronze</v>
      </c>
    </row>
    <row r="297" spans="1:11" x14ac:dyDescent="0.25">
      <c r="A297" s="25">
        <v>33952</v>
      </c>
      <c r="B297" t="s">
        <v>174</v>
      </c>
      <c r="C297" t="s">
        <v>175</v>
      </c>
      <c r="D297" t="s">
        <v>52</v>
      </c>
      <c r="E297" s="33">
        <v>41318</v>
      </c>
      <c r="F297" t="str">
        <f>LOWER(LEFT(B297,1)&amp;C297&amp;"@"&amp;SUBSTITUTE(D297," ","")&amp;".com")</f>
        <v>dburkov@ripplecom.com</v>
      </c>
      <c r="G297" s="30" t="s">
        <v>176</v>
      </c>
      <c r="H297" s="30">
        <v>3</v>
      </c>
      <c r="I297" s="30" t="str">
        <f>IF(ClientDB[[#This Row],[Start Date]]&gt;=DATE(2017,1,1),"New","")</f>
        <v/>
      </c>
      <c r="J297" s="30" t="str">
        <f>IF(OR(YEAR(ClientDB[[#This Row],[Start Date]])&lt;2013,ClientDB[[#This Row],[Events]]&gt;=15),"Yes","")</f>
        <v/>
      </c>
      <c r="K297" s="30" t="str">
        <f>VLOOKUP(ClientDB[[#This Row],[Events]],$M$10:$N$13,2,1)</f>
        <v>Bronze</v>
      </c>
    </row>
    <row r="298" spans="1:11" x14ac:dyDescent="0.25">
      <c r="A298" s="25">
        <v>33953</v>
      </c>
      <c r="B298" t="s">
        <v>544</v>
      </c>
      <c r="C298" t="s">
        <v>545</v>
      </c>
      <c r="D298" t="s">
        <v>52</v>
      </c>
      <c r="E298" s="33">
        <v>42263</v>
      </c>
      <c r="F298" t="str">
        <f>LOWER(LEFT(B298,1)&amp;C298&amp;"@"&amp;SUBSTITUTE(D298," ","")&amp;".com")</f>
        <v>kranjbar@ripplecom.com</v>
      </c>
      <c r="G298" s="30" t="s">
        <v>45</v>
      </c>
      <c r="H298" s="30">
        <v>4</v>
      </c>
      <c r="I298" s="30" t="str">
        <f>IF(ClientDB[[#This Row],[Start Date]]&gt;=DATE(2017,1,1),"New","")</f>
        <v/>
      </c>
      <c r="J298" s="30" t="str">
        <f>IF(OR(YEAR(ClientDB[[#This Row],[Start Date]])&lt;2013,ClientDB[[#This Row],[Events]]&gt;=15),"Yes","")</f>
        <v/>
      </c>
      <c r="K298" s="30" t="str">
        <f>VLOOKUP(ClientDB[[#This Row],[Events]],$M$10:$N$13,2,1)</f>
        <v>Bronze</v>
      </c>
    </row>
    <row r="299" spans="1:11" x14ac:dyDescent="0.25">
      <c r="A299" s="25">
        <v>34099</v>
      </c>
      <c r="B299" t="s">
        <v>300</v>
      </c>
      <c r="C299" t="s">
        <v>301</v>
      </c>
      <c r="D299" t="s">
        <v>211</v>
      </c>
      <c r="E299" s="33">
        <v>41637</v>
      </c>
      <c r="F299" t="str">
        <f>LOWER(LEFT(B299,1)&amp;C299&amp;"@"&amp;SUBSTITUTE(D299," ","")&amp;".com")</f>
        <v>bo'donovan@stepahead.com</v>
      </c>
      <c r="G299" s="30" t="s">
        <v>127</v>
      </c>
      <c r="H299" s="30">
        <v>7</v>
      </c>
      <c r="I299" s="30" t="str">
        <f>IF(ClientDB[[#This Row],[Start Date]]&gt;=DATE(2017,1,1),"New","")</f>
        <v/>
      </c>
      <c r="J299" s="30" t="str">
        <f>IF(OR(YEAR(ClientDB[[#This Row],[Start Date]])&lt;2013,ClientDB[[#This Row],[Events]]&gt;=15),"Yes","")</f>
        <v/>
      </c>
      <c r="K299" s="30" t="str">
        <f>VLOOKUP(ClientDB[[#This Row],[Events]],$M$10:$N$13,2,1)</f>
        <v>Bronze</v>
      </c>
    </row>
    <row r="300" spans="1:11" x14ac:dyDescent="0.25">
      <c r="A300" s="25">
        <v>34153</v>
      </c>
      <c r="B300" t="s">
        <v>285</v>
      </c>
      <c r="C300" t="s">
        <v>481</v>
      </c>
      <c r="D300" t="s">
        <v>159</v>
      </c>
      <c r="E300" s="33">
        <v>42407</v>
      </c>
      <c r="F300" t="str">
        <f>LOWER(LEFT(B300,1)&amp;C300&amp;"@"&amp;SUBSTITUTE(D300," ","")&amp;".com")</f>
        <v>shopkins@intelligencesystems.com</v>
      </c>
      <c r="G300" s="30" t="s">
        <v>64</v>
      </c>
      <c r="H300" s="30">
        <v>1</v>
      </c>
      <c r="I300" s="30" t="str">
        <f>IF(ClientDB[[#This Row],[Start Date]]&gt;=DATE(2017,1,1),"New","")</f>
        <v/>
      </c>
      <c r="J300" s="30" t="str">
        <f>IF(OR(YEAR(ClientDB[[#This Row],[Start Date]])&lt;2013,ClientDB[[#This Row],[Events]]&gt;=15),"Yes","")</f>
        <v/>
      </c>
      <c r="K300" s="30" t="str">
        <f>VLOOKUP(ClientDB[[#This Row],[Events]],$M$10:$N$13,2,1)</f>
        <v>Bronze</v>
      </c>
    </row>
    <row r="301" spans="1:11" x14ac:dyDescent="0.25">
      <c r="A301" s="25">
        <v>34274</v>
      </c>
      <c r="B301" t="s">
        <v>442</v>
      </c>
      <c r="C301" t="s">
        <v>443</v>
      </c>
      <c r="D301" t="s">
        <v>135</v>
      </c>
      <c r="E301" s="33">
        <v>41333</v>
      </c>
      <c r="F301" t="str">
        <f>LOWER(LEFT(B301,1)&amp;C301&amp;"@"&amp;SUBSTITUTE(D301," ","")&amp;".com")</f>
        <v>gfried@pilcostreambank.com</v>
      </c>
      <c r="G301" s="30" t="s">
        <v>64</v>
      </c>
      <c r="H301" s="30">
        <v>7</v>
      </c>
      <c r="I301" s="30" t="str">
        <f>IF(ClientDB[[#This Row],[Start Date]]&gt;=DATE(2017,1,1),"New","")</f>
        <v/>
      </c>
      <c r="J301" s="30" t="str">
        <f>IF(OR(YEAR(ClientDB[[#This Row],[Start Date]])&lt;2013,ClientDB[[#This Row],[Events]]&gt;=15),"Yes","")</f>
        <v/>
      </c>
      <c r="K301" s="30" t="str">
        <f>VLOOKUP(ClientDB[[#This Row],[Events]],$M$10:$N$13,2,1)</f>
        <v>Bronze</v>
      </c>
    </row>
    <row r="302" spans="1:11" x14ac:dyDescent="0.25">
      <c r="A302" s="25">
        <v>34403</v>
      </c>
      <c r="B302" t="s">
        <v>402</v>
      </c>
      <c r="C302" t="s">
        <v>456</v>
      </c>
      <c r="D302" t="s">
        <v>52</v>
      </c>
      <c r="E302" s="33">
        <v>41711</v>
      </c>
      <c r="F302" t="str">
        <f>LOWER(LEFT(B302,1)&amp;C302&amp;"@"&amp;SUBSTITUTE(D302," ","")&amp;".com")</f>
        <v>mfrearson@ripplecom.com</v>
      </c>
      <c r="G302" s="30" t="s">
        <v>45</v>
      </c>
      <c r="H302" s="30">
        <v>2</v>
      </c>
      <c r="I302" s="30" t="str">
        <f>IF(ClientDB[[#This Row],[Start Date]]&gt;=DATE(2017,1,1),"New","")</f>
        <v/>
      </c>
      <c r="J302" s="30" t="str">
        <f>IF(OR(YEAR(ClientDB[[#This Row],[Start Date]])&lt;2013,ClientDB[[#This Row],[Events]]&gt;=15),"Yes","")</f>
        <v/>
      </c>
      <c r="K302" s="30" t="str">
        <f>VLOOKUP(ClientDB[[#This Row],[Events]],$M$10:$N$13,2,1)</f>
        <v>Bronze</v>
      </c>
    </row>
    <row r="303" spans="1:11" x14ac:dyDescent="0.25">
      <c r="A303" s="25">
        <v>34625</v>
      </c>
      <c r="B303" t="s">
        <v>490</v>
      </c>
      <c r="C303" t="s">
        <v>491</v>
      </c>
      <c r="D303" t="s">
        <v>75</v>
      </c>
      <c r="E303" s="33">
        <v>41925</v>
      </c>
      <c r="F303" t="str">
        <f>LOWER(LEFT(B303,1)&amp;C303&amp;"@"&amp;SUBSTITUTE(D303," ","")&amp;".com")</f>
        <v>abăleanu@xlaninternetexchange.com</v>
      </c>
      <c r="G303" s="30" t="s">
        <v>84</v>
      </c>
      <c r="H303" s="30">
        <v>4</v>
      </c>
      <c r="I303" s="30" t="str">
        <f>IF(ClientDB[[#This Row],[Start Date]]&gt;=DATE(2017,1,1),"New","")</f>
        <v/>
      </c>
      <c r="J303" s="30" t="str">
        <f>IF(OR(YEAR(ClientDB[[#This Row],[Start Date]])&lt;2013,ClientDB[[#This Row],[Events]]&gt;=15),"Yes","")</f>
        <v/>
      </c>
      <c r="K303" s="30" t="str">
        <f>VLOOKUP(ClientDB[[#This Row],[Events]],$M$10:$N$13,2,1)</f>
        <v>Bronze</v>
      </c>
    </row>
    <row r="304" spans="1:11" x14ac:dyDescent="0.25">
      <c r="A304" s="25">
        <v>34658</v>
      </c>
      <c r="B304" t="s">
        <v>339</v>
      </c>
      <c r="C304" t="s">
        <v>340</v>
      </c>
      <c r="D304" t="s">
        <v>126</v>
      </c>
      <c r="E304" s="33">
        <v>42086</v>
      </c>
      <c r="F304" t="str">
        <f>LOWER(LEFT(B304,1)&amp;C304&amp;"@"&amp;SUBSTITUTE(D304," ","")&amp;".com")</f>
        <v>hclement@heatproof.com</v>
      </c>
      <c r="G304" s="30" t="s">
        <v>341</v>
      </c>
      <c r="H304" s="30">
        <v>5</v>
      </c>
      <c r="I304" s="30" t="str">
        <f>IF(ClientDB[[#This Row],[Start Date]]&gt;=DATE(2017,1,1),"New","")</f>
        <v/>
      </c>
      <c r="J304" s="30" t="str">
        <f>IF(OR(YEAR(ClientDB[[#This Row],[Start Date]])&lt;2013,ClientDB[[#This Row],[Events]]&gt;=15),"Yes","")</f>
        <v/>
      </c>
      <c r="K304" s="30" t="str">
        <f>VLOOKUP(ClientDB[[#This Row],[Events]],$M$10:$N$13,2,1)</f>
        <v>Bronze</v>
      </c>
    </row>
    <row r="305" spans="1:11" x14ac:dyDescent="0.25">
      <c r="A305" s="25">
        <v>34701</v>
      </c>
      <c r="B305" t="s">
        <v>77</v>
      </c>
      <c r="C305" t="s">
        <v>665</v>
      </c>
      <c r="D305" t="s">
        <v>295</v>
      </c>
      <c r="E305" s="33">
        <v>41597</v>
      </c>
      <c r="F305" t="str">
        <f>LOWER(LEFT(B305,1)&amp;C305&amp;"@"&amp;SUBSTITUTE(D305," ","")&amp;".com")</f>
        <v>thilbrink@dataprosys.com</v>
      </c>
      <c r="G305" s="30" t="s">
        <v>89</v>
      </c>
      <c r="H305" s="30">
        <v>5</v>
      </c>
      <c r="I305" s="30" t="str">
        <f>IF(ClientDB[[#This Row],[Start Date]]&gt;=DATE(2017,1,1),"New","")</f>
        <v/>
      </c>
      <c r="J305" s="30" t="str">
        <f>IF(OR(YEAR(ClientDB[[#This Row],[Start Date]])&lt;2013,ClientDB[[#This Row],[Events]]&gt;=15),"Yes","")</f>
        <v/>
      </c>
      <c r="K305" s="30" t="str">
        <f>VLOOKUP(ClientDB[[#This Row],[Events]],$M$10:$N$13,2,1)</f>
        <v>Bronze</v>
      </c>
    </row>
    <row r="306" spans="1:11" x14ac:dyDescent="0.25">
      <c r="A306" s="25">
        <v>34787</v>
      </c>
      <c r="B306" t="s">
        <v>729</v>
      </c>
      <c r="C306" t="s">
        <v>730</v>
      </c>
      <c r="D306" t="s">
        <v>36</v>
      </c>
      <c r="E306" s="33">
        <v>42863</v>
      </c>
      <c r="F306" t="str">
        <f>LOWER(LEFT(B306,1)&amp;C306&amp;"@"&amp;SUBSTITUTE(D306," ","")&amp;".com")</f>
        <v>jharnez@respiranetworks.com</v>
      </c>
      <c r="G306" s="30" t="s">
        <v>185</v>
      </c>
      <c r="H306" s="30">
        <v>1</v>
      </c>
      <c r="I306" s="30" t="str">
        <f>IF(ClientDB[[#This Row],[Start Date]]&gt;=DATE(2017,1,1),"New","")</f>
        <v>New</v>
      </c>
      <c r="J306" s="30" t="str">
        <f>IF(OR(YEAR(ClientDB[[#This Row],[Start Date]])&lt;2013,ClientDB[[#This Row],[Events]]&gt;=15),"Yes","")</f>
        <v/>
      </c>
      <c r="K306" s="30" t="str">
        <f>VLOOKUP(ClientDB[[#This Row],[Events]],$M$10:$N$13,2,1)</f>
        <v>Bronze</v>
      </c>
    </row>
    <row r="307" spans="1:11" x14ac:dyDescent="0.25">
      <c r="A307" s="25">
        <v>34974</v>
      </c>
      <c r="B307" t="s">
        <v>502</v>
      </c>
      <c r="C307" t="s">
        <v>503</v>
      </c>
      <c r="D307" t="s">
        <v>159</v>
      </c>
      <c r="E307" s="33">
        <v>41684</v>
      </c>
      <c r="F307" t="str">
        <f>LOWER(LEFT(B307,1)&amp;C307&amp;"@"&amp;SUBSTITUTE(D307," ","")&amp;".com")</f>
        <v>ahallal@intelligencesystems.com</v>
      </c>
      <c r="G307" s="30" t="s">
        <v>154</v>
      </c>
      <c r="H307" s="30">
        <v>3</v>
      </c>
      <c r="I307" s="30" t="str">
        <f>IF(ClientDB[[#This Row],[Start Date]]&gt;=DATE(2017,1,1),"New","")</f>
        <v/>
      </c>
      <c r="J307" s="30" t="str">
        <f>IF(OR(YEAR(ClientDB[[#This Row],[Start Date]])&lt;2013,ClientDB[[#This Row],[Events]]&gt;=15),"Yes","")</f>
        <v/>
      </c>
      <c r="K307" s="30" t="str">
        <f>VLOOKUP(ClientDB[[#This Row],[Events]],$M$10:$N$13,2,1)</f>
        <v>Bronze</v>
      </c>
    </row>
    <row r="308" spans="1:11" x14ac:dyDescent="0.25">
      <c r="A308" s="25">
        <v>35066</v>
      </c>
      <c r="B308" t="s">
        <v>436</v>
      </c>
      <c r="C308" t="s">
        <v>512</v>
      </c>
      <c r="D308" t="s">
        <v>71</v>
      </c>
      <c r="E308" s="33">
        <v>41861</v>
      </c>
      <c r="F308" t="str">
        <f>LOWER(LEFT(B308,1)&amp;C308&amp;"@"&amp;SUBSTITUTE(D308," ","")&amp;".com")</f>
        <v>anasr@oglev.com</v>
      </c>
      <c r="G308" s="30" t="s">
        <v>154</v>
      </c>
      <c r="H308" s="30">
        <v>3</v>
      </c>
      <c r="I308" s="30" t="str">
        <f>IF(ClientDB[[#This Row],[Start Date]]&gt;=DATE(2017,1,1),"New","")</f>
        <v/>
      </c>
      <c r="J308" s="30" t="str">
        <f>IF(OR(YEAR(ClientDB[[#This Row],[Start Date]])&lt;2013,ClientDB[[#This Row],[Events]]&gt;=15),"Yes","")</f>
        <v/>
      </c>
      <c r="K308" s="30" t="str">
        <f>VLOOKUP(ClientDB[[#This Row],[Events]],$M$10:$N$13,2,1)</f>
        <v>Bronze</v>
      </c>
    </row>
    <row r="309" spans="1:11" x14ac:dyDescent="0.25">
      <c r="A309" s="25">
        <v>35074</v>
      </c>
      <c r="B309" t="s">
        <v>444</v>
      </c>
      <c r="C309" t="s">
        <v>445</v>
      </c>
      <c r="D309" t="s">
        <v>71</v>
      </c>
      <c r="E309" s="33">
        <v>41131</v>
      </c>
      <c r="F309" t="str">
        <f>LOWER(LEFT(B309,1)&amp;C309&amp;"@"&amp;SUBSTITUTE(D309," ","")&amp;".com")</f>
        <v>fasonga@oglev.com</v>
      </c>
      <c r="G309" s="30" t="s">
        <v>446</v>
      </c>
      <c r="H309" s="30">
        <v>8</v>
      </c>
      <c r="I309" s="30" t="str">
        <f>IF(ClientDB[[#This Row],[Start Date]]&gt;=DATE(2017,1,1),"New","")</f>
        <v/>
      </c>
      <c r="J309" s="30" t="str">
        <f>IF(OR(YEAR(ClientDB[[#This Row],[Start Date]])&lt;2013,ClientDB[[#This Row],[Events]]&gt;=15),"Yes","")</f>
        <v>Yes</v>
      </c>
      <c r="K309" s="30" t="str">
        <f>VLOOKUP(ClientDB[[#This Row],[Events]],$M$10:$N$13,2,1)</f>
        <v>Bronze</v>
      </c>
    </row>
    <row r="310" spans="1:11" x14ac:dyDescent="0.25">
      <c r="A310" s="25">
        <v>35075</v>
      </c>
      <c r="B310" t="s">
        <v>496</v>
      </c>
      <c r="C310" t="s">
        <v>488</v>
      </c>
      <c r="D310" t="s">
        <v>335</v>
      </c>
      <c r="E310" s="33">
        <v>41702</v>
      </c>
      <c r="F310" t="str">
        <f>LOWER(LEFT(B310,1)&amp;C310&amp;"@"&amp;SUBSTITUTE(D310," ","")&amp;".com")</f>
        <v>sahmed@cyberdataprocessing.com</v>
      </c>
      <c r="G310" s="30" t="s">
        <v>185</v>
      </c>
      <c r="H310" s="30">
        <v>3</v>
      </c>
      <c r="I310" s="30" t="str">
        <f>IF(ClientDB[[#This Row],[Start Date]]&gt;=DATE(2017,1,1),"New","")</f>
        <v/>
      </c>
      <c r="J310" s="30" t="str">
        <f>IF(OR(YEAR(ClientDB[[#This Row],[Start Date]])&lt;2013,ClientDB[[#This Row],[Events]]&gt;=15),"Yes","")</f>
        <v/>
      </c>
      <c r="K310" s="30" t="str">
        <f>VLOOKUP(ClientDB[[#This Row],[Events]],$M$10:$N$13,2,1)</f>
        <v>Bronze</v>
      </c>
    </row>
    <row r="311" spans="1:11" x14ac:dyDescent="0.25">
      <c r="A311" s="25">
        <v>35131</v>
      </c>
      <c r="B311" t="s">
        <v>97</v>
      </c>
      <c r="C311" t="s">
        <v>98</v>
      </c>
      <c r="D311" t="s">
        <v>99</v>
      </c>
      <c r="E311" s="33">
        <v>41808</v>
      </c>
      <c r="F311" t="str">
        <f>LOWER(LEFT(B311,1)&amp;C311&amp;"@"&amp;SUBSTITUTE(D311," ","")&amp;".com")</f>
        <v>tbibb@bytesize.com</v>
      </c>
      <c r="G311" s="30" t="s">
        <v>45</v>
      </c>
      <c r="H311" s="30">
        <v>8</v>
      </c>
      <c r="I311" s="30" t="str">
        <f>IF(ClientDB[[#This Row],[Start Date]]&gt;=DATE(2017,1,1),"New","")</f>
        <v/>
      </c>
      <c r="J311" s="30" t="str">
        <f>IF(OR(YEAR(ClientDB[[#This Row],[Start Date]])&lt;2013,ClientDB[[#This Row],[Events]]&gt;=15),"Yes","")</f>
        <v/>
      </c>
      <c r="K311" s="30" t="str">
        <f>VLOOKUP(ClientDB[[#This Row],[Events]],$M$10:$N$13,2,1)</f>
        <v>Bronze</v>
      </c>
    </row>
    <row r="312" spans="1:11" x14ac:dyDescent="0.25">
      <c r="A312" s="25">
        <v>35160</v>
      </c>
      <c r="B312" t="s">
        <v>679</v>
      </c>
      <c r="C312" t="s">
        <v>680</v>
      </c>
      <c r="D312" t="s">
        <v>107</v>
      </c>
      <c r="E312" s="33">
        <v>42876</v>
      </c>
      <c r="F312" t="str">
        <f>LOWER(LEFT(B312,1)&amp;C312&amp;"@"&amp;SUBSTITUTE(D312," ","")&amp;".com")</f>
        <v>abjurnemark@axellgroup.com</v>
      </c>
      <c r="G312" s="30" t="s">
        <v>108</v>
      </c>
      <c r="H312" s="30">
        <v>2</v>
      </c>
      <c r="I312" s="30" t="str">
        <f>IF(ClientDB[[#This Row],[Start Date]]&gt;=DATE(2017,1,1),"New","")</f>
        <v>New</v>
      </c>
      <c r="J312" s="30" t="str">
        <f>IF(OR(YEAR(ClientDB[[#This Row],[Start Date]])&lt;2013,ClientDB[[#This Row],[Events]]&gt;=15),"Yes","")</f>
        <v/>
      </c>
      <c r="K312" s="30" t="str">
        <f>VLOOKUP(ClientDB[[#This Row],[Events]],$M$10:$N$13,2,1)</f>
        <v>Bronze</v>
      </c>
    </row>
    <row r="313" spans="1:11" x14ac:dyDescent="0.25">
      <c r="A313" s="25">
        <v>35181</v>
      </c>
      <c r="B313" t="s">
        <v>85</v>
      </c>
      <c r="C313" t="s">
        <v>86</v>
      </c>
      <c r="D313" t="s">
        <v>40</v>
      </c>
      <c r="E313" s="33">
        <v>42091</v>
      </c>
      <c r="F313" t="str">
        <f>LOWER(LEFT(B313,1)&amp;C313&amp;"@"&amp;SUBSTITUTE(D313," ","")&amp;".com")</f>
        <v>rwhitney@denil.com</v>
      </c>
      <c r="G313" s="30" t="s">
        <v>64</v>
      </c>
      <c r="H313" s="30">
        <v>2</v>
      </c>
      <c r="I313" s="30" t="str">
        <f>IF(ClientDB[[#This Row],[Start Date]]&gt;=DATE(2017,1,1),"New","")</f>
        <v/>
      </c>
      <c r="J313" s="30" t="str">
        <f>IF(OR(YEAR(ClientDB[[#This Row],[Start Date]])&lt;2013,ClientDB[[#This Row],[Events]]&gt;=15),"Yes","")</f>
        <v/>
      </c>
      <c r="K313" s="30" t="str">
        <f>VLOOKUP(ClientDB[[#This Row],[Events]],$M$10:$N$13,2,1)</f>
        <v>Bronze</v>
      </c>
    </row>
    <row r="314" spans="1:11" x14ac:dyDescent="0.25">
      <c r="A314" s="25">
        <v>35213</v>
      </c>
      <c r="B314" t="s">
        <v>100</v>
      </c>
      <c r="C314" t="s">
        <v>101</v>
      </c>
      <c r="D314" t="s">
        <v>52</v>
      </c>
      <c r="E314" s="33">
        <v>41679</v>
      </c>
      <c r="F314" t="str">
        <f>LOWER(LEFT(B314,1)&amp;C314&amp;"@"&amp;SUBSTITUTE(D314," ","")&amp;".com")</f>
        <v>dwest@ripplecom.com</v>
      </c>
      <c r="G314" s="30" t="s">
        <v>45</v>
      </c>
      <c r="H314" s="30">
        <v>3</v>
      </c>
      <c r="I314" s="30" t="str">
        <f>IF(ClientDB[[#This Row],[Start Date]]&gt;=DATE(2017,1,1),"New","")</f>
        <v/>
      </c>
      <c r="J314" s="30" t="str">
        <f>IF(OR(YEAR(ClientDB[[#This Row],[Start Date]])&lt;2013,ClientDB[[#This Row],[Events]]&gt;=15),"Yes","")</f>
        <v/>
      </c>
      <c r="K314" s="30" t="str">
        <f>VLOOKUP(ClientDB[[#This Row],[Events]],$M$10:$N$13,2,1)</f>
        <v>Bronze</v>
      </c>
    </row>
    <row r="315" spans="1:11" x14ac:dyDescent="0.25">
      <c r="A315" s="25">
        <v>35268</v>
      </c>
      <c r="B315" t="s">
        <v>242</v>
      </c>
      <c r="C315" t="s">
        <v>243</v>
      </c>
      <c r="D315" t="s">
        <v>188</v>
      </c>
      <c r="E315" s="33">
        <v>42599</v>
      </c>
      <c r="F315" t="str">
        <f>LOWER(LEFT(B315,1)&amp;C315&amp;"@"&amp;SUBSTITUTE(D315," ","")&amp;".com")</f>
        <v>bsumrada@ares.com</v>
      </c>
      <c r="G315" s="30" t="s">
        <v>216</v>
      </c>
      <c r="H315" s="30">
        <v>4</v>
      </c>
      <c r="I315" s="30" t="str">
        <f>IF(ClientDB[[#This Row],[Start Date]]&gt;=DATE(2017,1,1),"New","")</f>
        <v/>
      </c>
      <c r="J315" s="30" t="str">
        <f>IF(OR(YEAR(ClientDB[[#This Row],[Start Date]])&lt;2013,ClientDB[[#This Row],[Events]]&gt;=15),"Yes","")</f>
        <v/>
      </c>
      <c r="K315" s="30" t="str">
        <f>VLOOKUP(ClientDB[[#This Row],[Events]],$M$10:$N$13,2,1)</f>
        <v>Bronze</v>
      </c>
    </row>
    <row r="316" spans="1:11" x14ac:dyDescent="0.25">
      <c r="A316" s="25">
        <v>35410</v>
      </c>
      <c r="B316" t="s">
        <v>555</v>
      </c>
      <c r="C316" t="s">
        <v>556</v>
      </c>
      <c r="D316" t="s">
        <v>71</v>
      </c>
      <c r="E316" s="33">
        <v>42384</v>
      </c>
      <c r="F316" t="str">
        <f>LOWER(LEFT(B316,1)&amp;C316&amp;"@"&amp;SUBSTITUTE(D316," ","")&amp;".com")</f>
        <v>ljurena@oglev.com</v>
      </c>
      <c r="G316" s="30" t="s">
        <v>72</v>
      </c>
      <c r="H316" s="30">
        <v>2</v>
      </c>
      <c r="I316" s="30" t="str">
        <f>IF(ClientDB[[#This Row],[Start Date]]&gt;=DATE(2017,1,1),"New","")</f>
        <v/>
      </c>
      <c r="J316" s="30" t="str">
        <f>IF(OR(YEAR(ClientDB[[#This Row],[Start Date]])&lt;2013,ClientDB[[#This Row],[Events]]&gt;=15),"Yes","")</f>
        <v/>
      </c>
      <c r="K316" s="30" t="str">
        <f>VLOOKUP(ClientDB[[#This Row],[Events]],$M$10:$N$13,2,1)</f>
        <v>Bronze</v>
      </c>
    </row>
    <row r="317" spans="1:11" x14ac:dyDescent="0.25">
      <c r="A317" s="25">
        <v>35444</v>
      </c>
      <c r="B317" t="s">
        <v>293</v>
      </c>
      <c r="C317" t="s">
        <v>636</v>
      </c>
      <c r="D317" t="s">
        <v>55</v>
      </c>
      <c r="E317" s="33">
        <v>42717</v>
      </c>
      <c r="F317" t="str">
        <f>LOWER(LEFT(B317,1)&amp;C317&amp;"@"&amp;SUBSTITUTE(D317," ","")&amp;".com")</f>
        <v>charendt@wwt.com</v>
      </c>
      <c r="G317" s="30" t="s">
        <v>76</v>
      </c>
      <c r="H317" s="30">
        <v>3</v>
      </c>
      <c r="I317" s="30" t="str">
        <f>IF(ClientDB[[#This Row],[Start Date]]&gt;=DATE(2017,1,1),"New","")</f>
        <v/>
      </c>
      <c r="J317" s="30" t="str">
        <f>IF(OR(YEAR(ClientDB[[#This Row],[Start Date]])&lt;2013,ClientDB[[#This Row],[Events]]&gt;=15),"Yes","")</f>
        <v/>
      </c>
      <c r="K317" s="30" t="str">
        <f>VLOOKUP(ClientDB[[#This Row],[Events]],$M$10:$N$13,2,1)</f>
        <v>Bronze</v>
      </c>
    </row>
    <row r="318" spans="1:11" x14ac:dyDescent="0.25">
      <c r="A318" s="25">
        <v>35525</v>
      </c>
      <c r="B318" t="s">
        <v>168</v>
      </c>
      <c r="C318" t="s">
        <v>169</v>
      </c>
      <c r="D318" t="s">
        <v>63</v>
      </c>
      <c r="E318" s="33">
        <v>41857</v>
      </c>
      <c r="F318" t="str">
        <f>LOWER(LEFT(B318,1)&amp;C318&amp;"@"&amp;SUBSTITUTE(D318," ","")&amp;".com")</f>
        <v>amarx@ahanetworks.com</v>
      </c>
      <c r="G318" s="30" t="s">
        <v>41</v>
      </c>
      <c r="H318" s="30">
        <v>11</v>
      </c>
      <c r="I318" s="30" t="str">
        <f>IF(ClientDB[[#This Row],[Start Date]]&gt;=DATE(2017,1,1),"New","")</f>
        <v/>
      </c>
      <c r="J318" s="30" t="str">
        <f>IF(OR(YEAR(ClientDB[[#This Row],[Start Date]])&lt;2013,ClientDB[[#This Row],[Events]]&gt;=15),"Yes","")</f>
        <v/>
      </c>
      <c r="K318" s="30" t="str">
        <f>VLOOKUP(ClientDB[[#This Row],[Events]],$M$10:$N$13,2,1)</f>
        <v>Silver</v>
      </c>
    </row>
    <row r="319" spans="1:11" x14ac:dyDescent="0.25">
      <c r="A319" s="25">
        <v>35718</v>
      </c>
      <c r="B319" t="s">
        <v>328</v>
      </c>
      <c r="C319" t="s">
        <v>329</v>
      </c>
      <c r="D319" t="s">
        <v>96</v>
      </c>
      <c r="E319" s="33">
        <v>42407</v>
      </c>
      <c r="F319" t="str">
        <f>LOWER(LEFT(B319,1)&amp;C319&amp;"@"&amp;SUBSTITUTE(D319," ","")&amp;".com")</f>
        <v>bnicklin@epsilontech.com</v>
      </c>
      <c r="G319" s="30" t="s">
        <v>45</v>
      </c>
      <c r="H319" s="30">
        <v>2</v>
      </c>
      <c r="I319" s="30" t="str">
        <f>IF(ClientDB[[#This Row],[Start Date]]&gt;=DATE(2017,1,1),"New","")</f>
        <v/>
      </c>
      <c r="J319" s="30" t="str">
        <f>IF(OR(YEAR(ClientDB[[#This Row],[Start Date]])&lt;2013,ClientDB[[#This Row],[Events]]&gt;=15),"Yes","")</f>
        <v/>
      </c>
      <c r="K319" s="30" t="str">
        <f>VLOOKUP(ClientDB[[#This Row],[Events]],$M$10:$N$13,2,1)</f>
        <v>Bronze</v>
      </c>
    </row>
    <row r="320" spans="1:11" x14ac:dyDescent="0.25">
      <c r="A320" s="25">
        <v>35888</v>
      </c>
      <c r="B320" t="s">
        <v>406</v>
      </c>
      <c r="C320" t="s">
        <v>407</v>
      </c>
      <c r="D320" t="s">
        <v>52</v>
      </c>
      <c r="E320" s="33">
        <v>41413</v>
      </c>
      <c r="F320" t="str">
        <f>LOWER(LEFT(B320,1)&amp;C320&amp;"@"&amp;SUBSTITUTE(D320," ","")&amp;".com")</f>
        <v>mde mas@ripplecom.com</v>
      </c>
      <c r="G320" s="30" t="s">
        <v>64</v>
      </c>
      <c r="H320" s="30">
        <v>9</v>
      </c>
      <c r="I320" s="30" t="str">
        <f>IF(ClientDB[[#This Row],[Start Date]]&gt;=DATE(2017,1,1),"New","")</f>
        <v/>
      </c>
      <c r="J320" s="30" t="str">
        <f>IF(OR(YEAR(ClientDB[[#This Row],[Start Date]])&lt;2013,ClientDB[[#This Row],[Events]]&gt;=15),"Yes","")</f>
        <v/>
      </c>
      <c r="K320" s="30" t="str">
        <f>VLOOKUP(ClientDB[[#This Row],[Events]],$M$10:$N$13,2,1)</f>
        <v>Bronze</v>
      </c>
    </row>
    <row r="321" spans="1:11" x14ac:dyDescent="0.25">
      <c r="A321" s="25">
        <v>36037</v>
      </c>
      <c r="B321" t="s">
        <v>42</v>
      </c>
      <c r="C321" t="s">
        <v>43</v>
      </c>
      <c r="D321" t="s">
        <v>44</v>
      </c>
      <c r="E321" s="33">
        <v>42186</v>
      </c>
      <c r="F321" t="str">
        <f>LOWER(LEFT(B321,1)&amp;C321&amp;"@"&amp;SUBSTITUTE(D321," ","")&amp;".com")</f>
        <v>jvohra@collingsuniversity.com</v>
      </c>
      <c r="G321" s="30" t="s">
        <v>45</v>
      </c>
      <c r="H321" s="30">
        <v>3</v>
      </c>
      <c r="I321" s="30" t="str">
        <f>IF(ClientDB[[#This Row],[Start Date]]&gt;=DATE(2017,1,1),"New","")</f>
        <v/>
      </c>
      <c r="J321" s="30" t="str">
        <f>IF(OR(YEAR(ClientDB[[#This Row],[Start Date]])&lt;2013,ClientDB[[#This Row],[Events]]&gt;=15),"Yes","")</f>
        <v/>
      </c>
      <c r="K321" s="30" t="str">
        <f>VLOOKUP(ClientDB[[#This Row],[Events]],$M$10:$N$13,2,1)</f>
        <v>Bronze</v>
      </c>
    </row>
    <row r="322" spans="1:11" x14ac:dyDescent="0.25">
      <c r="A322" s="25">
        <v>36207</v>
      </c>
      <c r="B322" t="s">
        <v>255</v>
      </c>
      <c r="C322" t="s">
        <v>256</v>
      </c>
      <c r="D322" t="s">
        <v>147</v>
      </c>
      <c r="E322" s="33">
        <v>41976</v>
      </c>
      <c r="F322" t="str">
        <f>LOWER(LEFT(B322,1)&amp;C322&amp;"@"&amp;SUBSTITUTE(D322," ","")&amp;".com")</f>
        <v>mabdi@euro-m.com</v>
      </c>
      <c r="G322" s="30" t="s">
        <v>37</v>
      </c>
      <c r="H322" s="30">
        <v>11</v>
      </c>
      <c r="I322" s="30" t="str">
        <f>IF(ClientDB[[#This Row],[Start Date]]&gt;=DATE(2017,1,1),"New","")</f>
        <v/>
      </c>
      <c r="J322" s="30" t="str">
        <f>IF(OR(YEAR(ClientDB[[#This Row],[Start Date]])&lt;2013,ClientDB[[#This Row],[Events]]&gt;=15),"Yes","")</f>
        <v/>
      </c>
      <c r="K322" s="30" t="str">
        <f>VLOOKUP(ClientDB[[#This Row],[Events]],$M$10:$N$13,2,1)</f>
        <v>Silver</v>
      </c>
    </row>
    <row r="323" spans="1:11" x14ac:dyDescent="0.25">
      <c r="A323" s="25">
        <v>36369</v>
      </c>
      <c r="B323" t="s">
        <v>486</v>
      </c>
      <c r="C323" t="s">
        <v>487</v>
      </c>
      <c r="D323" t="s">
        <v>266</v>
      </c>
      <c r="E323" s="33">
        <v>41728</v>
      </c>
      <c r="F323" t="str">
        <f>LOWER(LEFT(B323,1)&amp;C323&amp;"@"&amp;SUBSTITUTE(D323," ","")&amp;".com")</f>
        <v>slopez@tqprocesses.com</v>
      </c>
      <c r="G323" s="30" t="s">
        <v>45</v>
      </c>
      <c r="H323" s="30">
        <v>5</v>
      </c>
      <c r="I323" s="30" t="str">
        <f>IF(ClientDB[[#This Row],[Start Date]]&gt;=DATE(2017,1,1),"New","")</f>
        <v/>
      </c>
      <c r="J323" s="30" t="str">
        <f>IF(OR(YEAR(ClientDB[[#This Row],[Start Date]])&lt;2013,ClientDB[[#This Row],[Events]]&gt;=15),"Yes","")</f>
        <v/>
      </c>
      <c r="K323" s="30" t="str">
        <f>VLOOKUP(ClientDB[[#This Row],[Events]],$M$10:$N$13,2,1)</f>
        <v>Bronze</v>
      </c>
    </row>
    <row r="324" spans="1:11" x14ac:dyDescent="0.25">
      <c r="A324" s="25">
        <v>36477</v>
      </c>
      <c r="B324" t="s">
        <v>789</v>
      </c>
      <c r="C324" t="s">
        <v>790</v>
      </c>
      <c r="D324" t="s">
        <v>130</v>
      </c>
      <c r="E324" s="33">
        <v>41043</v>
      </c>
      <c r="F324" t="str">
        <f>LOWER(LEFT(B324,1)&amp;C324&amp;"@"&amp;SUBSTITUTE(D324," ","")&amp;".com")</f>
        <v>aformoso@lacne.com</v>
      </c>
      <c r="G324" s="30" t="s">
        <v>791</v>
      </c>
      <c r="H324" s="30">
        <v>9</v>
      </c>
      <c r="I324" s="30" t="str">
        <f>IF(ClientDB[[#This Row],[Start Date]]&gt;=DATE(2017,1,1),"New","")</f>
        <v/>
      </c>
      <c r="J324" s="30" t="str">
        <f>IF(OR(YEAR(ClientDB[[#This Row],[Start Date]])&lt;2013,ClientDB[[#This Row],[Events]]&gt;=15),"Yes","")</f>
        <v>Yes</v>
      </c>
      <c r="K324" s="30" t="str">
        <f>VLOOKUP(ClientDB[[#This Row],[Events]],$M$10:$N$13,2,1)</f>
        <v>Bronze</v>
      </c>
    </row>
    <row r="325" spans="1:11" x14ac:dyDescent="0.25">
      <c r="A325" s="25">
        <v>36495</v>
      </c>
      <c r="B325" t="s">
        <v>347</v>
      </c>
      <c r="C325" t="s">
        <v>348</v>
      </c>
      <c r="D325" t="s">
        <v>164</v>
      </c>
      <c r="E325" s="33">
        <v>42653</v>
      </c>
      <c r="F325" t="str">
        <f>LOWER(LEFT(B325,1)&amp;C325&amp;"@"&amp;SUBSTITUTE(D325," ","")&amp;".com")</f>
        <v>ahughes@zconnect,inc.com</v>
      </c>
      <c r="G325" s="30" t="s">
        <v>64</v>
      </c>
      <c r="H325" s="30">
        <v>2</v>
      </c>
      <c r="I325" s="30" t="str">
        <f>IF(ClientDB[[#This Row],[Start Date]]&gt;=DATE(2017,1,1),"New","")</f>
        <v/>
      </c>
      <c r="J325" s="30" t="str">
        <f>IF(OR(YEAR(ClientDB[[#This Row],[Start Date]])&lt;2013,ClientDB[[#This Row],[Events]]&gt;=15),"Yes","")</f>
        <v/>
      </c>
      <c r="K325" s="30" t="str">
        <f>VLOOKUP(ClientDB[[#This Row],[Events]],$M$10:$N$13,2,1)</f>
        <v>Bronze</v>
      </c>
    </row>
    <row r="326" spans="1:11" x14ac:dyDescent="0.25">
      <c r="A326" s="25">
        <v>36563</v>
      </c>
      <c r="B326" t="s">
        <v>378</v>
      </c>
      <c r="C326" t="s">
        <v>379</v>
      </c>
      <c r="D326" t="s">
        <v>52</v>
      </c>
      <c r="E326" s="33">
        <v>42032</v>
      </c>
      <c r="F326" t="str">
        <f>LOWER(LEFT(B326,1)&amp;C326&amp;"@"&amp;SUBSTITUTE(D326," ","")&amp;".com")</f>
        <v>samakran@ripplecom.com</v>
      </c>
      <c r="G326" s="30" t="s">
        <v>45</v>
      </c>
      <c r="H326" s="30">
        <v>11</v>
      </c>
      <c r="I326" s="30" t="str">
        <f>IF(ClientDB[[#This Row],[Start Date]]&gt;=DATE(2017,1,1),"New","")</f>
        <v/>
      </c>
      <c r="J326" s="30" t="str">
        <f>IF(OR(YEAR(ClientDB[[#This Row],[Start Date]])&lt;2013,ClientDB[[#This Row],[Events]]&gt;=15),"Yes","")</f>
        <v/>
      </c>
      <c r="K326" s="30" t="str">
        <f>VLOOKUP(ClientDB[[#This Row],[Events]],$M$10:$N$13,2,1)</f>
        <v>Silver</v>
      </c>
    </row>
    <row r="327" spans="1:11" x14ac:dyDescent="0.25">
      <c r="A327" s="25">
        <v>36573</v>
      </c>
      <c r="B327" t="s">
        <v>94</v>
      </c>
      <c r="C327" t="s">
        <v>95</v>
      </c>
      <c r="D327" t="s">
        <v>96</v>
      </c>
      <c r="E327" s="33">
        <v>41580</v>
      </c>
      <c r="F327" t="str">
        <f>LOWER(LEFT(B327,1)&amp;C327&amp;"@"&amp;SUBSTITUTE(D327," ","")&amp;".com")</f>
        <v>hdavari dolatabadi@epsilontech.com</v>
      </c>
      <c r="G327" s="30" t="s">
        <v>37</v>
      </c>
      <c r="H327" s="30">
        <v>3</v>
      </c>
      <c r="I327" s="30" t="str">
        <f>IF(ClientDB[[#This Row],[Start Date]]&gt;=DATE(2017,1,1),"New","")</f>
        <v/>
      </c>
      <c r="J327" s="30" t="str">
        <f>IF(OR(YEAR(ClientDB[[#This Row],[Start Date]])&lt;2013,ClientDB[[#This Row],[Events]]&gt;=15),"Yes","")</f>
        <v/>
      </c>
      <c r="K327" s="30" t="str">
        <f>VLOOKUP(ClientDB[[#This Row],[Events]],$M$10:$N$13,2,1)</f>
        <v>Bronze</v>
      </c>
    </row>
    <row r="328" spans="1:11" x14ac:dyDescent="0.25">
      <c r="A328" s="25">
        <v>36642</v>
      </c>
      <c r="B328" t="s">
        <v>650</v>
      </c>
      <c r="C328" t="s">
        <v>651</v>
      </c>
      <c r="D328" t="s">
        <v>79</v>
      </c>
      <c r="E328" s="33">
        <v>41020</v>
      </c>
      <c r="F328" t="str">
        <f>LOWER(LEFT(B328,1)&amp;C328&amp;"@"&amp;SUBSTITUTE(D328," ","")&amp;".com")</f>
        <v>fbakkour@zimsales.com</v>
      </c>
      <c r="G328" s="30" t="s">
        <v>64</v>
      </c>
      <c r="H328" s="30">
        <v>7</v>
      </c>
      <c r="I328" s="30" t="str">
        <f>IF(ClientDB[[#This Row],[Start Date]]&gt;=DATE(2017,1,1),"New","")</f>
        <v/>
      </c>
      <c r="J328" s="30" t="str">
        <f>IF(OR(YEAR(ClientDB[[#This Row],[Start Date]])&lt;2013,ClientDB[[#This Row],[Events]]&gt;=15),"Yes","")</f>
        <v>Yes</v>
      </c>
      <c r="K328" s="30" t="str">
        <f>VLOOKUP(ClientDB[[#This Row],[Events]],$M$10:$N$13,2,1)</f>
        <v>Bronze</v>
      </c>
    </row>
    <row r="329" spans="1:11" x14ac:dyDescent="0.25">
      <c r="A329" s="25">
        <v>36681</v>
      </c>
      <c r="B329" t="s">
        <v>693</v>
      </c>
      <c r="C329" t="s">
        <v>694</v>
      </c>
      <c r="D329" t="s">
        <v>113</v>
      </c>
      <c r="E329" s="33">
        <v>42042</v>
      </c>
      <c r="F329" t="str">
        <f>LOWER(LEFT(B329,1)&amp;C329&amp;"@"&amp;SUBSTITUTE(D329," ","")&amp;".com")</f>
        <v>asamoilenko@shawconstruction.com</v>
      </c>
      <c r="G329" s="30" t="s">
        <v>56</v>
      </c>
      <c r="H329" s="30">
        <v>3</v>
      </c>
      <c r="I329" s="30" t="str">
        <f>IF(ClientDB[[#This Row],[Start Date]]&gt;=DATE(2017,1,1),"New","")</f>
        <v/>
      </c>
      <c r="J329" s="30" t="str">
        <f>IF(OR(YEAR(ClientDB[[#This Row],[Start Date]])&lt;2013,ClientDB[[#This Row],[Events]]&gt;=15),"Yes","")</f>
        <v/>
      </c>
      <c r="K329" s="30" t="str">
        <f>VLOOKUP(ClientDB[[#This Row],[Events]],$M$10:$N$13,2,1)</f>
        <v>Bronze</v>
      </c>
    </row>
    <row r="330" spans="1:11" x14ac:dyDescent="0.25">
      <c r="A330" s="25">
        <v>36774</v>
      </c>
      <c r="B330" t="s">
        <v>53</v>
      </c>
      <c r="C330" t="s">
        <v>297</v>
      </c>
      <c r="D330" t="s">
        <v>335</v>
      </c>
      <c r="E330" s="33">
        <v>41950</v>
      </c>
      <c r="F330" t="str">
        <f>LOWER(LEFT(B330,1)&amp;C330&amp;"@"&amp;SUBSTITUTE(D330," ","")&amp;".com")</f>
        <v>mkharchenko@cyberdataprocessing.com</v>
      </c>
      <c r="G330" s="30" t="s">
        <v>56</v>
      </c>
      <c r="H330" s="30">
        <v>3</v>
      </c>
      <c r="I330" s="30" t="str">
        <f>IF(ClientDB[[#This Row],[Start Date]]&gt;=DATE(2017,1,1),"New","")</f>
        <v/>
      </c>
      <c r="J330" s="30" t="str">
        <f>IF(OR(YEAR(ClientDB[[#This Row],[Start Date]])&lt;2013,ClientDB[[#This Row],[Events]]&gt;=15),"Yes","")</f>
        <v/>
      </c>
      <c r="K330" s="30" t="str">
        <f>VLOOKUP(ClientDB[[#This Row],[Events]],$M$10:$N$13,2,1)</f>
        <v>Bronze</v>
      </c>
    </row>
    <row r="331" spans="1:11" x14ac:dyDescent="0.25">
      <c r="A331" s="25">
        <v>36799</v>
      </c>
      <c r="B331" t="s">
        <v>117</v>
      </c>
      <c r="C331" t="s">
        <v>118</v>
      </c>
      <c r="D331" t="s">
        <v>52</v>
      </c>
      <c r="E331" s="33">
        <v>42021</v>
      </c>
      <c r="F331" t="str">
        <f>LOWER(LEFT(B331,1)&amp;C331&amp;"@"&amp;SUBSTITUTE(D331," ","")&amp;".com")</f>
        <v>cchaya@ripplecom.com</v>
      </c>
      <c r="G331" s="30" t="s">
        <v>45</v>
      </c>
      <c r="H331" s="30">
        <v>4</v>
      </c>
      <c r="I331" s="30" t="str">
        <f>IF(ClientDB[[#This Row],[Start Date]]&gt;=DATE(2017,1,1),"New","")</f>
        <v/>
      </c>
      <c r="J331" s="30" t="str">
        <f>IF(OR(YEAR(ClientDB[[#This Row],[Start Date]])&lt;2013,ClientDB[[#This Row],[Events]]&gt;=15),"Yes","")</f>
        <v/>
      </c>
      <c r="K331" s="30" t="str">
        <f>VLOOKUP(ClientDB[[#This Row],[Events]],$M$10:$N$13,2,1)</f>
        <v>Bronze</v>
      </c>
    </row>
    <row r="332" spans="1:11" x14ac:dyDescent="0.25">
      <c r="A332" s="25">
        <v>36870</v>
      </c>
      <c r="B332" t="s">
        <v>699</v>
      </c>
      <c r="C332" t="s">
        <v>700</v>
      </c>
      <c r="D332" t="s">
        <v>99</v>
      </c>
      <c r="E332" s="33">
        <v>41056</v>
      </c>
      <c r="F332" t="str">
        <f>LOWER(LEFT(B332,1)&amp;C332&amp;"@"&amp;SUBSTITUTE(D332," ","")&amp;".com")</f>
        <v>pgopinath@bytesize.com</v>
      </c>
      <c r="G332" s="30" t="s">
        <v>185</v>
      </c>
      <c r="H332" s="30">
        <v>14</v>
      </c>
      <c r="I332" s="30" t="str">
        <f>IF(ClientDB[[#This Row],[Start Date]]&gt;=DATE(2017,1,1),"New","")</f>
        <v/>
      </c>
      <c r="J332" s="30" t="str">
        <f>IF(OR(YEAR(ClientDB[[#This Row],[Start Date]])&lt;2013,ClientDB[[#This Row],[Events]]&gt;=15),"Yes","")</f>
        <v>Yes</v>
      </c>
      <c r="K332" s="30" t="str">
        <f>VLOOKUP(ClientDB[[#This Row],[Events]],$M$10:$N$13,2,1)</f>
        <v>Silver</v>
      </c>
    </row>
    <row r="333" spans="1:11" x14ac:dyDescent="0.25">
      <c r="A333" s="25">
        <v>36941</v>
      </c>
      <c r="B333" t="s">
        <v>38</v>
      </c>
      <c r="C333" t="s">
        <v>39</v>
      </c>
      <c r="D333" t="s">
        <v>40</v>
      </c>
      <c r="E333" s="33">
        <v>41022</v>
      </c>
      <c r="F333" t="str">
        <f>LOWER(LEFT(B333,1)&amp;C333&amp;"@"&amp;SUBSTITUTE(D333," ","")&amp;".com")</f>
        <v>mflorian@denil.com</v>
      </c>
      <c r="G333" s="30" t="s">
        <v>41</v>
      </c>
      <c r="H333" s="30">
        <v>10</v>
      </c>
      <c r="I333" s="30" t="str">
        <f>IF(ClientDB[[#This Row],[Start Date]]&gt;=DATE(2017,1,1),"New","")</f>
        <v/>
      </c>
      <c r="J333" s="30" t="str">
        <f>IF(OR(YEAR(ClientDB[[#This Row],[Start Date]])&lt;2013,ClientDB[[#This Row],[Events]]&gt;=15),"Yes","")</f>
        <v>Yes</v>
      </c>
      <c r="K333" s="30" t="str">
        <f>VLOOKUP(ClientDB[[#This Row],[Events]],$M$10:$N$13,2,1)</f>
        <v>Silver</v>
      </c>
    </row>
    <row r="334" spans="1:11" x14ac:dyDescent="0.25">
      <c r="A334" s="25">
        <v>37017</v>
      </c>
      <c r="B334" t="s">
        <v>429</v>
      </c>
      <c r="C334" t="s">
        <v>430</v>
      </c>
      <c r="D334" t="s">
        <v>325</v>
      </c>
      <c r="E334" s="33">
        <v>41038</v>
      </c>
      <c r="F334" t="str">
        <f>LOWER(LEFT(B334,1)&amp;C334&amp;"@"&amp;SUBSTITUTE(D334," ","")&amp;".com")</f>
        <v>ssaadaoui@mojbal.com</v>
      </c>
      <c r="G334" s="30" t="s">
        <v>60</v>
      </c>
      <c r="H334" s="30">
        <v>3</v>
      </c>
      <c r="I334" s="30" t="str">
        <f>IF(ClientDB[[#This Row],[Start Date]]&gt;=DATE(2017,1,1),"New","")</f>
        <v/>
      </c>
      <c r="J334" s="30" t="str">
        <f>IF(OR(YEAR(ClientDB[[#This Row],[Start Date]])&lt;2013,ClientDB[[#This Row],[Events]]&gt;=15),"Yes","")</f>
        <v>Yes</v>
      </c>
      <c r="K334" s="30" t="str">
        <f>VLOOKUP(ClientDB[[#This Row],[Events]],$M$10:$N$13,2,1)</f>
        <v>Bronze</v>
      </c>
    </row>
    <row r="335" spans="1:11" x14ac:dyDescent="0.25">
      <c r="A335" s="25">
        <v>37188</v>
      </c>
      <c r="B335" t="s">
        <v>358</v>
      </c>
      <c r="C335" t="s">
        <v>359</v>
      </c>
      <c r="D335" t="s">
        <v>135</v>
      </c>
      <c r="E335" s="33">
        <v>41328</v>
      </c>
      <c r="F335" t="str">
        <f>LOWER(LEFT(B335,1)&amp;C335&amp;"@"&amp;SUBSTITUTE(D335," ","")&amp;".com")</f>
        <v>tsuerink@pilcostreambank.com</v>
      </c>
      <c r="G335" s="30" t="s">
        <v>89</v>
      </c>
      <c r="H335" s="30">
        <v>7</v>
      </c>
      <c r="I335" s="30" t="str">
        <f>IF(ClientDB[[#This Row],[Start Date]]&gt;=DATE(2017,1,1),"New","")</f>
        <v/>
      </c>
      <c r="J335" s="30" t="str">
        <f>IF(OR(YEAR(ClientDB[[#This Row],[Start Date]])&lt;2013,ClientDB[[#This Row],[Events]]&gt;=15),"Yes","")</f>
        <v/>
      </c>
      <c r="K335" s="30" t="str">
        <f>VLOOKUP(ClientDB[[#This Row],[Events]],$M$10:$N$13,2,1)</f>
        <v>Bronze</v>
      </c>
    </row>
    <row r="336" spans="1:11" x14ac:dyDescent="0.25">
      <c r="A336" s="25">
        <v>37250</v>
      </c>
      <c r="B336" t="s">
        <v>500</v>
      </c>
      <c r="C336" t="s">
        <v>501</v>
      </c>
      <c r="D336" t="s">
        <v>167</v>
      </c>
      <c r="E336" s="33">
        <v>41802</v>
      </c>
      <c r="F336" t="str">
        <f>LOWER(LEFT(B336,1)&amp;C336&amp;"@"&amp;SUBSTITUTE(D336," ","")&amp;".com")</f>
        <v>aarnautov@netaassist.com</v>
      </c>
      <c r="G336" s="30" t="s">
        <v>56</v>
      </c>
      <c r="H336" s="30">
        <v>8</v>
      </c>
      <c r="I336" s="30" t="str">
        <f>IF(ClientDB[[#This Row],[Start Date]]&gt;=DATE(2017,1,1),"New","")</f>
        <v/>
      </c>
      <c r="J336" s="30" t="str">
        <f>IF(OR(YEAR(ClientDB[[#This Row],[Start Date]])&lt;2013,ClientDB[[#This Row],[Events]]&gt;=15),"Yes","")</f>
        <v/>
      </c>
      <c r="K336" s="30" t="str">
        <f>VLOOKUP(ClientDB[[#This Row],[Events]],$M$10:$N$13,2,1)</f>
        <v>Bronze</v>
      </c>
    </row>
    <row r="337" spans="1:11" x14ac:dyDescent="0.25">
      <c r="A337" s="25">
        <v>37373</v>
      </c>
      <c r="B337" t="s">
        <v>440</v>
      </c>
      <c r="C337" t="s">
        <v>441</v>
      </c>
      <c r="D337" t="s">
        <v>266</v>
      </c>
      <c r="E337" s="33">
        <v>42106</v>
      </c>
      <c r="F337" t="str">
        <f>LOWER(LEFT(B337,1)&amp;C337&amp;"@"&amp;SUBSTITUTE(D337," ","")&amp;".com")</f>
        <v>kdavies@tqprocesses.com</v>
      </c>
      <c r="G337" s="30" t="s">
        <v>45</v>
      </c>
      <c r="H337" s="30">
        <v>2</v>
      </c>
      <c r="I337" s="30" t="str">
        <f>IF(ClientDB[[#This Row],[Start Date]]&gt;=DATE(2017,1,1),"New","")</f>
        <v/>
      </c>
      <c r="J337" s="30" t="str">
        <f>IF(OR(YEAR(ClientDB[[#This Row],[Start Date]])&lt;2013,ClientDB[[#This Row],[Events]]&gt;=15),"Yes","")</f>
        <v/>
      </c>
      <c r="K337" s="30" t="str">
        <f>VLOOKUP(ClientDB[[#This Row],[Events]],$M$10:$N$13,2,1)</f>
        <v>Bronze</v>
      </c>
    </row>
    <row r="338" spans="1:11" x14ac:dyDescent="0.25">
      <c r="A338" s="25">
        <v>37393</v>
      </c>
      <c r="B338" t="s">
        <v>310</v>
      </c>
      <c r="C338" t="s">
        <v>311</v>
      </c>
      <c r="D338" t="s">
        <v>211</v>
      </c>
      <c r="E338" s="33">
        <v>41306</v>
      </c>
      <c r="F338" t="str">
        <f>LOWER(LEFT(B338,1)&amp;C338&amp;"@"&amp;SUBSTITUTE(D338," ","")&amp;".com")</f>
        <v>lsani@stepahead.com</v>
      </c>
      <c r="G338" s="30" t="s">
        <v>312</v>
      </c>
      <c r="H338" s="30">
        <v>9</v>
      </c>
      <c r="I338" s="30" t="str">
        <f>IF(ClientDB[[#This Row],[Start Date]]&gt;=DATE(2017,1,1),"New","")</f>
        <v/>
      </c>
      <c r="J338" s="30" t="str">
        <f>IF(OR(YEAR(ClientDB[[#This Row],[Start Date]])&lt;2013,ClientDB[[#This Row],[Events]]&gt;=15),"Yes","")</f>
        <v/>
      </c>
      <c r="K338" s="30" t="str">
        <f>VLOOKUP(ClientDB[[#This Row],[Events]],$M$10:$N$13,2,1)</f>
        <v>Bronze</v>
      </c>
    </row>
    <row r="339" spans="1:11" x14ac:dyDescent="0.25">
      <c r="A339" s="25">
        <v>37460</v>
      </c>
      <c r="B339" t="s">
        <v>100</v>
      </c>
      <c r="C339" t="s">
        <v>497</v>
      </c>
      <c r="D339" t="s">
        <v>44</v>
      </c>
      <c r="E339" s="33">
        <v>41246</v>
      </c>
      <c r="F339" t="str">
        <f>LOWER(LEFT(B339,1)&amp;C339&amp;"@"&amp;SUBSTITUTE(D339," ","")&amp;".com")</f>
        <v>dhilario@collingsuniversity.com</v>
      </c>
      <c r="G339" s="30" t="s">
        <v>393</v>
      </c>
      <c r="H339" s="30">
        <v>4</v>
      </c>
      <c r="I339" s="30" t="str">
        <f>IF(ClientDB[[#This Row],[Start Date]]&gt;=DATE(2017,1,1),"New","")</f>
        <v/>
      </c>
      <c r="J339" s="30" t="str">
        <f>IF(OR(YEAR(ClientDB[[#This Row],[Start Date]])&lt;2013,ClientDB[[#This Row],[Events]]&gt;=15),"Yes","")</f>
        <v>Yes</v>
      </c>
      <c r="K339" s="30" t="str">
        <f>VLOOKUP(ClientDB[[#This Row],[Events]],$M$10:$N$13,2,1)</f>
        <v>Bronze</v>
      </c>
    </row>
    <row r="340" spans="1:11" x14ac:dyDescent="0.25">
      <c r="A340" s="25">
        <v>37498</v>
      </c>
      <c r="B340" t="s">
        <v>639</v>
      </c>
      <c r="C340" t="s">
        <v>640</v>
      </c>
      <c r="D340" t="s">
        <v>44</v>
      </c>
      <c r="E340" s="33">
        <v>42611</v>
      </c>
      <c r="F340" t="str">
        <f>LOWER(LEFT(B340,1)&amp;C340&amp;"@"&amp;SUBSTITUTE(D340," ","")&amp;".com")</f>
        <v>mkhatibi@collingsuniversity.com</v>
      </c>
      <c r="G340" s="30" t="s">
        <v>37</v>
      </c>
      <c r="H340" s="30">
        <v>3</v>
      </c>
      <c r="I340" s="30" t="str">
        <f>IF(ClientDB[[#This Row],[Start Date]]&gt;=DATE(2017,1,1),"New","")</f>
        <v/>
      </c>
      <c r="J340" s="30" t="str">
        <f>IF(OR(YEAR(ClientDB[[#This Row],[Start Date]])&lt;2013,ClientDB[[#This Row],[Events]]&gt;=15),"Yes","")</f>
        <v/>
      </c>
      <c r="K340" s="30" t="str">
        <f>VLOOKUP(ClientDB[[#This Row],[Events]],$M$10:$N$13,2,1)</f>
        <v>Bronze</v>
      </c>
    </row>
    <row r="341" spans="1:11" x14ac:dyDescent="0.25">
      <c r="A341" s="25">
        <v>37529</v>
      </c>
      <c r="B341" t="s">
        <v>521</v>
      </c>
      <c r="C341" t="s">
        <v>522</v>
      </c>
      <c r="D341" t="s">
        <v>338</v>
      </c>
      <c r="E341" s="33">
        <v>41115</v>
      </c>
      <c r="F341" t="str">
        <f>LOWER(LEFT(B341,1)&amp;C341&amp;"@"&amp;SUBSTITUTE(D341," ","")&amp;".com")</f>
        <v>mradchenko@qinisar.com</v>
      </c>
      <c r="G341" s="30" t="s">
        <v>56</v>
      </c>
      <c r="H341" s="30">
        <v>21</v>
      </c>
      <c r="I341" s="30" t="str">
        <f>IF(ClientDB[[#This Row],[Start Date]]&gt;=DATE(2017,1,1),"New","")</f>
        <v/>
      </c>
      <c r="J341" s="30" t="str">
        <f>IF(OR(YEAR(ClientDB[[#This Row],[Start Date]])&lt;2013,ClientDB[[#This Row],[Events]]&gt;=15),"Yes","")</f>
        <v>Yes</v>
      </c>
      <c r="K341" s="30" t="str">
        <f>VLOOKUP(ClientDB[[#This Row],[Events]],$M$10:$N$13,2,1)</f>
        <v>Gold</v>
      </c>
    </row>
    <row r="342" spans="1:11" x14ac:dyDescent="0.25">
      <c r="A342" s="25">
        <v>37563</v>
      </c>
      <c r="B342" t="s">
        <v>676</v>
      </c>
      <c r="C342" t="s">
        <v>677</v>
      </c>
      <c r="D342" t="s">
        <v>179</v>
      </c>
      <c r="E342" s="33">
        <v>41706</v>
      </c>
      <c r="F342" t="str">
        <f>LOWER(LEFT(B342,1)&amp;C342&amp;"@"&amp;SUBSTITUTE(D342," ","")&amp;".com")</f>
        <v>wrashid@ctx.com</v>
      </c>
      <c r="G342" s="30" t="s">
        <v>678</v>
      </c>
      <c r="H342" s="30">
        <v>7</v>
      </c>
      <c r="I342" s="30" t="str">
        <f>IF(ClientDB[[#This Row],[Start Date]]&gt;=DATE(2017,1,1),"New","")</f>
        <v/>
      </c>
      <c r="J342" s="30" t="str">
        <f>IF(OR(YEAR(ClientDB[[#This Row],[Start Date]])&lt;2013,ClientDB[[#This Row],[Events]]&gt;=15),"Yes","")</f>
        <v/>
      </c>
      <c r="K342" s="30" t="str">
        <f>VLOOKUP(ClientDB[[#This Row],[Events]],$M$10:$N$13,2,1)</f>
        <v>Bronze</v>
      </c>
    </row>
    <row r="343" spans="1:11" x14ac:dyDescent="0.25">
      <c r="A343" s="25">
        <v>37567</v>
      </c>
      <c r="B343" t="s">
        <v>632</v>
      </c>
      <c r="C343" t="s">
        <v>633</v>
      </c>
      <c r="D343" t="s">
        <v>263</v>
      </c>
      <c r="E343" s="33">
        <v>42072</v>
      </c>
      <c r="F343" t="str">
        <f>LOWER(LEFT(B343,1)&amp;C343&amp;"@"&amp;SUBSTITUTE(D343," ","")&amp;".com")</f>
        <v>avevera@ipibucharest.com</v>
      </c>
      <c r="G343" s="30" t="s">
        <v>84</v>
      </c>
      <c r="H343" s="30">
        <v>9</v>
      </c>
      <c r="I343" s="30" t="str">
        <f>IF(ClientDB[[#This Row],[Start Date]]&gt;=DATE(2017,1,1),"New","")</f>
        <v/>
      </c>
      <c r="J343" s="30" t="str">
        <f>IF(OR(YEAR(ClientDB[[#This Row],[Start Date]])&lt;2013,ClientDB[[#This Row],[Events]]&gt;=15),"Yes","")</f>
        <v/>
      </c>
      <c r="K343" s="30" t="str">
        <f>VLOOKUP(ClientDB[[#This Row],[Events]],$M$10:$N$13,2,1)</f>
        <v>Bronze</v>
      </c>
    </row>
    <row r="344" spans="1:11" x14ac:dyDescent="0.25">
      <c r="A344" s="25">
        <v>37571</v>
      </c>
      <c r="B344" t="s">
        <v>115</v>
      </c>
      <c r="C344" t="s">
        <v>116</v>
      </c>
      <c r="D344" t="s">
        <v>99</v>
      </c>
      <c r="E344" s="33">
        <v>42195</v>
      </c>
      <c r="F344" t="str">
        <f>LOWER(LEFT(B344,1)&amp;C344&amp;"@"&amp;SUBSTITUTE(D344," ","")&amp;".com")</f>
        <v>febrahimi@bytesize.com</v>
      </c>
      <c r="G344" s="30" t="s">
        <v>37</v>
      </c>
      <c r="H344" s="30">
        <v>5</v>
      </c>
      <c r="I344" s="30" t="str">
        <f>IF(ClientDB[[#This Row],[Start Date]]&gt;=DATE(2017,1,1),"New","")</f>
        <v/>
      </c>
      <c r="J344" s="30" t="str">
        <f>IF(OR(YEAR(ClientDB[[#This Row],[Start Date]])&lt;2013,ClientDB[[#This Row],[Events]]&gt;=15),"Yes","")</f>
        <v/>
      </c>
      <c r="K344" s="30" t="str">
        <f>VLOOKUP(ClientDB[[#This Row],[Events]],$M$10:$N$13,2,1)</f>
        <v>Bronze</v>
      </c>
    </row>
    <row r="345" spans="1:11" x14ac:dyDescent="0.25">
      <c r="A345" s="25">
        <v>37598</v>
      </c>
      <c r="B345" t="s">
        <v>582</v>
      </c>
      <c r="C345" t="s">
        <v>583</v>
      </c>
      <c r="D345" t="s">
        <v>123</v>
      </c>
      <c r="E345" s="33">
        <v>41235</v>
      </c>
      <c r="F345" t="str">
        <f>LOWER(LEFT(B345,1)&amp;C345&amp;"@"&amp;SUBSTITUTE(D345," ","")&amp;".com")</f>
        <v>jli@tatsan.com</v>
      </c>
      <c r="G345" s="30" t="s">
        <v>45</v>
      </c>
      <c r="H345" s="30">
        <v>4</v>
      </c>
      <c r="I345" s="30" t="str">
        <f>IF(ClientDB[[#This Row],[Start Date]]&gt;=DATE(2017,1,1),"New","")</f>
        <v/>
      </c>
      <c r="J345" s="30" t="str">
        <f>IF(OR(YEAR(ClientDB[[#This Row],[Start Date]])&lt;2013,ClientDB[[#This Row],[Events]]&gt;=15),"Yes","")</f>
        <v>Yes</v>
      </c>
      <c r="K345" s="30" t="str">
        <f>VLOOKUP(ClientDB[[#This Row],[Events]],$M$10:$N$13,2,1)</f>
        <v>Bronze</v>
      </c>
    </row>
    <row r="346" spans="1:11" x14ac:dyDescent="0.25">
      <c r="A346" s="25">
        <v>37603</v>
      </c>
      <c r="B346" t="s">
        <v>504</v>
      </c>
      <c r="C346" t="s">
        <v>505</v>
      </c>
      <c r="D346" t="s">
        <v>147</v>
      </c>
      <c r="E346" s="33">
        <v>42798</v>
      </c>
      <c r="F346" t="str">
        <f>LOWER(LEFT(B346,1)&amp;C346&amp;"@"&amp;SUBSTITUTE(D346," ","")&amp;".com")</f>
        <v>rkhalili@euro-m.com</v>
      </c>
      <c r="G346" s="30" t="s">
        <v>37</v>
      </c>
      <c r="H346" s="30">
        <v>1</v>
      </c>
      <c r="I346" s="30" t="str">
        <f>IF(ClientDB[[#This Row],[Start Date]]&gt;=DATE(2017,1,1),"New","")</f>
        <v>New</v>
      </c>
      <c r="J346" s="30" t="str">
        <f>IF(OR(YEAR(ClientDB[[#This Row],[Start Date]])&lt;2013,ClientDB[[#This Row],[Events]]&gt;=15),"Yes","")</f>
        <v/>
      </c>
      <c r="K346" s="30" t="str">
        <f>VLOOKUP(ClientDB[[#This Row],[Events]],$M$10:$N$13,2,1)</f>
        <v>Bronze</v>
      </c>
    </row>
    <row r="347" spans="1:11" x14ac:dyDescent="0.25">
      <c r="A347" s="25">
        <v>37742</v>
      </c>
      <c r="B347" t="s">
        <v>285</v>
      </c>
      <c r="C347" t="s">
        <v>286</v>
      </c>
      <c r="D347" t="s">
        <v>196</v>
      </c>
      <c r="E347" s="33">
        <v>42415</v>
      </c>
      <c r="F347" t="str">
        <f>LOWER(LEFT(B347,1)&amp;C347&amp;"@"&amp;SUBSTITUTE(D347," ","")&amp;".com")</f>
        <v>sstuart@verisize.com</v>
      </c>
      <c r="G347" s="30" t="s">
        <v>64</v>
      </c>
      <c r="H347" s="30">
        <v>2</v>
      </c>
      <c r="I347" s="30" t="str">
        <f>IF(ClientDB[[#This Row],[Start Date]]&gt;=DATE(2017,1,1),"New","")</f>
        <v/>
      </c>
      <c r="J347" s="30" t="str">
        <f>IF(OR(YEAR(ClientDB[[#This Row],[Start Date]])&lt;2013,ClientDB[[#This Row],[Events]]&gt;=15),"Yes","")</f>
        <v/>
      </c>
      <c r="K347" s="30" t="str">
        <f>VLOOKUP(ClientDB[[#This Row],[Events]],$M$10:$N$13,2,1)</f>
        <v>Bronze</v>
      </c>
    </row>
    <row r="348" spans="1:11" x14ac:dyDescent="0.25">
      <c r="A348" s="25">
        <v>37780</v>
      </c>
      <c r="B348" t="s">
        <v>517</v>
      </c>
      <c r="C348" t="s">
        <v>518</v>
      </c>
      <c r="D348" t="s">
        <v>104</v>
      </c>
      <c r="E348" s="33">
        <v>42278</v>
      </c>
      <c r="F348" t="str">
        <f>LOWER(LEFT(B348,1)&amp;C348&amp;"@"&amp;SUBSTITUTE(D348," ","")&amp;".com")</f>
        <v>sispiryan@parmistechnologies.com</v>
      </c>
      <c r="G348" s="30" t="s">
        <v>93</v>
      </c>
      <c r="H348" s="30">
        <v>4</v>
      </c>
      <c r="I348" s="30" t="str">
        <f>IF(ClientDB[[#This Row],[Start Date]]&gt;=DATE(2017,1,1),"New","")</f>
        <v/>
      </c>
      <c r="J348" s="30" t="str">
        <f>IF(OR(YEAR(ClientDB[[#This Row],[Start Date]])&lt;2013,ClientDB[[#This Row],[Events]]&gt;=15),"Yes","")</f>
        <v/>
      </c>
      <c r="K348" s="30" t="str">
        <f>VLOOKUP(ClientDB[[#This Row],[Events]],$M$10:$N$13,2,1)</f>
        <v>Bronze</v>
      </c>
    </row>
    <row r="349" spans="1:11" x14ac:dyDescent="0.25">
      <c r="A349" s="25">
        <v>37797</v>
      </c>
      <c r="B349" t="s">
        <v>105</v>
      </c>
      <c r="C349" t="s">
        <v>106</v>
      </c>
      <c r="D349" t="s">
        <v>107</v>
      </c>
      <c r="E349" s="33">
        <v>42335</v>
      </c>
      <c r="F349" t="str">
        <f>LOWER(LEFT(B349,1)&amp;C349&amp;"@"&amp;SUBSTITUTE(D349," ","")&amp;".com")</f>
        <v>nnimpuno@axellgroup.com</v>
      </c>
      <c r="G349" s="30" t="s">
        <v>108</v>
      </c>
      <c r="H349" s="30">
        <v>2</v>
      </c>
      <c r="I349" s="30" t="str">
        <f>IF(ClientDB[[#This Row],[Start Date]]&gt;=DATE(2017,1,1),"New","")</f>
        <v/>
      </c>
      <c r="J349" s="30" t="str">
        <f>IF(OR(YEAR(ClientDB[[#This Row],[Start Date]])&lt;2013,ClientDB[[#This Row],[Events]]&gt;=15),"Yes","")</f>
        <v/>
      </c>
      <c r="K349" s="30" t="str">
        <f>VLOOKUP(ClientDB[[#This Row],[Events]],$M$10:$N$13,2,1)</f>
        <v>Bronze</v>
      </c>
    </row>
    <row r="350" spans="1:11" x14ac:dyDescent="0.25">
      <c r="A350" s="25">
        <v>37895</v>
      </c>
      <c r="B350" t="s">
        <v>371</v>
      </c>
      <c r="C350" t="s">
        <v>372</v>
      </c>
      <c r="D350" t="s">
        <v>52</v>
      </c>
      <c r="E350" s="33">
        <v>41183</v>
      </c>
      <c r="F350" t="str">
        <f>LOWER(LEFT(B350,1)&amp;C350&amp;"@"&amp;SUBSTITUTE(D350," ","")&amp;".com")</f>
        <v>fcunningham@ripplecom.com</v>
      </c>
      <c r="G350" s="30" t="s">
        <v>45</v>
      </c>
      <c r="H350" s="30">
        <v>7</v>
      </c>
      <c r="I350" s="30" t="str">
        <f>IF(ClientDB[[#This Row],[Start Date]]&gt;=DATE(2017,1,1),"New","")</f>
        <v/>
      </c>
      <c r="J350" s="30" t="str">
        <f>IF(OR(YEAR(ClientDB[[#This Row],[Start Date]])&lt;2013,ClientDB[[#This Row],[Events]]&gt;=15),"Yes","")</f>
        <v>Yes</v>
      </c>
      <c r="K350" s="30" t="str">
        <f>VLOOKUP(ClientDB[[#This Row],[Events]],$M$10:$N$13,2,1)</f>
        <v>Bronze</v>
      </c>
    </row>
    <row r="351" spans="1:11" x14ac:dyDescent="0.25">
      <c r="A351" s="25">
        <v>37902</v>
      </c>
      <c r="B351" t="s">
        <v>326</v>
      </c>
      <c r="C351" t="s">
        <v>327</v>
      </c>
      <c r="D351" t="s">
        <v>188</v>
      </c>
      <c r="E351" s="33">
        <v>41737</v>
      </c>
      <c r="F351" t="str">
        <f>LOWER(LEFT(B351,1)&amp;C351&amp;"@"&amp;SUBSTITUTE(D351," ","")&amp;".com")</f>
        <v>rrosenberg@ares.com</v>
      </c>
      <c r="G351" s="30" t="s">
        <v>76</v>
      </c>
      <c r="H351" s="30">
        <v>9</v>
      </c>
      <c r="I351" s="30" t="str">
        <f>IF(ClientDB[[#This Row],[Start Date]]&gt;=DATE(2017,1,1),"New","")</f>
        <v/>
      </c>
      <c r="J351" s="30" t="str">
        <f>IF(OR(YEAR(ClientDB[[#This Row],[Start Date]])&lt;2013,ClientDB[[#This Row],[Events]]&gt;=15),"Yes","")</f>
        <v/>
      </c>
      <c r="K351" s="30" t="str">
        <f>VLOOKUP(ClientDB[[#This Row],[Events]],$M$10:$N$13,2,1)</f>
        <v>Bronze</v>
      </c>
    </row>
    <row r="352" spans="1:11" x14ac:dyDescent="0.25">
      <c r="A352" s="25">
        <v>37959</v>
      </c>
      <c r="B352" t="s">
        <v>251</v>
      </c>
      <c r="C352" t="s">
        <v>252</v>
      </c>
      <c r="D352" t="s">
        <v>104</v>
      </c>
      <c r="E352" s="33">
        <v>42181</v>
      </c>
      <c r="F352" t="str">
        <f>LOWER(LEFT(B352,1)&amp;C352&amp;"@"&amp;SUBSTITUTE(D352," ","")&amp;".com")</f>
        <v>wsylvester@parmistechnologies.com</v>
      </c>
      <c r="G352" s="30" t="s">
        <v>64</v>
      </c>
      <c r="H352" s="30">
        <v>6</v>
      </c>
      <c r="I352" s="30" t="str">
        <f>IF(ClientDB[[#This Row],[Start Date]]&gt;=DATE(2017,1,1),"New","")</f>
        <v/>
      </c>
      <c r="J352" s="30" t="str">
        <f>IF(OR(YEAR(ClientDB[[#This Row],[Start Date]])&lt;2013,ClientDB[[#This Row],[Events]]&gt;=15),"Yes","")</f>
        <v/>
      </c>
      <c r="K352" s="30" t="str">
        <f>VLOOKUP(ClientDB[[#This Row],[Events]],$M$10:$N$13,2,1)</f>
        <v>Bronze</v>
      </c>
    </row>
    <row r="353" spans="1:11" x14ac:dyDescent="0.25">
      <c r="A353" s="25">
        <v>37974</v>
      </c>
      <c r="B353" t="s">
        <v>644</v>
      </c>
      <c r="C353" t="s">
        <v>645</v>
      </c>
      <c r="D353" t="s">
        <v>99</v>
      </c>
      <c r="E353" s="33">
        <v>42873</v>
      </c>
      <c r="F353" t="str">
        <f>LOWER(LEFT(B353,1)&amp;C353&amp;"@"&amp;SUBSTITUTE(D353," ","")&amp;".com")</f>
        <v>jgimaletdinova@bytesize.com</v>
      </c>
      <c r="G353" s="30" t="s">
        <v>68</v>
      </c>
      <c r="H353" s="30">
        <v>2</v>
      </c>
      <c r="I353" s="30" t="str">
        <f>IF(ClientDB[[#This Row],[Start Date]]&gt;=DATE(2017,1,1),"New","")</f>
        <v>New</v>
      </c>
      <c r="J353" s="30" t="str">
        <f>IF(OR(YEAR(ClientDB[[#This Row],[Start Date]])&lt;2013,ClientDB[[#This Row],[Events]]&gt;=15),"Yes","")</f>
        <v/>
      </c>
      <c r="K353" s="30" t="str">
        <f>VLOOKUP(ClientDB[[#This Row],[Events]],$M$10:$N$13,2,1)</f>
        <v>Bronze</v>
      </c>
    </row>
    <row r="354" spans="1:11" x14ac:dyDescent="0.25">
      <c r="A354" s="25">
        <v>38307</v>
      </c>
      <c r="B354" t="s">
        <v>707</v>
      </c>
      <c r="C354" t="s">
        <v>708</v>
      </c>
      <c r="D354" t="s">
        <v>123</v>
      </c>
      <c r="E354" s="33">
        <v>42501</v>
      </c>
      <c r="F354" t="str">
        <f>LOWER(LEFT(B354,1)&amp;C354&amp;"@"&amp;SUBSTITUTE(D354," ","")&amp;".com")</f>
        <v>mbadr@tatsan.com</v>
      </c>
      <c r="G354" s="30" t="s">
        <v>185</v>
      </c>
      <c r="H354" s="30">
        <v>3</v>
      </c>
      <c r="I354" s="30" t="str">
        <f>IF(ClientDB[[#This Row],[Start Date]]&gt;=DATE(2017,1,1),"New","")</f>
        <v/>
      </c>
      <c r="J354" s="30" t="str">
        <f>IF(OR(YEAR(ClientDB[[#This Row],[Start Date]])&lt;2013,ClientDB[[#This Row],[Events]]&gt;=15),"Yes","")</f>
        <v/>
      </c>
      <c r="K354" s="30" t="str">
        <f>VLOOKUP(ClientDB[[#This Row],[Events]],$M$10:$N$13,2,1)</f>
        <v>Bronze</v>
      </c>
    </row>
    <row r="355" spans="1:11" x14ac:dyDescent="0.25">
      <c r="A355" s="25">
        <v>38372</v>
      </c>
      <c r="B355" t="s">
        <v>709</v>
      </c>
      <c r="C355" t="s">
        <v>710</v>
      </c>
      <c r="D355" t="s">
        <v>338</v>
      </c>
      <c r="E355" s="33">
        <v>41590</v>
      </c>
      <c r="F355" t="str">
        <f>LOWER(LEFT(B355,1)&amp;C355&amp;"@"&amp;SUBSTITUTE(D355," ","")&amp;".com")</f>
        <v>mbarbulescu@qinisar.com</v>
      </c>
      <c r="G355" s="30" t="s">
        <v>84</v>
      </c>
      <c r="H355" s="30">
        <v>5</v>
      </c>
      <c r="I355" s="30" t="str">
        <f>IF(ClientDB[[#This Row],[Start Date]]&gt;=DATE(2017,1,1),"New","")</f>
        <v/>
      </c>
      <c r="J355" s="30" t="str">
        <f>IF(OR(YEAR(ClientDB[[#This Row],[Start Date]])&lt;2013,ClientDB[[#This Row],[Events]]&gt;=15),"Yes","")</f>
        <v/>
      </c>
      <c r="K355" s="30" t="str">
        <f>VLOOKUP(ClientDB[[#This Row],[Events]],$M$10:$N$13,2,1)</f>
        <v>Bronze</v>
      </c>
    </row>
    <row r="356" spans="1:11" x14ac:dyDescent="0.25">
      <c r="A356" s="25">
        <v>38639</v>
      </c>
      <c r="B356" t="s">
        <v>236</v>
      </c>
      <c r="C356" t="s">
        <v>237</v>
      </c>
      <c r="D356" t="s">
        <v>130</v>
      </c>
      <c r="E356" s="33">
        <v>42287</v>
      </c>
      <c r="F356" t="str">
        <f>LOWER(LEFT(B356,1)&amp;C356&amp;"@"&amp;SUBSTITUTE(D356," ","")&amp;".com")</f>
        <v>dshaw@lacne.com</v>
      </c>
      <c r="G356" s="30" t="s">
        <v>45</v>
      </c>
      <c r="H356" s="30">
        <v>12</v>
      </c>
      <c r="I356" s="30" t="str">
        <f>IF(ClientDB[[#This Row],[Start Date]]&gt;=DATE(2017,1,1),"New","")</f>
        <v/>
      </c>
      <c r="J356" s="30" t="str">
        <f>IF(OR(YEAR(ClientDB[[#This Row],[Start Date]])&lt;2013,ClientDB[[#This Row],[Events]]&gt;=15),"Yes","")</f>
        <v/>
      </c>
      <c r="K356" s="30" t="str">
        <f>VLOOKUP(ClientDB[[#This Row],[Events]],$M$10:$N$13,2,1)</f>
        <v>Silver</v>
      </c>
    </row>
    <row r="357" spans="1:11" x14ac:dyDescent="0.25">
      <c r="A357" s="25">
        <v>38726</v>
      </c>
      <c r="B357" t="s">
        <v>380</v>
      </c>
      <c r="C357" t="s">
        <v>381</v>
      </c>
      <c r="D357" t="s">
        <v>188</v>
      </c>
      <c r="E357" s="33">
        <v>42301</v>
      </c>
      <c r="F357" t="str">
        <f>LOWER(LEFT(B357,1)&amp;C357&amp;"@"&amp;SUBSTITUTE(D357," ","")&amp;".com")</f>
        <v>msemrad@ares.com</v>
      </c>
      <c r="G357" s="30" t="s">
        <v>68</v>
      </c>
      <c r="H357" s="30">
        <v>30</v>
      </c>
      <c r="I357" s="30" t="str">
        <f>IF(ClientDB[[#This Row],[Start Date]]&gt;=DATE(2017,1,1),"New","")</f>
        <v/>
      </c>
      <c r="J357" s="30" t="str">
        <f>IF(OR(YEAR(ClientDB[[#This Row],[Start Date]])&lt;2013,ClientDB[[#This Row],[Events]]&gt;=15),"Yes","")</f>
        <v>Yes</v>
      </c>
      <c r="K357" s="30" t="str">
        <f>VLOOKUP(ClientDB[[#This Row],[Events]],$M$10:$N$13,2,1)</f>
        <v>Platinum</v>
      </c>
    </row>
    <row r="358" spans="1:11" x14ac:dyDescent="0.25">
      <c r="A358" s="25">
        <v>38761</v>
      </c>
      <c r="B358" t="s">
        <v>293</v>
      </c>
      <c r="C358" t="s">
        <v>294</v>
      </c>
      <c r="D358" t="s">
        <v>295</v>
      </c>
      <c r="E358" s="33">
        <v>41761</v>
      </c>
      <c r="F358" t="str">
        <f>LOWER(LEFT(B358,1)&amp;C358&amp;"@"&amp;SUBSTITUTE(D358," ","")&amp;".com")</f>
        <v>cscheele@dataprosys.com</v>
      </c>
      <c r="G358" s="30" t="s">
        <v>76</v>
      </c>
      <c r="H358" s="30">
        <v>16</v>
      </c>
      <c r="I358" s="30" t="str">
        <f>IF(ClientDB[[#This Row],[Start Date]]&gt;=DATE(2017,1,1),"New","")</f>
        <v/>
      </c>
      <c r="J358" s="30" t="str">
        <f>IF(OR(YEAR(ClientDB[[#This Row],[Start Date]])&lt;2013,ClientDB[[#This Row],[Events]]&gt;=15),"Yes","")</f>
        <v>Yes</v>
      </c>
      <c r="K358" s="30" t="str">
        <f>VLOOKUP(ClientDB[[#This Row],[Events]],$M$10:$N$13,2,1)</f>
        <v>Silver</v>
      </c>
    </row>
    <row r="359" spans="1:11" x14ac:dyDescent="0.25">
      <c r="A359" s="25">
        <v>38839</v>
      </c>
      <c r="B359" t="s">
        <v>206</v>
      </c>
      <c r="C359" t="s">
        <v>207</v>
      </c>
      <c r="D359" t="s">
        <v>96</v>
      </c>
      <c r="E359" s="33">
        <v>42972</v>
      </c>
      <c r="F359" t="str">
        <f>LOWER(LEFT(B359,1)&amp;C359&amp;"@"&amp;SUBSTITUTE(D359," ","")&amp;".com")</f>
        <v>mgokool@epsilontech.com</v>
      </c>
      <c r="G359" s="30" t="s">
        <v>208</v>
      </c>
      <c r="H359" s="30">
        <v>1</v>
      </c>
      <c r="I359" s="30" t="str">
        <f>IF(ClientDB[[#This Row],[Start Date]]&gt;=DATE(2017,1,1),"New","")</f>
        <v>New</v>
      </c>
      <c r="J359" s="30" t="str">
        <f>IF(OR(YEAR(ClientDB[[#This Row],[Start Date]])&lt;2013,ClientDB[[#This Row],[Events]]&gt;=15),"Yes","")</f>
        <v/>
      </c>
      <c r="K359" s="30" t="str">
        <f>VLOOKUP(ClientDB[[#This Row],[Events]],$M$10:$N$13,2,1)</f>
        <v>Bronze</v>
      </c>
    </row>
    <row r="360" spans="1:11" x14ac:dyDescent="0.25">
      <c r="A360" s="25">
        <v>38892</v>
      </c>
      <c r="B360" t="s">
        <v>691</v>
      </c>
      <c r="C360" t="s">
        <v>692</v>
      </c>
      <c r="D360" t="s">
        <v>71</v>
      </c>
      <c r="E360" s="33">
        <v>41324</v>
      </c>
      <c r="F360" t="str">
        <f>LOWER(LEFT(B360,1)&amp;C360&amp;"@"&amp;SUBSTITUTE(D360," ","")&amp;".com")</f>
        <v>mkodeih@oglev.com</v>
      </c>
      <c r="G360" s="30" t="s">
        <v>154</v>
      </c>
      <c r="H360" s="30">
        <v>18</v>
      </c>
      <c r="I360" s="30" t="str">
        <f>IF(ClientDB[[#This Row],[Start Date]]&gt;=DATE(2017,1,1),"New","")</f>
        <v/>
      </c>
      <c r="J360" s="30" t="str">
        <f>IF(OR(YEAR(ClientDB[[#This Row],[Start Date]])&lt;2013,ClientDB[[#This Row],[Events]]&gt;=15),"Yes","")</f>
        <v>Yes</v>
      </c>
      <c r="K360" s="30" t="str">
        <f>VLOOKUP(ClientDB[[#This Row],[Events]],$M$10:$N$13,2,1)</f>
        <v>Silver</v>
      </c>
    </row>
    <row r="361" spans="1:11" x14ac:dyDescent="0.25">
      <c r="A361" s="25">
        <v>39126</v>
      </c>
      <c r="B361" t="s">
        <v>684</v>
      </c>
      <c r="C361" t="s">
        <v>685</v>
      </c>
      <c r="D361" t="s">
        <v>52</v>
      </c>
      <c r="E361" s="33">
        <v>41194</v>
      </c>
      <c r="F361" t="str">
        <f>LOWER(LEFT(B361,1)&amp;C361&amp;"@"&amp;SUBSTITUTE(D361," ","")&amp;".com")</f>
        <v>mhäll@ripplecom.com</v>
      </c>
      <c r="G361" s="30" t="s">
        <v>108</v>
      </c>
      <c r="H361" s="30">
        <v>20</v>
      </c>
      <c r="I361" s="30" t="str">
        <f>IF(ClientDB[[#This Row],[Start Date]]&gt;=DATE(2017,1,1),"New","")</f>
        <v/>
      </c>
      <c r="J361" s="30" t="str">
        <f>IF(OR(YEAR(ClientDB[[#This Row],[Start Date]])&lt;2013,ClientDB[[#This Row],[Events]]&gt;=15),"Yes","")</f>
        <v>Yes</v>
      </c>
      <c r="K361" s="30" t="str">
        <f>VLOOKUP(ClientDB[[#This Row],[Events]],$M$10:$N$13,2,1)</f>
        <v>Gold</v>
      </c>
    </row>
    <row r="362" spans="1:11" x14ac:dyDescent="0.25">
      <c r="A362" s="25">
        <v>39356</v>
      </c>
      <c r="B362" t="s">
        <v>321</v>
      </c>
      <c r="C362" t="s">
        <v>322</v>
      </c>
      <c r="D362" t="s">
        <v>48</v>
      </c>
      <c r="E362" s="33">
        <v>41187</v>
      </c>
      <c r="F362" t="str">
        <f>LOWER(LEFT(B362,1)&amp;C362&amp;"@"&amp;SUBSTITUTE(D362," ","")&amp;".com")</f>
        <v>dbhabuta@icant.com</v>
      </c>
      <c r="G362" s="30" t="s">
        <v>45</v>
      </c>
      <c r="H362" s="30">
        <v>36</v>
      </c>
      <c r="I362" s="30" t="str">
        <f>IF(ClientDB[[#This Row],[Start Date]]&gt;=DATE(2017,1,1),"New","")</f>
        <v/>
      </c>
      <c r="J362" s="30" t="str">
        <f>IF(OR(YEAR(ClientDB[[#This Row],[Start Date]])&lt;2013,ClientDB[[#This Row],[Events]]&gt;=15),"Yes","")</f>
        <v>Yes</v>
      </c>
      <c r="K362" s="30" t="str">
        <f>VLOOKUP(ClientDB[[#This Row],[Events]],$M$10:$N$13,2,1)</f>
        <v>Platinum</v>
      </c>
    </row>
    <row r="363" spans="1:11" x14ac:dyDescent="0.25">
      <c r="A363" s="25">
        <v>39376</v>
      </c>
      <c r="B363" t="s">
        <v>433</v>
      </c>
      <c r="C363" t="s">
        <v>434</v>
      </c>
      <c r="D363" t="s">
        <v>130</v>
      </c>
      <c r="E363" s="33">
        <v>42898</v>
      </c>
      <c r="F363" t="str">
        <f>LOWER(LEFT(B363,1)&amp;C363&amp;"@"&amp;SUBSTITUTE(D363," ","")&amp;".com")</f>
        <v>jkilani@lacne.com</v>
      </c>
      <c r="G363" s="30" t="s">
        <v>185</v>
      </c>
      <c r="H363" s="30">
        <v>2</v>
      </c>
      <c r="I363" s="30" t="str">
        <f>IF(ClientDB[[#This Row],[Start Date]]&gt;=DATE(2017,1,1),"New","")</f>
        <v>New</v>
      </c>
      <c r="J363" s="30" t="str">
        <f>IF(OR(YEAR(ClientDB[[#This Row],[Start Date]])&lt;2013,ClientDB[[#This Row],[Events]]&gt;=15),"Yes","")</f>
        <v/>
      </c>
      <c r="K363" s="30" t="str">
        <f>VLOOKUP(ClientDB[[#This Row],[Events]],$M$10:$N$13,2,1)</f>
        <v>Bronze</v>
      </c>
    </row>
    <row r="364" spans="1:11" x14ac:dyDescent="0.25">
      <c r="A364" s="25">
        <v>39407</v>
      </c>
      <c r="B364" t="s">
        <v>227</v>
      </c>
      <c r="C364" t="s">
        <v>228</v>
      </c>
      <c r="D364" t="s">
        <v>63</v>
      </c>
      <c r="E364" s="33">
        <v>41678</v>
      </c>
      <c r="F364" t="str">
        <f>LOWER(LEFT(B364,1)&amp;C364&amp;"@"&amp;SUBSTITUTE(D364," ","")&amp;".com")</f>
        <v>sversluis@ahanetworks.com</v>
      </c>
      <c r="G364" s="30" t="s">
        <v>89</v>
      </c>
      <c r="H364" s="30">
        <v>2</v>
      </c>
      <c r="I364" s="30" t="str">
        <f>IF(ClientDB[[#This Row],[Start Date]]&gt;=DATE(2017,1,1),"New","")</f>
        <v/>
      </c>
      <c r="J364" s="30" t="str">
        <f>IF(OR(YEAR(ClientDB[[#This Row],[Start Date]])&lt;2013,ClientDB[[#This Row],[Events]]&gt;=15),"Yes","")</f>
        <v/>
      </c>
      <c r="K364" s="30" t="str">
        <f>VLOOKUP(ClientDB[[#This Row],[Events]],$M$10:$N$13,2,1)</f>
        <v>Bronze</v>
      </c>
    </row>
    <row r="365" spans="1:11" x14ac:dyDescent="0.25">
      <c r="A365" s="25">
        <v>39500</v>
      </c>
      <c r="B365" t="s">
        <v>630</v>
      </c>
      <c r="C365" t="s">
        <v>631</v>
      </c>
      <c r="D365" t="s">
        <v>295</v>
      </c>
      <c r="E365" s="33">
        <v>42584</v>
      </c>
      <c r="F365" t="str">
        <f>LOWER(LEFT(B365,1)&amp;C365&amp;"@"&amp;SUBSTITUTE(D365," ","")&amp;".com")</f>
        <v>itomic@dataprosys.com</v>
      </c>
      <c r="G365" s="30" t="s">
        <v>45</v>
      </c>
      <c r="H365" s="30">
        <v>3</v>
      </c>
      <c r="I365" s="30" t="str">
        <f>IF(ClientDB[[#This Row],[Start Date]]&gt;=DATE(2017,1,1),"New","")</f>
        <v/>
      </c>
      <c r="J365" s="30" t="str">
        <f>IF(OR(YEAR(ClientDB[[#This Row],[Start Date]])&lt;2013,ClientDB[[#This Row],[Events]]&gt;=15),"Yes","")</f>
        <v/>
      </c>
      <c r="K365" s="30" t="str">
        <f>VLOOKUP(ClientDB[[#This Row],[Events]],$M$10:$N$13,2,1)</f>
        <v>Bronze</v>
      </c>
    </row>
    <row r="366" spans="1:11" x14ac:dyDescent="0.25">
      <c r="A366" s="25">
        <v>39668</v>
      </c>
      <c r="B366" t="s">
        <v>219</v>
      </c>
      <c r="C366" t="s">
        <v>220</v>
      </c>
      <c r="D366" t="s">
        <v>221</v>
      </c>
      <c r="E366" s="33">
        <v>41695</v>
      </c>
      <c r="F366" t="str">
        <f>LOWER(LEFT(B366,1)&amp;C366&amp;"@"&amp;SUBSTITUTE(D366," ","")&amp;".com")</f>
        <v>anazari mehrabi@westtelco.com</v>
      </c>
      <c r="G366" s="30" t="s">
        <v>222</v>
      </c>
      <c r="H366" s="30">
        <v>3</v>
      </c>
      <c r="I366" s="30" t="str">
        <f>IF(ClientDB[[#This Row],[Start Date]]&gt;=DATE(2017,1,1),"New","")</f>
        <v/>
      </c>
      <c r="J366" s="30" t="str">
        <f>IF(OR(YEAR(ClientDB[[#This Row],[Start Date]])&lt;2013,ClientDB[[#This Row],[Events]]&gt;=15),"Yes","")</f>
        <v/>
      </c>
      <c r="K366" s="30" t="str">
        <f>VLOOKUP(ClientDB[[#This Row],[Events]],$M$10:$N$13,2,1)</f>
        <v>Bronze</v>
      </c>
    </row>
    <row r="367" spans="1:11" x14ac:dyDescent="0.25">
      <c r="A367" s="25">
        <v>39680</v>
      </c>
      <c r="B367" t="s">
        <v>615</v>
      </c>
      <c r="C367" t="s">
        <v>616</v>
      </c>
      <c r="D367" t="s">
        <v>184</v>
      </c>
      <c r="E367" s="33">
        <v>42483</v>
      </c>
      <c r="F367" t="str">
        <f>LOWER(LEFT(B367,1)&amp;C367&amp;"@"&amp;SUBSTITUTE(D367," ","")&amp;".com")</f>
        <v>whargrave@chirahtechnologies.com</v>
      </c>
      <c r="G367" s="30" t="s">
        <v>45</v>
      </c>
      <c r="H367" s="30">
        <v>4</v>
      </c>
      <c r="I367" s="30" t="str">
        <f>IF(ClientDB[[#This Row],[Start Date]]&gt;=DATE(2017,1,1),"New","")</f>
        <v/>
      </c>
      <c r="J367" s="30" t="str">
        <f>IF(OR(YEAR(ClientDB[[#This Row],[Start Date]])&lt;2013,ClientDB[[#This Row],[Events]]&gt;=15),"Yes","")</f>
        <v/>
      </c>
      <c r="K367" s="30" t="str">
        <f>VLOOKUP(ClientDB[[#This Row],[Events]],$M$10:$N$13,2,1)</f>
        <v>Bronze</v>
      </c>
    </row>
    <row r="368" spans="1:11" x14ac:dyDescent="0.25">
      <c r="A368" s="25">
        <v>39830</v>
      </c>
      <c r="B368" t="s">
        <v>737</v>
      </c>
      <c r="C368" t="s">
        <v>738</v>
      </c>
      <c r="D368" t="s">
        <v>52</v>
      </c>
      <c r="E368" s="33">
        <v>42693</v>
      </c>
      <c r="F368" t="str">
        <f>LOWER(LEFT(B368,1)&amp;C368&amp;"@"&amp;SUBSTITUTE(D368," ","")&amp;".com")</f>
        <v>mkühne@ripplecom.com</v>
      </c>
      <c r="G368" s="30" t="s">
        <v>45</v>
      </c>
      <c r="H368" s="30">
        <v>6</v>
      </c>
      <c r="I368" s="30" t="str">
        <f>IF(ClientDB[[#This Row],[Start Date]]&gt;=DATE(2017,1,1),"New","")</f>
        <v/>
      </c>
      <c r="J368" s="30" t="str">
        <f>IF(OR(YEAR(ClientDB[[#This Row],[Start Date]])&lt;2013,ClientDB[[#This Row],[Events]]&gt;=15),"Yes","")</f>
        <v/>
      </c>
      <c r="K368" s="30" t="str">
        <f>VLOOKUP(ClientDB[[#This Row],[Events]],$M$10:$N$13,2,1)</f>
        <v>Bronze</v>
      </c>
    </row>
  </sheetData>
  <sortState xmlns:xlrd2="http://schemas.microsoft.com/office/spreadsheetml/2017/richdata2" ref="A7:K367">
    <sortCondition ref="A8"/>
  </sortState>
  <conditionalFormatting sqref="A7:A368">
    <cfRule type="duplicateValues" dxfId="27" priority="2"/>
  </conditionalFormatting>
  <conditionalFormatting sqref="A7:K368">
    <cfRule type="expression" dxfId="6" priority="1">
      <formula>AND($G7="GB",$I7="New")</formula>
    </cfRule>
  </conditionalFormatting>
  <dataValidations count="3">
    <dataValidation type="list" allowBlank="1" showInputMessage="1" showErrorMessage="1" sqref="D7:D368" xr:uid="{710298C4-FB78-47AA-B236-19C78BED95D4}">
      <formula1>Organisations</formula1>
    </dataValidation>
    <dataValidation type="list" allowBlank="1" showInputMessage="1" showErrorMessage="1" sqref="G7:G368" xr:uid="{2405E36A-CD68-4C9D-BD8F-92D6D70A7F57}">
      <formula1>Country_Codes</formula1>
    </dataValidation>
    <dataValidation type="custom" allowBlank="1" showInputMessage="1" showErrorMessage="1" sqref="E7:E368" xr:uid="{51760F4B-B35C-4BAA-B696-7341346E5AE9}">
      <formula1>E7&lt;=TODAY()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E6" sqref="E6:E10"/>
    </sheetView>
  </sheetViews>
  <sheetFormatPr defaultColWidth="8.796875" defaultRowHeight="13.8" x14ac:dyDescent="0.25"/>
  <cols>
    <col min="1" max="1" width="23.5" bestFit="1" customWidth="1"/>
    <col min="3" max="3" width="15.09765625" customWidth="1"/>
    <col min="5" max="5" width="13.5" style="30" customWidth="1"/>
  </cols>
  <sheetData>
    <row r="1" spans="1:6" s="2" customFormat="1" x14ac:dyDescent="0.25">
      <c r="A1" s="21"/>
      <c r="E1" s="26"/>
    </row>
    <row r="2" spans="1:6" s="2" customFormat="1" ht="6" customHeight="1" x14ac:dyDescent="0.25">
      <c r="A2" s="22"/>
      <c r="B2" s="3"/>
      <c r="C2" s="3"/>
      <c r="D2" s="3"/>
      <c r="E2" s="27"/>
      <c r="F2"/>
    </row>
    <row r="3" spans="1:6" s="2" customFormat="1" ht="53.25" customHeight="1" x14ac:dyDescent="0.25">
      <c r="A3" s="23" t="s">
        <v>802</v>
      </c>
      <c r="B3" s="4"/>
      <c r="C3" s="4"/>
      <c r="D3" s="4"/>
      <c r="E3" s="28"/>
    </row>
    <row r="4" spans="1:6" s="2" customFormat="1" ht="14.25" customHeight="1" x14ac:dyDescent="0.25">
      <c r="A4" s="22"/>
      <c r="B4" s="3"/>
      <c r="C4" s="3"/>
      <c r="D4" s="3"/>
      <c r="E4" s="27"/>
    </row>
    <row r="5" spans="1:6" x14ac:dyDescent="0.25">
      <c r="A5" s="25"/>
      <c r="C5" s="1"/>
      <c r="D5" s="1"/>
    </row>
    <row r="6" spans="1:6" ht="15.6" x14ac:dyDescent="0.25">
      <c r="A6" s="16" t="s">
        <v>804</v>
      </c>
      <c r="C6" s="24" t="s">
        <v>803</v>
      </c>
      <c r="E6" s="29" t="s">
        <v>809</v>
      </c>
    </row>
    <row r="7" spans="1:6" x14ac:dyDescent="0.25">
      <c r="A7" t="s">
        <v>63</v>
      </c>
      <c r="C7" s="30" t="s">
        <v>185</v>
      </c>
      <c r="E7" s="30" t="s">
        <v>818</v>
      </c>
    </row>
    <row r="8" spans="1:6" x14ac:dyDescent="0.25">
      <c r="A8" t="s">
        <v>188</v>
      </c>
      <c r="C8" s="30" t="s">
        <v>93</v>
      </c>
      <c r="E8" s="30" t="s">
        <v>819</v>
      </c>
    </row>
    <row r="9" spans="1:6" x14ac:dyDescent="0.25">
      <c r="A9" t="s">
        <v>92</v>
      </c>
      <c r="C9" s="30" t="s">
        <v>728</v>
      </c>
      <c r="E9" s="30" t="s">
        <v>820</v>
      </c>
    </row>
    <row r="10" spans="1:6" x14ac:dyDescent="0.25">
      <c r="A10" t="s">
        <v>107</v>
      </c>
      <c r="C10" s="30" t="s">
        <v>41</v>
      </c>
      <c r="E10" s="30" t="s">
        <v>821</v>
      </c>
    </row>
    <row r="11" spans="1:6" x14ac:dyDescent="0.25">
      <c r="A11" t="s">
        <v>99</v>
      </c>
      <c r="C11" s="30" t="s">
        <v>205</v>
      </c>
    </row>
    <row r="12" spans="1:6" x14ac:dyDescent="0.25">
      <c r="A12" t="s">
        <v>184</v>
      </c>
      <c r="C12" s="30" t="s">
        <v>416</v>
      </c>
    </row>
    <row r="13" spans="1:6" x14ac:dyDescent="0.25">
      <c r="A13" t="s">
        <v>44</v>
      </c>
      <c r="C13" s="30" t="s">
        <v>370</v>
      </c>
    </row>
    <row r="14" spans="1:6" x14ac:dyDescent="0.25">
      <c r="A14" t="s">
        <v>138</v>
      </c>
      <c r="C14" s="30" t="s">
        <v>60</v>
      </c>
    </row>
    <row r="15" spans="1:6" x14ac:dyDescent="0.25">
      <c r="A15" t="s">
        <v>179</v>
      </c>
      <c r="C15" s="30" t="s">
        <v>608</v>
      </c>
    </row>
    <row r="16" spans="1:6" x14ac:dyDescent="0.25">
      <c r="A16" t="s">
        <v>335</v>
      </c>
      <c r="C16" s="30" t="s">
        <v>269</v>
      </c>
    </row>
    <row r="17" spans="1:3" x14ac:dyDescent="0.25">
      <c r="A17" t="s">
        <v>295</v>
      </c>
      <c r="C17" s="30" t="s">
        <v>68</v>
      </c>
    </row>
    <row r="18" spans="1:3" x14ac:dyDescent="0.25">
      <c r="A18" t="s">
        <v>40</v>
      </c>
      <c r="C18" s="30" t="s">
        <v>76</v>
      </c>
    </row>
    <row r="19" spans="1:3" x14ac:dyDescent="0.25">
      <c r="A19" t="s">
        <v>59</v>
      </c>
      <c r="C19" s="30" t="s">
        <v>688</v>
      </c>
    </row>
    <row r="20" spans="1:3" x14ac:dyDescent="0.25">
      <c r="A20" t="s">
        <v>150</v>
      </c>
      <c r="C20" s="30" t="s">
        <v>248</v>
      </c>
    </row>
    <row r="21" spans="1:3" x14ac:dyDescent="0.25">
      <c r="A21" t="s">
        <v>96</v>
      </c>
      <c r="C21" s="30" t="s">
        <v>304</v>
      </c>
    </row>
    <row r="22" spans="1:3" x14ac:dyDescent="0.25">
      <c r="A22" t="s">
        <v>147</v>
      </c>
      <c r="C22" s="30" t="s">
        <v>80</v>
      </c>
    </row>
    <row r="23" spans="1:3" x14ac:dyDescent="0.25">
      <c r="A23" t="s">
        <v>451</v>
      </c>
      <c r="C23" s="30" t="s">
        <v>341</v>
      </c>
    </row>
    <row r="24" spans="1:3" x14ac:dyDescent="0.25">
      <c r="A24" t="s">
        <v>459</v>
      </c>
      <c r="C24" s="30" t="s">
        <v>45</v>
      </c>
    </row>
    <row r="25" spans="1:3" x14ac:dyDescent="0.25">
      <c r="A25" t="s">
        <v>126</v>
      </c>
      <c r="C25" s="30" t="s">
        <v>139</v>
      </c>
    </row>
    <row r="26" spans="1:3" x14ac:dyDescent="0.25">
      <c r="A26" t="s">
        <v>48</v>
      </c>
      <c r="C26" s="30" t="s">
        <v>393</v>
      </c>
    </row>
    <row r="27" spans="1:3" x14ac:dyDescent="0.25">
      <c r="A27" t="s">
        <v>159</v>
      </c>
      <c r="C27" s="30" t="s">
        <v>449</v>
      </c>
    </row>
    <row r="28" spans="1:3" x14ac:dyDescent="0.25">
      <c r="A28" t="s">
        <v>263</v>
      </c>
      <c r="C28" s="30" t="s">
        <v>127</v>
      </c>
    </row>
    <row r="29" spans="1:3" x14ac:dyDescent="0.25">
      <c r="A29" t="s">
        <v>130</v>
      </c>
      <c r="C29" s="30" t="s">
        <v>678</v>
      </c>
    </row>
    <row r="30" spans="1:3" x14ac:dyDescent="0.25">
      <c r="A30" t="s">
        <v>325</v>
      </c>
      <c r="C30" s="30" t="s">
        <v>37</v>
      </c>
    </row>
    <row r="31" spans="1:3" x14ac:dyDescent="0.25">
      <c r="A31" t="s">
        <v>167</v>
      </c>
      <c r="C31" s="30" t="s">
        <v>312</v>
      </c>
    </row>
    <row r="32" spans="1:3" x14ac:dyDescent="0.25">
      <c r="A32" t="s">
        <v>71</v>
      </c>
      <c r="C32" s="30" t="s">
        <v>193</v>
      </c>
    </row>
    <row r="33" spans="1:3" x14ac:dyDescent="0.25">
      <c r="A33" t="s">
        <v>104</v>
      </c>
      <c r="C33" s="30" t="s">
        <v>49</v>
      </c>
    </row>
    <row r="34" spans="1:3" x14ac:dyDescent="0.25">
      <c r="A34" t="s">
        <v>144</v>
      </c>
      <c r="C34" s="30" t="s">
        <v>446</v>
      </c>
    </row>
    <row r="35" spans="1:3" x14ac:dyDescent="0.25">
      <c r="A35" t="s">
        <v>135</v>
      </c>
      <c r="C35" s="30" t="s">
        <v>332</v>
      </c>
    </row>
    <row r="36" spans="1:3" x14ac:dyDescent="0.25">
      <c r="A36" t="s">
        <v>67</v>
      </c>
      <c r="C36" s="30" t="s">
        <v>154</v>
      </c>
    </row>
    <row r="37" spans="1:3" x14ac:dyDescent="0.25">
      <c r="A37" t="s">
        <v>338</v>
      </c>
      <c r="C37" s="30" t="s">
        <v>426</v>
      </c>
    </row>
    <row r="38" spans="1:3" x14ac:dyDescent="0.25">
      <c r="A38" t="s">
        <v>36</v>
      </c>
      <c r="C38" s="30" t="s">
        <v>208</v>
      </c>
    </row>
    <row r="39" spans="1:3" x14ac:dyDescent="0.25">
      <c r="A39" t="s">
        <v>52</v>
      </c>
      <c r="C39" s="30" t="s">
        <v>222</v>
      </c>
    </row>
    <row r="40" spans="1:3" x14ac:dyDescent="0.25">
      <c r="A40" t="s">
        <v>113</v>
      </c>
      <c r="C40" s="30" t="s">
        <v>89</v>
      </c>
    </row>
    <row r="41" spans="1:3" x14ac:dyDescent="0.25">
      <c r="A41" t="s">
        <v>211</v>
      </c>
      <c r="C41" s="30" t="s">
        <v>114</v>
      </c>
    </row>
    <row r="42" spans="1:3" x14ac:dyDescent="0.25">
      <c r="A42" t="s">
        <v>289</v>
      </c>
      <c r="C42" s="30" t="s">
        <v>355</v>
      </c>
    </row>
    <row r="43" spans="1:3" x14ac:dyDescent="0.25">
      <c r="A43" t="s">
        <v>123</v>
      </c>
      <c r="C43" s="30" t="s">
        <v>173</v>
      </c>
    </row>
    <row r="44" spans="1:3" x14ac:dyDescent="0.25">
      <c r="A44" t="s">
        <v>266</v>
      </c>
      <c r="C44" s="30" t="s">
        <v>292</v>
      </c>
    </row>
    <row r="45" spans="1:3" x14ac:dyDescent="0.25">
      <c r="A45" t="s">
        <v>172</v>
      </c>
      <c r="C45" s="30" t="s">
        <v>282</v>
      </c>
    </row>
    <row r="46" spans="1:3" x14ac:dyDescent="0.25">
      <c r="A46" t="s">
        <v>196</v>
      </c>
      <c r="C46" s="30" t="s">
        <v>151</v>
      </c>
    </row>
    <row r="47" spans="1:3" x14ac:dyDescent="0.25">
      <c r="A47" t="s">
        <v>221</v>
      </c>
      <c r="C47" s="30" t="s">
        <v>84</v>
      </c>
    </row>
    <row r="48" spans="1:3" x14ac:dyDescent="0.25">
      <c r="A48" t="s">
        <v>83</v>
      </c>
      <c r="C48" s="30" t="s">
        <v>176</v>
      </c>
    </row>
    <row r="49" spans="1:3" x14ac:dyDescent="0.25">
      <c r="A49" t="s">
        <v>55</v>
      </c>
      <c r="C49" s="30" t="s">
        <v>307</v>
      </c>
    </row>
    <row r="50" spans="1:3" x14ac:dyDescent="0.25">
      <c r="A50" t="s">
        <v>75</v>
      </c>
      <c r="C50" s="30" t="s">
        <v>715</v>
      </c>
    </row>
    <row r="51" spans="1:3" x14ac:dyDescent="0.25">
      <c r="A51" t="s">
        <v>164</v>
      </c>
      <c r="C51" s="30" t="s">
        <v>108</v>
      </c>
    </row>
    <row r="52" spans="1:3" x14ac:dyDescent="0.25">
      <c r="A52" t="s">
        <v>79</v>
      </c>
      <c r="C52" s="30" t="s">
        <v>216</v>
      </c>
    </row>
    <row r="53" spans="1:3" x14ac:dyDescent="0.25">
      <c r="C53" s="30" t="s">
        <v>72</v>
      </c>
    </row>
    <row r="54" spans="1:3" x14ac:dyDescent="0.25">
      <c r="C54" s="30" t="s">
        <v>595</v>
      </c>
    </row>
    <row r="55" spans="1:3" x14ac:dyDescent="0.25">
      <c r="C55" s="30" t="s">
        <v>673</v>
      </c>
    </row>
    <row r="56" spans="1:3" x14ac:dyDescent="0.25">
      <c r="C56" s="30" t="s">
        <v>56</v>
      </c>
    </row>
    <row r="57" spans="1:3" x14ac:dyDescent="0.25">
      <c r="C57" s="30" t="s">
        <v>233</v>
      </c>
    </row>
    <row r="58" spans="1:3" x14ac:dyDescent="0.25">
      <c r="C58" s="30" t="s">
        <v>64</v>
      </c>
    </row>
    <row r="59" spans="1:3" x14ac:dyDescent="0.25">
      <c r="C59" s="30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8"/>
  <sheetViews>
    <sheetView workbookViewId="0">
      <selection activeCell="F8" sqref="F8"/>
    </sheetView>
  </sheetViews>
  <sheetFormatPr defaultColWidth="8.796875" defaultRowHeight="13.8" x14ac:dyDescent="0.25"/>
  <cols>
    <col min="1" max="1" width="9.296875" customWidth="1"/>
    <col min="2" max="3" width="12.69921875" customWidth="1"/>
    <col min="4" max="5" width="11" style="30" customWidth="1"/>
    <col min="6" max="6" width="13" style="30" customWidth="1"/>
    <col min="9" max="13" width="9.19921875" style="30" customWidth="1"/>
  </cols>
  <sheetData>
    <row r="1" spans="1:14" s="2" customFormat="1" x14ac:dyDescent="0.25">
      <c r="A1" s="21"/>
      <c r="D1" s="26"/>
      <c r="E1" s="26"/>
      <c r="F1" s="26"/>
      <c r="I1" s="26"/>
      <c r="J1" s="26"/>
      <c r="K1" s="26"/>
      <c r="L1" s="26"/>
      <c r="M1" s="26"/>
    </row>
    <row r="2" spans="1:14" s="2" customFormat="1" ht="6" customHeight="1" x14ac:dyDescent="0.25">
      <c r="A2" s="22"/>
      <c r="B2" s="3"/>
      <c r="C2" s="3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 ht="53.25" customHeight="1" x14ac:dyDescent="0.25">
      <c r="A3" s="23" t="s">
        <v>830</v>
      </c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2" customFormat="1" ht="14.25" customHeight="1" x14ac:dyDescent="0.25">
      <c r="A4" s="22"/>
      <c r="B4" s="3"/>
      <c r="C4" s="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5"/>
      <c r="C5" s="1"/>
      <c r="D5" s="31"/>
      <c r="E5" s="31"/>
    </row>
    <row r="6" spans="1:14" ht="15.6" x14ac:dyDescent="0.25">
      <c r="A6" s="24" t="s">
        <v>800</v>
      </c>
      <c r="B6" s="16" t="s">
        <v>30</v>
      </c>
      <c r="C6" s="16" t="s">
        <v>31</v>
      </c>
      <c r="D6" s="29" t="s">
        <v>33</v>
      </c>
      <c r="E6" s="29" t="s">
        <v>805</v>
      </c>
      <c r="F6" s="29" t="s">
        <v>825</v>
      </c>
    </row>
    <row r="7" spans="1:14" ht="15.6" x14ac:dyDescent="0.25">
      <c r="A7" s="25">
        <v>26537</v>
      </c>
      <c r="B7" t="str">
        <f>VLOOKUP(Attendees[[#This Row],[Client ID]],ClientDB[],2,0)</f>
        <v>Samer</v>
      </c>
      <c r="C7" t="str">
        <f>VLOOKUP(Attendees[[#This Row],[Client ID]],ClientDB[],3,0)</f>
        <v>Abdel-Hafez</v>
      </c>
      <c r="D7" s="30" t="str">
        <f>VLOOKUP(Attendees[[#This Row],[Client ID]],ClientDB[],7,0)</f>
        <v>NL</v>
      </c>
      <c r="E7" s="30" t="str">
        <f>VLOOKUP(Attendees[[#This Row],[Client ID]],ClientDB[],11,0)</f>
        <v>Bronze</v>
      </c>
      <c r="F7" s="30" t="str">
        <f>INDEX($J$12:$M$64,MATCH(Attendees[[#This Row],[Country]],$I$12:$I$64,0),MATCH(Attendees[[#This Row],[Status]],$J$11:$M$11,0))</f>
        <v>F</v>
      </c>
      <c r="H7" s="29" t="s">
        <v>807</v>
      </c>
      <c r="I7" s="29" t="s">
        <v>808</v>
      </c>
      <c r="J7" s="29" t="s">
        <v>806</v>
      </c>
      <c r="K7" s="29" t="s">
        <v>826</v>
      </c>
      <c r="L7" s="29" t="s">
        <v>827</v>
      </c>
      <c r="M7" s="29" t="s">
        <v>828</v>
      </c>
      <c r="N7" s="29" t="s">
        <v>829</v>
      </c>
    </row>
    <row r="8" spans="1:14" x14ac:dyDescent="0.25">
      <c r="A8" s="25">
        <v>15957</v>
      </c>
      <c r="B8" t="str">
        <f>VLOOKUP(Attendees[[#This Row],[Client ID]],ClientDB[],2,0)</f>
        <v>Milad</v>
      </c>
      <c r="C8" t="str">
        <f>VLOOKUP(Attendees[[#This Row],[Client ID]],ClientDB[],3,0)</f>
        <v>Afshari</v>
      </c>
      <c r="D8" s="30" t="str">
        <f>VLOOKUP(Attendees[[#This Row],[Client ID]],ClientDB[],7,0)</f>
        <v>IR</v>
      </c>
      <c r="E8" s="30" t="str">
        <f>VLOOKUP(Attendees[[#This Row],[Client ID]],ClientDB[],11,0)</f>
        <v>Silver</v>
      </c>
      <c r="F8" s="30" t="str">
        <f>INDEX($J$12:$M$64,MATCH(Attendees[[#This Row],[Country]],$I$12:$I$64,0),MATCH(Attendees[[#This Row],[Status]],$J$11:$M$11,0))</f>
        <v>C</v>
      </c>
      <c r="H8" s="51">
        <f t="shared" ref="H8:N8" si="0">COUNTIFS($F$7:$F$97,H7)</f>
        <v>4</v>
      </c>
      <c r="I8" s="51">
        <f t="shared" si="0"/>
        <v>7</v>
      </c>
      <c r="J8" s="51">
        <f t="shared" si="0"/>
        <v>7</v>
      </c>
      <c r="K8" s="51">
        <f t="shared" si="0"/>
        <v>16</v>
      </c>
      <c r="L8" s="51">
        <f t="shared" si="0"/>
        <v>18</v>
      </c>
      <c r="M8" s="51">
        <f t="shared" si="0"/>
        <v>17</v>
      </c>
      <c r="N8" s="51">
        <f t="shared" si="0"/>
        <v>21</v>
      </c>
    </row>
    <row r="9" spans="1:14" x14ac:dyDescent="0.25">
      <c r="A9" s="25">
        <v>23449</v>
      </c>
      <c r="B9" t="str">
        <f>VLOOKUP(Attendees[[#This Row],[Client ID]],ClientDB[],2,0)</f>
        <v>Salman</v>
      </c>
      <c r="C9" t="str">
        <f>VLOOKUP(Attendees[[#This Row],[Client ID]],ClientDB[],3,0)</f>
        <v>Ahmed</v>
      </c>
      <c r="D9" s="30" t="str">
        <f>VLOOKUP(Attendees[[#This Row],[Client ID]],ClientDB[],7,0)</f>
        <v>SA</v>
      </c>
      <c r="E9" s="30" t="str">
        <f>VLOOKUP(Attendees[[#This Row],[Client ID]],ClientDB[],11,0)</f>
        <v>Bronze</v>
      </c>
      <c r="F9" s="30" t="str">
        <f>INDEX($J$12:$M$64,MATCH(Attendees[[#This Row],[Country]],$I$12:$I$64,0),MATCH(Attendees[[#This Row],[Status]],$J$11:$M$11,0))</f>
        <v>G</v>
      </c>
    </row>
    <row r="10" spans="1:14" x14ac:dyDescent="0.25">
      <c r="A10" s="25">
        <v>31145</v>
      </c>
      <c r="B10" t="str">
        <f>VLOOKUP(Attendees[[#This Row],[Client ID]],ClientDB[],2,0)</f>
        <v>Sohaib</v>
      </c>
      <c r="C10" t="str">
        <f>VLOOKUP(Attendees[[#This Row],[Client ID]],ClientDB[],3,0)</f>
        <v>Ahmed</v>
      </c>
      <c r="D10" s="30" t="str">
        <f>VLOOKUP(Attendees[[#This Row],[Client ID]],ClientDB[],7,0)</f>
        <v>GB</v>
      </c>
      <c r="E10" s="30" t="str">
        <f>VLOOKUP(Attendees[[#This Row],[Client ID]],ClientDB[],11,0)</f>
        <v>Bronze</v>
      </c>
      <c r="F10" s="30" t="str">
        <f>INDEX($J$12:$M$64,MATCH(Attendees[[#This Row],[Country]],$I$12:$I$64,0),MATCH(Attendees[[#This Row],[Status]],$J$11:$M$11,0))</f>
        <v>E</v>
      </c>
      <c r="I10" s="52" t="s">
        <v>831</v>
      </c>
      <c r="J10" s="52">
        <f>COUNTIFS(Attendees[Status],J11)</f>
        <v>72</v>
      </c>
      <c r="K10" s="52">
        <f>COUNTIFS(Attendees[Status],K11)</f>
        <v>14</v>
      </c>
      <c r="L10" s="52">
        <f>COUNTIFS(Attendees[Status],L11)</f>
        <v>4</v>
      </c>
      <c r="M10" s="52">
        <f>COUNTIFS(Attendees[Status],M11)</f>
        <v>0</v>
      </c>
      <c r="N10" s="53">
        <f>SUM(J10:M10)</f>
        <v>90</v>
      </c>
    </row>
    <row r="11" spans="1:14" ht="16.2" thickBot="1" x14ac:dyDescent="0.3">
      <c r="A11" s="25">
        <v>21397</v>
      </c>
      <c r="B11" t="str">
        <f>VLOOKUP(Attendees[[#This Row],[Client ID]],ClientDB[],2,0)</f>
        <v>Habib</v>
      </c>
      <c r="C11" t="str">
        <f>VLOOKUP(Attendees[[#This Row],[Client ID]],ClientDB[],3,0)</f>
        <v>Al Balushi</v>
      </c>
      <c r="D11" s="30" t="str">
        <f>VLOOKUP(Attendees[[#This Row],[Client ID]],ClientDB[],7,0)</f>
        <v>OM</v>
      </c>
      <c r="E11" s="30" t="str">
        <f>VLOOKUP(Attendees[[#This Row],[Client ID]],ClientDB[],11,0)</f>
        <v>Bronze</v>
      </c>
      <c r="F11" s="30" t="str">
        <f>INDEX($J$12:$M$64,MATCH(Attendees[[#This Row],[Country]],$I$12:$I$64,0),MATCH(Attendees[[#This Row],[Status]],$J$11:$M$11,0))</f>
        <v>F</v>
      </c>
      <c r="I11" s="29" t="s">
        <v>33</v>
      </c>
      <c r="J11" s="29" t="s">
        <v>818</v>
      </c>
      <c r="K11" s="29" t="s">
        <v>819</v>
      </c>
      <c r="L11" s="29" t="s">
        <v>820</v>
      </c>
      <c r="M11" s="29" t="s">
        <v>821</v>
      </c>
    </row>
    <row r="12" spans="1:14" x14ac:dyDescent="0.25">
      <c r="A12" s="25">
        <v>22329</v>
      </c>
      <c r="B12" t="str">
        <f>VLOOKUP(Attendees[[#This Row],[Client ID]],ClientDB[],2,0)</f>
        <v>Badar</v>
      </c>
      <c r="C12" t="str">
        <f>VLOOKUP(Attendees[[#This Row],[Client ID]],ClientDB[],3,0)</f>
        <v>Al Mamari</v>
      </c>
      <c r="D12" s="30" t="str">
        <f>VLOOKUP(Attendees[[#This Row],[Client ID]],ClientDB[],7,0)</f>
        <v>OM</v>
      </c>
      <c r="E12" s="30" t="str">
        <f>VLOOKUP(Attendees[[#This Row],[Client ID]],ClientDB[],11,0)</f>
        <v>Silver</v>
      </c>
      <c r="F12" s="30" t="str">
        <f>INDEX($J$12:$M$64,MATCH(Attendees[[#This Row],[Country]],$I$12:$I$64,0),MATCH(Attendees[[#This Row],[Status]],$J$11:$M$11,0))</f>
        <v>C</v>
      </c>
      <c r="I12" s="36" t="s">
        <v>185</v>
      </c>
      <c r="J12" s="44" t="s">
        <v>826</v>
      </c>
      <c r="K12" s="44" t="s">
        <v>808</v>
      </c>
      <c r="L12" s="44" t="s">
        <v>807</v>
      </c>
      <c r="M12" s="37" t="s">
        <v>807</v>
      </c>
    </row>
    <row r="13" spans="1:14" x14ac:dyDescent="0.25">
      <c r="A13" s="25">
        <v>28005</v>
      </c>
      <c r="B13" t="str">
        <f>VLOOKUP(Attendees[[#This Row],[Client ID]],ClientDB[],2,0)</f>
        <v>Ahmed</v>
      </c>
      <c r="C13" t="str">
        <f>VLOOKUP(Attendees[[#This Row],[Client ID]],ClientDB[],3,0)</f>
        <v>Alawadhi</v>
      </c>
      <c r="D13" s="30" t="str">
        <f>VLOOKUP(Attendees[[#This Row],[Client ID]],ClientDB[],7,0)</f>
        <v>AE</v>
      </c>
      <c r="E13" s="30" t="str">
        <f>VLOOKUP(Attendees[[#This Row],[Client ID]],ClientDB[],11,0)</f>
        <v>Bronze</v>
      </c>
      <c r="F13" s="30" t="str">
        <f>INDEX($J$12:$M$64,MATCH(Attendees[[#This Row],[Country]],$I$12:$I$64,0),MATCH(Attendees[[#This Row],[Status]],$J$11:$M$11,0))</f>
        <v>D</v>
      </c>
      <c r="I13" s="38" t="s">
        <v>93</v>
      </c>
      <c r="J13" s="46" t="s">
        <v>826</v>
      </c>
      <c r="K13" s="46" t="s">
        <v>808</v>
      </c>
      <c r="L13" s="46" t="s">
        <v>807</v>
      </c>
      <c r="M13" s="39" t="s">
        <v>807</v>
      </c>
    </row>
    <row r="14" spans="1:14" x14ac:dyDescent="0.25">
      <c r="A14" s="25">
        <v>17637</v>
      </c>
      <c r="B14" t="str">
        <f>VLOOKUP(Attendees[[#This Row],[Client ID]],ClientDB[],2,0)</f>
        <v>Fatima</v>
      </c>
      <c r="C14" t="str">
        <f>VLOOKUP(Attendees[[#This Row],[Client ID]],ClientDB[],3,0)</f>
        <v>AlDaghar</v>
      </c>
      <c r="D14" s="30" t="str">
        <f>VLOOKUP(Attendees[[#This Row],[Client ID]],ClientDB[],7,0)</f>
        <v>AE</v>
      </c>
      <c r="E14" s="30" t="str">
        <f>VLOOKUP(Attendees[[#This Row],[Client ID]],ClientDB[],11,0)</f>
        <v>Bronze</v>
      </c>
      <c r="F14" s="30" t="str">
        <f>INDEX($J$12:$M$64,MATCH(Attendees[[#This Row],[Country]],$I$12:$I$64,0),MATCH(Attendees[[#This Row],[Status]],$J$11:$M$11,0))</f>
        <v>D</v>
      </c>
      <c r="I14" s="38" t="s">
        <v>728</v>
      </c>
      <c r="J14" s="46" t="s">
        <v>826</v>
      </c>
      <c r="K14" s="46" t="s">
        <v>808</v>
      </c>
      <c r="L14" s="46" t="s">
        <v>807</v>
      </c>
      <c r="M14" s="39" t="s">
        <v>807</v>
      </c>
    </row>
    <row r="15" spans="1:14" x14ac:dyDescent="0.25">
      <c r="A15" s="25">
        <v>28781</v>
      </c>
      <c r="B15" t="str">
        <f>VLOOKUP(Attendees[[#This Row],[Client ID]],ClientDB[],2,0)</f>
        <v>Ahmed</v>
      </c>
      <c r="C15" t="str">
        <f>VLOOKUP(Attendees[[#This Row],[Client ID]],ClientDB[],3,0)</f>
        <v>Aleroud</v>
      </c>
      <c r="D15" s="30" t="str">
        <f>VLOOKUP(Attendees[[#This Row],[Client ID]],ClientDB[],7,0)</f>
        <v>JO</v>
      </c>
      <c r="E15" s="30" t="str">
        <f>VLOOKUP(Attendees[[#This Row],[Client ID]],ClientDB[],11,0)</f>
        <v>Bronze</v>
      </c>
      <c r="F15" s="30" t="str">
        <f>INDEX($J$12:$M$64,MATCH(Attendees[[#This Row],[Country]],$I$12:$I$64,0),MATCH(Attendees[[#This Row],[Status]],$J$11:$M$11,0))</f>
        <v>F</v>
      </c>
      <c r="I15" s="38" t="s">
        <v>41</v>
      </c>
      <c r="J15" s="46" t="s">
        <v>826</v>
      </c>
      <c r="K15" s="46" t="s">
        <v>808</v>
      </c>
      <c r="L15" s="46" t="s">
        <v>807</v>
      </c>
      <c r="M15" s="39" t="s">
        <v>807</v>
      </c>
    </row>
    <row r="16" spans="1:14" x14ac:dyDescent="0.25">
      <c r="A16" s="25">
        <v>25957</v>
      </c>
      <c r="B16" t="str">
        <f>VLOOKUP(Attendees[[#This Row],[Client ID]],ClientDB[],2,0)</f>
        <v>Christopher</v>
      </c>
      <c r="C16" t="str">
        <f>VLOOKUP(Attendees[[#This Row],[Client ID]],ClientDB[],3,0)</f>
        <v>Amin</v>
      </c>
      <c r="D16" s="30" t="str">
        <f>VLOOKUP(Attendees[[#This Row],[Client ID]],ClientDB[],7,0)</f>
        <v>GB</v>
      </c>
      <c r="E16" s="30" t="str">
        <f>VLOOKUP(Attendees[[#This Row],[Client ID]],ClientDB[],11,0)</f>
        <v>Bronze</v>
      </c>
      <c r="F16" s="30" t="str">
        <f>INDEX($J$12:$M$64,MATCH(Attendees[[#This Row],[Country]],$I$12:$I$64,0),MATCH(Attendees[[#This Row],[Status]],$J$11:$M$11,0))</f>
        <v>E</v>
      </c>
      <c r="I16" s="38" t="s">
        <v>205</v>
      </c>
      <c r="J16" s="46" t="s">
        <v>826</v>
      </c>
      <c r="K16" s="46" t="s">
        <v>808</v>
      </c>
      <c r="L16" s="46" t="s">
        <v>807</v>
      </c>
      <c r="M16" s="39" t="s">
        <v>807</v>
      </c>
    </row>
    <row r="17" spans="1:13" x14ac:dyDescent="0.25">
      <c r="A17" s="25">
        <v>12141</v>
      </c>
      <c r="B17" t="str">
        <f>VLOOKUP(Attendees[[#This Row],[Client ID]],ClientDB[],2,0)</f>
        <v>Sepehr</v>
      </c>
      <c r="C17" t="str">
        <f>VLOOKUP(Attendees[[#This Row],[Client ID]],ClientDB[],3,0)</f>
        <v>Ashoori</v>
      </c>
      <c r="D17" s="30" t="str">
        <f>VLOOKUP(Attendees[[#This Row],[Client ID]],ClientDB[],7,0)</f>
        <v>IR</v>
      </c>
      <c r="E17" s="30" t="str">
        <f>VLOOKUP(Attendees[[#This Row],[Client ID]],ClientDB[],11,0)</f>
        <v>Bronze</v>
      </c>
      <c r="F17" s="30" t="str">
        <f>INDEX($J$12:$M$64,MATCH(Attendees[[#This Row],[Country]],$I$12:$I$64,0),MATCH(Attendees[[#This Row],[Status]],$J$11:$M$11,0))</f>
        <v>F</v>
      </c>
      <c r="I17" s="38" t="s">
        <v>416</v>
      </c>
      <c r="J17" s="46" t="s">
        <v>826</v>
      </c>
      <c r="K17" s="46" t="s">
        <v>808</v>
      </c>
      <c r="L17" s="46" t="s">
        <v>807</v>
      </c>
      <c r="M17" s="39" t="s">
        <v>807</v>
      </c>
    </row>
    <row r="18" spans="1:13" x14ac:dyDescent="0.25">
      <c r="A18" s="25">
        <v>31981</v>
      </c>
      <c r="B18" t="str">
        <f>VLOOKUP(Attendees[[#This Row],[Client ID]],ClientDB[],2,0)</f>
        <v>Oleksandra</v>
      </c>
      <c r="C18" t="str">
        <f>VLOOKUP(Attendees[[#This Row],[Client ID]],ClientDB[],3,0)</f>
        <v>Askochenska</v>
      </c>
      <c r="D18" s="30" t="str">
        <f>VLOOKUP(Attendees[[#This Row],[Client ID]],ClientDB[],7,0)</f>
        <v>UA</v>
      </c>
      <c r="E18" s="30" t="str">
        <f>VLOOKUP(Attendees[[#This Row],[Client ID]],ClientDB[],11,0)</f>
        <v>Bronze</v>
      </c>
      <c r="F18" s="30" t="str">
        <f>INDEX($J$12:$M$64,MATCH(Attendees[[#This Row],[Country]],$I$12:$I$64,0),MATCH(Attendees[[#This Row],[Status]],$J$11:$M$11,0))</f>
        <v>G</v>
      </c>
      <c r="I18" s="38" t="s">
        <v>370</v>
      </c>
      <c r="J18" s="46" t="s">
        <v>826</v>
      </c>
      <c r="K18" s="46" t="s">
        <v>808</v>
      </c>
      <c r="L18" s="46" t="s">
        <v>807</v>
      </c>
      <c r="M18" s="39" t="s">
        <v>807</v>
      </c>
    </row>
    <row r="19" spans="1:13" x14ac:dyDescent="0.25">
      <c r="A19" s="25">
        <v>21037</v>
      </c>
      <c r="B19" t="str">
        <f>VLOOKUP(Attendees[[#This Row],[Client ID]],ClientDB[],2,0)</f>
        <v>Iryna</v>
      </c>
      <c r="C19" t="str">
        <f>VLOOKUP(Attendees[[#This Row],[Client ID]],ClientDB[],3,0)</f>
        <v>Babych</v>
      </c>
      <c r="D19" s="30" t="str">
        <f>VLOOKUP(Attendees[[#This Row],[Client ID]],ClientDB[],7,0)</f>
        <v>UA</v>
      </c>
      <c r="E19" s="30" t="str">
        <f>VLOOKUP(Attendees[[#This Row],[Client ID]],ClientDB[],11,0)</f>
        <v>Silver</v>
      </c>
      <c r="F19" s="30" t="str">
        <f>INDEX($J$12:$M$64,MATCH(Attendees[[#This Row],[Country]],$I$12:$I$64,0),MATCH(Attendees[[#This Row],[Status]],$J$11:$M$11,0))</f>
        <v>C</v>
      </c>
      <c r="I19" s="38" t="s">
        <v>60</v>
      </c>
      <c r="J19" s="46" t="s">
        <v>826</v>
      </c>
      <c r="K19" s="46" t="s">
        <v>808</v>
      </c>
      <c r="L19" s="46" t="s">
        <v>807</v>
      </c>
      <c r="M19" s="39" t="s">
        <v>807</v>
      </c>
    </row>
    <row r="20" spans="1:13" x14ac:dyDescent="0.25">
      <c r="A20" s="25">
        <v>32133</v>
      </c>
      <c r="B20" t="str">
        <f>VLOOKUP(Attendees[[#This Row],[Client ID]],ClientDB[],2,0)</f>
        <v>Mirza Junaid</v>
      </c>
      <c r="C20" t="str">
        <f>VLOOKUP(Attendees[[#This Row],[Client ID]],ClientDB[],3,0)</f>
        <v>Baig</v>
      </c>
      <c r="D20" s="30" t="str">
        <f>VLOOKUP(Attendees[[#This Row],[Client ID]],ClientDB[],7,0)</f>
        <v>KW</v>
      </c>
      <c r="E20" s="30" t="str">
        <f>VLOOKUP(Attendees[[#This Row],[Client ID]],ClientDB[],11,0)</f>
        <v>Bronze</v>
      </c>
      <c r="F20" s="30" t="str">
        <f>INDEX($J$12:$M$64,MATCH(Attendees[[#This Row],[Country]],$I$12:$I$64,0),MATCH(Attendees[[#This Row],[Status]],$J$11:$M$11,0))</f>
        <v>F</v>
      </c>
      <c r="I20" s="38" t="s">
        <v>608</v>
      </c>
      <c r="J20" s="46" t="s">
        <v>826</v>
      </c>
      <c r="K20" s="46" t="s">
        <v>808</v>
      </c>
      <c r="L20" s="46" t="s">
        <v>807</v>
      </c>
      <c r="M20" s="39" t="s">
        <v>807</v>
      </c>
    </row>
    <row r="21" spans="1:13" x14ac:dyDescent="0.25">
      <c r="A21" s="25">
        <v>24841</v>
      </c>
      <c r="B21" t="str">
        <f>VLOOKUP(Attendees[[#This Row],[Client ID]],ClientDB[],2,0)</f>
        <v>Sandoche</v>
      </c>
      <c r="C21" t="str">
        <f>VLOOKUP(Attendees[[#This Row],[Client ID]],ClientDB[],3,0)</f>
        <v>Balakrichenan</v>
      </c>
      <c r="D21" s="30" t="str">
        <f>VLOOKUP(Attendees[[#This Row],[Client ID]],ClientDB[],7,0)</f>
        <v>FR</v>
      </c>
      <c r="E21" s="30" t="str">
        <f>VLOOKUP(Attendees[[#This Row],[Client ID]],ClientDB[],11,0)</f>
        <v>Bronze</v>
      </c>
      <c r="F21" s="30" t="str">
        <f>INDEX($J$12:$M$64,MATCH(Attendees[[#This Row],[Country]],$I$12:$I$64,0),MATCH(Attendees[[#This Row],[Status]],$J$11:$M$11,0))</f>
        <v>D</v>
      </c>
      <c r="I21" s="38" t="s">
        <v>269</v>
      </c>
      <c r="J21" s="46" t="s">
        <v>826</v>
      </c>
      <c r="K21" s="46" t="s">
        <v>808</v>
      </c>
      <c r="L21" s="46" t="s">
        <v>807</v>
      </c>
      <c r="M21" s="39" t="s">
        <v>807</v>
      </c>
    </row>
    <row r="22" spans="1:13" x14ac:dyDescent="0.25">
      <c r="A22" s="25">
        <v>34625</v>
      </c>
      <c r="B22" t="str">
        <f>VLOOKUP(Attendees[[#This Row],[Client ID]],ClientDB[],2,0)</f>
        <v>Andrei Eric</v>
      </c>
      <c r="C22" t="str">
        <f>VLOOKUP(Attendees[[#This Row],[Client ID]],ClientDB[],3,0)</f>
        <v>Băleanu</v>
      </c>
      <c r="D22" s="30" t="str">
        <f>VLOOKUP(Attendees[[#This Row],[Client ID]],ClientDB[],7,0)</f>
        <v>RO</v>
      </c>
      <c r="E22" s="30" t="str">
        <f>VLOOKUP(Attendees[[#This Row],[Client ID]],ClientDB[],11,0)</f>
        <v>Bronze</v>
      </c>
      <c r="F22" s="30" t="str">
        <f>INDEX($J$12:$M$64,MATCH(Attendees[[#This Row],[Country]],$I$12:$I$64,0),MATCH(Attendees[[#This Row],[Status]],$J$11:$M$11,0))</f>
        <v>G</v>
      </c>
      <c r="I22" s="38" t="s">
        <v>68</v>
      </c>
      <c r="J22" s="46" t="s">
        <v>826</v>
      </c>
      <c r="K22" s="46" t="s">
        <v>808</v>
      </c>
      <c r="L22" s="46" t="s">
        <v>807</v>
      </c>
      <c r="M22" s="39" t="s">
        <v>807</v>
      </c>
    </row>
    <row r="23" spans="1:13" x14ac:dyDescent="0.25">
      <c r="A23" s="25">
        <v>15329</v>
      </c>
      <c r="B23" t="str">
        <f>VLOOKUP(Attendees[[#This Row],[Client ID]],ClientDB[],2,0)</f>
        <v>Ihor</v>
      </c>
      <c r="C23" t="str">
        <f>VLOOKUP(Attendees[[#This Row],[Client ID]],ClientDB[],3,0)</f>
        <v>Baranovskyi</v>
      </c>
      <c r="D23" s="30" t="str">
        <f>VLOOKUP(Attendees[[#This Row],[Client ID]],ClientDB[],7,0)</f>
        <v>UA</v>
      </c>
      <c r="E23" s="30" t="str">
        <f>VLOOKUP(Attendees[[#This Row],[Client ID]],ClientDB[],11,0)</f>
        <v>Bronze</v>
      </c>
      <c r="F23" s="30" t="str">
        <f>INDEX($J$12:$M$64,MATCH(Attendees[[#This Row],[Country]],$I$12:$I$64,0),MATCH(Attendees[[#This Row],[Status]],$J$11:$M$11,0))</f>
        <v>G</v>
      </c>
      <c r="I23" s="38" t="s">
        <v>76</v>
      </c>
      <c r="J23" s="46" t="s">
        <v>826</v>
      </c>
      <c r="K23" s="46" t="s">
        <v>808</v>
      </c>
      <c r="L23" s="46" t="s">
        <v>807</v>
      </c>
      <c r="M23" s="39" t="s">
        <v>807</v>
      </c>
    </row>
    <row r="24" spans="1:13" x14ac:dyDescent="0.25">
      <c r="A24" s="25">
        <v>32957</v>
      </c>
      <c r="B24" t="str">
        <f>VLOOKUP(Attendees[[#This Row],[Client ID]],ClientDB[],2,0)</f>
        <v>Andrew</v>
      </c>
      <c r="C24" t="str">
        <f>VLOOKUP(Attendees[[#This Row],[Client ID]],ClientDB[],3,0)</f>
        <v>Baskett</v>
      </c>
      <c r="D24" s="30" t="str">
        <f>VLOOKUP(Attendees[[#This Row],[Client ID]],ClientDB[],7,0)</f>
        <v>US</v>
      </c>
      <c r="E24" s="30" t="str">
        <f>VLOOKUP(Attendees[[#This Row],[Client ID]],ClientDB[],11,0)</f>
        <v>Bronze</v>
      </c>
      <c r="F24" s="30" t="str">
        <f>INDEX($J$12:$M$64,MATCH(Attendees[[#This Row],[Country]],$I$12:$I$64,0),MATCH(Attendees[[#This Row],[Status]],$J$11:$M$11,0))</f>
        <v>G</v>
      </c>
      <c r="I24" s="38" t="s">
        <v>688</v>
      </c>
      <c r="J24" s="46" t="s">
        <v>826</v>
      </c>
      <c r="K24" s="46" t="s">
        <v>808</v>
      </c>
      <c r="L24" s="46" t="s">
        <v>807</v>
      </c>
      <c r="M24" s="39" t="s">
        <v>807</v>
      </c>
    </row>
    <row r="25" spans="1:13" x14ac:dyDescent="0.25">
      <c r="A25" s="25">
        <v>19381</v>
      </c>
      <c r="B25" t="str">
        <f>VLOOKUP(Attendees[[#This Row],[Client ID]],ClientDB[],2,0)</f>
        <v>Nils</v>
      </c>
      <c r="C25" t="str">
        <f>VLOOKUP(Attendees[[#This Row],[Client ID]],ClientDB[],3,0)</f>
        <v>Beyrle</v>
      </c>
      <c r="D25" s="30" t="str">
        <f>VLOOKUP(Attendees[[#This Row],[Client ID]],ClientDB[],7,0)</f>
        <v>DE</v>
      </c>
      <c r="E25" s="30" t="str">
        <f>VLOOKUP(Attendees[[#This Row],[Client ID]],ClientDB[],11,0)</f>
        <v>Bronze</v>
      </c>
      <c r="F25" s="30" t="str">
        <f>INDEX($J$12:$M$64,MATCH(Attendees[[#This Row],[Country]],$I$12:$I$64,0),MATCH(Attendees[[#This Row],[Status]],$J$11:$M$11,0))</f>
        <v>D</v>
      </c>
      <c r="I25" s="38" t="s">
        <v>248</v>
      </c>
      <c r="J25" s="46" t="s">
        <v>826</v>
      </c>
      <c r="K25" s="46" t="s">
        <v>808</v>
      </c>
      <c r="L25" s="46" t="s">
        <v>807</v>
      </c>
      <c r="M25" s="39" t="s">
        <v>807</v>
      </c>
    </row>
    <row r="26" spans="1:13" x14ac:dyDescent="0.25">
      <c r="A26" s="25">
        <v>19009</v>
      </c>
      <c r="B26" t="str">
        <f>VLOOKUP(Attendees[[#This Row],[Client ID]],ClientDB[],2,0)</f>
        <v>Frank</v>
      </c>
      <c r="C26" t="str">
        <f>VLOOKUP(Attendees[[#This Row],[Client ID]],ClientDB[],3,0)</f>
        <v>Blankman</v>
      </c>
      <c r="D26" s="30" t="str">
        <f>VLOOKUP(Attendees[[#This Row],[Client ID]],ClientDB[],7,0)</f>
        <v>NL</v>
      </c>
      <c r="E26" s="30" t="str">
        <f>VLOOKUP(Attendees[[#This Row],[Client ID]],ClientDB[],11,0)</f>
        <v>Bronze</v>
      </c>
      <c r="F26" s="30" t="str">
        <f>INDEX($J$12:$M$64,MATCH(Attendees[[#This Row],[Country]],$I$12:$I$64,0),MATCH(Attendees[[#This Row],[Status]],$J$11:$M$11,0))</f>
        <v>F</v>
      </c>
      <c r="I26" s="38" t="s">
        <v>304</v>
      </c>
      <c r="J26" s="46" t="s">
        <v>826</v>
      </c>
      <c r="K26" s="46" t="s">
        <v>808</v>
      </c>
      <c r="L26" s="46" t="s">
        <v>807</v>
      </c>
      <c r="M26" s="39" t="s">
        <v>807</v>
      </c>
    </row>
    <row r="27" spans="1:13" x14ac:dyDescent="0.25">
      <c r="A27" s="25">
        <v>31657</v>
      </c>
      <c r="B27" t="str">
        <f>VLOOKUP(Attendees[[#This Row],[Client ID]],ClientDB[],2,0)</f>
        <v>Marco</v>
      </c>
      <c r="C27" t="str">
        <f>VLOOKUP(Attendees[[#This Row],[Client ID]],ClientDB[],3,0)</f>
        <v>Brandstaetter</v>
      </c>
      <c r="D27" s="30" t="str">
        <f>VLOOKUP(Attendees[[#This Row],[Client ID]],ClientDB[],7,0)</f>
        <v>AT</v>
      </c>
      <c r="E27" s="30" t="str">
        <f>VLOOKUP(Attendees[[#This Row],[Client ID]],ClientDB[],11,0)</f>
        <v>Bronze</v>
      </c>
      <c r="F27" s="30" t="str">
        <f>INDEX($J$12:$M$64,MATCH(Attendees[[#This Row],[Country]],$I$12:$I$64,0),MATCH(Attendees[[#This Row],[Status]],$J$11:$M$11,0))</f>
        <v>D</v>
      </c>
      <c r="I27" s="38" t="s">
        <v>80</v>
      </c>
      <c r="J27" s="46" t="s">
        <v>826</v>
      </c>
      <c r="K27" s="46" t="s">
        <v>808</v>
      </c>
      <c r="L27" s="46" t="s">
        <v>807</v>
      </c>
      <c r="M27" s="39" t="s">
        <v>807</v>
      </c>
    </row>
    <row r="28" spans="1:13" x14ac:dyDescent="0.25">
      <c r="A28" s="25">
        <v>21701</v>
      </c>
      <c r="B28" t="str">
        <f>VLOOKUP(Attendees[[#This Row],[Client ID]],ClientDB[],2,0)</f>
        <v>Juan</v>
      </c>
      <c r="C28" t="str">
        <f>VLOOKUP(Attendees[[#This Row],[Client ID]],ClientDB[],3,0)</f>
        <v>Brenes</v>
      </c>
      <c r="D28" s="30" t="str">
        <f>VLOOKUP(Attendees[[#This Row],[Client ID]],ClientDB[],7,0)</f>
        <v>ES</v>
      </c>
      <c r="E28" s="30" t="str">
        <f>VLOOKUP(Attendees[[#This Row],[Client ID]],ClientDB[],11,0)</f>
        <v>Bronze</v>
      </c>
      <c r="F28" s="30" t="str">
        <f>INDEX($J$12:$M$64,MATCH(Attendees[[#This Row],[Country]],$I$12:$I$64,0),MATCH(Attendees[[#This Row],[Status]],$J$11:$M$11,0))</f>
        <v>D</v>
      </c>
      <c r="I28" s="38" t="s">
        <v>341</v>
      </c>
      <c r="J28" s="46" t="s">
        <v>826</v>
      </c>
      <c r="K28" s="46" t="s">
        <v>808</v>
      </c>
      <c r="L28" s="46" t="s">
        <v>807</v>
      </c>
      <c r="M28" s="39" t="s">
        <v>807</v>
      </c>
    </row>
    <row r="29" spans="1:13" x14ac:dyDescent="0.25">
      <c r="A29" s="25">
        <v>25709</v>
      </c>
      <c r="B29" t="str">
        <f>VLOOKUP(Attendees[[#This Row],[Client ID]],ClientDB[],2,0)</f>
        <v>Chris</v>
      </c>
      <c r="C29" t="str">
        <f>VLOOKUP(Attendees[[#This Row],[Client ID]],ClientDB[],3,0)</f>
        <v>Buckridge</v>
      </c>
      <c r="D29" s="30" t="str">
        <f>VLOOKUP(Attendees[[#This Row],[Client ID]],ClientDB[],7,0)</f>
        <v>GB</v>
      </c>
      <c r="E29" s="30" t="str">
        <f>VLOOKUP(Attendees[[#This Row],[Client ID]],ClientDB[],11,0)</f>
        <v>Bronze</v>
      </c>
      <c r="F29" s="30" t="str">
        <f>INDEX($J$12:$M$64,MATCH(Attendees[[#This Row],[Country]],$I$12:$I$64,0),MATCH(Attendees[[#This Row],[Status]],$J$11:$M$11,0))</f>
        <v>E</v>
      </c>
      <c r="I29" s="38" t="s">
        <v>45</v>
      </c>
      <c r="J29" s="46" t="s">
        <v>827</v>
      </c>
      <c r="K29" s="46" t="s">
        <v>808</v>
      </c>
      <c r="L29" s="46" t="s">
        <v>807</v>
      </c>
      <c r="M29" s="39" t="s">
        <v>807</v>
      </c>
    </row>
    <row r="30" spans="1:13" x14ac:dyDescent="0.25">
      <c r="A30" s="25">
        <v>30197</v>
      </c>
      <c r="B30" t="str">
        <f>VLOOKUP(Attendees[[#This Row],[Client ID]],ClientDB[],2,0)</f>
        <v>Massimo</v>
      </c>
      <c r="C30" t="str">
        <f>VLOOKUP(Attendees[[#This Row],[Client ID]],ClientDB[],3,0)</f>
        <v>Candela</v>
      </c>
      <c r="D30" s="30" t="str">
        <f>VLOOKUP(Attendees[[#This Row],[Client ID]],ClientDB[],7,0)</f>
        <v>GB</v>
      </c>
      <c r="E30" s="30" t="str">
        <f>VLOOKUP(Attendees[[#This Row],[Client ID]],ClientDB[],11,0)</f>
        <v>Bronze</v>
      </c>
      <c r="F30" s="30" t="str">
        <f>INDEX($J$12:$M$64,MATCH(Attendees[[#This Row],[Country]],$I$12:$I$64,0),MATCH(Attendees[[#This Row],[Status]],$J$11:$M$11,0))</f>
        <v>E</v>
      </c>
      <c r="I30" s="38" t="s">
        <v>139</v>
      </c>
      <c r="J30" s="46" t="s">
        <v>827</v>
      </c>
      <c r="K30" s="46" t="s">
        <v>806</v>
      </c>
      <c r="L30" s="46" t="s">
        <v>807</v>
      </c>
      <c r="M30" s="39" t="s">
        <v>807</v>
      </c>
    </row>
    <row r="31" spans="1:13" x14ac:dyDescent="0.25">
      <c r="A31" s="25">
        <v>36573</v>
      </c>
      <c r="B31" t="str">
        <f>VLOOKUP(Attendees[[#This Row],[Client ID]],ClientDB[],2,0)</f>
        <v>Hadi</v>
      </c>
      <c r="C31" t="str">
        <f>VLOOKUP(Attendees[[#This Row],[Client ID]],ClientDB[],3,0)</f>
        <v>Davari Dolatabadi</v>
      </c>
      <c r="D31" s="30" t="str">
        <f>VLOOKUP(Attendees[[#This Row],[Client ID]],ClientDB[],7,0)</f>
        <v>IR</v>
      </c>
      <c r="E31" s="30" t="str">
        <f>VLOOKUP(Attendees[[#This Row],[Client ID]],ClientDB[],11,0)</f>
        <v>Bronze</v>
      </c>
      <c r="F31" s="30" t="str">
        <f>INDEX($J$12:$M$64,MATCH(Attendees[[#This Row],[Country]],$I$12:$I$64,0),MATCH(Attendees[[#This Row],[Status]],$J$11:$M$11,0))</f>
        <v>F</v>
      </c>
      <c r="I31" s="38" t="s">
        <v>393</v>
      </c>
      <c r="J31" s="46" t="s">
        <v>827</v>
      </c>
      <c r="K31" s="46" t="s">
        <v>806</v>
      </c>
      <c r="L31" s="46" t="s">
        <v>807</v>
      </c>
      <c r="M31" s="39" t="s">
        <v>807</v>
      </c>
    </row>
    <row r="32" spans="1:13" x14ac:dyDescent="0.25">
      <c r="A32" s="25">
        <v>37373</v>
      </c>
      <c r="B32" t="str">
        <f>VLOOKUP(Attendees[[#This Row],[Client ID]],ClientDB[],2,0)</f>
        <v>Kieran</v>
      </c>
      <c r="C32" t="str">
        <f>VLOOKUP(Attendees[[#This Row],[Client ID]],ClientDB[],3,0)</f>
        <v>Davies</v>
      </c>
      <c r="D32" s="30" t="str">
        <f>VLOOKUP(Attendees[[#This Row],[Client ID]],ClientDB[],7,0)</f>
        <v>GB</v>
      </c>
      <c r="E32" s="30" t="str">
        <f>VLOOKUP(Attendees[[#This Row],[Client ID]],ClientDB[],11,0)</f>
        <v>Bronze</v>
      </c>
      <c r="F32" s="30" t="str">
        <f>INDEX($J$12:$M$64,MATCH(Attendees[[#This Row],[Country]],$I$12:$I$64,0),MATCH(Attendees[[#This Row],[Status]],$J$11:$M$11,0))</f>
        <v>E</v>
      </c>
      <c r="I32" s="38" t="s">
        <v>449</v>
      </c>
      <c r="J32" s="46" t="s">
        <v>827</v>
      </c>
      <c r="K32" s="46" t="s">
        <v>806</v>
      </c>
      <c r="L32" s="46" t="s">
        <v>807</v>
      </c>
      <c r="M32" s="39" t="s">
        <v>807</v>
      </c>
    </row>
    <row r="33" spans="1:13" x14ac:dyDescent="0.25">
      <c r="A33" s="25">
        <v>27765</v>
      </c>
      <c r="B33" t="str">
        <f>VLOOKUP(Attendees[[#This Row],[Client ID]],ClientDB[],2,0)</f>
        <v>Gert</v>
      </c>
      <c r="C33" t="str">
        <f>VLOOKUP(Attendees[[#This Row],[Client ID]],ClientDB[],3,0)</f>
        <v>Döring</v>
      </c>
      <c r="D33" s="30" t="str">
        <f>VLOOKUP(Attendees[[#This Row],[Client ID]],ClientDB[],7,0)</f>
        <v>DE</v>
      </c>
      <c r="E33" s="30" t="str">
        <f>VLOOKUP(Attendees[[#This Row],[Client ID]],ClientDB[],11,0)</f>
        <v>Bronze</v>
      </c>
      <c r="F33" s="30" t="str">
        <f>INDEX($J$12:$M$64,MATCH(Attendees[[#This Row],[Country]],$I$12:$I$64,0),MATCH(Attendees[[#This Row],[Status]],$J$11:$M$11,0))</f>
        <v>D</v>
      </c>
      <c r="I33" s="38" t="s">
        <v>127</v>
      </c>
      <c r="J33" s="46" t="s">
        <v>828</v>
      </c>
      <c r="K33" s="46" t="s">
        <v>806</v>
      </c>
      <c r="L33" s="46" t="s">
        <v>807</v>
      </c>
      <c r="M33" s="39" t="s">
        <v>807</v>
      </c>
    </row>
    <row r="34" spans="1:13" x14ac:dyDescent="0.25">
      <c r="A34" s="25">
        <v>25049</v>
      </c>
      <c r="B34" t="str">
        <f>VLOOKUP(Attendees[[#This Row],[Client ID]],ClientDB[],2,0)</f>
        <v>Babak</v>
      </c>
      <c r="C34" t="str">
        <f>VLOOKUP(Attendees[[#This Row],[Client ID]],ClientDB[],3,0)</f>
        <v>Farrokhi</v>
      </c>
      <c r="D34" s="30" t="str">
        <f>VLOOKUP(Attendees[[#This Row],[Client ID]],ClientDB[],7,0)</f>
        <v>IR</v>
      </c>
      <c r="E34" s="30" t="str">
        <f>VLOOKUP(Attendees[[#This Row],[Client ID]],ClientDB[],11,0)</f>
        <v>Bronze</v>
      </c>
      <c r="F34" s="30" t="str">
        <f>INDEX($J$12:$M$64,MATCH(Attendees[[#This Row],[Country]],$I$12:$I$64,0),MATCH(Attendees[[#This Row],[Status]],$J$11:$M$11,0))</f>
        <v>F</v>
      </c>
      <c r="I34" s="38" t="s">
        <v>678</v>
      </c>
      <c r="J34" s="46" t="s">
        <v>828</v>
      </c>
      <c r="K34" s="46" t="s">
        <v>806</v>
      </c>
      <c r="L34" s="46" t="s">
        <v>807</v>
      </c>
      <c r="M34" s="39" t="s">
        <v>807</v>
      </c>
    </row>
    <row r="35" spans="1:13" x14ac:dyDescent="0.25">
      <c r="A35" s="25">
        <v>36941</v>
      </c>
      <c r="B35" t="str">
        <f>VLOOKUP(Attendees[[#This Row],[Client ID]],ClientDB[],2,0)</f>
        <v>Markus</v>
      </c>
      <c r="C35" t="str">
        <f>VLOOKUP(Attendees[[#This Row],[Client ID]],ClientDB[],3,0)</f>
        <v>Florian</v>
      </c>
      <c r="D35" s="30" t="str">
        <f>VLOOKUP(Attendees[[#This Row],[Client ID]],ClientDB[],7,0)</f>
        <v>AT</v>
      </c>
      <c r="E35" s="30" t="str">
        <f>VLOOKUP(Attendees[[#This Row],[Client ID]],ClientDB[],11,0)</f>
        <v>Silver</v>
      </c>
      <c r="F35" s="30" t="str">
        <f>INDEX($J$12:$M$64,MATCH(Attendees[[#This Row],[Country]],$I$12:$I$64,0),MATCH(Attendees[[#This Row],[Status]],$J$11:$M$11,0))</f>
        <v>B</v>
      </c>
      <c r="I35" s="38" t="s">
        <v>37</v>
      </c>
      <c r="J35" s="46" t="s">
        <v>828</v>
      </c>
      <c r="K35" s="46" t="s">
        <v>806</v>
      </c>
      <c r="L35" s="46" t="s">
        <v>807</v>
      </c>
      <c r="M35" s="39" t="s">
        <v>807</v>
      </c>
    </row>
    <row r="36" spans="1:13" x14ac:dyDescent="0.25">
      <c r="A36" s="25">
        <v>36477</v>
      </c>
      <c r="B36" t="str">
        <f>VLOOKUP(Attendees[[#This Row],[Client ID]],ClientDB[],2,0)</f>
        <v>Agustín</v>
      </c>
      <c r="C36" t="str">
        <f>VLOOKUP(Attendees[[#This Row],[Client ID]],ClientDB[],3,0)</f>
        <v>Formoso</v>
      </c>
      <c r="D36" s="30" t="str">
        <f>VLOOKUP(Attendees[[#This Row],[Client ID]],ClientDB[],7,0)</f>
        <v>UY</v>
      </c>
      <c r="E36" s="30" t="str">
        <f>VLOOKUP(Attendees[[#This Row],[Client ID]],ClientDB[],11,0)</f>
        <v>Bronze</v>
      </c>
      <c r="F36" s="30" t="str">
        <f>INDEX($J$12:$M$64,MATCH(Attendees[[#This Row],[Country]],$I$12:$I$64,0),MATCH(Attendees[[#This Row],[Status]],$J$11:$M$11,0))</f>
        <v>G</v>
      </c>
      <c r="I36" s="38" t="s">
        <v>312</v>
      </c>
      <c r="J36" s="46" t="s">
        <v>828</v>
      </c>
      <c r="K36" s="46" t="s">
        <v>806</v>
      </c>
      <c r="L36" s="46" t="s">
        <v>807</v>
      </c>
      <c r="M36" s="39" t="s">
        <v>807</v>
      </c>
    </row>
    <row r="37" spans="1:13" x14ac:dyDescent="0.25">
      <c r="A37" s="25">
        <v>26525</v>
      </c>
      <c r="B37" t="str">
        <f>VLOOKUP(Attendees[[#This Row],[Client ID]],ClientDB[],2,0)</f>
        <v>Nuno Manuel</v>
      </c>
      <c r="C37" t="str">
        <f>VLOOKUP(Attendees[[#This Row],[Client ID]],ClientDB[],3,0)</f>
        <v>Garcia Dos Santos</v>
      </c>
      <c r="D37" s="30" t="str">
        <f>VLOOKUP(Attendees[[#This Row],[Client ID]],ClientDB[],7,0)</f>
        <v>PT</v>
      </c>
      <c r="E37" s="30" t="str">
        <f>VLOOKUP(Attendees[[#This Row],[Client ID]],ClientDB[],11,0)</f>
        <v>Bronze</v>
      </c>
      <c r="F37" s="30" t="str">
        <f>INDEX($J$12:$M$64,MATCH(Attendees[[#This Row],[Country]],$I$12:$I$64,0),MATCH(Attendees[[#This Row],[Status]],$J$11:$M$11,0))</f>
        <v>G</v>
      </c>
      <c r="I37" s="38" t="s">
        <v>193</v>
      </c>
      <c r="J37" s="46" t="s">
        <v>828</v>
      </c>
      <c r="K37" s="46" t="s">
        <v>806</v>
      </c>
      <c r="L37" s="46" t="s">
        <v>807</v>
      </c>
      <c r="M37" s="39" t="s">
        <v>807</v>
      </c>
    </row>
    <row r="38" spans="1:13" x14ac:dyDescent="0.25">
      <c r="A38" s="25">
        <v>13813</v>
      </c>
      <c r="B38" t="str">
        <f>VLOOKUP(Attendees[[#This Row],[Client ID]],ClientDB[],2,0)</f>
        <v>Saloumeh</v>
      </c>
      <c r="C38" t="str">
        <f>VLOOKUP(Attendees[[#This Row],[Client ID]],ClientDB[],3,0)</f>
        <v>Ghasemi</v>
      </c>
      <c r="D38" s="30" t="str">
        <f>VLOOKUP(Attendees[[#This Row],[Client ID]],ClientDB[],7,0)</f>
        <v>GB</v>
      </c>
      <c r="E38" s="30" t="str">
        <f>VLOOKUP(Attendees[[#This Row],[Client ID]],ClientDB[],11,0)</f>
        <v>Bronze</v>
      </c>
      <c r="F38" s="30" t="str">
        <f>INDEX($J$12:$M$64,MATCH(Attendees[[#This Row],[Country]],$I$12:$I$64,0),MATCH(Attendees[[#This Row],[Status]],$J$11:$M$11,0))</f>
        <v>E</v>
      </c>
      <c r="I38" s="38" t="s">
        <v>49</v>
      </c>
      <c r="J38" s="46" t="s">
        <v>828</v>
      </c>
      <c r="K38" s="46" t="s">
        <v>806</v>
      </c>
      <c r="L38" s="46" t="s">
        <v>807</v>
      </c>
      <c r="M38" s="39" t="s">
        <v>807</v>
      </c>
    </row>
    <row r="39" spans="1:13" x14ac:dyDescent="0.25">
      <c r="A39" s="25">
        <v>26873</v>
      </c>
      <c r="B39" t="str">
        <f>VLOOKUP(Attendees[[#This Row],[Client ID]],ClientDB[],2,0)</f>
        <v>Radu</v>
      </c>
      <c r="C39" t="str">
        <f>VLOOKUP(Attendees[[#This Row],[Client ID]],ClientDB[],3,0)</f>
        <v>Ghidiceanu</v>
      </c>
      <c r="D39" s="30" t="str">
        <f>VLOOKUP(Attendees[[#This Row],[Client ID]],ClientDB[],7,0)</f>
        <v>RO</v>
      </c>
      <c r="E39" s="30" t="str">
        <f>VLOOKUP(Attendees[[#This Row],[Client ID]],ClientDB[],11,0)</f>
        <v>Silver</v>
      </c>
      <c r="F39" s="30" t="str">
        <f>INDEX($J$12:$M$64,MATCH(Attendees[[#This Row],[Country]],$I$12:$I$64,0),MATCH(Attendees[[#This Row],[Status]],$J$11:$M$11,0))</f>
        <v>C</v>
      </c>
      <c r="I39" s="38" t="s">
        <v>446</v>
      </c>
      <c r="J39" s="46" t="s">
        <v>828</v>
      </c>
      <c r="K39" s="46" t="s">
        <v>806</v>
      </c>
      <c r="L39" s="46" t="s">
        <v>807</v>
      </c>
      <c r="M39" s="39" t="s">
        <v>807</v>
      </c>
    </row>
    <row r="40" spans="1:13" x14ac:dyDescent="0.25">
      <c r="A40" s="25">
        <v>33729</v>
      </c>
      <c r="B40" t="str">
        <f>VLOOKUP(Attendees[[#This Row],[Client ID]],ClientDB[],2,0)</f>
        <v>Amanda</v>
      </c>
      <c r="C40" t="str">
        <f>VLOOKUP(Attendees[[#This Row],[Client ID]],ClientDB[],3,0)</f>
        <v>Gowland</v>
      </c>
      <c r="D40" s="30" t="str">
        <f>VLOOKUP(Attendees[[#This Row],[Client ID]],ClientDB[],7,0)</f>
        <v>GB</v>
      </c>
      <c r="E40" s="30" t="str">
        <f>VLOOKUP(Attendees[[#This Row],[Client ID]],ClientDB[],11,0)</f>
        <v>Bronze</v>
      </c>
      <c r="F40" s="30" t="str">
        <f>INDEX($J$12:$M$64,MATCH(Attendees[[#This Row],[Country]],$I$12:$I$64,0),MATCH(Attendees[[#This Row],[Status]],$J$11:$M$11,0))</f>
        <v>E</v>
      </c>
      <c r="I40" s="38" t="s">
        <v>332</v>
      </c>
      <c r="J40" s="46" t="s">
        <v>828</v>
      </c>
      <c r="K40" s="46" t="s">
        <v>806</v>
      </c>
      <c r="L40" s="46" t="s">
        <v>807</v>
      </c>
      <c r="M40" s="39" t="s">
        <v>807</v>
      </c>
    </row>
    <row r="41" spans="1:13" x14ac:dyDescent="0.25">
      <c r="A41" s="25">
        <v>28961</v>
      </c>
      <c r="B41" t="str">
        <f>VLOOKUP(Attendees[[#This Row],[Client ID]],ClientDB[],2,0)</f>
        <v>Alejandro</v>
      </c>
      <c r="C41" t="str">
        <f>VLOOKUP(Attendees[[#This Row],[Client ID]],ClientDB[],3,0)</f>
        <v>Guzman</v>
      </c>
      <c r="D41" s="30" t="str">
        <f>VLOOKUP(Attendees[[#This Row],[Client ID]],ClientDB[],7,0)</f>
        <v>US</v>
      </c>
      <c r="E41" s="30" t="str">
        <f>VLOOKUP(Attendees[[#This Row],[Client ID]],ClientDB[],11,0)</f>
        <v>Bronze</v>
      </c>
      <c r="F41" s="30" t="str">
        <f>INDEX($J$12:$M$64,MATCH(Attendees[[#This Row],[Country]],$I$12:$I$64,0),MATCH(Attendees[[#This Row],[Status]],$J$11:$M$11,0))</f>
        <v>G</v>
      </c>
      <c r="I41" s="38" t="s">
        <v>154</v>
      </c>
      <c r="J41" s="46" t="s">
        <v>828</v>
      </c>
      <c r="K41" s="46" t="s">
        <v>806</v>
      </c>
      <c r="L41" s="46" t="s">
        <v>807</v>
      </c>
      <c r="M41" s="39" t="s">
        <v>807</v>
      </c>
    </row>
    <row r="42" spans="1:13" x14ac:dyDescent="0.25">
      <c r="A42" s="25">
        <v>33141</v>
      </c>
      <c r="B42" t="str">
        <f>VLOOKUP(Attendees[[#This Row],[Client ID]],ClientDB[],2,0)</f>
        <v>Mahmoud</v>
      </c>
      <c r="C42" t="str">
        <f>VLOOKUP(Attendees[[#This Row],[Client ID]],ClientDB[],3,0)</f>
        <v>Halimeh</v>
      </c>
      <c r="D42" s="30" t="str">
        <f>VLOOKUP(Attendees[[#This Row],[Client ID]],ClientDB[],7,0)</f>
        <v>SY</v>
      </c>
      <c r="E42" s="30" t="str">
        <f>VLOOKUP(Attendees[[#This Row],[Client ID]],ClientDB[],11,0)</f>
        <v>Bronze</v>
      </c>
      <c r="F42" s="30" t="str">
        <f>INDEX($J$12:$M$64,MATCH(Attendees[[#This Row],[Country]],$I$12:$I$64,0),MATCH(Attendees[[#This Row],[Status]],$J$11:$M$11,0))</f>
        <v>G</v>
      </c>
      <c r="I42" s="38" t="s">
        <v>426</v>
      </c>
      <c r="J42" s="46" t="s">
        <v>828</v>
      </c>
      <c r="K42" s="46" t="s">
        <v>806</v>
      </c>
      <c r="L42" s="46" t="s">
        <v>807</v>
      </c>
      <c r="M42" s="39" t="s">
        <v>807</v>
      </c>
    </row>
    <row r="43" spans="1:13" x14ac:dyDescent="0.25">
      <c r="A43" s="25">
        <v>34701</v>
      </c>
      <c r="B43" t="str">
        <f>VLOOKUP(Attendees[[#This Row],[Client ID]],ClientDB[],2,0)</f>
        <v>Timo</v>
      </c>
      <c r="C43" t="str">
        <f>VLOOKUP(Attendees[[#This Row],[Client ID]],ClientDB[],3,0)</f>
        <v>Hilbrink</v>
      </c>
      <c r="D43" s="30" t="str">
        <f>VLOOKUP(Attendees[[#This Row],[Client ID]],ClientDB[],7,0)</f>
        <v>NL</v>
      </c>
      <c r="E43" s="30" t="str">
        <f>VLOOKUP(Attendees[[#This Row],[Client ID]],ClientDB[],11,0)</f>
        <v>Bronze</v>
      </c>
      <c r="F43" s="30" t="str">
        <f>INDEX($J$12:$M$64,MATCH(Attendees[[#This Row],[Country]],$I$12:$I$64,0),MATCH(Attendees[[#This Row],[Status]],$J$11:$M$11,0))</f>
        <v>F</v>
      </c>
      <c r="I43" s="38" t="s">
        <v>208</v>
      </c>
      <c r="J43" s="46" t="s">
        <v>828</v>
      </c>
      <c r="K43" s="46" t="s">
        <v>806</v>
      </c>
      <c r="L43" s="46" t="s">
        <v>807</v>
      </c>
      <c r="M43" s="39" t="s">
        <v>807</v>
      </c>
    </row>
    <row r="44" spans="1:13" x14ac:dyDescent="0.25">
      <c r="A44" s="25">
        <v>18489</v>
      </c>
      <c r="B44" t="str">
        <f>VLOOKUP(Attendees[[#This Row],[Client ID]],ClientDB[],2,0)</f>
        <v>Hans Petter</v>
      </c>
      <c r="C44" t="str">
        <f>VLOOKUP(Attendees[[#This Row],[Client ID]],ClientDB[],3,0)</f>
        <v>Holen</v>
      </c>
      <c r="D44" s="30" t="str">
        <f>VLOOKUP(Attendees[[#This Row],[Client ID]],ClientDB[],7,0)</f>
        <v>NO</v>
      </c>
      <c r="E44" s="30" t="str">
        <f>VLOOKUP(Attendees[[#This Row],[Client ID]],ClientDB[],11,0)</f>
        <v>Bronze</v>
      </c>
      <c r="F44" s="30" t="str">
        <f>INDEX($J$12:$M$64,MATCH(Attendees[[#This Row],[Country]],$I$12:$I$64,0),MATCH(Attendees[[#This Row],[Status]],$J$11:$M$11,0))</f>
        <v>F</v>
      </c>
      <c r="I44" s="38" t="s">
        <v>222</v>
      </c>
      <c r="J44" s="46" t="s">
        <v>828</v>
      </c>
      <c r="K44" s="46" t="s">
        <v>806</v>
      </c>
      <c r="L44" s="46" t="s">
        <v>807</v>
      </c>
      <c r="M44" s="39" t="s">
        <v>807</v>
      </c>
    </row>
    <row r="45" spans="1:13" x14ac:dyDescent="0.25">
      <c r="A45" s="25">
        <v>34153</v>
      </c>
      <c r="B45" t="str">
        <f>VLOOKUP(Attendees[[#This Row],[Client ID]],ClientDB[],2,0)</f>
        <v>Sean</v>
      </c>
      <c r="C45" t="str">
        <f>VLOOKUP(Attendees[[#This Row],[Client ID]],ClientDB[],3,0)</f>
        <v>Hopkins</v>
      </c>
      <c r="D45" s="30" t="str">
        <f>VLOOKUP(Attendees[[#This Row],[Client ID]],ClientDB[],7,0)</f>
        <v>US</v>
      </c>
      <c r="E45" s="30" t="str">
        <f>VLOOKUP(Attendees[[#This Row],[Client ID]],ClientDB[],11,0)</f>
        <v>Bronze</v>
      </c>
      <c r="F45" s="30" t="str">
        <f>INDEX($J$12:$M$64,MATCH(Attendees[[#This Row],[Country]],$I$12:$I$64,0),MATCH(Attendees[[#This Row],[Status]],$J$11:$M$11,0))</f>
        <v>G</v>
      </c>
      <c r="I45" s="38" t="s">
        <v>89</v>
      </c>
      <c r="J45" s="46" t="s">
        <v>828</v>
      </c>
      <c r="K45" s="46" t="s">
        <v>806</v>
      </c>
      <c r="L45" s="46" t="s">
        <v>807</v>
      </c>
      <c r="M45" s="39" t="s">
        <v>807</v>
      </c>
    </row>
    <row r="46" spans="1:13" x14ac:dyDescent="0.25">
      <c r="A46" s="25">
        <v>14145</v>
      </c>
      <c r="B46" t="str">
        <f>VLOOKUP(Attendees[[#This Row],[Client ID]],ClientDB[],2,0)</f>
        <v>Vahan</v>
      </c>
      <c r="C46" t="str">
        <f>VLOOKUP(Attendees[[#This Row],[Client ID]],ClientDB[],3,0)</f>
        <v>Hovsepyan</v>
      </c>
      <c r="D46" s="30" t="str">
        <f>VLOOKUP(Attendees[[#This Row],[Client ID]],ClientDB[],7,0)</f>
        <v>GB</v>
      </c>
      <c r="E46" s="30" t="str">
        <f>VLOOKUP(Attendees[[#This Row],[Client ID]],ClientDB[],11,0)</f>
        <v>Bronze</v>
      </c>
      <c r="F46" s="30" t="str">
        <f>INDEX($J$12:$M$64,MATCH(Attendees[[#This Row],[Country]],$I$12:$I$64,0),MATCH(Attendees[[#This Row],[Status]],$J$11:$M$11,0))</f>
        <v>E</v>
      </c>
      <c r="I46" s="38" t="s">
        <v>114</v>
      </c>
      <c r="J46" s="46" t="s">
        <v>828</v>
      </c>
      <c r="K46" s="46" t="s">
        <v>806</v>
      </c>
      <c r="L46" s="46" t="s">
        <v>807</v>
      </c>
      <c r="M46" s="39" t="s">
        <v>807</v>
      </c>
    </row>
    <row r="47" spans="1:13" x14ac:dyDescent="0.25">
      <c r="A47" s="25">
        <v>27293</v>
      </c>
      <c r="B47" t="str">
        <f>VLOOKUP(Attendees[[#This Row],[Client ID]],ClientDB[],2,0)</f>
        <v>William Lee</v>
      </c>
      <c r="C47" t="str">
        <f>VLOOKUP(Attendees[[#This Row],[Client ID]],ClientDB[],3,0)</f>
        <v>Howard</v>
      </c>
      <c r="D47" s="30" t="str">
        <f>VLOOKUP(Attendees[[#This Row],[Client ID]],ClientDB[],7,0)</f>
        <v>US</v>
      </c>
      <c r="E47" s="30" t="str">
        <f>VLOOKUP(Attendees[[#This Row],[Client ID]],ClientDB[],11,0)</f>
        <v>Bronze</v>
      </c>
      <c r="F47" s="30" t="str">
        <f>INDEX($J$12:$M$64,MATCH(Attendees[[#This Row],[Country]],$I$12:$I$64,0),MATCH(Attendees[[#This Row],[Status]],$J$11:$M$11,0))</f>
        <v>G</v>
      </c>
      <c r="I47" s="38" t="s">
        <v>355</v>
      </c>
      <c r="J47" s="46" t="s">
        <v>828</v>
      </c>
      <c r="K47" s="46" t="s">
        <v>806</v>
      </c>
      <c r="L47" s="46" t="s">
        <v>807</v>
      </c>
      <c r="M47" s="39" t="s">
        <v>807</v>
      </c>
    </row>
    <row r="48" spans="1:13" x14ac:dyDescent="0.25">
      <c r="A48" s="25">
        <v>27397</v>
      </c>
      <c r="B48" t="str">
        <f>VLOOKUP(Attendees[[#This Row],[Client ID]],ClientDB[],2,0)</f>
        <v>Nick</v>
      </c>
      <c r="C48" t="str">
        <f>VLOOKUP(Attendees[[#This Row],[Client ID]],ClientDB[],3,0)</f>
        <v>Hyrka</v>
      </c>
      <c r="D48" s="30" t="str">
        <f>VLOOKUP(Attendees[[#This Row],[Client ID]],ClientDB[],7,0)</f>
        <v>GB</v>
      </c>
      <c r="E48" s="30" t="str">
        <f>VLOOKUP(Attendees[[#This Row],[Client ID]],ClientDB[],11,0)</f>
        <v>Bronze</v>
      </c>
      <c r="F48" s="30" t="str">
        <f>INDEX($J$12:$M$64,MATCH(Attendees[[#This Row],[Country]],$I$12:$I$64,0),MATCH(Attendees[[#This Row],[Status]],$J$11:$M$11,0))</f>
        <v>E</v>
      </c>
      <c r="I48" s="38" t="s">
        <v>173</v>
      </c>
      <c r="J48" s="46" t="s">
        <v>828</v>
      </c>
      <c r="K48" s="46" t="s">
        <v>806</v>
      </c>
      <c r="L48" s="46" t="s">
        <v>807</v>
      </c>
      <c r="M48" s="39" t="s">
        <v>807</v>
      </c>
    </row>
    <row r="49" spans="1:13" x14ac:dyDescent="0.25">
      <c r="A49" s="25">
        <v>11365</v>
      </c>
      <c r="B49" t="str">
        <f>VLOOKUP(Attendees[[#This Row],[Client ID]],ClientDB[],2,0)</f>
        <v>Lukasz</v>
      </c>
      <c r="C49" t="str">
        <f>VLOOKUP(Attendees[[#This Row],[Client ID]],ClientDB[],3,0)</f>
        <v>Janczura</v>
      </c>
      <c r="D49" s="30" t="str">
        <f>VLOOKUP(Attendees[[#This Row],[Client ID]],ClientDB[],7,0)</f>
        <v>PL</v>
      </c>
      <c r="E49" s="30" t="str">
        <f>VLOOKUP(Attendees[[#This Row],[Client ID]],ClientDB[],11,0)</f>
        <v>Bronze</v>
      </c>
      <c r="F49" s="30" t="str">
        <f>INDEX($J$12:$M$64,MATCH(Attendees[[#This Row],[Country]],$I$12:$I$64,0),MATCH(Attendees[[#This Row],[Status]],$J$11:$M$11,0))</f>
        <v>F</v>
      </c>
      <c r="I49" s="38" t="s">
        <v>292</v>
      </c>
      <c r="J49" s="46" t="s">
        <v>828</v>
      </c>
      <c r="K49" s="46" t="s">
        <v>806</v>
      </c>
      <c r="L49" s="46" t="s">
        <v>807</v>
      </c>
      <c r="M49" s="39" t="s">
        <v>807</v>
      </c>
    </row>
    <row r="50" spans="1:13" x14ac:dyDescent="0.25">
      <c r="A50" s="25">
        <v>21245</v>
      </c>
      <c r="B50" t="str">
        <f>VLOOKUP(Attendees[[#This Row],[Client ID]],ClientDB[],2,0)</f>
        <v>Raymond</v>
      </c>
      <c r="C50" t="str">
        <f>VLOOKUP(Attendees[[#This Row],[Client ID]],ClientDB[],3,0)</f>
        <v>Jetten</v>
      </c>
      <c r="D50" s="30" t="str">
        <f>VLOOKUP(Attendees[[#This Row],[Client ID]],ClientDB[],7,0)</f>
        <v>FI</v>
      </c>
      <c r="E50" s="30" t="str">
        <f>VLOOKUP(Attendees[[#This Row],[Client ID]],ClientDB[],11,0)</f>
        <v>Bronze</v>
      </c>
      <c r="F50" s="30" t="str">
        <f>INDEX($J$12:$M$64,MATCH(Attendees[[#This Row],[Country]],$I$12:$I$64,0),MATCH(Attendees[[#This Row],[Status]],$J$11:$M$11,0))</f>
        <v>D</v>
      </c>
      <c r="I50" s="38" t="s">
        <v>282</v>
      </c>
      <c r="J50" s="46" t="s">
        <v>829</v>
      </c>
      <c r="K50" s="46" t="s">
        <v>806</v>
      </c>
      <c r="L50" s="46" t="s">
        <v>807</v>
      </c>
      <c r="M50" s="39" t="s">
        <v>807</v>
      </c>
    </row>
    <row r="51" spans="1:13" x14ac:dyDescent="0.25">
      <c r="A51" s="25">
        <v>17721</v>
      </c>
      <c r="B51" t="str">
        <f>VLOOKUP(Attendees[[#This Row],[Client ID]],ClientDB[],2,0)</f>
        <v>Nataliia</v>
      </c>
      <c r="C51" t="str">
        <f>VLOOKUP(Attendees[[#This Row],[Client ID]],ClientDB[],3,0)</f>
        <v>Kharchenko</v>
      </c>
      <c r="D51" s="30" t="str">
        <f>VLOOKUP(Attendees[[#This Row],[Client ID]],ClientDB[],7,0)</f>
        <v>UA</v>
      </c>
      <c r="E51" s="30" t="str">
        <f>VLOOKUP(Attendees[[#This Row],[Client ID]],ClientDB[],11,0)</f>
        <v>Gold</v>
      </c>
      <c r="F51" s="30" t="str">
        <f>INDEX($J$12:$M$64,MATCH(Attendees[[#This Row],[Country]],$I$12:$I$64,0),MATCH(Attendees[[#This Row],[Status]],$J$11:$M$11,0))</f>
        <v>A</v>
      </c>
      <c r="I51" s="38" t="s">
        <v>151</v>
      </c>
      <c r="J51" s="46" t="s">
        <v>829</v>
      </c>
      <c r="K51" s="46" t="s">
        <v>806</v>
      </c>
      <c r="L51" s="46" t="s">
        <v>807</v>
      </c>
      <c r="M51" s="39" t="s">
        <v>807</v>
      </c>
    </row>
    <row r="52" spans="1:13" x14ac:dyDescent="0.25">
      <c r="A52" s="25">
        <v>27801</v>
      </c>
      <c r="B52" t="str">
        <f>VLOOKUP(Attendees[[#This Row],[Client ID]],ClientDB[],2,0)</f>
        <v>Serhii</v>
      </c>
      <c r="C52" t="str">
        <f>VLOOKUP(Attendees[[#This Row],[Client ID]],ClientDB[],3,0)</f>
        <v>Khomenko</v>
      </c>
      <c r="D52" s="30" t="str">
        <f>VLOOKUP(Attendees[[#This Row],[Client ID]],ClientDB[],7,0)</f>
        <v>UA</v>
      </c>
      <c r="E52" s="30" t="str">
        <f>VLOOKUP(Attendees[[#This Row],[Client ID]],ClientDB[],11,0)</f>
        <v>Bronze</v>
      </c>
      <c r="F52" s="30" t="str">
        <f>INDEX($J$12:$M$64,MATCH(Attendees[[#This Row],[Country]],$I$12:$I$64,0),MATCH(Attendees[[#This Row],[Status]],$J$11:$M$11,0))</f>
        <v>G</v>
      </c>
      <c r="I52" s="38" t="s">
        <v>84</v>
      </c>
      <c r="J52" s="46" t="s">
        <v>829</v>
      </c>
      <c r="K52" s="46" t="s">
        <v>806</v>
      </c>
      <c r="L52" s="46" t="s">
        <v>807</v>
      </c>
      <c r="M52" s="39" t="s">
        <v>807</v>
      </c>
    </row>
    <row r="53" spans="1:13" x14ac:dyDescent="0.25">
      <c r="A53" s="25">
        <v>17805</v>
      </c>
      <c r="B53" t="str">
        <f>VLOOKUP(Attendees[[#This Row],[Client ID]],ClientDB[],2,0)</f>
        <v>Niloofar</v>
      </c>
      <c r="C53" t="str">
        <f>VLOOKUP(Attendees[[#This Row],[Client ID]],ClientDB[],3,0)</f>
        <v>Kiaee</v>
      </c>
      <c r="D53" s="30" t="str">
        <f>VLOOKUP(Attendees[[#This Row],[Client ID]],ClientDB[],7,0)</f>
        <v>IR</v>
      </c>
      <c r="E53" s="30" t="str">
        <f>VLOOKUP(Attendees[[#This Row],[Client ID]],ClientDB[],11,0)</f>
        <v>Bronze</v>
      </c>
      <c r="F53" s="30" t="str">
        <f>INDEX($J$12:$M$64,MATCH(Attendees[[#This Row],[Country]],$I$12:$I$64,0),MATCH(Attendees[[#This Row],[Status]],$J$11:$M$11,0))</f>
        <v>F</v>
      </c>
      <c r="I53" s="38" t="s">
        <v>176</v>
      </c>
      <c r="J53" s="46" t="s">
        <v>829</v>
      </c>
      <c r="K53" s="46" t="s">
        <v>806</v>
      </c>
      <c r="L53" s="46" t="s">
        <v>807</v>
      </c>
      <c r="M53" s="39" t="s">
        <v>807</v>
      </c>
    </row>
    <row r="54" spans="1:13" x14ac:dyDescent="0.25">
      <c r="A54" s="25">
        <v>15513</v>
      </c>
      <c r="B54" t="str">
        <f>VLOOKUP(Attendees[[#This Row],[Client ID]],ClientDB[],2,0)</f>
        <v>Zilvinas</v>
      </c>
      <c r="C54" t="str">
        <f>VLOOKUP(Attendees[[#This Row],[Client ID]],ClientDB[],3,0)</f>
        <v>Krapavickas</v>
      </c>
      <c r="D54" s="30" t="str">
        <f>VLOOKUP(Attendees[[#This Row],[Client ID]],ClientDB[],7,0)</f>
        <v>LT</v>
      </c>
      <c r="E54" s="30" t="str">
        <f>VLOOKUP(Attendees[[#This Row],[Client ID]],ClientDB[],11,0)</f>
        <v>Bronze</v>
      </c>
      <c r="F54" s="30" t="str">
        <f>INDEX($J$12:$M$64,MATCH(Attendees[[#This Row],[Country]],$I$12:$I$64,0),MATCH(Attendees[[#This Row],[Status]],$J$11:$M$11,0))</f>
        <v>F</v>
      </c>
      <c r="I54" s="38" t="s">
        <v>307</v>
      </c>
      <c r="J54" s="46" t="s">
        <v>829</v>
      </c>
      <c r="K54" s="46" t="s">
        <v>806</v>
      </c>
      <c r="L54" s="46" t="s">
        <v>807</v>
      </c>
      <c r="M54" s="39" t="s">
        <v>807</v>
      </c>
    </row>
    <row r="55" spans="1:13" x14ac:dyDescent="0.25">
      <c r="A55" s="25">
        <v>25549</v>
      </c>
      <c r="B55" t="str">
        <f>VLOOKUP(Attendees[[#This Row],[Client ID]],ClientDB[],2,0)</f>
        <v>Tobias</v>
      </c>
      <c r="C55" t="str">
        <f>VLOOKUP(Attendees[[#This Row],[Client ID]],ClientDB[],3,0)</f>
        <v>Kuettner</v>
      </c>
      <c r="D55" s="30" t="str">
        <f>VLOOKUP(Attendees[[#This Row],[Client ID]],ClientDB[],7,0)</f>
        <v>DE</v>
      </c>
      <c r="E55" s="30" t="str">
        <f>VLOOKUP(Attendees[[#This Row],[Client ID]],ClientDB[],11,0)</f>
        <v>Bronze</v>
      </c>
      <c r="F55" s="30" t="str">
        <f>INDEX($J$12:$M$64,MATCH(Attendees[[#This Row],[Country]],$I$12:$I$64,0),MATCH(Attendees[[#This Row],[Status]],$J$11:$M$11,0))</f>
        <v>D</v>
      </c>
      <c r="I55" s="38" t="s">
        <v>715</v>
      </c>
      <c r="J55" s="46" t="s">
        <v>829</v>
      </c>
      <c r="K55" s="46" t="s">
        <v>806</v>
      </c>
      <c r="L55" s="46" t="s">
        <v>807</v>
      </c>
      <c r="M55" s="39" t="s">
        <v>807</v>
      </c>
    </row>
    <row r="56" spans="1:13" x14ac:dyDescent="0.25">
      <c r="A56" s="25">
        <v>31585</v>
      </c>
      <c r="B56" t="str">
        <f>VLOOKUP(Attendees[[#This Row],[Client ID]],ClientDB[],2,0)</f>
        <v>Andrei</v>
      </c>
      <c r="C56" t="str">
        <f>VLOOKUP(Attendees[[#This Row],[Client ID]],ClientDB[],3,0)</f>
        <v>Kushnireuski</v>
      </c>
      <c r="D56" s="30" t="str">
        <f>VLOOKUP(Attendees[[#This Row],[Client ID]],ClientDB[],7,0)</f>
        <v>CZ</v>
      </c>
      <c r="E56" s="30" t="str">
        <f>VLOOKUP(Attendees[[#This Row],[Client ID]],ClientDB[],11,0)</f>
        <v>Silver</v>
      </c>
      <c r="F56" s="30" t="str">
        <f>INDEX($J$12:$M$64,MATCH(Attendees[[#This Row],[Country]],$I$12:$I$64,0),MATCH(Attendees[[#This Row],[Status]],$J$11:$M$11,0))</f>
        <v>B</v>
      </c>
      <c r="I56" s="38" t="s">
        <v>108</v>
      </c>
      <c r="J56" s="46" t="s">
        <v>829</v>
      </c>
      <c r="K56" s="46" t="s">
        <v>806</v>
      </c>
      <c r="L56" s="46" t="s">
        <v>807</v>
      </c>
      <c r="M56" s="39" t="s">
        <v>807</v>
      </c>
    </row>
    <row r="57" spans="1:13" x14ac:dyDescent="0.25">
      <c r="A57" s="25">
        <v>26949</v>
      </c>
      <c r="B57" t="str">
        <f>VLOOKUP(Attendees[[#This Row],[Client ID]],ClientDB[],2,0)</f>
        <v>Olga</v>
      </c>
      <c r="C57" t="str">
        <f>VLOOKUP(Attendees[[#This Row],[Client ID]],ClientDB[],3,0)</f>
        <v>Kyryliuk</v>
      </c>
      <c r="D57" s="30" t="str">
        <f>VLOOKUP(Attendees[[#This Row],[Client ID]],ClientDB[],7,0)</f>
        <v>UA</v>
      </c>
      <c r="E57" s="30" t="str">
        <f>VLOOKUP(Attendees[[#This Row],[Client ID]],ClientDB[],11,0)</f>
        <v>Bronze</v>
      </c>
      <c r="F57" s="30" t="str">
        <f>INDEX($J$12:$M$64,MATCH(Attendees[[#This Row],[Country]],$I$12:$I$64,0),MATCH(Attendees[[#This Row],[Status]],$J$11:$M$11,0))</f>
        <v>G</v>
      </c>
      <c r="I57" s="38" t="s">
        <v>216</v>
      </c>
      <c r="J57" s="46" t="s">
        <v>829</v>
      </c>
      <c r="K57" s="46" t="s">
        <v>806</v>
      </c>
      <c r="L57" s="46" t="s">
        <v>807</v>
      </c>
      <c r="M57" s="39" t="s">
        <v>807</v>
      </c>
    </row>
    <row r="58" spans="1:13" x14ac:dyDescent="0.25">
      <c r="A58" s="25">
        <v>26529</v>
      </c>
      <c r="B58" t="str">
        <f>VLOOKUP(Attendees[[#This Row],[Client ID]],ClientDB[],2,0)</f>
        <v>Evgeniya</v>
      </c>
      <c r="C58" t="str">
        <f>VLOOKUP(Attendees[[#This Row],[Client ID]],ClientDB[],3,0)</f>
        <v>Linkova</v>
      </c>
      <c r="D58" s="30" t="str">
        <f>VLOOKUP(Attendees[[#This Row],[Client ID]],ClientDB[],7,0)</f>
        <v>AU</v>
      </c>
      <c r="E58" s="30" t="str">
        <f>VLOOKUP(Attendees[[#This Row],[Client ID]],ClientDB[],11,0)</f>
        <v>Silver</v>
      </c>
      <c r="F58" s="30" t="str">
        <f>INDEX($J$12:$M$64,MATCH(Attendees[[#This Row],[Country]],$I$12:$I$64,0),MATCH(Attendees[[#This Row],[Status]],$J$11:$M$11,0))</f>
        <v>B</v>
      </c>
      <c r="I58" s="38" t="s">
        <v>72</v>
      </c>
      <c r="J58" s="46" t="s">
        <v>829</v>
      </c>
      <c r="K58" s="46" t="s">
        <v>806</v>
      </c>
      <c r="L58" s="46" t="s">
        <v>807</v>
      </c>
      <c r="M58" s="39" t="s">
        <v>807</v>
      </c>
    </row>
    <row r="59" spans="1:13" x14ac:dyDescent="0.25">
      <c r="A59" s="25">
        <v>36369</v>
      </c>
      <c r="B59" t="str">
        <f>VLOOKUP(Attendees[[#This Row],[Client ID]],ClientDB[],2,0)</f>
        <v>Sascha</v>
      </c>
      <c r="C59" t="str">
        <f>VLOOKUP(Attendees[[#This Row],[Client ID]],ClientDB[],3,0)</f>
        <v>Lopez</v>
      </c>
      <c r="D59" s="30" t="str">
        <f>VLOOKUP(Attendees[[#This Row],[Client ID]],ClientDB[],7,0)</f>
        <v>GB</v>
      </c>
      <c r="E59" s="30" t="str">
        <f>VLOOKUP(Attendees[[#This Row],[Client ID]],ClientDB[],11,0)</f>
        <v>Bronze</v>
      </c>
      <c r="F59" s="30" t="str">
        <f>INDEX($J$12:$M$64,MATCH(Attendees[[#This Row],[Country]],$I$12:$I$64,0),MATCH(Attendees[[#This Row],[Status]],$J$11:$M$11,0))</f>
        <v>E</v>
      </c>
      <c r="I59" s="38" t="s">
        <v>595</v>
      </c>
      <c r="J59" s="46" t="s">
        <v>829</v>
      </c>
      <c r="K59" s="46" t="s">
        <v>806</v>
      </c>
      <c r="L59" s="46" t="s">
        <v>807</v>
      </c>
      <c r="M59" s="39" t="s">
        <v>807</v>
      </c>
    </row>
    <row r="60" spans="1:13" x14ac:dyDescent="0.25">
      <c r="A60" s="25">
        <v>29717</v>
      </c>
      <c r="B60" t="str">
        <f>VLOOKUP(Attendees[[#This Row],[Client ID]],ClientDB[],2,0)</f>
        <v>Heng</v>
      </c>
      <c r="C60" t="str">
        <f>VLOOKUP(Attendees[[#This Row],[Client ID]],ClientDB[],3,0)</f>
        <v>Lu</v>
      </c>
      <c r="D60" s="30" t="str">
        <f>VLOOKUP(Attendees[[#This Row],[Client ID]],ClientDB[],7,0)</f>
        <v>HK</v>
      </c>
      <c r="E60" s="30" t="str">
        <f>VLOOKUP(Attendees[[#This Row],[Client ID]],ClientDB[],11,0)</f>
        <v>Bronze</v>
      </c>
      <c r="F60" s="30" t="str">
        <f>INDEX($J$12:$M$64,MATCH(Attendees[[#This Row],[Country]],$I$12:$I$64,0),MATCH(Attendees[[#This Row],[Status]],$J$11:$M$11,0))</f>
        <v>E</v>
      </c>
      <c r="I60" s="38" t="s">
        <v>673</v>
      </c>
      <c r="J60" s="46" t="s">
        <v>829</v>
      </c>
      <c r="K60" s="46" t="s">
        <v>806</v>
      </c>
      <c r="L60" s="46" t="s">
        <v>807</v>
      </c>
      <c r="M60" s="39" t="s">
        <v>807</v>
      </c>
    </row>
    <row r="61" spans="1:13" x14ac:dyDescent="0.25">
      <c r="A61" s="25">
        <v>27309</v>
      </c>
      <c r="B61" t="str">
        <f>VLOOKUP(Attendees[[#This Row],[Client ID]],ClientDB[],2,0)</f>
        <v>Sabine</v>
      </c>
      <c r="C61" t="str">
        <f>VLOOKUP(Attendees[[#This Row],[Client ID]],ClientDB[],3,0)</f>
        <v>Mader</v>
      </c>
      <c r="D61" s="30" t="str">
        <f>VLOOKUP(Attendees[[#This Row],[Client ID]],ClientDB[],7,0)</f>
        <v>GB</v>
      </c>
      <c r="E61" s="30" t="str">
        <f>VLOOKUP(Attendees[[#This Row],[Client ID]],ClientDB[],11,0)</f>
        <v>Bronze</v>
      </c>
      <c r="F61" s="30" t="str">
        <f>INDEX($J$12:$M$64,MATCH(Attendees[[#This Row],[Country]],$I$12:$I$64,0),MATCH(Attendees[[#This Row],[Status]],$J$11:$M$11,0))</f>
        <v>E</v>
      </c>
      <c r="I61" s="38" t="s">
        <v>56</v>
      </c>
      <c r="J61" s="46" t="s">
        <v>829</v>
      </c>
      <c r="K61" s="46" t="s">
        <v>806</v>
      </c>
      <c r="L61" s="46" t="s">
        <v>807</v>
      </c>
      <c r="M61" s="39" t="s">
        <v>807</v>
      </c>
    </row>
    <row r="62" spans="1:13" x14ac:dyDescent="0.25">
      <c r="A62" s="25">
        <v>27673</v>
      </c>
      <c r="B62" t="str">
        <f>VLOOKUP(Attendees[[#This Row],[Client ID]],ClientDB[],2,0)</f>
        <v>Evgenii</v>
      </c>
      <c r="C62" t="str">
        <f>VLOOKUP(Attendees[[#This Row],[Client ID]],ClientDB[],3,0)</f>
        <v>Mamontov</v>
      </c>
      <c r="D62" s="30" t="str">
        <f>VLOOKUP(Attendees[[#This Row],[Client ID]],ClientDB[],7,0)</f>
        <v>RU</v>
      </c>
      <c r="E62" s="30" t="str">
        <f>VLOOKUP(Attendees[[#This Row],[Client ID]],ClientDB[],11,0)</f>
        <v>Bronze</v>
      </c>
      <c r="F62" s="30" t="str">
        <f>INDEX($J$12:$M$64,MATCH(Attendees[[#This Row],[Country]],$I$12:$I$64,0),MATCH(Attendees[[#This Row],[Status]],$J$11:$M$11,0))</f>
        <v>G</v>
      </c>
      <c r="I62" s="38" t="s">
        <v>233</v>
      </c>
      <c r="J62" s="46" t="s">
        <v>829</v>
      </c>
      <c r="K62" s="46" t="s">
        <v>806</v>
      </c>
      <c r="L62" s="46" t="s">
        <v>807</v>
      </c>
      <c r="M62" s="39" t="s">
        <v>807</v>
      </c>
    </row>
    <row r="63" spans="1:13" x14ac:dyDescent="0.25">
      <c r="A63" s="25">
        <v>35525</v>
      </c>
      <c r="B63" t="str">
        <f>VLOOKUP(Attendees[[#This Row],[Client ID]],ClientDB[],2,0)</f>
        <v>Andrae</v>
      </c>
      <c r="C63" t="str">
        <f>VLOOKUP(Attendees[[#This Row],[Client ID]],ClientDB[],3,0)</f>
        <v>Marx</v>
      </c>
      <c r="D63" s="30" t="str">
        <f>VLOOKUP(Attendees[[#This Row],[Client ID]],ClientDB[],7,0)</f>
        <v>AT</v>
      </c>
      <c r="E63" s="30" t="str">
        <f>VLOOKUP(Attendees[[#This Row],[Client ID]],ClientDB[],11,0)</f>
        <v>Silver</v>
      </c>
      <c r="F63" s="30" t="str">
        <f>INDEX($J$12:$M$64,MATCH(Attendees[[#This Row],[Country]],$I$12:$I$64,0),MATCH(Attendees[[#This Row],[Status]],$J$11:$M$11,0))</f>
        <v>B</v>
      </c>
      <c r="I63" s="38" t="s">
        <v>64</v>
      </c>
      <c r="J63" s="46" t="s">
        <v>829</v>
      </c>
      <c r="K63" s="46" t="s">
        <v>806</v>
      </c>
      <c r="L63" s="46" t="s">
        <v>807</v>
      </c>
      <c r="M63" s="39" t="s">
        <v>807</v>
      </c>
    </row>
    <row r="64" spans="1:13" ht="14.4" thickBot="1" x14ac:dyDescent="0.3">
      <c r="A64" s="25">
        <v>32513</v>
      </c>
      <c r="B64" t="str">
        <f>VLOOKUP(Attendees[[#This Row],[Client ID]],ClientDB[],2,0)</f>
        <v>Kolarik</v>
      </c>
      <c r="C64" t="str">
        <f>VLOOKUP(Attendees[[#This Row],[Client ID]],ClientDB[],3,0)</f>
        <v>Michal</v>
      </c>
      <c r="D64" s="30" t="str">
        <f>VLOOKUP(Attendees[[#This Row],[Client ID]],ClientDB[],7,0)</f>
        <v>SK</v>
      </c>
      <c r="E64" s="30" t="str">
        <f>VLOOKUP(Attendees[[#This Row],[Client ID]],ClientDB[],11,0)</f>
        <v>Silver</v>
      </c>
      <c r="F64" s="30" t="str">
        <f>INDEX($J$12:$M$64,MATCH(Attendees[[#This Row],[Country]],$I$12:$I$64,0),MATCH(Attendees[[#This Row],[Status]],$J$11:$M$11,0))</f>
        <v>C</v>
      </c>
      <c r="I64" s="40" t="s">
        <v>791</v>
      </c>
      <c r="J64" s="48" t="s">
        <v>829</v>
      </c>
      <c r="K64" s="48" t="s">
        <v>806</v>
      </c>
      <c r="L64" s="48" t="s">
        <v>807</v>
      </c>
      <c r="M64" s="41" t="s">
        <v>807</v>
      </c>
    </row>
    <row r="65" spans="1:6" x14ac:dyDescent="0.25">
      <c r="A65" s="25">
        <v>28965</v>
      </c>
      <c r="B65" t="str">
        <f>VLOOKUP(Attendees[[#This Row],[Client ID]],ClientDB[],2,0)</f>
        <v>Nat</v>
      </c>
      <c r="C65" t="str">
        <f>VLOOKUP(Attendees[[#This Row],[Client ID]],ClientDB[],3,0)</f>
        <v>Morris</v>
      </c>
      <c r="D65" s="30" t="str">
        <f>VLOOKUP(Attendees[[#This Row],[Client ID]],ClientDB[],7,0)</f>
        <v>GB</v>
      </c>
      <c r="E65" s="30" t="str">
        <f>VLOOKUP(Attendees[[#This Row],[Client ID]],ClientDB[],11,0)</f>
        <v>Bronze</v>
      </c>
      <c r="F65" s="30" t="str">
        <f>INDEX($J$12:$M$64,MATCH(Attendees[[#This Row],[Country]],$I$12:$I$64,0),MATCH(Attendees[[#This Row],[Status]],$J$11:$M$11,0))</f>
        <v>E</v>
      </c>
    </row>
    <row r="66" spans="1:6" x14ac:dyDescent="0.25">
      <c r="A66" s="25">
        <v>37797</v>
      </c>
      <c r="B66" t="str">
        <f>VLOOKUP(Attendees[[#This Row],[Client ID]],ClientDB[],2,0)</f>
        <v>Nurani</v>
      </c>
      <c r="C66" t="str">
        <f>VLOOKUP(Attendees[[#This Row],[Client ID]],ClientDB[],3,0)</f>
        <v>Nimpuno</v>
      </c>
      <c r="D66" s="30" t="str">
        <f>VLOOKUP(Attendees[[#This Row],[Client ID]],ClientDB[],7,0)</f>
        <v>SE</v>
      </c>
      <c r="E66" s="30" t="str">
        <f>VLOOKUP(Attendees[[#This Row],[Client ID]],ClientDB[],11,0)</f>
        <v>Bronze</v>
      </c>
      <c r="F66" s="30" t="str">
        <f>INDEX($J$12:$M$64,MATCH(Attendees[[#This Row],[Country]],$I$12:$I$64,0),MATCH(Attendees[[#This Row],[Status]],$J$11:$M$11,0))</f>
        <v>G</v>
      </c>
    </row>
    <row r="67" spans="1:6" x14ac:dyDescent="0.25">
      <c r="A67" s="25">
        <v>12345</v>
      </c>
      <c r="B67" t="str">
        <f>VLOOKUP(Attendees[[#This Row],[Client ID]],ClientDB[],2,0)</f>
        <v>Jordi</v>
      </c>
      <c r="C67" t="str">
        <f>VLOOKUP(Attendees[[#This Row],[Client ID]],ClientDB[],3,0)</f>
        <v>Palet Martinez</v>
      </c>
      <c r="D67" s="30" t="str">
        <f>VLOOKUP(Attendees[[#This Row],[Client ID]],ClientDB[],7,0)</f>
        <v>ES</v>
      </c>
      <c r="E67" s="30" t="str">
        <f>VLOOKUP(Attendees[[#This Row],[Client ID]],ClientDB[],11,0)</f>
        <v>Bronze</v>
      </c>
      <c r="F67" s="30" t="str">
        <f>INDEX($J$12:$M$64,MATCH(Attendees[[#This Row],[Country]],$I$12:$I$64,0),MATCH(Attendees[[#This Row],[Status]],$J$11:$M$11,0))</f>
        <v>D</v>
      </c>
    </row>
    <row r="68" spans="1:6" x14ac:dyDescent="0.25">
      <c r="A68" s="25">
        <v>13865</v>
      </c>
      <c r="B68" t="str">
        <f>VLOOKUP(Attendees[[#This Row],[Client ID]],ClientDB[],2,0)</f>
        <v>Michael</v>
      </c>
      <c r="C68" t="str">
        <f>VLOOKUP(Attendees[[#This Row],[Client ID]],ClientDB[],3,0)</f>
        <v>Perzi</v>
      </c>
      <c r="D68" s="30" t="str">
        <f>VLOOKUP(Attendees[[#This Row],[Client ID]],ClientDB[],7,0)</f>
        <v>AT</v>
      </c>
      <c r="E68" s="30" t="str">
        <f>VLOOKUP(Attendees[[#This Row],[Client ID]],ClientDB[],11,0)</f>
        <v>Bronze</v>
      </c>
      <c r="F68" s="30" t="str">
        <f>INDEX($J$12:$M$64,MATCH(Attendees[[#This Row],[Country]],$I$12:$I$64,0),MATCH(Attendees[[#This Row],[Status]],$J$11:$M$11,0))</f>
        <v>D</v>
      </c>
    </row>
    <row r="69" spans="1:6" x14ac:dyDescent="0.25">
      <c r="A69" s="25">
        <v>28181</v>
      </c>
      <c r="B69" t="str">
        <f>VLOOKUP(Attendees[[#This Row],[Client ID]],ClientDB[],2,0)</f>
        <v>Florin Cosmin</v>
      </c>
      <c r="C69" t="str">
        <f>VLOOKUP(Attendees[[#This Row],[Client ID]],ClientDB[],3,0)</f>
        <v>Petre</v>
      </c>
      <c r="D69" s="30" t="str">
        <f>VLOOKUP(Attendees[[#This Row],[Client ID]],ClientDB[],7,0)</f>
        <v>RO</v>
      </c>
      <c r="E69" s="30" t="str">
        <f>VLOOKUP(Attendees[[#This Row],[Client ID]],ClientDB[],11,0)</f>
        <v>Bronze</v>
      </c>
      <c r="F69" s="30" t="str">
        <f>INDEX($J$12:$M$64,MATCH(Attendees[[#This Row],[Country]],$I$12:$I$64,0),MATCH(Attendees[[#This Row],[Status]],$J$11:$M$11,0))</f>
        <v>G</v>
      </c>
    </row>
    <row r="70" spans="1:6" x14ac:dyDescent="0.25">
      <c r="A70" s="25">
        <v>11325</v>
      </c>
      <c r="B70" t="str">
        <f>VLOOKUP(Attendees[[#This Row],[Client ID]],ClientDB[],2,0)</f>
        <v>Kevin</v>
      </c>
      <c r="C70" s="25" t="str">
        <f>VLOOKUP(Attendees[[#This Row],[Client ID]],ClientDB[],3,0)</f>
        <v>Pillay</v>
      </c>
      <c r="D70" s="30" t="str">
        <f>VLOOKUP(Attendees[[#This Row],[Client ID]],ClientDB[],7,0)</f>
        <v>AE</v>
      </c>
      <c r="E70" s="30" t="str">
        <f>VLOOKUP(Attendees[[#This Row],[Client ID]],ClientDB[],11,0)</f>
        <v>Bronze</v>
      </c>
      <c r="F70" s="30" t="str">
        <f>INDEX($J$12:$M$64,MATCH(Attendees[[#This Row],[Country]],$I$12:$I$64,0),MATCH(Attendees[[#This Row],[Status]],$J$11:$M$11,0))</f>
        <v>D</v>
      </c>
    </row>
    <row r="71" spans="1:6" x14ac:dyDescent="0.25">
      <c r="A71" s="25">
        <v>37529</v>
      </c>
      <c r="B71" t="str">
        <f>VLOOKUP(Attendees[[#This Row],[Client ID]],ClientDB[],2,0)</f>
        <v>Maryna</v>
      </c>
      <c r="C71" t="str">
        <f>VLOOKUP(Attendees[[#This Row],[Client ID]],ClientDB[],3,0)</f>
        <v>Radchenko</v>
      </c>
      <c r="D71" s="30" t="str">
        <f>VLOOKUP(Attendees[[#This Row],[Client ID]],ClientDB[],7,0)</f>
        <v>UA</v>
      </c>
      <c r="E71" s="30" t="str">
        <f>VLOOKUP(Attendees[[#This Row],[Client ID]],ClientDB[],11,0)</f>
        <v>Gold</v>
      </c>
      <c r="F71" s="30" t="str">
        <f>INDEX($J$12:$M$64,MATCH(Attendees[[#This Row],[Country]],$I$12:$I$64,0),MATCH(Attendees[[#This Row],[Status]],$J$11:$M$11,0))</f>
        <v>A</v>
      </c>
    </row>
    <row r="72" spans="1:6" x14ac:dyDescent="0.25">
      <c r="A72" s="25">
        <v>26457</v>
      </c>
      <c r="B72" t="str">
        <f>VLOOKUP(Attendees[[#This Row],[Client ID]],ClientDB[],2,0)</f>
        <v>Serge</v>
      </c>
      <c r="C72" t="str">
        <f>VLOOKUP(Attendees[[#This Row],[Client ID]],ClientDB[],3,0)</f>
        <v>Radovcic</v>
      </c>
      <c r="D72" s="30" t="str">
        <f>VLOOKUP(Attendees[[#This Row],[Client ID]],ClientDB[],7,0)</f>
        <v>GB</v>
      </c>
      <c r="E72" s="30" t="str">
        <f>VLOOKUP(Attendees[[#This Row],[Client ID]],ClientDB[],11,0)</f>
        <v>Bronze</v>
      </c>
      <c r="F72" s="30" t="str">
        <f>INDEX($J$12:$M$64,MATCH(Attendees[[#This Row],[Country]],$I$12:$I$64,0),MATCH(Attendees[[#This Row],[Status]],$J$11:$M$11,0))</f>
        <v>E</v>
      </c>
    </row>
    <row r="73" spans="1:6" x14ac:dyDescent="0.25">
      <c r="A73" s="25">
        <v>23689</v>
      </c>
      <c r="B73" t="str">
        <f>VLOOKUP(Attendees[[#This Row],[Client ID]],ClientDB[],2,0)</f>
        <v>Adrian</v>
      </c>
      <c r="C73" t="str">
        <f>VLOOKUP(Attendees[[#This Row],[Client ID]],ClientDB[],3,0)</f>
        <v>Rapa</v>
      </c>
      <c r="D73" s="30" t="str">
        <f>VLOOKUP(Attendees[[#This Row],[Client ID]],ClientDB[],7,0)</f>
        <v>RO</v>
      </c>
      <c r="E73" s="30" t="str">
        <f>VLOOKUP(Attendees[[#This Row],[Client ID]],ClientDB[],11,0)</f>
        <v>Bronze</v>
      </c>
      <c r="F73" s="30" t="str">
        <f>INDEX($J$12:$M$64,MATCH(Attendees[[#This Row],[Country]],$I$12:$I$64,0),MATCH(Attendees[[#This Row],[Status]],$J$11:$M$11,0))</f>
        <v>G</v>
      </c>
    </row>
    <row r="74" spans="1:6" x14ac:dyDescent="0.25">
      <c r="A74" s="25">
        <v>30741</v>
      </c>
      <c r="B74" t="str">
        <f>VLOOKUP(Attendees[[#This Row],[Client ID]],ClientDB[],2,0)</f>
        <v>Paul</v>
      </c>
      <c r="C74" t="str">
        <f>VLOOKUP(Attendees[[#This Row],[Client ID]],ClientDB[],3,0)</f>
        <v>Rendek</v>
      </c>
      <c r="D74" s="30" t="str">
        <f>VLOOKUP(Attendees[[#This Row],[Client ID]],ClientDB[],7,0)</f>
        <v>GB</v>
      </c>
      <c r="E74" s="30" t="str">
        <f>VLOOKUP(Attendees[[#This Row],[Client ID]],ClientDB[],11,0)</f>
        <v>Bronze</v>
      </c>
      <c r="F74" s="30" t="str">
        <f>INDEX($J$12:$M$64,MATCH(Attendees[[#This Row],[Country]],$I$12:$I$64,0),MATCH(Attendees[[#This Row],[Status]],$J$11:$M$11,0))</f>
        <v>E</v>
      </c>
    </row>
    <row r="75" spans="1:6" x14ac:dyDescent="0.25">
      <c r="A75" s="25">
        <v>18253</v>
      </c>
      <c r="B75" t="str">
        <f>VLOOKUP(Attendees[[#This Row],[Client ID]],ClientDB[],2,0)</f>
        <v>Daniel</v>
      </c>
      <c r="C75" t="str">
        <f>VLOOKUP(Attendees[[#This Row],[Client ID]],ClientDB[],3,0)</f>
        <v>Rodriguez</v>
      </c>
      <c r="D75" s="30" t="str">
        <f>VLOOKUP(Attendees[[#This Row],[Client ID]],ClientDB[],7,0)</f>
        <v>IE</v>
      </c>
      <c r="E75" s="30" t="str">
        <f>VLOOKUP(Attendees[[#This Row],[Client ID]],ClientDB[],11,0)</f>
        <v>Silver</v>
      </c>
      <c r="F75" s="30" t="str">
        <f>INDEX($J$12:$M$64,MATCH(Attendees[[#This Row],[Country]],$I$12:$I$64,0),MATCH(Attendees[[#This Row],[Status]],$J$11:$M$11,0))</f>
        <v>C</v>
      </c>
    </row>
    <row r="76" spans="1:6" x14ac:dyDescent="0.25">
      <c r="A76" s="25">
        <v>37017</v>
      </c>
      <c r="B76" t="str">
        <f>VLOOKUP(Attendees[[#This Row],[Client ID]],ClientDB[],2,0)</f>
        <v>Sami</v>
      </c>
      <c r="C76" t="str">
        <f>VLOOKUP(Attendees[[#This Row],[Client ID]],ClientDB[],3,0)</f>
        <v>Saadaoui</v>
      </c>
      <c r="D76" s="30" t="str">
        <f>VLOOKUP(Attendees[[#This Row],[Client ID]],ClientDB[],7,0)</f>
        <v>BH</v>
      </c>
      <c r="E76" s="30" t="str">
        <f>VLOOKUP(Attendees[[#This Row],[Client ID]],ClientDB[],11,0)</f>
        <v>Bronze</v>
      </c>
      <c r="F76" s="30" t="str">
        <f>INDEX($J$12:$M$64,MATCH(Attendees[[#This Row],[Country]],$I$12:$I$64,0),MATCH(Attendees[[#This Row],[Status]],$J$11:$M$11,0))</f>
        <v>D</v>
      </c>
    </row>
    <row r="77" spans="1:6" x14ac:dyDescent="0.25">
      <c r="A77" s="25">
        <v>36681</v>
      </c>
      <c r="B77" t="str">
        <f>VLOOKUP(Attendees[[#This Row],[Client ID]],ClientDB[],2,0)</f>
        <v>Anton</v>
      </c>
      <c r="C77" t="str">
        <f>VLOOKUP(Attendees[[#This Row],[Client ID]],ClientDB[],3,0)</f>
        <v>Samoilenko</v>
      </c>
      <c r="D77" s="30" t="str">
        <f>VLOOKUP(Attendees[[#This Row],[Client ID]],ClientDB[],7,0)</f>
        <v>UA</v>
      </c>
      <c r="E77" s="30" t="str">
        <f>VLOOKUP(Attendees[[#This Row],[Client ID]],ClientDB[],11,0)</f>
        <v>Bronze</v>
      </c>
      <c r="F77" s="30" t="str">
        <f>INDEX($J$12:$M$64,MATCH(Attendees[[#This Row],[Country]],$I$12:$I$64,0),MATCH(Attendees[[#This Row],[Status]],$J$11:$M$11,0))</f>
        <v>G</v>
      </c>
    </row>
    <row r="78" spans="1:6" x14ac:dyDescent="0.25">
      <c r="A78" s="25">
        <v>37393</v>
      </c>
      <c r="B78" t="str">
        <f>VLOOKUP(Attendees[[#This Row],[Client ID]],ClientDB[],2,0)</f>
        <v>Luca</v>
      </c>
      <c r="C78" t="str">
        <f>VLOOKUP(Attendees[[#This Row],[Client ID]],ClientDB[],3,0)</f>
        <v>Sani</v>
      </c>
      <c r="D78" s="30" t="str">
        <f>VLOOKUP(Attendees[[#This Row],[Client ID]],ClientDB[],7,0)</f>
        <v>IT</v>
      </c>
      <c r="E78" s="30" t="str">
        <f>VLOOKUP(Attendees[[#This Row],[Client ID]],ClientDB[],11,0)</f>
        <v>Bronze</v>
      </c>
      <c r="F78" s="30" t="str">
        <f>INDEX($J$12:$M$64,MATCH(Attendees[[#This Row],[Country]],$I$12:$I$64,0),MATCH(Attendees[[#This Row],[Status]],$J$11:$M$11,0))</f>
        <v>F</v>
      </c>
    </row>
    <row r="79" spans="1:6" x14ac:dyDescent="0.25">
      <c r="A79" s="25">
        <v>38761</v>
      </c>
      <c r="B79" t="str">
        <f>VLOOKUP(Attendees[[#This Row],[Client ID]],ClientDB[],2,0)</f>
        <v>Christian</v>
      </c>
      <c r="C79" t="str">
        <f>VLOOKUP(Attendees[[#This Row],[Client ID]],ClientDB[],3,0)</f>
        <v>Scheele</v>
      </c>
      <c r="D79" s="30" t="str">
        <f>VLOOKUP(Attendees[[#This Row],[Client ID]],ClientDB[],7,0)</f>
        <v>DE</v>
      </c>
      <c r="E79" s="30" t="str">
        <f>VLOOKUP(Attendees[[#This Row],[Client ID]],ClientDB[],11,0)</f>
        <v>Silver</v>
      </c>
      <c r="F79" s="30" t="str">
        <f>INDEX($J$12:$M$64,MATCH(Attendees[[#This Row],[Country]],$I$12:$I$64,0),MATCH(Attendees[[#This Row],[Status]],$J$11:$M$11,0))</f>
        <v>B</v>
      </c>
    </row>
    <row r="80" spans="1:6" x14ac:dyDescent="0.25">
      <c r="A80" s="25">
        <v>26273</v>
      </c>
      <c r="B80" t="str">
        <f>VLOOKUP(Attendees[[#This Row],[Client ID]],ClientDB[],2,0)</f>
        <v>Marco</v>
      </c>
      <c r="C80" t="str">
        <f>VLOOKUP(Attendees[[#This Row],[Client ID]],ClientDB[],3,0)</f>
        <v>Schmidt</v>
      </c>
      <c r="D80" s="30" t="str">
        <f>VLOOKUP(Attendees[[#This Row],[Client ID]],ClientDB[],7,0)</f>
        <v>GB</v>
      </c>
      <c r="E80" s="30" t="str">
        <f>VLOOKUP(Attendees[[#This Row],[Client ID]],ClientDB[],11,0)</f>
        <v>Bronze</v>
      </c>
      <c r="F80" s="30" t="str">
        <f>INDEX($J$12:$M$64,MATCH(Attendees[[#This Row],[Country]],$I$12:$I$64,0),MATCH(Attendees[[#This Row],[Status]],$J$11:$M$11,0))</f>
        <v>E</v>
      </c>
    </row>
    <row r="81" spans="1:6" x14ac:dyDescent="0.25">
      <c r="A81" s="25">
        <v>27809</v>
      </c>
      <c r="B81" t="str">
        <f>VLOOKUP(Attendees[[#This Row],[Client ID]],ClientDB[],2,0)</f>
        <v>Kenji</v>
      </c>
      <c r="C81" t="str">
        <f>VLOOKUP(Attendees[[#This Row],[Client ID]],ClientDB[],3,0)</f>
        <v>Shioda</v>
      </c>
      <c r="D81" s="30" t="str">
        <f>VLOOKUP(Attendees[[#This Row],[Client ID]],ClientDB[],7,0)</f>
        <v>NL</v>
      </c>
      <c r="E81" s="30" t="str">
        <f>VLOOKUP(Attendees[[#This Row],[Client ID]],ClientDB[],11,0)</f>
        <v>Bronze</v>
      </c>
      <c r="F81" s="30" t="str">
        <f>INDEX($J$12:$M$64,MATCH(Attendees[[#This Row],[Country]],$I$12:$I$64,0),MATCH(Attendees[[#This Row],[Status]],$J$11:$M$11,0))</f>
        <v>F</v>
      </c>
    </row>
    <row r="82" spans="1:6" x14ac:dyDescent="0.25">
      <c r="A82" s="25">
        <v>29101</v>
      </c>
      <c r="B82" t="str">
        <f>VLOOKUP(Attendees[[#This Row],[Client ID]],ClientDB[],2,0)</f>
        <v>Kseniya</v>
      </c>
      <c r="C82" t="str">
        <f>VLOOKUP(Attendees[[#This Row],[Client ID]],ClientDB[],3,0)</f>
        <v>Sokol</v>
      </c>
      <c r="D82" s="30" t="str">
        <f>VLOOKUP(Attendees[[#This Row],[Client ID]],ClientDB[],7,0)</f>
        <v>UA</v>
      </c>
      <c r="E82" s="30" t="str">
        <f>VLOOKUP(Attendees[[#This Row],[Client ID]],ClientDB[],11,0)</f>
        <v>Bronze</v>
      </c>
      <c r="F82" s="30" t="str">
        <f>INDEX($J$12:$M$64,MATCH(Attendees[[#This Row],[Country]],$I$12:$I$64,0),MATCH(Attendees[[#This Row],[Status]],$J$11:$M$11,0))</f>
        <v>G</v>
      </c>
    </row>
    <row r="83" spans="1:6" x14ac:dyDescent="0.25">
      <c r="A83" s="25">
        <v>24317</v>
      </c>
      <c r="B83" t="str">
        <f>VLOOKUP(Attendees[[#This Row],[Client ID]],ClientDB[],2,0)</f>
        <v>Sander</v>
      </c>
      <c r="C83" t="str">
        <f>VLOOKUP(Attendees[[#This Row],[Client ID]],ClientDB[],3,0)</f>
        <v>Steffann</v>
      </c>
      <c r="D83" s="30" t="str">
        <f>VLOOKUP(Attendees[[#This Row],[Client ID]],ClientDB[],7,0)</f>
        <v>NL</v>
      </c>
      <c r="E83" s="30" t="str">
        <f>VLOOKUP(Attendees[[#This Row],[Client ID]],ClientDB[],11,0)</f>
        <v>Bronze</v>
      </c>
      <c r="F83" s="30" t="str">
        <f>INDEX($J$12:$M$64,MATCH(Attendees[[#This Row],[Country]],$I$12:$I$64,0),MATCH(Attendees[[#This Row],[Status]],$J$11:$M$11,0))</f>
        <v>F</v>
      </c>
    </row>
    <row r="84" spans="1:6" x14ac:dyDescent="0.25">
      <c r="A84" s="25">
        <v>32721</v>
      </c>
      <c r="B84" t="str">
        <f>VLOOKUP(Attendees[[#This Row],[Client ID]],ClientDB[],2,0)</f>
        <v>Sofya</v>
      </c>
      <c r="C84" t="str">
        <f>VLOOKUP(Attendees[[#This Row],[Client ID]],ClientDB[],3,0)</f>
        <v>Sushkina</v>
      </c>
      <c r="D84" s="30" t="str">
        <f>VLOOKUP(Attendees[[#This Row],[Client ID]],ClientDB[],7,0)</f>
        <v>RU</v>
      </c>
      <c r="E84" s="30" t="str">
        <f>VLOOKUP(Attendees[[#This Row],[Client ID]],ClientDB[],11,0)</f>
        <v>Silver</v>
      </c>
      <c r="F84" s="30" t="str">
        <f>INDEX($J$12:$M$64,MATCH(Attendees[[#This Row],[Country]],$I$12:$I$64,0),MATCH(Attendees[[#This Row],[Status]],$J$11:$M$11,0))</f>
        <v>C</v>
      </c>
    </row>
    <row r="85" spans="1:6" x14ac:dyDescent="0.25">
      <c r="A85" s="25">
        <v>30681</v>
      </c>
      <c r="B85" t="str">
        <f>VLOOKUP(Attendees[[#This Row],[Client ID]],ClientDB[],2,0)</f>
        <v>Nigel</v>
      </c>
      <c r="C85" t="str">
        <f>VLOOKUP(Attendees[[#This Row],[Client ID]],ClientDB[],3,0)</f>
        <v>Titley</v>
      </c>
      <c r="D85" s="30" t="str">
        <f>VLOOKUP(Attendees[[#This Row],[Client ID]],ClientDB[],7,0)</f>
        <v>GB</v>
      </c>
      <c r="E85" s="30" t="str">
        <f>VLOOKUP(Attendees[[#This Row],[Client ID]],ClientDB[],11,0)</f>
        <v>Silver</v>
      </c>
      <c r="F85" s="30" t="str">
        <f>INDEX($J$12:$M$64,MATCH(Attendees[[#This Row],[Country]],$I$12:$I$64,0),MATCH(Attendees[[#This Row],[Status]],$J$11:$M$11,0))</f>
        <v>B</v>
      </c>
    </row>
    <row r="86" spans="1:6" x14ac:dyDescent="0.25">
      <c r="A86" s="25">
        <v>13229</v>
      </c>
      <c r="B86" t="str">
        <f>VLOOKUP(Attendees[[#This Row],[Client ID]],ClientDB[],2,0)</f>
        <v>Ella</v>
      </c>
      <c r="C86" t="str">
        <f>VLOOKUP(Attendees[[#This Row],[Client ID]],ClientDB[],3,0)</f>
        <v>Titova</v>
      </c>
      <c r="D86" s="30" t="str">
        <f>VLOOKUP(Attendees[[#This Row],[Client ID]],ClientDB[],7,0)</f>
        <v>AM</v>
      </c>
      <c r="E86" s="30" t="str">
        <f>VLOOKUP(Attendees[[#This Row],[Client ID]],ClientDB[],11,0)</f>
        <v>Bronze</v>
      </c>
      <c r="F86" s="30" t="str">
        <f>INDEX($J$12:$M$64,MATCH(Attendees[[#This Row],[Country]],$I$12:$I$64,0),MATCH(Attendees[[#This Row],[Status]],$J$11:$M$11,0))</f>
        <v>D</v>
      </c>
    </row>
    <row r="87" spans="1:6" x14ac:dyDescent="0.25">
      <c r="A87" s="25">
        <v>17769</v>
      </c>
      <c r="B87" t="str">
        <f>VLOOKUP(Attendees[[#This Row],[Client ID]],ClientDB[],2,0)</f>
        <v>Gery</v>
      </c>
      <c r="C87" t="str">
        <f>VLOOKUP(Attendees[[#This Row],[Client ID]],ClientDB[],3,0)</f>
        <v>Van Emelen</v>
      </c>
      <c r="D87" s="30" t="str">
        <f>VLOOKUP(Attendees[[#This Row],[Client ID]],ClientDB[],7,0)</f>
        <v>BE</v>
      </c>
      <c r="E87" s="30" t="str">
        <f>VLOOKUP(Attendees[[#This Row],[Client ID]],ClientDB[],11,0)</f>
        <v>Silver</v>
      </c>
      <c r="F87" s="30" t="str">
        <f>INDEX($J$12:$M$64,MATCH(Attendees[[#This Row],[Country]],$I$12:$I$64,0),MATCH(Attendees[[#This Row],[Status]],$J$11:$M$11,0))</f>
        <v>B</v>
      </c>
    </row>
    <row r="88" spans="1:6" x14ac:dyDescent="0.25">
      <c r="A88" s="25">
        <v>36037</v>
      </c>
      <c r="B88" t="str">
        <f>VLOOKUP(Attendees[[#This Row],[Client ID]],ClientDB[],2,0)</f>
        <v>Javed</v>
      </c>
      <c r="C88" t="str">
        <f>VLOOKUP(Attendees[[#This Row],[Client ID]],ClientDB[],3,0)</f>
        <v>Vohra</v>
      </c>
      <c r="D88" s="30" t="str">
        <f>VLOOKUP(Attendees[[#This Row],[Client ID]],ClientDB[],7,0)</f>
        <v>GB</v>
      </c>
      <c r="E88" s="30" t="str">
        <f>VLOOKUP(Attendees[[#This Row],[Client ID]],ClientDB[],11,0)</f>
        <v>Bronze</v>
      </c>
      <c r="F88" s="30" t="str">
        <f>INDEX($J$12:$M$64,MATCH(Attendees[[#This Row],[Country]],$I$12:$I$64,0),MATCH(Attendees[[#This Row],[Status]],$J$11:$M$11,0))</f>
        <v>E</v>
      </c>
    </row>
    <row r="89" spans="1:6" x14ac:dyDescent="0.25">
      <c r="A89" s="25">
        <v>35213</v>
      </c>
      <c r="B89" t="str">
        <f>VLOOKUP(Attendees[[#This Row],[Client ID]],ClientDB[],2,0)</f>
        <v>David</v>
      </c>
      <c r="C89" t="str">
        <f>VLOOKUP(Attendees[[#This Row],[Client ID]],ClientDB[],3,0)</f>
        <v>West</v>
      </c>
      <c r="D89" s="30" t="str">
        <f>VLOOKUP(Attendees[[#This Row],[Client ID]],ClientDB[],7,0)</f>
        <v>GB</v>
      </c>
      <c r="E89" s="30" t="str">
        <f>VLOOKUP(Attendees[[#This Row],[Client ID]],ClientDB[],11,0)</f>
        <v>Bronze</v>
      </c>
      <c r="F89" s="30" t="str">
        <f>INDEX($J$12:$M$64,MATCH(Attendees[[#This Row],[Country]],$I$12:$I$64,0),MATCH(Attendees[[#This Row],[Status]],$J$11:$M$11,0))</f>
        <v>E</v>
      </c>
    </row>
    <row r="90" spans="1:6" x14ac:dyDescent="0.25">
      <c r="A90" s="25">
        <v>35181</v>
      </c>
      <c r="B90" t="str">
        <f>VLOOKUP(Attendees[[#This Row],[Client ID]],ClientDB[],2,0)</f>
        <v>Randy</v>
      </c>
      <c r="C90" t="str">
        <f>VLOOKUP(Attendees[[#This Row],[Client ID]],ClientDB[],3,0)</f>
        <v>Whitney</v>
      </c>
      <c r="D90" s="30" t="str">
        <f>VLOOKUP(Attendees[[#This Row],[Client ID]],ClientDB[],7,0)</f>
        <v>US</v>
      </c>
      <c r="E90" s="30" t="str">
        <f>VLOOKUP(Attendees[[#This Row],[Client ID]],ClientDB[],11,0)</f>
        <v>Bronze</v>
      </c>
      <c r="F90" s="30" t="str">
        <f>INDEX($J$12:$M$64,MATCH(Attendees[[#This Row],[Country]],$I$12:$I$64,0),MATCH(Attendees[[#This Row],[Status]],$J$11:$M$11,0))</f>
        <v>G</v>
      </c>
    </row>
    <row r="91" spans="1:6" x14ac:dyDescent="0.25">
      <c r="A91" s="25">
        <v>20093</v>
      </c>
      <c r="B91" t="str">
        <f>VLOOKUP(Attendees[[#This Row],[Client ID]],ClientDB[],2,0)</f>
        <v>Ingrid</v>
      </c>
      <c r="C91" t="str">
        <f>VLOOKUP(Attendees[[#This Row],[Client ID]],ClientDB[],3,0)</f>
        <v>Wijte</v>
      </c>
      <c r="D91" s="30" t="str">
        <f>VLOOKUP(Attendees[[#This Row],[Client ID]],ClientDB[],7,0)</f>
        <v>GB</v>
      </c>
      <c r="E91" s="30" t="str">
        <f>VLOOKUP(Attendees[[#This Row],[Client ID]],ClientDB[],11,0)</f>
        <v>Gold</v>
      </c>
      <c r="F91" s="30" t="str">
        <f>INDEX($J$12:$M$64,MATCH(Attendees[[#This Row],[Country]],$I$12:$I$64,0),MATCH(Attendees[[#This Row],[Status]],$J$11:$M$11,0))</f>
        <v>A</v>
      </c>
    </row>
    <row r="92" spans="1:6" x14ac:dyDescent="0.25">
      <c r="A92" s="25">
        <v>13485</v>
      </c>
      <c r="B92" t="str">
        <f>VLOOKUP(Attendees[[#This Row],[Client ID]],ClientDB[],2,0)</f>
        <v>Paul</v>
      </c>
      <c r="C92" t="str">
        <f>VLOOKUP(Attendees[[#This Row],[Client ID]],ClientDB[],3,0)</f>
        <v>Wilson</v>
      </c>
      <c r="D92" s="30" t="str">
        <f>VLOOKUP(Attendees[[#This Row],[Client ID]],ClientDB[],7,0)</f>
        <v>AU</v>
      </c>
      <c r="E92" s="30" t="str">
        <f>VLOOKUP(Attendees[[#This Row],[Client ID]],ClientDB[],11,0)</f>
        <v>Bronze</v>
      </c>
      <c r="F92" s="30" t="str">
        <f>INDEX($J$12:$M$64,MATCH(Attendees[[#This Row],[Country]],$I$12:$I$64,0),MATCH(Attendees[[#This Row],[Status]],$J$11:$M$11,0))</f>
        <v>D</v>
      </c>
    </row>
    <row r="93" spans="1:6" x14ac:dyDescent="0.25">
      <c r="A93" s="25">
        <v>14621</v>
      </c>
      <c r="B93" t="str">
        <f>VLOOKUP(Attendees[[#This Row],[Client ID]],ClientDB[],2,0)</f>
        <v>Salam</v>
      </c>
      <c r="C93" t="str">
        <f>VLOOKUP(Attendees[[#This Row],[Client ID]],ClientDB[],3,0)</f>
        <v>Yamout</v>
      </c>
      <c r="D93" s="30" t="str">
        <f>VLOOKUP(Attendees[[#This Row],[Client ID]],ClientDB[],7,0)</f>
        <v>LB</v>
      </c>
      <c r="E93" s="30" t="str">
        <f>VLOOKUP(Attendees[[#This Row],[Client ID]],ClientDB[],11,0)</f>
        <v>Bronze</v>
      </c>
      <c r="F93" s="30" t="str">
        <f>INDEX($J$12:$M$64,MATCH(Attendees[[#This Row],[Country]],$I$12:$I$64,0),MATCH(Attendees[[#This Row],[Status]],$J$11:$M$11,0))</f>
        <v>F</v>
      </c>
    </row>
    <row r="94" spans="1:6" x14ac:dyDescent="0.25">
      <c r="A94" s="25">
        <v>24205</v>
      </c>
      <c r="B94" t="str">
        <f>VLOOKUP(Attendees[[#This Row],[Client ID]],ClientDB[],2,0)</f>
        <v>Avetik</v>
      </c>
      <c r="C94" t="str">
        <f>VLOOKUP(Attendees[[#This Row],[Client ID]],ClientDB[],3,0)</f>
        <v>Yessayan</v>
      </c>
      <c r="D94" s="30" t="str">
        <f>VLOOKUP(Attendees[[#This Row],[Client ID]],ClientDB[],7,0)</f>
        <v>AM</v>
      </c>
      <c r="E94" s="30" t="str">
        <f>VLOOKUP(Attendees[[#This Row],[Client ID]],ClientDB[],11,0)</f>
        <v>Bronze</v>
      </c>
      <c r="F94" s="30" t="str">
        <f>INDEX($J$12:$M$64,MATCH(Attendees[[#This Row],[Country]],$I$12:$I$64,0),MATCH(Attendees[[#This Row],[Status]],$J$11:$M$11,0))</f>
        <v>D</v>
      </c>
    </row>
    <row r="95" spans="1:6" x14ac:dyDescent="0.25">
      <c r="A95" s="25">
        <v>21129</v>
      </c>
      <c r="B95" t="str">
        <f>VLOOKUP(Attendees[[#This Row],[Client ID]],ClientDB[],2,0)</f>
        <v>Jan</v>
      </c>
      <c r="C95" t="str">
        <f>VLOOKUP(Attendees[[#This Row],[Client ID]],ClientDB[],3,0)</f>
        <v>Zorz</v>
      </c>
      <c r="D95" s="30" t="str">
        <f>VLOOKUP(Attendees[[#This Row],[Client ID]],ClientDB[],7,0)</f>
        <v>SI</v>
      </c>
      <c r="E95" s="30" t="str">
        <f>VLOOKUP(Attendees[[#This Row],[Client ID]],ClientDB[],11,0)</f>
        <v>Bronze</v>
      </c>
      <c r="F95" s="30" t="str">
        <f>INDEX($J$12:$M$64,MATCH(Attendees[[#This Row],[Country]],$I$12:$I$64,0),MATCH(Attendees[[#This Row],[Status]],$J$11:$M$11,0))</f>
        <v>G</v>
      </c>
    </row>
    <row r="96" spans="1:6" x14ac:dyDescent="0.25">
      <c r="A96" s="25">
        <v>13713</v>
      </c>
      <c r="B96" t="str">
        <f>VLOOKUP(Attendees[[#This Row],[Client ID]],ClientDB[],2,0)</f>
        <v>Janos</v>
      </c>
      <c r="C96" t="str">
        <f>VLOOKUP(Attendees[[#This Row],[Client ID]],ClientDB[],3,0)</f>
        <v>Zsako</v>
      </c>
      <c r="D96" s="30" t="str">
        <f>VLOOKUP(Attendees[[#This Row],[Client ID]],ClientDB[],7,0)</f>
        <v>HU</v>
      </c>
      <c r="E96" s="30" t="str">
        <f>VLOOKUP(Attendees[[#This Row],[Client ID]],ClientDB[],11,0)</f>
        <v>Gold</v>
      </c>
      <c r="F96" s="30" t="str">
        <f>INDEX($J$12:$M$64,MATCH(Attendees[[#This Row],[Country]],$I$12:$I$64,0),MATCH(Attendees[[#This Row],[Status]],$J$11:$M$11,0))</f>
        <v>A</v>
      </c>
    </row>
    <row r="97" spans="1:6" x14ac:dyDescent="0.25">
      <c r="A97" s="25">
        <v>13343</v>
      </c>
      <c r="B97" t="e">
        <f>VLOOKUP(Attendees[[#This Row],[Client ID]],ClientDB[],2,0)</f>
        <v>#N/A</v>
      </c>
      <c r="C97" t="e">
        <f>VLOOKUP(Attendees[[#This Row],[Client ID]],ClientDB[],3,0)</f>
        <v>#N/A</v>
      </c>
      <c r="D97" s="30" t="e">
        <f>VLOOKUP(Attendees[[#This Row],[Client ID]],ClientDB[],7,0)</f>
        <v>#N/A</v>
      </c>
      <c r="E97" s="30" t="e">
        <f>VLOOKUP(Attendees[[#This Row],[Client ID]],ClientDB[],11,0)</f>
        <v>#N/A</v>
      </c>
      <c r="F97" s="30" t="e">
        <f>INDEX($J$12:$M$64,MATCH(Attendees[[#This Row],[Country]],$I$12:$I$64,0),MATCH(Attendees[[#This Row],[Status]],$J$11:$M$11,0))</f>
        <v>#N/A</v>
      </c>
    </row>
    <row r="98" spans="1:6" x14ac:dyDescent="0.25">
      <c r="A98" s="25"/>
    </row>
    <row r="99" spans="1:6" x14ac:dyDescent="0.25">
      <c r="A99" s="25"/>
    </row>
    <row r="100" spans="1:6" x14ac:dyDescent="0.25">
      <c r="A100" s="25"/>
    </row>
    <row r="101" spans="1:6" x14ac:dyDescent="0.25">
      <c r="A101" s="25"/>
    </row>
    <row r="102" spans="1:6" x14ac:dyDescent="0.25">
      <c r="A102" s="25"/>
    </row>
    <row r="103" spans="1:6" x14ac:dyDescent="0.25">
      <c r="A103" s="25"/>
    </row>
    <row r="104" spans="1:6" x14ac:dyDescent="0.25">
      <c r="A104" s="25"/>
    </row>
    <row r="105" spans="1:6" x14ac:dyDescent="0.25">
      <c r="A105" s="25"/>
    </row>
    <row r="106" spans="1:6" x14ac:dyDescent="0.25">
      <c r="A106" s="25"/>
    </row>
    <row r="107" spans="1:6" x14ac:dyDescent="0.25">
      <c r="A107" s="25"/>
    </row>
    <row r="108" spans="1:6" x14ac:dyDescent="0.25">
      <c r="A108" s="25"/>
    </row>
    <row r="109" spans="1:6" x14ac:dyDescent="0.25">
      <c r="A109" s="25"/>
    </row>
    <row r="110" spans="1:6" x14ac:dyDescent="0.25">
      <c r="A110" s="25"/>
    </row>
    <row r="111" spans="1:6" x14ac:dyDescent="0.25">
      <c r="A111" s="25"/>
    </row>
    <row r="112" spans="1:6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</sheetData>
  <conditionalFormatting sqref="A7:A97">
    <cfRule type="duplicateValues" dxfId="20" priority="2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22B-9F19-456F-94A3-1F71F0EF1B2B}">
  <sheetPr>
    <outlinePr summaryBelow="0"/>
  </sheetPr>
  <dimension ref="B1:G12"/>
  <sheetViews>
    <sheetView showGridLines="0" workbookViewId="0"/>
  </sheetViews>
  <sheetFormatPr defaultRowHeight="13.8" outlineLevelRow="1" outlineLevelCol="1" x14ac:dyDescent="0.25"/>
  <cols>
    <col min="3" max="3" width="6" bestFit="1" customWidth="1"/>
    <col min="4" max="7" width="11.19921875" bestFit="1" customWidth="1" outlineLevel="1"/>
  </cols>
  <sheetData>
    <row r="1" spans="2:7" ht="14.4" thickBot="1" x14ac:dyDescent="0.3"/>
    <row r="2" spans="2:7" ht="15.6" x14ac:dyDescent="0.3">
      <c r="B2" s="63" t="s">
        <v>843</v>
      </c>
      <c r="C2" s="63"/>
      <c r="D2" s="68"/>
      <c r="E2" s="68"/>
      <c r="F2" s="68"/>
      <c r="G2" s="68"/>
    </row>
    <row r="3" spans="2:7" ht="15.6" collapsed="1" x14ac:dyDescent="0.3">
      <c r="B3" s="62"/>
      <c r="C3" s="62"/>
      <c r="D3" s="69" t="s">
        <v>845</v>
      </c>
      <c r="E3" s="69" t="s">
        <v>18</v>
      </c>
      <c r="F3" s="69" t="s">
        <v>20</v>
      </c>
      <c r="G3" s="69" t="s">
        <v>19</v>
      </c>
    </row>
    <row r="4" spans="2:7" ht="61.2" hidden="1" outlineLevel="1" x14ac:dyDescent="0.25">
      <c r="B4" s="65"/>
      <c r="C4" s="65"/>
      <c r="D4" s="59"/>
      <c r="E4" s="71" t="s">
        <v>841</v>
      </c>
      <c r="F4" s="71" t="s">
        <v>842</v>
      </c>
      <c r="G4" s="71" t="s">
        <v>842</v>
      </c>
    </row>
    <row r="5" spans="2:7" x14ac:dyDescent="0.25">
      <c r="B5" s="66" t="s">
        <v>844</v>
      </c>
      <c r="C5" s="66"/>
      <c r="D5" s="64"/>
      <c r="E5" s="64"/>
      <c r="F5" s="64"/>
      <c r="G5" s="64"/>
    </row>
    <row r="6" spans="2:7" outlineLevel="1" x14ac:dyDescent="0.25">
      <c r="B6" s="65"/>
      <c r="C6" s="65" t="s">
        <v>838</v>
      </c>
      <c r="D6" s="59" t="s">
        <v>18</v>
      </c>
      <c r="E6" s="70" t="s">
        <v>18</v>
      </c>
      <c r="F6" s="70" t="s">
        <v>20</v>
      </c>
      <c r="G6" s="70" t="s">
        <v>19</v>
      </c>
    </row>
    <row r="7" spans="2:7" x14ac:dyDescent="0.25">
      <c r="B7" s="66" t="s">
        <v>846</v>
      </c>
      <c r="C7" s="66"/>
      <c r="D7" s="64"/>
      <c r="E7" s="64"/>
      <c r="F7" s="64"/>
      <c r="G7" s="64"/>
    </row>
    <row r="8" spans="2:7" outlineLevel="1" x14ac:dyDescent="0.25">
      <c r="B8" s="65"/>
      <c r="C8" s="65" t="s">
        <v>839</v>
      </c>
      <c r="D8" s="60">
        <v>127.825</v>
      </c>
      <c r="E8" s="60">
        <v>127.825</v>
      </c>
      <c r="F8" s="60">
        <v>127.52500000000001</v>
      </c>
      <c r="G8" s="60">
        <v>130.02500000000001</v>
      </c>
    </row>
    <row r="9" spans="2:7" ht="14.4" outlineLevel="1" thickBot="1" x14ac:dyDescent="0.3">
      <c r="B9" s="67"/>
      <c r="C9" s="67" t="s">
        <v>840</v>
      </c>
      <c r="D9" s="61">
        <v>10435</v>
      </c>
      <c r="E9" s="61">
        <v>10435</v>
      </c>
      <c r="F9" s="61">
        <v>10495</v>
      </c>
      <c r="G9" s="61">
        <v>9995</v>
      </c>
    </row>
    <row r="10" spans="2:7" x14ac:dyDescent="0.25">
      <c r="B10" t="s">
        <v>847</v>
      </c>
    </row>
    <row r="11" spans="2:7" x14ac:dyDescent="0.25">
      <c r="B11" t="s">
        <v>848</v>
      </c>
    </row>
    <row r="12" spans="2:7" x14ac:dyDescent="0.25">
      <c r="B12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9"/>
  <sheetViews>
    <sheetView showGridLines="0" tabSelected="1" topLeftCell="A4" workbookViewId="0">
      <selection activeCell="D23" sqref="D23"/>
    </sheetView>
  </sheetViews>
  <sheetFormatPr defaultColWidth="8.796875" defaultRowHeight="13.8" x14ac:dyDescent="0.25"/>
  <cols>
    <col min="1" max="1" width="36.796875" customWidth="1"/>
    <col min="2" max="2" width="14.296875" customWidth="1"/>
    <col min="3" max="4" width="14.296875" style="1" customWidth="1"/>
  </cols>
  <sheetData>
    <row r="1" spans="1:4" s="2" customFormat="1" x14ac:dyDescent="0.25"/>
    <row r="2" spans="1:4" s="2" customFormat="1" ht="6" customHeight="1" x14ac:dyDescent="0.25">
      <c r="A2" s="3"/>
      <c r="B2" s="3"/>
      <c r="C2" s="3"/>
      <c r="D2" s="3"/>
    </row>
    <row r="3" spans="1:4" s="2" customFormat="1" ht="53.25" customHeight="1" x14ac:dyDescent="0.25">
      <c r="A3" s="9" t="s">
        <v>22</v>
      </c>
      <c r="B3" s="4"/>
      <c r="C3" s="4"/>
      <c r="D3" s="4"/>
    </row>
    <row r="4" spans="1:4" s="2" customFormat="1" ht="14.25" customHeight="1" x14ac:dyDescent="0.25">
      <c r="A4" s="3"/>
      <c r="B4" s="3"/>
      <c r="C4" s="3"/>
      <c r="D4" s="3"/>
    </row>
    <row r="6" spans="1:4" s="2" customFormat="1" ht="23.25" customHeight="1" x14ac:dyDescent="0.25">
      <c r="A6" s="16" t="s">
        <v>834</v>
      </c>
      <c r="B6" s="16"/>
      <c r="C6" s="16"/>
      <c r="D6" s="72">
        <v>400</v>
      </c>
    </row>
    <row r="7" spans="1:4" s="2" customFormat="1" x14ac:dyDescent="0.25">
      <c r="A7" s="54" t="s">
        <v>835</v>
      </c>
      <c r="B7" s="11"/>
      <c r="C7" s="11"/>
      <c r="D7" s="11">
        <f>Attendees!N10</f>
        <v>90</v>
      </c>
    </row>
    <row r="8" spans="1:4" x14ac:dyDescent="0.25">
      <c r="C8"/>
      <c r="D8"/>
    </row>
    <row r="9" spans="1:4" x14ac:dyDescent="0.25">
      <c r="A9" s="56" t="s">
        <v>23</v>
      </c>
      <c r="B9" s="57"/>
      <c r="C9" s="58"/>
      <c r="D9" s="20">
        <f>D21+D28+D32+D38</f>
        <v>38465</v>
      </c>
    </row>
    <row r="10" spans="1:4" x14ac:dyDescent="0.25">
      <c r="A10" s="56" t="s">
        <v>24</v>
      </c>
      <c r="B10" s="57"/>
      <c r="C10" s="58"/>
      <c r="D10" s="20">
        <f>D9/D6</f>
        <v>96.162499999999994</v>
      </c>
    </row>
    <row r="11" spans="1:4" x14ac:dyDescent="0.25">
      <c r="A11" s="56" t="s">
        <v>28</v>
      </c>
      <c r="B11" s="57"/>
      <c r="C11" s="58"/>
      <c r="D11" s="20">
        <v>180</v>
      </c>
    </row>
    <row r="12" spans="1:4" s="19" customFormat="1" ht="19.8" customHeight="1" thickBot="1" x14ac:dyDescent="0.35">
      <c r="A12" s="17" t="s">
        <v>25</v>
      </c>
      <c r="B12" s="17"/>
      <c r="C12" s="17"/>
      <c r="D12" s="18">
        <f>(D6*D11)-D9</f>
        <v>33535</v>
      </c>
    </row>
    <row r="13" spans="1:4" ht="14.4" thickTop="1" x14ac:dyDescent="0.25"/>
    <row r="14" spans="1:4" x14ac:dyDescent="0.25">
      <c r="A14" s="10"/>
      <c r="B14" s="11" t="s">
        <v>13</v>
      </c>
      <c r="C14" s="12" t="s">
        <v>14</v>
      </c>
      <c r="D14" s="12" t="s">
        <v>15</v>
      </c>
    </row>
    <row r="15" spans="1:4" s="14" customFormat="1" x14ac:dyDescent="0.25">
      <c r="A15" s="13" t="s">
        <v>9</v>
      </c>
      <c r="B15" s="13"/>
      <c r="C15" s="15"/>
      <c r="D15" s="15"/>
    </row>
    <row r="16" spans="1:4" x14ac:dyDescent="0.25">
      <c r="A16" t="s">
        <v>16</v>
      </c>
      <c r="B16">
        <v>1</v>
      </c>
      <c r="C16" s="1">
        <v>2800</v>
      </c>
      <c r="D16" s="1">
        <f>B16*C16</f>
        <v>2800</v>
      </c>
    </row>
    <row r="17" spans="1:4" x14ac:dyDescent="0.25">
      <c r="A17" t="s">
        <v>17</v>
      </c>
      <c r="B17">
        <v>2</v>
      </c>
      <c r="C17" s="1">
        <v>150</v>
      </c>
      <c r="D17" s="1">
        <f>B17*C17</f>
        <v>300</v>
      </c>
    </row>
    <row r="18" spans="1:4" x14ac:dyDescent="0.25">
      <c r="A18" t="s">
        <v>12</v>
      </c>
      <c r="B18">
        <f>ROUNDUP(Guests/10,0)</f>
        <v>40</v>
      </c>
      <c r="C18" s="1">
        <v>12.5</v>
      </c>
      <c r="D18" s="1">
        <f t="shared" ref="D18:D20" si="0">B18*C18</f>
        <v>500</v>
      </c>
    </row>
    <row r="19" spans="1:4" x14ac:dyDescent="0.25">
      <c r="A19" t="s">
        <v>11</v>
      </c>
      <c r="B19">
        <f>B18*10+5</f>
        <v>405</v>
      </c>
      <c r="C19" s="1">
        <v>4</v>
      </c>
      <c r="D19" s="1">
        <f t="shared" si="0"/>
        <v>1620</v>
      </c>
    </row>
    <row r="20" spans="1:4" x14ac:dyDescent="0.25">
      <c r="A20" t="s">
        <v>5</v>
      </c>
      <c r="B20">
        <f>B18</f>
        <v>40</v>
      </c>
      <c r="C20" s="1">
        <v>22.5</v>
      </c>
      <c r="D20" s="1">
        <f t="shared" si="0"/>
        <v>900</v>
      </c>
    </row>
    <row r="21" spans="1:4" ht="14.4" thickBot="1" x14ac:dyDescent="0.3">
      <c r="A21" s="6" t="s">
        <v>4</v>
      </c>
      <c r="B21" s="6"/>
      <c r="C21" s="7"/>
      <c r="D21" s="7">
        <f>SUM(D16:D20)</f>
        <v>6120</v>
      </c>
    </row>
    <row r="22" spans="1:4" ht="14.4" thickTop="1" x14ac:dyDescent="0.25"/>
    <row r="23" spans="1:4" s="14" customFormat="1" x14ac:dyDescent="0.25">
      <c r="A23" s="13" t="s">
        <v>10</v>
      </c>
      <c r="B23" s="13"/>
      <c r="C23" s="15"/>
      <c r="D23" s="73" t="s">
        <v>20</v>
      </c>
    </row>
    <row r="24" spans="1:4" x14ac:dyDescent="0.25">
      <c r="A24" t="s">
        <v>0</v>
      </c>
      <c r="B24">
        <f>Guests</f>
        <v>400</v>
      </c>
      <c r="C24" s="1">
        <f>HLOOKUP($D$23,prices,2,0)</f>
        <v>38.6</v>
      </c>
      <c r="D24" s="1">
        <f t="shared" ref="D24:D27" si="1">B24*C24</f>
        <v>15440</v>
      </c>
    </row>
    <row r="25" spans="1:4" x14ac:dyDescent="0.25">
      <c r="A25" t="s">
        <v>26</v>
      </c>
      <c r="B25">
        <f>Guests</f>
        <v>400</v>
      </c>
      <c r="C25" s="1">
        <f>HLOOKUP($D$23,prices,3,0)</f>
        <v>25.5</v>
      </c>
      <c r="D25" s="1">
        <f t="shared" si="1"/>
        <v>10200</v>
      </c>
    </row>
    <row r="26" spans="1:4" x14ac:dyDescent="0.25">
      <c r="A26" t="s">
        <v>2</v>
      </c>
      <c r="B26">
        <f>B18</f>
        <v>40</v>
      </c>
      <c r="C26" s="1">
        <f>HLOOKUP($D$23,prices,4,0)</f>
        <v>12.5</v>
      </c>
      <c r="D26" s="1">
        <f t="shared" si="1"/>
        <v>500</v>
      </c>
    </row>
    <row r="27" spans="1:4" x14ac:dyDescent="0.25">
      <c r="A27" t="s">
        <v>3</v>
      </c>
      <c r="B27">
        <f>ROUNDUP(Guests/20,0)</f>
        <v>20</v>
      </c>
      <c r="C27" s="1">
        <f>HLOOKUP($D$23,prices,5,0)</f>
        <v>145</v>
      </c>
      <c r="D27" s="1">
        <f t="shared" si="1"/>
        <v>2900</v>
      </c>
    </row>
    <row r="28" spans="1:4" ht="14.4" thickBot="1" x14ac:dyDescent="0.3">
      <c r="A28" s="6" t="s">
        <v>4</v>
      </c>
      <c r="B28" s="6"/>
      <c r="C28" s="7"/>
      <c r="D28" s="7">
        <f>SUM(D24:D27)</f>
        <v>29040</v>
      </c>
    </row>
    <row r="29" spans="1:4" ht="14.4" thickTop="1" x14ac:dyDescent="0.25"/>
    <row r="30" spans="1:4" x14ac:dyDescent="0.25">
      <c r="A30" s="5" t="s">
        <v>6</v>
      </c>
      <c r="B30" s="5"/>
      <c r="C30" s="8"/>
      <c r="D30" s="8"/>
    </row>
    <row r="31" spans="1:4" x14ac:dyDescent="0.25">
      <c r="A31" t="s">
        <v>837</v>
      </c>
      <c r="B31">
        <v>1</v>
      </c>
      <c r="C31" s="1">
        <v>1500</v>
      </c>
      <c r="D31" s="1">
        <f t="shared" ref="D31" si="2">B31*C31</f>
        <v>1500</v>
      </c>
    </row>
    <row r="32" spans="1:4" ht="14.4" thickBot="1" x14ac:dyDescent="0.3">
      <c r="A32" s="6" t="s">
        <v>4</v>
      </c>
      <c r="B32" s="6"/>
      <c r="C32" s="7"/>
      <c r="D32" s="7">
        <f>SUM(D30:D31)</f>
        <v>1500</v>
      </c>
    </row>
    <row r="33" spans="1:4" ht="14.4" thickTop="1" x14ac:dyDescent="0.25"/>
    <row r="34" spans="1:4" x14ac:dyDescent="0.25">
      <c r="A34" s="5" t="s">
        <v>7</v>
      </c>
      <c r="B34" s="5"/>
      <c r="C34" s="8"/>
      <c r="D34" s="8"/>
    </row>
    <row r="35" spans="1:4" x14ac:dyDescent="0.25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5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5">
      <c r="A37" t="s">
        <v>27</v>
      </c>
      <c r="B37">
        <f>Guests</f>
        <v>400</v>
      </c>
      <c r="C37" s="1">
        <v>1.2</v>
      </c>
      <c r="D37" s="1">
        <f t="shared" si="3"/>
        <v>480</v>
      </c>
    </row>
    <row r="38" spans="1:4" ht="14.4" thickBot="1" x14ac:dyDescent="0.3">
      <c r="A38" s="6" t="s">
        <v>4</v>
      </c>
      <c r="B38" s="6"/>
      <c r="C38" s="7"/>
      <c r="D38" s="7">
        <f>SUM(D34:D37)</f>
        <v>1805</v>
      </c>
    </row>
    <row r="39" spans="1:4" ht="14.4" thickTop="1" x14ac:dyDescent="0.25"/>
  </sheetData>
  <sheetProtection sheet="1" objects="1" scenarios="1" selectLockedCells="1"/>
  <scenarios current="0" show="0" sqref="D10 D12">
    <scenario name="Food2U" locked="1" count="1" user="Patrick Raymond" comment="Created by Patrick Raymond on 5/4/2021_x000a_Modified by Patrick Raymond on 5/4/2021">
      <inputCells r="D23" val="Food2U"/>
    </scenario>
    <scenario name="Munchies" locked="1" count="1" user="Patrick Raymond" comment="Created by Patrick Raymond on 5/4/2021">
      <inputCells r="D23" val="Munchies"/>
    </scenario>
    <scenario name="Janelle's" locked="1" count="1" user="Patrick Raymond" comment="Created by Patrick Raymond on 5/4/2021">
      <inputCells r="D23" val="Janelle's"/>
    </scenario>
    <scenario name="Min Guest Cost" count="3" user="Patrick Raymond" comment="Created by Patrick Raymond on 5/4/2021">
      <inputCells r="D6" val="400"/>
      <inputCells r="B17" val="2"/>
      <inputCells r="B31" val="0"/>
    </scenario>
  </scenarios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A6" sqref="A6"/>
    </sheetView>
  </sheetViews>
  <sheetFormatPr defaultColWidth="8.796875" defaultRowHeight="13.8" x14ac:dyDescent="0.25"/>
  <cols>
    <col min="1" max="1" width="25" customWidth="1"/>
    <col min="2" max="3" width="13" customWidth="1"/>
  </cols>
  <sheetData>
    <row r="1" spans="1:5" s="2" customFormat="1" x14ac:dyDescent="0.25">
      <c r="A1" s="21"/>
      <c r="D1" s="26"/>
    </row>
    <row r="2" spans="1:5" s="2" customFormat="1" ht="6" customHeight="1" x14ac:dyDescent="0.25">
      <c r="A2" s="22"/>
      <c r="B2" s="3"/>
      <c r="C2" s="3"/>
      <c r="D2" s="27"/>
      <c r="E2"/>
    </row>
    <row r="3" spans="1:5" s="2" customFormat="1" ht="53.25" customHeight="1" x14ac:dyDescent="0.25">
      <c r="A3" s="23" t="s">
        <v>836</v>
      </c>
      <c r="B3" s="4"/>
      <c r="C3" s="4"/>
      <c r="D3" s="28"/>
    </row>
    <row r="4" spans="1:5" s="2" customFormat="1" ht="14.25" customHeight="1" x14ac:dyDescent="0.25">
      <c r="A4" s="22"/>
      <c r="B4" s="3"/>
      <c r="C4" s="3"/>
      <c r="D4" s="27"/>
    </row>
    <row r="6" spans="1:5" x14ac:dyDescent="0.25">
      <c r="A6" s="5" t="s">
        <v>10</v>
      </c>
      <c r="B6" s="55" t="s">
        <v>18</v>
      </c>
      <c r="C6" s="55" t="s">
        <v>19</v>
      </c>
      <c r="D6" s="55" t="s">
        <v>20</v>
      </c>
    </row>
    <row r="7" spans="1:5" x14ac:dyDescent="0.25">
      <c r="A7" t="s">
        <v>0</v>
      </c>
      <c r="B7" s="1">
        <v>36.9</v>
      </c>
      <c r="C7" s="1">
        <v>45.25</v>
      </c>
      <c r="D7" s="1">
        <v>38.6</v>
      </c>
    </row>
    <row r="8" spans="1:5" x14ac:dyDescent="0.25">
      <c r="A8" t="s">
        <v>1</v>
      </c>
      <c r="B8" s="1">
        <v>28.5</v>
      </c>
      <c r="C8" s="1">
        <v>22.9</v>
      </c>
      <c r="D8" s="1">
        <v>25.5</v>
      </c>
    </row>
    <row r="9" spans="1:5" x14ac:dyDescent="0.25">
      <c r="A9" t="s">
        <v>2</v>
      </c>
      <c r="B9" s="1">
        <v>15</v>
      </c>
      <c r="C9" s="1">
        <v>12</v>
      </c>
      <c r="D9" s="1">
        <v>12.5</v>
      </c>
    </row>
    <row r="10" spans="1:5" x14ac:dyDescent="0.25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Client Database</vt:lpstr>
      <vt:lpstr>LookUp Lists</vt:lpstr>
      <vt:lpstr>Attendees</vt:lpstr>
      <vt:lpstr>Scenario Summary</vt:lpstr>
      <vt:lpstr>Cost Overview</vt:lpstr>
      <vt:lpstr>Catering Prices</vt:lpstr>
      <vt:lpstr>caterer_costs</vt:lpstr>
      <vt:lpstr>Catering</vt:lpstr>
      <vt:lpstr>Country_Codes</vt:lpstr>
      <vt:lpstr>Guests</vt:lpstr>
      <vt:lpstr>Organisations</vt:lpstr>
      <vt:lpstr>prices</vt:lpstr>
      <vt:lpstr>Status_Codes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Patrick Raymond</cp:lastModifiedBy>
  <dcterms:created xsi:type="dcterms:W3CDTF">2017-08-25T00:55:05Z</dcterms:created>
  <dcterms:modified xsi:type="dcterms:W3CDTF">2021-05-04T11:35:26Z</dcterms:modified>
</cp:coreProperties>
</file>