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f364afe123e12d/Ymisk papírir/Niklas'sPengetips/Reference Notes/"/>
    </mc:Choice>
  </mc:AlternateContent>
  <xr:revisionPtr revIDLastSave="1918" documentId="13_ncr:1_{F1E1778C-3773-468D-BA58-B2BFB2BF17E5}" xr6:coauthVersionLast="47" xr6:coauthVersionMax="47" xr10:uidLastSave="{E4449BC7-14B1-442F-AF58-0123EDE4A31B}"/>
  <bookViews>
    <workbookView xWindow="-120" yWindow="-120" windowWidth="38640" windowHeight="21240" xr2:uid="{D1F4EECF-E062-4D47-8215-509DEAC4817A}"/>
  </bookViews>
  <sheets>
    <sheet name="Månedlig udvikling" sheetId="1" r:id="rId1"/>
    <sheet name="Samlet Portofølje" sheetId="2" r:id="rId2"/>
    <sheet name="Aktiekøb" sheetId="3" r:id="rId3"/>
  </sheets>
  <definedNames>
    <definedName name="_xlnm._FilterDatabase" localSheetId="2" hidden="1">Aktiekøb!$C$10:$C$50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G20" i="1"/>
  <c r="G21" i="1"/>
  <c r="F20" i="1"/>
  <c r="F21" i="1"/>
  <c r="AC21" i="1"/>
  <c r="AB21" i="1"/>
  <c r="AA21" i="1"/>
  <c r="Z21" i="1"/>
  <c r="AC20" i="1"/>
  <c r="AB20" i="1"/>
  <c r="AA20" i="1"/>
  <c r="Z20" i="1"/>
  <c r="L20" i="1"/>
  <c r="L21" i="1"/>
  <c r="T20" i="1"/>
  <c r="W20" i="1"/>
  <c r="W21" i="1"/>
  <c r="T21" i="1"/>
  <c r="S21" i="1"/>
  <c r="S19" i="1"/>
  <c r="R20" i="1"/>
  <c r="R21" i="1"/>
  <c r="O20" i="1"/>
  <c r="O21" i="1"/>
  <c r="P17" i="1"/>
  <c r="F19" i="1"/>
  <c r="G19" i="1" s="1"/>
  <c r="W19" i="1"/>
  <c r="S17" i="1"/>
  <c r="W18" i="1" s="1"/>
  <c r="R19" i="1"/>
  <c r="S18" i="1"/>
  <c r="O18" i="1"/>
  <c r="O19" i="1"/>
  <c r="L18" i="1"/>
  <c r="L19" i="1"/>
  <c r="C17" i="1"/>
  <c r="C19" i="1"/>
  <c r="K16" i="3"/>
  <c r="J15" i="2"/>
  <c r="J16" i="2"/>
  <c r="F16" i="2"/>
  <c r="I16" i="2"/>
  <c r="I12" i="2"/>
  <c r="J12" i="2"/>
  <c r="I13" i="2"/>
  <c r="J13" i="2"/>
  <c r="I14" i="2"/>
  <c r="J14" i="2"/>
  <c r="T17" i="1"/>
  <c r="O17" i="1"/>
  <c r="L17" i="1"/>
  <c r="I17" i="1"/>
  <c r="N6" i="3" a="1"/>
  <c r="N6" i="3" s="1"/>
  <c r="K24" i="3"/>
  <c r="K25" i="3"/>
  <c r="K26" i="3"/>
  <c r="K23" i="3"/>
  <c r="K21" i="3"/>
  <c r="K18" i="3"/>
  <c r="K14" i="3"/>
  <c r="K22" i="3"/>
  <c r="K19" i="3"/>
  <c r="K13" i="3"/>
  <c r="K20" i="3"/>
  <c r="K17" i="3"/>
  <c r="K15" i="3"/>
  <c r="K12" i="3"/>
  <c r="C33" i="2" a="1"/>
  <c r="C33" i="2"/>
  <c r="C34" i="2" a="1"/>
  <c r="C34" i="2"/>
  <c r="C32" i="2" a="1"/>
  <c r="C32" i="2"/>
  <c r="M17" i="2"/>
  <c r="M18" i="2"/>
  <c r="M19" i="2"/>
  <c r="M20" i="2"/>
  <c r="M21" i="2"/>
  <c r="M22" i="2"/>
  <c r="M23" i="2"/>
  <c r="M24" i="2"/>
  <c r="M25" i="2"/>
  <c r="F26" i="2"/>
  <c r="J9" i="2"/>
  <c r="J10" i="2"/>
  <c r="J11" i="2"/>
  <c r="J8" i="2"/>
  <c r="C31" i="2" s="1" a="1"/>
  <c r="C31" i="2" s="1"/>
  <c r="H9" i="2"/>
  <c r="H10" i="2"/>
  <c r="H11" i="2"/>
  <c r="H8" i="2"/>
  <c r="N4" i="3" a="1"/>
  <c r="N4" i="3"/>
  <c r="N5" i="3" s="1" a="1"/>
  <c r="N5" i="3" s="1"/>
  <c r="E51" i="3"/>
  <c r="G19" i="3"/>
  <c r="L14" i="3"/>
  <c r="M14" i="3" s="1"/>
  <c r="L15" i="3"/>
  <c r="M15" i="3" s="1"/>
  <c r="L16" i="3"/>
  <c r="M16" i="3" s="1"/>
  <c r="L17" i="3"/>
  <c r="M17" i="3" s="1"/>
  <c r="L18" i="3"/>
  <c r="M18" i="3" s="1"/>
  <c r="L19" i="3"/>
  <c r="M19" i="3" s="1"/>
  <c r="L20" i="3"/>
  <c r="M20" i="3" s="1"/>
  <c r="L21" i="3"/>
  <c r="M21" i="3" s="1"/>
  <c r="L22" i="3"/>
  <c r="M22" i="3" s="1"/>
  <c r="L23" i="3"/>
  <c r="M23" i="3" s="1"/>
  <c r="L24" i="3"/>
  <c r="M24" i="3" s="1"/>
  <c r="L25" i="3"/>
  <c r="M25" i="3" s="1"/>
  <c r="L26" i="3"/>
  <c r="M26" i="3" s="1"/>
  <c r="L27" i="3"/>
  <c r="M27" i="3" s="1"/>
  <c r="N27" i="3" s="1"/>
  <c r="L28" i="3"/>
  <c r="M28" i="3" s="1"/>
  <c r="N28" i="3" s="1"/>
  <c r="L29" i="3"/>
  <c r="M29" i="3" s="1"/>
  <c r="N29" i="3" s="1"/>
  <c r="L30" i="3"/>
  <c r="M30" i="3" s="1"/>
  <c r="N30" i="3" s="1"/>
  <c r="L31" i="3"/>
  <c r="M31" i="3" s="1"/>
  <c r="N31" i="3" s="1"/>
  <c r="L32" i="3"/>
  <c r="M32" i="3" s="1"/>
  <c r="N32" i="3" s="1"/>
  <c r="L33" i="3"/>
  <c r="M33" i="3" s="1"/>
  <c r="N33" i="3" s="1"/>
  <c r="L34" i="3"/>
  <c r="M34" i="3" s="1"/>
  <c r="N34" i="3" s="1"/>
  <c r="L35" i="3"/>
  <c r="M35" i="3" s="1"/>
  <c r="N35" i="3" s="1"/>
  <c r="L36" i="3"/>
  <c r="M36" i="3" s="1"/>
  <c r="N36" i="3" s="1"/>
  <c r="L37" i="3"/>
  <c r="M37" i="3" s="1"/>
  <c r="N37" i="3" s="1"/>
  <c r="L38" i="3"/>
  <c r="M38" i="3" s="1"/>
  <c r="N38" i="3" s="1"/>
  <c r="L39" i="3"/>
  <c r="M39" i="3" s="1"/>
  <c r="N39" i="3" s="1"/>
  <c r="L40" i="3"/>
  <c r="M40" i="3" s="1"/>
  <c r="N40" i="3" s="1"/>
  <c r="L41" i="3"/>
  <c r="M41" i="3" s="1"/>
  <c r="N41" i="3" s="1"/>
  <c r="L42" i="3"/>
  <c r="M42" i="3" s="1"/>
  <c r="N42" i="3" s="1"/>
  <c r="L43" i="3"/>
  <c r="M43" i="3" s="1"/>
  <c r="N43" i="3" s="1"/>
  <c r="L44" i="3"/>
  <c r="M44" i="3" s="1"/>
  <c r="N44" i="3" s="1"/>
  <c r="O44" i="3" s="1"/>
  <c r="L45" i="3"/>
  <c r="M45" i="3" s="1"/>
  <c r="N45" i="3" s="1"/>
  <c r="L46" i="3"/>
  <c r="M46" i="3" s="1"/>
  <c r="N46" i="3" s="1"/>
  <c r="L47" i="3"/>
  <c r="M47" i="3" s="1"/>
  <c r="N47" i="3" s="1"/>
  <c r="L48" i="3"/>
  <c r="M48" i="3" s="1"/>
  <c r="N48" i="3" s="1"/>
  <c r="L49" i="3"/>
  <c r="M49" i="3" s="1"/>
  <c r="N49" i="3" s="1"/>
  <c r="L50" i="3"/>
  <c r="M50" i="3" s="1"/>
  <c r="N50" i="3" s="1"/>
  <c r="L13" i="3"/>
  <c r="M13" i="3" s="1"/>
  <c r="L12" i="3"/>
  <c r="M12" i="3" s="1"/>
  <c r="G16" i="3"/>
  <c r="H16" i="3"/>
  <c r="I16" i="3"/>
  <c r="G17" i="3"/>
  <c r="H17" i="3"/>
  <c r="I17" i="3"/>
  <c r="G18" i="3"/>
  <c r="H18" i="3"/>
  <c r="I18" i="3"/>
  <c r="H19" i="3"/>
  <c r="I19" i="3"/>
  <c r="G20" i="3"/>
  <c r="H20" i="3"/>
  <c r="I20" i="3"/>
  <c r="G21" i="3"/>
  <c r="H21" i="3"/>
  <c r="I21" i="3"/>
  <c r="G22" i="3"/>
  <c r="H22" i="3"/>
  <c r="I22" i="3"/>
  <c r="G23" i="3"/>
  <c r="H23" i="3"/>
  <c r="I23" i="3"/>
  <c r="G24" i="3"/>
  <c r="H24" i="3"/>
  <c r="I24" i="3"/>
  <c r="G25" i="3"/>
  <c r="H25" i="3"/>
  <c r="I25" i="3"/>
  <c r="G26" i="3"/>
  <c r="H26" i="3"/>
  <c r="I26" i="3"/>
  <c r="G27" i="3"/>
  <c r="H27" i="3"/>
  <c r="I27" i="3"/>
  <c r="O27" i="3"/>
  <c r="G28" i="3"/>
  <c r="H28" i="3"/>
  <c r="I28" i="3"/>
  <c r="O28" i="3"/>
  <c r="G29" i="3"/>
  <c r="H29" i="3"/>
  <c r="I29" i="3"/>
  <c r="O29" i="3"/>
  <c r="G30" i="3"/>
  <c r="H30" i="3"/>
  <c r="I30" i="3"/>
  <c r="O30" i="3"/>
  <c r="G31" i="3"/>
  <c r="H31" i="3"/>
  <c r="I31" i="3"/>
  <c r="O31" i="3"/>
  <c r="G32" i="3"/>
  <c r="H32" i="3"/>
  <c r="I32" i="3"/>
  <c r="O32" i="3"/>
  <c r="G33" i="3"/>
  <c r="H33" i="3"/>
  <c r="I33" i="3"/>
  <c r="O33" i="3"/>
  <c r="G34" i="3"/>
  <c r="H34" i="3"/>
  <c r="I34" i="3"/>
  <c r="O34" i="3"/>
  <c r="G35" i="3"/>
  <c r="H35" i="3"/>
  <c r="I35" i="3"/>
  <c r="O35" i="3"/>
  <c r="G36" i="3"/>
  <c r="H36" i="3"/>
  <c r="I36" i="3"/>
  <c r="O36" i="3"/>
  <c r="G37" i="3"/>
  <c r="H37" i="3"/>
  <c r="I37" i="3"/>
  <c r="O37" i="3"/>
  <c r="G38" i="3"/>
  <c r="H38" i="3"/>
  <c r="I38" i="3"/>
  <c r="O38" i="3"/>
  <c r="G39" i="3"/>
  <c r="H39" i="3"/>
  <c r="I39" i="3"/>
  <c r="O39" i="3"/>
  <c r="G40" i="3"/>
  <c r="H40" i="3"/>
  <c r="I40" i="3"/>
  <c r="O40" i="3"/>
  <c r="G41" i="3"/>
  <c r="H41" i="3"/>
  <c r="I41" i="3"/>
  <c r="O41" i="3"/>
  <c r="G42" i="3"/>
  <c r="H42" i="3"/>
  <c r="I42" i="3"/>
  <c r="O42" i="3"/>
  <c r="G43" i="3"/>
  <c r="H43" i="3"/>
  <c r="I43" i="3"/>
  <c r="O43" i="3"/>
  <c r="G44" i="3"/>
  <c r="H44" i="3"/>
  <c r="I44" i="3"/>
  <c r="G45" i="3"/>
  <c r="H45" i="3"/>
  <c r="I45" i="3"/>
  <c r="O45" i="3"/>
  <c r="G46" i="3"/>
  <c r="H46" i="3"/>
  <c r="I46" i="3"/>
  <c r="O46" i="3"/>
  <c r="G47" i="3"/>
  <c r="H47" i="3"/>
  <c r="I47" i="3"/>
  <c r="O47" i="3"/>
  <c r="G48" i="3"/>
  <c r="H48" i="3"/>
  <c r="I48" i="3"/>
  <c r="O48" i="3"/>
  <c r="G49" i="3"/>
  <c r="H49" i="3"/>
  <c r="I49" i="3"/>
  <c r="O49" i="3"/>
  <c r="G50" i="3"/>
  <c r="H50" i="3"/>
  <c r="I50" i="3"/>
  <c r="O50" i="3"/>
  <c r="G13" i="3"/>
  <c r="I13" i="3" s="1"/>
  <c r="G14" i="3"/>
  <c r="I14" i="3" s="1"/>
  <c r="G15" i="3"/>
  <c r="I15" i="3" s="1"/>
  <c r="G12" i="3"/>
  <c r="I12" i="3" s="1"/>
  <c r="I51" i="3" s="1"/>
  <c r="H12" i="3"/>
  <c r="H13" i="3"/>
  <c r="H14" i="3"/>
  <c r="H15" i="3"/>
  <c r="C5" i="1"/>
  <c r="N16" i="1"/>
  <c r="Q16" i="1"/>
  <c r="S16" i="1"/>
  <c r="T16" i="1"/>
  <c r="P16" i="1"/>
  <c r="P15" i="1"/>
  <c r="L16" i="1"/>
  <c r="I16" i="1"/>
  <c r="Q23" i="1"/>
  <c r="O15" i="1"/>
  <c r="L15" i="1"/>
  <c r="I15" i="1"/>
  <c r="S15" i="1"/>
  <c r="T15" i="1"/>
  <c r="S12" i="1"/>
  <c r="S13" i="1"/>
  <c r="S14" i="1"/>
  <c r="S11" i="1"/>
  <c r="S10" i="1"/>
  <c r="T14" i="1"/>
  <c r="T13" i="1"/>
  <c r="T12" i="1"/>
  <c r="V10" i="1"/>
  <c r="V11" i="1"/>
  <c r="D11" i="1" s="1"/>
  <c r="D14" i="1"/>
  <c r="I14" i="1"/>
  <c r="L14" i="1"/>
  <c r="O14" i="1"/>
  <c r="P14" i="1"/>
  <c r="D13" i="1"/>
  <c r="P13" i="1"/>
  <c r="O13" i="1"/>
  <c r="L13" i="1"/>
  <c r="I13" i="1"/>
  <c r="P12" i="1"/>
  <c r="O12" i="1"/>
  <c r="L12" i="1"/>
  <c r="I12" i="1"/>
  <c r="D12" i="1"/>
  <c r="D15" i="1"/>
  <c r="D17" i="1"/>
  <c r="D18" i="1"/>
  <c r="D19" i="1"/>
  <c r="D20" i="1"/>
  <c r="D21" i="1"/>
  <c r="C18" i="1"/>
  <c r="C20" i="1"/>
  <c r="C21" i="1"/>
  <c r="I11" i="1"/>
  <c r="L11" i="1"/>
  <c r="P11" i="1"/>
  <c r="O11" i="1"/>
  <c r="J23" i="1" a="1"/>
  <c r="J23" i="1" s="1"/>
  <c r="K23" i="1"/>
  <c r="R17" i="1" l="1"/>
  <c r="C16" i="1"/>
  <c r="F17" i="1" s="1"/>
  <c r="G17" i="1" s="1"/>
  <c r="R18" i="1"/>
  <c r="F18" i="1"/>
  <c r="G18" i="1" s="1"/>
  <c r="W17" i="1"/>
  <c r="J26" i="2"/>
  <c r="C3" i="2"/>
  <c r="M15" i="2" s="1"/>
  <c r="M11" i="2"/>
  <c r="M10" i="2"/>
  <c r="M9" i="2"/>
  <c r="K8" i="2"/>
  <c r="K11" i="2"/>
  <c r="L11" i="2" s="1"/>
  <c r="K10" i="2"/>
  <c r="L10" i="2" s="1"/>
  <c r="K9" i="2"/>
  <c r="L9" i="2" s="1"/>
  <c r="H51" i="3"/>
  <c r="N12" i="3"/>
  <c r="O12" i="3" s="1"/>
  <c r="M51" i="3"/>
  <c r="N51" i="3" s="1"/>
  <c r="N13" i="3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N17" i="3"/>
  <c r="O17" i="3" s="1"/>
  <c r="N16" i="3"/>
  <c r="O16" i="3" s="1"/>
  <c r="N15" i="3"/>
  <c r="O15" i="3" s="1"/>
  <c r="N14" i="3"/>
  <c r="O13" i="3"/>
  <c r="O14" i="3"/>
  <c r="N23" i="1"/>
  <c r="D16" i="1"/>
  <c r="O16" i="1"/>
  <c r="R16" i="1"/>
  <c r="W16" i="1"/>
  <c r="C15" i="1"/>
  <c r="C13" i="1"/>
  <c r="Y13" i="1" s="1"/>
  <c r="AC13" i="1" s="1"/>
  <c r="R15" i="1"/>
  <c r="R13" i="1"/>
  <c r="W15" i="1"/>
  <c r="R14" i="1"/>
  <c r="V23" i="1"/>
  <c r="W14" i="1"/>
  <c r="R12" i="1"/>
  <c r="W13" i="1"/>
  <c r="W12" i="1"/>
  <c r="D10" i="1"/>
  <c r="W10" i="1"/>
  <c r="W11" i="1"/>
  <c r="C11" i="1"/>
  <c r="C12" i="1"/>
  <c r="L23" i="1"/>
  <c r="H26" i="2" l="1"/>
  <c r="C4" i="2" s="1"/>
  <c r="C5" i="2" s="1"/>
  <c r="F15" i="1"/>
  <c r="G15" i="1" s="1"/>
  <c r="F16" i="1"/>
  <c r="G16" i="1" s="1"/>
  <c r="M14" i="2"/>
  <c r="M16" i="2"/>
  <c r="M12" i="2"/>
  <c r="M13" i="2"/>
  <c r="D33" i="2"/>
  <c r="D34" i="2"/>
  <c r="D31" i="2"/>
  <c r="D32" i="2"/>
  <c r="L8" i="2"/>
  <c r="M8" i="2"/>
  <c r="F14" i="1"/>
  <c r="G14" i="1" s="1"/>
  <c r="F13" i="1"/>
  <c r="G13" i="1" s="1"/>
  <c r="AA13" i="1"/>
  <c r="AB13" i="1"/>
  <c r="Z13" i="1"/>
  <c r="Y12" i="1"/>
  <c r="F12" i="1"/>
  <c r="G12" i="1" s="1"/>
  <c r="P10" i="1"/>
  <c r="O10" i="1"/>
  <c r="L10" i="1"/>
  <c r="I10" i="1"/>
  <c r="S9" i="1"/>
  <c r="S8" i="1"/>
  <c r="S7" i="1"/>
  <c r="S6" i="1"/>
  <c r="I9" i="1"/>
  <c r="P9" i="1"/>
  <c r="O9" i="1"/>
  <c r="L9" i="1"/>
  <c r="P8" i="1"/>
  <c r="C8" i="1" s="1"/>
  <c r="O8" i="1"/>
  <c r="L8" i="1"/>
  <c r="I8" i="1"/>
  <c r="K26" i="2" l="1"/>
  <c r="R9" i="1"/>
  <c r="S23" i="1" a="1"/>
  <c r="S23" i="1" s="1"/>
  <c r="W23" i="1" s="1"/>
  <c r="AC12" i="1"/>
  <c r="AB12" i="1"/>
  <c r="R11" i="1"/>
  <c r="C10" i="1"/>
  <c r="F11" i="1" s="1"/>
  <c r="G11" i="1" s="1"/>
  <c r="R10" i="1"/>
  <c r="W7" i="1"/>
  <c r="W8" i="1"/>
  <c r="W9" i="1"/>
  <c r="Y8" i="1"/>
  <c r="AB8" i="1" s="1"/>
  <c r="W6" i="1"/>
  <c r="D5" i="1"/>
  <c r="E5" i="1" s="1"/>
  <c r="D7" i="1"/>
  <c r="I7" i="1"/>
  <c r="P6" i="1"/>
  <c r="C6" i="1" s="1"/>
  <c r="M5" i="1"/>
  <c r="M23" i="1" s="1" a="1"/>
  <c r="M23" i="1" s="1"/>
  <c r="O23" i="1" s="1"/>
  <c r="Y5" i="1"/>
  <c r="D6" i="1"/>
  <c r="P7" i="1"/>
  <c r="C7" i="1" s="1"/>
  <c r="O7" i="1"/>
  <c r="L7" i="1"/>
  <c r="L6" i="1"/>
  <c r="D8" i="1"/>
  <c r="D9" i="1"/>
  <c r="C9" i="1"/>
  <c r="Y14" i="1"/>
  <c r="Y16" i="1"/>
  <c r="Y17" i="1"/>
  <c r="AB17" i="1" s="1"/>
  <c r="Y18" i="1"/>
  <c r="Y20" i="1"/>
  <c r="Y21" i="1"/>
  <c r="I6" i="1"/>
  <c r="AC18" i="1" l="1"/>
  <c r="AA18" i="1"/>
  <c r="AB18" i="1"/>
  <c r="Z18" i="1"/>
  <c r="E6" i="1"/>
  <c r="R8" i="1"/>
  <c r="AC16" i="1"/>
  <c r="AB16" i="1"/>
  <c r="P23" i="1" a="1"/>
  <c r="P23" i="1" s="1"/>
  <c r="R23" i="1" s="1"/>
  <c r="AC14" i="1"/>
  <c r="AB14" i="1"/>
  <c r="F10" i="1"/>
  <c r="G10" i="1" s="1"/>
  <c r="Y10" i="1"/>
  <c r="AC10" i="1" s="1"/>
  <c r="F8" i="1"/>
  <c r="G8" i="1" s="1"/>
  <c r="O6" i="1"/>
  <c r="AB5" i="1"/>
  <c r="Z8" i="1"/>
  <c r="AA12" i="1"/>
  <c r="F6" i="1"/>
  <c r="AC17" i="1"/>
  <c r="Y9" i="1"/>
  <c r="AB9" i="1" s="1"/>
  <c r="F9" i="1"/>
  <c r="G9" i="1" s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R6" i="1"/>
  <c r="R7" i="1"/>
  <c r="AA16" i="1"/>
  <c r="Z14" i="1"/>
  <c r="AA14" i="1"/>
  <c r="AA5" i="1"/>
  <c r="Z5" i="1"/>
  <c r="Z17" i="1"/>
  <c r="Y19" i="1"/>
  <c r="Y15" i="1"/>
  <c r="Z15" i="1" s="1"/>
  <c r="Y11" i="1"/>
  <c r="Y7" i="1"/>
  <c r="AB7" i="1" s="1"/>
  <c r="Z16" i="1"/>
  <c r="Z12" i="1"/>
  <c r="AA17" i="1"/>
  <c r="E18" i="1" l="1"/>
  <c r="E19" i="1" s="1"/>
  <c r="E20" i="1" s="1"/>
  <c r="E21" i="1" s="1"/>
  <c r="AA19" i="1"/>
  <c r="AB19" i="1"/>
  <c r="Z19" i="1"/>
  <c r="AC19" i="1"/>
  <c r="Y6" i="1"/>
  <c r="AB6" i="1" s="1"/>
  <c r="Z9" i="1"/>
  <c r="AA9" i="1"/>
  <c r="AC15" i="1"/>
  <c r="AB15" i="1"/>
  <c r="AA10" i="1"/>
  <c r="Z10" i="1"/>
  <c r="F7" i="1"/>
  <c r="G7" i="1" s="1"/>
  <c r="AB10" i="1"/>
  <c r="Z11" i="1"/>
  <c r="AA11" i="1"/>
  <c r="AB11" i="1"/>
  <c r="AC11" i="1"/>
  <c r="G6" i="1"/>
  <c r="AA8" i="1"/>
  <c r="AA15" i="1"/>
  <c r="AA7" i="1"/>
  <c r="Z7" i="1"/>
  <c r="Z6" i="1" l="1"/>
  <c r="AA6" i="1"/>
  <c r="D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<sst xmlns="http://schemas.openxmlformats.org/spreadsheetml/2006/main" count="206" uniqueCount="118">
  <si>
    <t>Afkast i alt:</t>
  </si>
  <si>
    <t>Gns. månedligt afkast:</t>
  </si>
  <si>
    <t>https://borsen.dk/investor/valuta/Y37/US-dollar</t>
  </si>
  <si>
    <t>USD kurs:</t>
  </si>
  <si>
    <t>https://coinmarketcap.com/currencies/solana/</t>
  </si>
  <si>
    <t>Overblik over formue</t>
  </si>
  <si>
    <t>Kontanter</t>
  </si>
  <si>
    <t>Nordnet (fonde)</t>
  </si>
  <si>
    <t>Coinbase (krypto)</t>
  </si>
  <si>
    <t>Celsius (krypto)</t>
  </si>
  <si>
    <t>Fordeling af formue:</t>
  </si>
  <si>
    <t>Måned</t>
  </si>
  <si>
    <t>Værdi af portofølje</t>
  </si>
  <si>
    <t>Indskud</t>
  </si>
  <si>
    <t>Indskud lagt sammen</t>
  </si>
  <si>
    <t>Ændring (kr)</t>
  </si>
  <si>
    <t>Ændring (%)</t>
  </si>
  <si>
    <t>Værdi</t>
  </si>
  <si>
    <t>Ændring(kr)</t>
  </si>
  <si>
    <t>Solana mængde</t>
  </si>
  <si>
    <t>Solana kurs $</t>
  </si>
  <si>
    <t>Samlet formue</t>
  </si>
  <si>
    <t>Coinbase + Celsius (krypto)</t>
  </si>
  <si>
    <t>Phantom (NFT/crypto)</t>
  </si>
  <si>
    <t>Saxo Bank (fonde)</t>
  </si>
  <si>
    <t>Oversigt:</t>
  </si>
  <si>
    <t>Nuværende portofølge:</t>
  </si>
  <si>
    <t>Investeret totalt:</t>
  </si>
  <si>
    <t>Overskud/underskud:</t>
  </si>
  <si>
    <t>Samlede Portofølje</t>
  </si>
  <si>
    <t>Overblik</t>
  </si>
  <si>
    <t>Dato:</t>
  </si>
  <si>
    <t>Total Værdi:</t>
  </si>
  <si>
    <t>Afkast:</t>
  </si>
  <si>
    <t>Udfyldes automatisk</t>
  </si>
  <si>
    <t>Afkast i % d.d.</t>
  </si>
  <si>
    <t>Udfyldes manuelt</t>
  </si>
  <si>
    <t>Depot</t>
  </si>
  <si>
    <t>Kategori</t>
  </si>
  <si>
    <t>Aktie</t>
  </si>
  <si>
    <t>TICKER</t>
  </si>
  <si>
    <t>Antal</t>
  </si>
  <si>
    <t>GAK (DKK)</t>
  </si>
  <si>
    <t>Købssum</t>
  </si>
  <si>
    <t>Kurs (DKK)</t>
  </si>
  <si>
    <t>Værdi i dag</t>
  </si>
  <si>
    <t>Afkast (DKK)</t>
  </si>
  <si>
    <t>Afkast (%)</t>
  </si>
  <si>
    <t>% af portofølje</t>
  </si>
  <si>
    <t>Kommentar</t>
  </si>
  <si>
    <t>Nordnet - Aktiedepot</t>
  </si>
  <si>
    <t>Indeksfonde</t>
  </si>
  <si>
    <t>Sparindex INDEX DJSI World KL (500 aktier)</t>
  </si>
  <si>
    <t>SPIDJWKL</t>
  </si>
  <si>
    <t>Afkast inkluderer kun kursgevinst - ikke udbytte</t>
  </si>
  <si>
    <t>Sparindex INDEX Europa Growth KL</t>
  </si>
  <si>
    <t>SPIEUGKL</t>
  </si>
  <si>
    <t>Sparindex INDEX Globale Aktier KL</t>
  </si>
  <si>
    <t>SPVIGAKL</t>
  </si>
  <si>
    <t>Sparindex INDEX USA Growth KL</t>
  </si>
  <si>
    <t>SPIUSGKL</t>
  </si>
  <si>
    <t>Celcius</t>
  </si>
  <si>
    <t>Kryptovaluta</t>
  </si>
  <si>
    <t>CEL</t>
  </si>
  <si>
    <t>-</t>
  </si>
  <si>
    <t>Høj risiko</t>
  </si>
  <si>
    <t>Bitcoin</t>
  </si>
  <si>
    <t>BTC</t>
  </si>
  <si>
    <t>Ethereum</t>
  </si>
  <si>
    <t>ETH</t>
  </si>
  <si>
    <t>Coinbase</t>
  </si>
  <si>
    <t>Cardano</t>
  </si>
  <si>
    <t>ADA</t>
  </si>
  <si>
    <t>NFT</t>
  </si>
  <si>
    <t>Solana</t>
  </si>
  <si>
    <t>SOL</t>
  </si>
  <si>
    <t>Total:</t>
  </si>
  <si>
    <t>Diversificering</t>
  </si>
  <si>
    <t>Aktiv</t>
  </si>
  <si>
    <t>%</t>
  </si>
  <si>
    <t>Enkeltaktier</t>
  </si>
  <si>
    <t>ETF'er</t>
  </si>
  <si>
    <t>Aktiekøb</t>
  </si>
  <si>
    <t>Gennemsnitligt</t>
  </si>
  <si>
    <t>Aktie:</t>
  </si>
  <si>
    <t>Antal:</t>
  </si>
  <si>
    <t>GAV:</t>
  </si>
  <si>
    <t>Gns. afkast:</t>
  </si>
  <si>
    <t>Aktiekøbet</t>
  </si>
  <si>
    <t>I dag</t>
  </si>
  <si>
    <t>Indtast værdiet i de grå felter, de blå regnes automatisk</t>
  </si>
  <si>
    <t>Dato</t>
  </si>
  <si>
    <t>Ticker</t>
  </si>
  <si>
    <t>Kurs</t>
  </si>
  <si>
    <t>Sum</t>
  </si>
  <si>
    <t>Sum (DKK)</t>
  </si>
  <si>
    <t>Kurs i dag</t>
  </si>
  <si>
    <t>Kurs i dag (DKK)</t>
  </si>
  <si>
    <t>Værdi i dag (DKK)</t>
  </si>
  <si>
    <t>Fortjeneste (DKK)</t>
  </si>
  <si>
    <t>Fortjeneste (%)</t>
  </si>
  <si>
    <t>Indtast dato for aktiekøbet</t>
  </si>
  <si>
    <t>Indtast aktiens navn. Brug filter til at sortere.</t>
  </si>
  <si>
    <t>Indtast aktiens ticker kode</t>
  </si>
  <si>
    <t>Indtast antal aktier, du købte</t>
  </si>
  <si>
    <t>Indtast pris per aktie i original valuta</t>
  </si>
  <si>
    <t>Indtast pris per aktie i DKK</t>
  </si>
  <si>
    <t>Samlet købesum</t>
  </si>
  <si>
    <t>Samlet købesum (DKK)</t>
  </si>
  <si>
    <t>Indtast aktiens kurs i dag</t>
  </si>
  <si>
    <t>Indtast aktiens kurs i dag i DKK</t>
  </si>
  <si>
    <t>Samlet værdi i dag (DKK)</t>
  </si>
  <si>
    <t>Samlet fortjeneste i dag siden køb (DKK)</t>
  </si>
  <si>
    <t>Afkast i procent</t>
  </si>
  <si>
    <t>Skriv fx hvad der fik dig til at købe netop denne aktie</t>
  </si>
  <si>
    <t>Sparindex INDEX DJSI World KL</t>
  </si>
  <si>
    <t>Total/Gns:</t>
  </si>
  <si>
    <t>Phantom (Solana, NFT, BTC, ETH)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</si>
</sst>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kr.&quot;_-;\-* #,##0.00\ &quot;kr.&quot;_-;_-* &quot;-&quot;??\ &quot;kr.&quot;_-;_-@_-"/>
    <numFmt numFmtId="165" formatCode="&quot;$&quot;#,##0.00_);[Red]\(&quot;$&quot;#,##0.00\)"/>
    <numFmt numFmtId="166" formatCode="#,##0.00\ [$kr.-406]"/>
    <numFmt numFmtId="167" formatCode="#,##0.00\ &quot;kr.&quot;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2"/>
      <color rgb="FF09080D"/>
      <name val="Arial"/>
      <family val="2"/>
    </font>
    <font>
      <sz val="10"/>
      <color theme="1"/>
      <name val="Proxima Nova"/>
      <charset val="1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Proxima Nova"/>
      <charset val="1"/>
    </font>
    <font>
      <sz val="11"/>
      <color rgb="FF444444"/>
      <name val="Calibri"/>
      <family val="2"/>
      <charset val="1"/>
    </font>
    <font>
      <i/>
      <sz val="11"/>
      <color rgb="FF444444"/>
      <name val="Calibri"/>
      <family val="2"/>
      <charset val="1"/>
    </font>
    <font>
      <b/>
      <i/>
      <u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38">
    <xf numFmtId="0" fontId="0" fillId="0" borderId="0" xfId="0"/>
    <xf numFmtId="0" fontId="3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0" xfId="0" applyFill="1"/>
    <xf numFmtId="166" fontId="0" fillId="0" borderId="0" xfId="0" applyNumberFormat="1"/>
    <xf numFmtId="166" fontId="0" fillId="2" borderId="0" xfId="0" applyNumberFormat="1" applyFill="1"/>
    <xf numFmtId="166" fontId="0" fillId="2" borderId="6" xfId="0" applyNumberFormat="1" applyFill="1" applyBorder="1"/>
    <xf numFmtId="10" fontId="0" fillId="0" borderId="6" xfId="0" applyNumberFormat="1" applyBorder="1"/>
    <xf numFmtId="166" fontId="0" fillId="0" borderId="3" xfId="0" applyNumberFormat="1" applyBorder="1"/>
    <xf numFmtId="166" fontId="0" fillId="0" borderId="1" xfId="0" applyNumberFormat="1" applyBorder="1"/>
    <xf numFmtId="166" fontId="0" fillId="0" borderId="14" xfId="0" applyNumberForma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2" fillId="0" borderId="15" xfId="0" applyFont="1" applyBorder="1"/>
    <xf numFmtId="0" fontId="2" fillId="0" borderId="20" xfId="0" applyFont="1" applyBorder="1"/>
    <xf numFmtId="0" fontId="0" fillId="0" borderId="20" xfId="0" applyBorder="1"/>
    <xf numFmtId="0" fontId="0" fillId="0" borderId="21" xfId="0" applyBorder="1"/>
    <xf numFmtId="0" fontId="2" fillId="0" borderId="22" xfId="0" applyFont="1" applyBorder="1"/>
    <xf numFmtId="14" fontId="0" fillId="0" borderId="0" xfId="0" applyNumberFormat="1"/>
    <xf numFmtId="9" fontId="0" fillId="0" borderId="0" xfId="1" applyFont="1" applyBorder="1"/>
    <xf numFmtId="0" fontId="1" fillId="0" borderId="25" xfId="0" applyFont="1" applyBorder="1"/>
    <xf numFmtId="164" fontId="5" fillId="0" borderId="0" xfId="2" applyFont="1" applyBorder="1" applyAlignment="1">
      <alignment vertical="center"/>
    </xf>
    <xf numFmtId="0" fontId="2" fillId="0" borderId="24" xfId="0" applyFont="1" applyBorder="1"/>
    <xf numFmtId="0" fontId="0" fillId="0" borderId="25" xfId="0" applyBorder="1"/>
    <xf numFmtId="0" fontId="0" fillId="0" borderId="26" xfId="0" applyBorder="1"/>
    <xf numFmtId="0" fontId="1" fillId="0" borderId="26" xfId="0" applyFont="1" applyBorder="1"/>
    <xf numFmtId="9" fontId="0" fillId="0" borderId="0" xfId="1" applyFont="1" applyFill="1" applyBorder="1"/>
    <xf numFmtId="0" fontId="7" fillId="0" borderId="0" xfId="0" applyFont="1"/>
    <xf numFmtId="14" fontId="0" fillId="0" borderId="5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7" fontId="0" fillId="0" borderId="14" xfId="0" applyNumberFormat="1" applyBorder="1"/>
    <xf numFmtId="9" fontId="0" fillId="0" borderId="4" xfId="1" applyFont="1" applyBorder="1"/>
    <xf numFmtId="0" fontId="8" fillId="0" borderId="29" xfId="0" applyFont="1" applyBorder="1"/>
    <xf numFmtId="0" fontId="0" fillId="0" borderId="30" xfId="0" applyBorder="1"/>
    <xf numFmtId="10" fontId="6" fillId="0" borderId="0" xfId="1" applyNumberFormat="1" applyFont="1" applyBorder="1" applyAlignment="1"/>
    <xf numFmtId="0" fontId="0" fillId="0" borderId="24" xfId="0" applyBorder="1"/>
    <xf numFmtId="166" fontId="9" fillId="0" borderId="27" xfId="2" applyNumberFormat="1" applyFont="1" applyBorder="1" applyAlignment="1"/>
    <xf numFmtId="10" fontId="9" fillId="0" borderId="27" xfId="1" applyNumberFormat="1" applyFont="1" applyBorder="1" applyAlignment="1"/>
    <xf numFmtId="0" fontId="10" fillId="0" borderId="31" xfId="3" applyBorder="1" applyAlignment="1">
      <alignment readingOrder="1"/>
    </xf>
    <xf numFmtId="0" fontId="11" fillId="0" borderId="32" xfId="0" applyFont="1" applyBorder="1" applyAlignment="1">
      <alignment readingOrder="1"/>
    </xf>
    <xf numFmtId="165" fontId="12" fillId="4" borderId="33" xfId="0" applyNumberFormat="1" applyFont="1" applyFill="1" applyBorder="1" applyAlignment="1">
      <alignment readingOrder="1"/>
    </xf>
    <xf numFmtId="164" fontId="9" fillId="0" borderId="27" xfId="2" applyFont="1" applyBorder="1" applyAlignment="1">
      <alignment horizontal="right"/>
    </xf>
    <xf numFmtId="164" fontId="0" fillId="0" borderId="0" xfId="2" applyFont="1"/>
    <xf numFmtId="164" fontId="0" fillId="2" borderId="0" xfId="2" applyFont="1" applyFill="1"/>
    <xf numFmtId="164" fontId="0" fillId="0" borderId="3" xfId="2" applyFont="1" applyBorder="1"/>
    <xf numFmtId="164" fontId="0" fillId="0" borderId="34" xfId="2" applyFont="1" applyBorder="1"/>
    <xf numFmtId="164" fontId="0" fillId="0" borderId="1" xfId="2" applyFont="1" applyBorder="1"/>
    <xf numFmtId="164" fontId="0" fillId="0" borderId="28" xfId="2" applyFont="1" applyBorder="1"/>
    <xf numFmtId="164" fontId="0" fillId="0" borderId="14" xfId="2" applyFont="1" applyBorder="1"/>
    <xf numFmtId="164" fontId="0" fillId="0" borderId="11" xfId="2" applyFont="1" applyBorder="1"/>
    <xf numFmtId="164" fontId="0" fillId="0" borderId="12" xfId="2" applyFont="1" applyBorder="1"/>
    <xf numFmtId="164" fontId="0" fillId="2" borderId="2" xfId="2" applyFont="1" applyFill="1" applyBorder="1"/>
    <xf numFmtId="164" fontId="0" fillId="0" borderId="2" xfId="2" applyFont="1" applyBorder="1"/>
    <xf numFmtId="164" fontId="0" fillId="0" borderId="13" xfId="2" applyFont="1" applyBorder="1"/>
    <xf numFmtId="164" fontId="0" fillId="0" borderId="0" xfId="2" applyFont="1" applyBorder="1"/>
    <xf numFmtId="0" fontId="10" fillId="0" borderId="0" xfId="3"/>
    <xf numFmtId="0" fontId="10" fillId="0" borderId="35" xfId="3" applyBorder="1" applyAlignment="1">
      <alignment readingOrder="1"/>
    </xf>
    <xf numFmtId="167" fontId="0" fillId="0" borderId="3" xfId="0" applyNumberFormat="1" applyBorder="1"/>
    <xf numFmtId="2" fontId="0" fillId="0" borderId="0" xfId="0" applyNumberFormat="1"/>
    <xf numFmtId="2" fontId="0" fillId="0" borderId="0" xfId="2" applyNumberFormat="1" applyFont="1"/>
    <xf numFmtId="2" fontId="0" fillId="0" borderId="3" xfId="0" applyNumberFormat="1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14" fillId="0" borderId="36" xfId="0" applyFont="1" applyBorder="1" applyAlignment="1">
      <alignment horizontal="center"/>
    </xf>
    <xf numFmtId="14" fontId="0" fillId="0" borderId="36" xfId="0" applyNumberFormat="1" applyBorder="1"/>
    <xf numFmtId="0" fontId="0" fillId="0" borderId="36" xfId="0" applyBorder="1"/>
    <xf numFmtId="167" fontId="0" fillId="0" borderId="36" xfId="0" applyNumberFormat="1" applyBorder="1"/>
    <xf numFmtId="0" fontId="0" fillId="7" borderId="36" xfId="0" applyFill="1" applyBorder="1"/>
    <xf numFmtId="9" fontId="0" fillId="0" borderId="36" xfId="0" applyNumberFormat="1" applyBorder="1"/>
    <xf numFmtId="0" fontId="14" fillId="0" borderId="38" xfId="0" applyFont="1" applyBorder="1" applyAlignment="1">
      <alignment horizontal="center"/>
    </xf>
    <xf numFmtId="0" fontId="0" fillId="0" borderId="37" xfId="0" applyBorder="1"/>
    <xf numFmtId="167" fontId="0" fillId="0" borderId="37" xfId="0" applyNumberFormat="1" applyBorder="1"/>
    <xf numFmtId="0" fontId="0" fillId="7" borderId="37" xfId="0" applyFill="1" applyBorder="1"/>
    <xf numFmtId="9" fontId="0" fillId="0" borderId="37" xfId="0" applyNumberFormat="1" applyBorder="1"/>
    <xf numFmtId="0" fontId="8" fillId="0" borderId="39" xfId="0" applyFont="1" applyBorder="1"/>
    <xf numFmtId="0" fontId="8" fillId="0" borderId="40" xfId="0" applyFont="1" applyBorder="1"/>
    <xf numFmtId="167" fontId="8" fillId="0" borderId="40" xfId="0" applyNumberFormat="1" applyFont="1" applyBorder="1"/>
    <xf numFmtId="0" fontId="8" fillId="0" borderId="41" xfId="0" applyFont="1" applyBorder="1"/>
    <xf numFmtId="0" fontId="17" fillId="0" borderId="0" xfId="0" quotePrefix="1" applyFont="1"/>
    <xf numFmtId="0" fontId="0" fillId="0" borderId="38" xfId="0" applyBorder="1"/>
    <xf numFmtId="167" fontId="0" fillId="0" borderId="38" xfId="0" applyNumberFormat="1" applyBorder="1"/>
    <xf numFmtId="0" fontId="13" fillId="0" borderId="0" xfId="0" applyFont="1"/>
    <xf numFmtId="0" fontId="20" fillId="6" borderId="36" xfId="0" applyFont="1" applyFill="1" applyBorder="1" applyAlignment="1">
      <alignment horizontal="center" vertical="center"/>
    </xf>
    <xf numFmtId="0" fontId="20" fillId="8" borderId="36" xfId="0" applyFont="1" applyFill="1" applyBorder="1" applyAlignment="1">
      <alignment horizontal="center" vertical="center"/>
    </xf>
    <xf numFmtId="0" fontId="14" fillId="0" borderId="42" xfId="0" applyFont="1" applyBorder="1"/>
    <xf numFmtId="0" fontId="14" fillId="0" borderId="40" xfId="0" applyFont="1" applyBorder="1"/>
    <xf numFmtId="167" fontId="14" fillId="0" borderId="40" xfId="0" applyNumberFormat="1" applyFont="1" applyBorder="1"/>
    <xf numFmtId="167" fontId="14" fillId="0" borderId="45" xfId="0" applyNumberFormat="1" applyFont="1" applyBorder="1"/>
    <xf numFmtId="0" fontId="14" fillId="7" borderId="43" xfId="0" applyFont="1" applyFill="1" applyBorder="1"/>
    <xf numFmtId="0" fontId="14" fillId="7" borderId="44" xfId="0" applyFont="1" applyFill="1" applyBorder="1"/>
    <xf numFmtId="0" fontId="0" fillId="0" borderId="49" xfId="0" applyBorder="1"/>
    <xf numFmtId="0" fontId="0" fillId="0" borderId="51" xfId="0" applyBorder="1"/>
    <xf numFmtId="9" fontId="0" fillId="0" borderId="50" xfId="0" applyNumberFormat="1" applyBorder="1"/>
    <xf numFmtId="9" fontId="0" fillId="0" borderId="53" xfId="0" applyNumberFormat="1" applyBorder="1"/>
    <xf numFmtId="167" fontId="0" fillId="0" borderId="52" xfId="0" applyNumberFormat="1" applyBorder="1"/>
    <xf numFmtId="0" fontId="16" fillId="7" borderId="36" xfId="0" applyFont="1" applyFill="1" applyBorder="1" applyAlignment="1">
      <alignment horizontal="center" vertical="center" wrapText="1"/>
    </xf>
    <xf numFmtId="0" fontId="16" fillId="8" borderId="36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164" fontId="0" fillId="0" borderId="55" xfId="2" applyFont="1" applyBorder="1"/>
    <xf numFmtId="9" fontId="0" fillId="0" borderId="56" xfId="1" applyFont="1" applyBorder="1"/>
    <xf numFmtId="9" fontId="0" fillId="0" borderId="57" xfId="1" applyFont="1" applyBorder="1"/>
    <xf numFmtId="164" fontId="0" fillId="0" borderId="58" xfId="2" applyFont="1" applyBorder="1"/>
    <xf numFmtId="9" fontId="0" fillId="0" borderId="59" xfId="1" applyFont="1" applyBorder="1"/>
    <xf numFmtId="166" fontId="0" fillId="0" borderId="58" xfId="0" applyNumberFormat="1" applyBorder="1"/>
    <xf numFmtId="9" fontId="0" fillId="0" borderId="59" xfId="0" applyNumberFormat="1" applyBorder="1"/>
    <xf numFmtId="166" fontId="0" fillId="0" borderId="54" xfId="0" applyNumberFormat="1" applyBorder="1"/>
    <xf numFmtId="0" fontId="1" fillId="0" borderId="60" xfId="0" applyFont="1" applyBorder="1"/>
    <xf numFmtId="0" fontId="1" fillId="0" borderId="23" xfId="0" applyFont="1" applyBorder="1"/>
    <xf numFmtId="0" fontId="1" fillId="0" borderId="61" xfId="0" applyFont="1" applyBorder="1"/>
    <xf numFmtId="14" fontId="0" fillId="0" borderId="37" xfId="0" applyNumberFormat="1" applyBorder="1"/>
    <xf numFmtId="2" fontId="0" fillId="0" borderId="0" xfId="0" applyNumberFormat="1" applyAlignment="1">
      <alignment horizontal="center"/>
    </xf>
    <xf numFmtId="167" fontId="0" fillId="0" borderId="36" xfId="0" applyNumberFormat="1" applyBorder="1" applyAlignment="1">
      <alignment horizontal="center"/>
    </xf>
    <xf numFmtId="0" fontId="1" fillId="6" borderId="49" xfId="0" applyFont="1" applyFill="1" applyBorder="1" applyAlignment="1">
      <alignment horizontal="center"/>
    </xf>
    <xf numFmtId="0" fontId="1" fillId="6" borderId="36" xfId="0" applyFont="1" applyFill="1" applyBorder="1" applyAlignment="1">
      <alignment horizontal="center"/>
    </xf>
    <xf numFmtId="0" fontId="1" fillId="6" borderId="50" xfId="0" applyFont="1" applyFill="1" applyBorder="1" applyAlignment="1">
      <alignment horizontal="center"/>
    </xf>
    <xf numFmtId="0" fontId="21" fillId="0" borderId="36" xfId="0" applyFont="1" applyBorder="1" applyAlignment="1">
      <alignment horizontal="center"/>
    </xf>
    <xf numFmtId="0" fontId="21" fillId="0" borderId="37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7" fillId="9" borderId="36" xfId="0" applyFont="1" applyFill="1" applyBorder="1" applyAlignment="1">
      <alignment horizontal="center"/>
    </xf>
    <xf numFmtId="0" fontId="9" fillId="10" borderId="36" xfId="0" applyFont="1" applyFill="1" applyBorder="1" applyAlignment="1">
      <alignment horizontal="center"/>
    </xf>
    <xf numFmtId="0" fontId="20" fillId="10" borderId="46" xfId="0" applyFont="1" applyFill="1" applyBorder="1" applyAlignment="1">
      <alignment horizontal="center"/>
    </xf>
    <xf numFmtId="0" fontId="20" fillId="10" borderId="47" xfId="0" applyFont="1" applyFill="1" applyBorder="1" applyAlignment="1">
      <alignment horizontal="center"/>
    </xf>
    <xf numFmtId="0" fontId="20" fillId="10" borderId="48" xfId="0" applyFont="1" applyFill="1" applyBorder="1" applyAlignment="1">
      <alignment horizontal="center"/>
    </xf>
    <xf numFmtId="0" fontId="19" fillId="5" borderId="36" xfId="0" applyFont="1" applyFill="1" applyBorder="1" applyAlignment="1">
      <alignment horizontal="center"/>
    </xf>
    <xf numFmtId="0" fontId="18" fillId="0" borderId="38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8" fillId="0" borderId="37" xfId="0" applyFont="1" applyBorder="1" applyAlignment="1">
      <alignment horizontal="center"/>
    </xf>
    <xf numFmtId="0" fontId="0" fillId="0" borderId="37" xfId="0" applyBorder="1" applyAlignment="1">
      <alignment horizontal="center"/>
    </xf>
    <xf numFmtId="2" fontId="0" fillId="0" borderId="0" xfId="0" applyNumberFormat="1" applyBorder="1"/>
    <xf numFmtId="14" fontId="0" fillId="0" borderId="7" xfId="0" applyNumberFormat="1" applyBorder="1"/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 patternType="solid">
          <fgColor auto="1"/>
          <bgColor rgb="FF92D050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 patternType="solid">
          <fgColor auto="1"/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8B8B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Formueændring pr måned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2754603298132106"/>
          <c:y val="0.11609625243120535"/>
          <c:w val="0.85093055700551401"/>
          <c:h val="0.7860073292672800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A9D18E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'Månedlig udvikling'!$B$5:$B$19</c:f>
              <c:numCache>
                <c:formatCode>m/d/yyyy</c:formatCode>
                <c:ptCount val="15"/>
                <c:pt idx="0">
                  <c:v>44409</c:v>
                </c:pt>
                <c:pt idx="1">
                  <c:v>44442</c:v>
                </c:pt>
                <c:pt idx="2">
                  <c:v>44471</c:v>
                </c:pt>
                <c:pt idx="3">
                  <c:v>44502</c:v>
                </c:pt>
                <c:pt idx="4">
                  <c:v>44532</c:v>
                </c:pt>
                <c:pt idx="5">
                  <c:v>44564</c:v>
                </c:pt>
                <c:pt idx="6">
                  <c:v>44594</c:v>
                </c:pt>
                <c:pt idx="7">
                  <c:v>44623</c:v>
                </c:pt>
                <c:pt idx="8">
                  <c:v>44653</c:v>
                </c:pt>
                <c:pt idx="9">
                  <c:v>44683</c:v>
                </c:pt>
                <c:pt idx="10">
                  <c:v>44715</c:v>
                </c:pt>
                <c:pt idx="11">
                  <c:v>44746</c:v>
                </c:pt>
                <c:pt idx="12">
                  <c:v>44779</c:v>
                </c:pt>
                <c:pt idx="13">
                  <c:v>44805</c:v>
                </c:pt>
                <c:pt idx="14">
                  <c:v>44835</c:v>
                </c:pt>
              </c:numCache>
            </c:numRef>
          </c:cat>
          <c:val>
            <c:numRef>
              <c:f>'Månedlig udvikling'!$F$5:$F$19</c:f>
              <c:numCache>
                <c:formatCode>_-* #.##0.00\ "kr."_-;\-* #.##0.00\ "kr."_-;_-* "-"??\ "kr."_-;_-@_-</c:formatCode>
                <c:ptCount val="15"/>
                <c:pt idx="1">
                  <c:v>160.59100000000035</c:v>
                </c:pt>
                <c:pt idx="2">
                  <c:v>1298.7080000000024</c:v>
                </c:pt>
                <c:pt idx="3">
                  <c:v>3974.9824999999983</c:v>
                </c:pt>
                <c:pt idx="4">
                  <c:v>-1655.3899999999994</c:v>
                </c:pt>
                <c:pt idx="5">
                  <c:v>2880.7392500000024</c:v>
                </c:pt>
                <c:pt idx="6">
                  <c:v>-11629.647250000005</c:v>
                </c:pt>
                <c:pt idx="7">
                  <c:v>3786.5300000000025</c:v>
                </c:pt>
                <c:pt idx="8">
                  <c:v>7101.4549999999981</c:v>
                </c:pt>
                <c:pt idx="9">
                  <c:v>30334.219000000005</c:v>
                </c:pt>
                <c:pt idx="10">
                  <c:v>-17548.799500000008</c:v>
                </c:pt>
                <c:pt idx="11">
                  <c:v>-16071.695999999996</c:v>
                </c:pt>
                <c:pt idx="12">
                  <c:v>4160.9501299999974</c:v>
                </c:pt>
                <c:pt idx="13">
                  <c:v>-3398.7326299999986</c:v>
                </c:pt>
                <c:pt idx="14">
                  <c:v>6683.5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8B8B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387D-4F87-A37F-C697215134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0015136"/>
        <c:axId val="540008576"/>
      </c:barChart>
      <c:dateAx>
        <c:axId val="540015136"/>
        <c:scaling>
          <c:orientation val="minMax"/>
        </c:scaling>
        <c:delete val="0"/>
        <c:axPos val="b"/>
        <c:numFmt formatCode="[$-406]mmmm\ 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40008576"/>
        <c:crosses val="autoZero"/>
        <c:auto val="1"/>
        <c:lblOffset val="100"/>
        <c:baseTimeUnit val="months"/>
      </c:dateAx>
      <c:valAx>
        <c:axId val="54000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.00\ [$kr.-406]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4001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Investering</a:t>
            </a:r>
            <a:r>
              <a:rPr lang="en-US" baseline="0"/>
              <a:t> vs Opsparing!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'Månedlig udvikling'!$E$4</c:f>
              <c:strCache>
                <c:ptCount val="1"/>
                <c:pt idx="0">
                  <c:v>Indskud lagt sammen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'Månedlig udvikling'!$B$5:$B$21</c:f>
              <c:numCache>
                <c:formatCode>m/d/yyyy</c:formatCode>
                <c:ptCount val="17"/>
                <c:pt idx="0">
                  <c:v>44409</c:v>
                </c:pt>
                <c:pt idx="1">
                  <c:v>44442</c:v>
                </c:pt>
                <c:pt idx="2">
                  <c:v>44471</c:v>
                </c:pt>
                <c:pt idx="3">
                  <c:v>44502</c:v>
                </c:pt>
                <c:pt idx="4">
                  <c:v>44532</c:v>
                </c:pt>
                <c:pt idx="5">
                  <c:v>44564</c:v>
                </c:pt>
                <c:pt idx="6">
                  <c:v>44594</c:v>
                </c:pt>
                <c:pt idx="7">
                  <c:v>44623</c:v>
                </c:pt>
                <c:pt idx="8">
                  <c:v>44653</c:v>
                </c:pt>
                <c:pt idx="9">
                  <c:v>44683</c:v>
                </c:pt>
                <c:pt idx="10">
                  <c:v>44715</c:v>
                </c:pt>
                <c:pt idx="11">
                  <c:v>44746</c:v>
                </c:pt>
                <c:pt idx="12">
                  <c:v>44779</c:v>
                </c:pt>
                <c:pt idx="13">
                  <c:v>44805</c:v>
                </c:pt>
                <c:pt idx="14">
                  <c:v>44835</c:v>
                </c:pt>
                <c:pt idx="15">
                  <c:v>44872</c:v>
                </c:pt>
                <c:pt idx="16">
                  <c:v>44902</c:v>
                </c:pt>
              </c:numCache>
            </c:numRef>
          </c:cat>
          <c:val>
            <c:numRef>
              <c:f>'Månedlig udvikling'!$E$5:$E$21</c:f>
              <c:numCache>
                <c:formatCode>_-* #.##0.00\ "kr."_-;\-* #.##0.00\ "kr."_-;_-* "-"??\ "kr."_-;_-@_-</c:formatCode>
                <c:ptCount val="17"/>
                <c:pt idx="0">
                  <c:v>1916.52</c:v>
                </c:pt>
                <c:pt idx="1">
                  <c:v>12536.52</c:v>
                </c:pt>
                <c:pt idx="2">
                  <c:v>16536.52</c:v>
                </c:pt>
                <c:pt idx="3">
                  <c:v>17536.52</c:v>
                </c:pt>
                <c:pt idx="4">
                  <c:v>19536.52</c:v>
                </c:pt>
                <c:pt idx="5">
                  <c:v>23669.7225</c:v>
                </c:pt>
                <c:pt idx="6">
                  <c:v>29181.5105</c:v>
                </c:pt>
                <c:pt idx="7">
                  <c:v>30181.5105</c:v>
                </c:pt>
                <c:pt idx="8">
                  <c:v>30181.5105</c:v>
                </c:pt>
                <c:pt idx="9">
                  <c:v>30181.5105</c:v>
                </c:pt>
                <c:pt idx="10">
                  <c:v>30181.5105</c:v>
                </c:pt>
                <c:pt idx="11">
                  <c:v>30181.5105</c:v>
                </c:pt>
                <c:pt idx="12">
                  <c:v>30181.5105</c:v>
                </c:pt>
                <c:pt idx="13">
                  <c:v>30181.5105</c:v>
                </c:pt>
                <c:pt idx="14">
                  <c:v>30181.5105</c:v>
                </c:pt>
                <c:pt idx="15">
                  <c:v>31181.5105</c:v>
                </c:pt>
                <c:pt idx="16">
                  <c:v>31681.5105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8-47CC-ABC1-1A4973BC3ADC}"/>
            </c:ext>
          </c:extLst>
        </c:ser>
        <c:ser>
          <c:idx val="1"/>
          <c:order val="1"/>
          <c:tx>
            <c:strRef>
              <c:f>'Månedlig udvikling'!$C$4</c:f>
              <c:strCache>
                <c:ptCount val="1"/>
                <c:pt idx="0">
                  <c:v>Værdi af portofølje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'Månedlig udvikling'!$B$5:$B$21</c:f>
              <c:numCache>
                <c:formatCode>m/d/yyyy</c:formatCode>
                <c:ptCount val="17"/>
                <c:pt idx="0">
                  <c:v>44409</c:v>
                </c:pt>
                <c:pt idx="1">
                  <c:v>44442</c:v>
                </c:pt>
                <c:pt idx="2">
                  <c:v>44471</c:v>
                </c:pt>
                <c:pt idx="3">
                  <c:v>44502</c:v>
                </c:pt>
                <c:pt idx="4">
                  <c:v>44532</c:v>
                </c:pt>
                <c:pt idx="5">
                  <c:v>44564</c:v>
                </c:pt>
                <c:pt idx="6">
                  <c:v>44594</c:v>
                </c:pt>
                <c:pt idx="7">
                  <c:v>44623</c:v>
                </c:pt>
                <c:pt idx="8">
                  <c:v>44653</c:v>
                </c:pt>
                <c:pt idx="9">
                  <c:v>44683</c:v>
                </c:pt>
                <c:pt idx="10">
                  <c:v>44715</c:v>
                </c:pt>
                <c:pt idx="11">
                  <c:v>44746</c:v>
                </c:pt>
                <c:pt idx="12">
                  <c:v>44779</c:v>
                </c:pt>
                <c:pt idx="13">
                  <c:v>44805</c:v>
                </c:pt>
                <c:pt idx="14">
                  <c:v>44835</c:v>
                </c:pt>
                <c:pt idx="15">
                  <c:v>44872</c:v>
                </c:pt>
                <c:pt idx="16">
                  <c:v>44902</c:v>
                </c:pt>
              </c:numCache>
            </c:numRef>
          </c:cat>
          <c:val>
            <c:numRef>
              <c:f>'Månedlig udvikling'!$C$5:$C$21</c:f>
              <c:numCache>
                <c:formatCode>_-* #.##0.00\ "kr."_-;\-* #.##0.00\ "kr."_-;_-* "-"??\ "kr."_-;_-@_-</c:formatCode>
                <c:ptCount val="17"/>
                <c:pt idx="0">
                  <c:v>1916.52</c:v>
                </c:pt>
                <c:pt idx="1">
                  <c:v>12697.111000000001</c:v>
                </c:pt>
                <c:pt idx="2">
                  <c:v>17995.819000000003</c:v>
                </c:pt>
                <c:pt idx="3">
                  <c:v>22970.801500000001</c:v>
                </c:pt>
                <c:pt idx="4">
                  <c:v>23315.411500000002</c:v>
                </c:pt>
                <c:pt idx="5">
                  <c:v>30329.353250000004</c:v>
                </c:pt>
                <c:pt idx="6">
                  <c:v>24211.493999999999</c:v>
                </c:pt>
                <c:pt idx="7">
                  <c:v>28998.024000000001</c:v>
                </c:pt>
                <c:pt idx="8">
                  <c:v>36099.478999999999</c:v>
                </c:pt>
                <c:pt idx="9">
                  <c:v>66433.698000000004</c:v>
                </c:pt>
                <c:pt idx="10">
                  <c:v>48884.898499999996</c:v>
                </c:pt>
                <c:pt idx="11">
                  <c:v>32813.202499999999</c:v>
                </c:pt>
                <c:pt idx="12">
                  <c:v>36974.152629999997</c:v>
                </c:pt>
                <c:pt idx="13">
                  <c:v>33575.42</c:v>
                </c:pt>
                <c:pt idx="14">
                  <c:v>40258.92</c:v>
                </c:pt>
                <c:pt idx="15">
                  <c:v>34698.880000000005</c:v>
                </c:pt>
                <c:pt idx="16">
                  <c:v>31607.739999999998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C8-47CC-ABC1-1A4973BC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3573448"/>
        <c:axId val="793571152"/>
      </c:lineChart>
      <c:dateAx>
        <c:axId val="793573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b="1"/>
                  <a:t>Måned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[$-406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outerShdw sx="1000" sy="1000" algn="ctr" rotWithShape="0">
              <a:srgbClr val="000000"/>
            </a:outerShdw>
          </a:effectLst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3571152"/>
        <c:crosses val="autoZero"/>
        <c:auto val="1"/>
        <c:lblOffset val="100"/>
        <c:baseTimeUnit val="months"/>
      </c:dateAx>
      <c:valAx>
        <c:axId val="7935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b="1"/>
                  <a:t>Penge (kr)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_-* #.##0.00\ &quot;kr.&quot;_-;\-* #.##0.00\ &quot;kr.&quot;_-;_-* &quot;-&quot;??\ &quot;kr.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3573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1"/>
              <a:t>Fordeling</a:t>
            </a:r>
            <a:r>
              <a:rPr lang="da-DK" sz="1800" b="1" baseline="0"/>
              <a:t> af formue</a:t>
            </a:r>
            <a:endParaRPr lang="da-DK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6111159722100696E-2"/>
          <c:y val="0.17635032118320632"/>
          <c:w val="0.93888888888888888"/>
          <c:h val="0.5221511373578302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3B9-4599-983F-C31C9B9DBE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3B9-4599-983F-C31C9B9DBE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3B9-4599-983F-C31C9B9DBE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3B9-4599-983F-C31C9B9DBE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3B9-4599-983F-C31C9B9DBE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'Månedlig udvikling'!$Z$4:$AD$4</c:f>
              <c:strCache>
                <c:ptCount val="5"/>
                <c:pt idx="0">
                  <c:v>Kontanter</c:v>
                </c:pt>
                <c:pt idx="1">
                  <c:v>Nordnet (fonde)</c:v>
                </c:pt>
                <c:pt idx="2">
                  <c:v>Coinbase + Celsius (krypto)</c:v>
                </c:pt>
                <c:pt idx="3">
                  <c:v>Phantom (NFT/crypto)</c:v>
                </c:pt>
                <c:pt idx="4">
                  <c:v>Saxo Bank (fonde)</c:v>
                </c:pt>
              </c:strCache>
            </c:strRef>
          </c:cat>
          <c:val>
            <c:numRef>
              <c:f>'Månedlig udvikling'!$Z$21:$AD$21</c:f>
              <c:numCache>
                <c:formatCode>0%</c:formatCode>
                <c:ptCount val="5"/>
                <c:pt idx="0">
                  <c:v>0.48551484829578651</c:v>
                </c:pt>
                <c:pt idx="1">
                  <c:v>0.23999087175251771</c:v>
                </c:pt>
                <c:pt idx="2">
                  <c:v>9.3528726878049843E-4</c:v>
                </c:pt>
                <c:pt idx="3">
                  <c:v>0.27355899268291528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B8-4F3A-9441-683BF253EF9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643971268964119"/>
          <c:y val="0.81828796399158354"/>
          <c:w val="0.75030655670094815"/>
          <c:h val="0.154369867063953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Diversificering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B70-4662-9EFC-78E0EC285D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B70-4662-9EFC-78E0EC285DD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B70-4662-9EFC-78E0EC285DD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B70-4662-9EFC-78E0EC285DD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'Samlet Portofølje'!$B$31:$B$34</c:f>
              <c:strCache>
                <c:ptCount val="4"/>
                <c:pt idx="0">
                  <c:v>Indeksfonde</c:v>
                </c:pt>
                <c:pt idx="1">
                  <c:v>Kryptovaluta</c:v>
                </c:pt>
                <c:pt idx="2">
                  <c:v>Enkeltaktier</c:v>
                </c:pt>
                <c:pt idx="3">
                  <c:v>ETF'er</c:v>
                </c:pt>
              </c:strCache>
            </c:strRef>
          </c:cat>
          <c:val>
            <c:numRef>
              <c:f>'Samlet Portofølje'!$C$31:$C$34</c:f>
              <c:numCache>
                <c:formatCode>#.##0.00\ "kr."</c:formatCode>
                <c:ptCount val="4"/>
                <c:pt idx="0">
                  <c:v>14004.849999999999</c:v>
                </c:pt>
                <c:pt idx="1">
                  <c:v>23217.423019999998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BF3-B366-313665E7857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108856</xdr:colOff>
      <xdr:row>51</xdr:row>
      <xdr:rowOff>161766</xdr:rowOff>
    </xdr:from>
    <xdr:to>
      <xdr:col>9</xdr:col>
      <xdr:colOff>243325</xdr:colOff>
      <xdr:row>73</xdr:row>
      <xdr:rowOff>87246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6D830-A731-47CD-A129-F054D59C6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129748</xdr:colOff>
      <xdr:row>29</xdr:row>
      <xdr:rowOff>86846</xdr:rowOff>
    </xdr:from>
    <xdr:to>
      <xdr:col>9</xdr:col>
      <xdr:colOff>234523</xdr:colOff>
      <xdr:row>51</xdr:row>
      <xdr:rowOff>18410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3D569A-E3DF-4A5D-B26A-792E9AE88FE7}"/>
            </a:ext>
            <a:ext uri="{147F2762-F138-4A5C-976F-8EAC2B608ADB}">
              <a16:predDERef xmlns:a16="http://schemas.microsoft.com/office/drawing/2014/main" pred="{29A6D830-A731-47CD-A129-F054D59C6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121583</xdr:colOff>
      <xdr:row>33</xdr:row>
      <xdr:rowOff>23532</xdr:rowOff>
    </xdr:from>
    <xdr:to>
      <xdr:col>29</xdr:col>
      <xdr:colOff>931209</xdr:colOff>
      <xdr:row>47</xdr:row>
      <xdr:rowOff>145677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003D504-704C-457F-80E6-D7CDA3306FB6}"/>
            </a:ext>
            <a:ext uri="{147F2762-F138-4A5C-976F-8EAC2B608ADB}">
              <a16:predDERef xmlns:a16="http://schemas.microsoft.com/office/drawing/2014/main" pred="{C63D569A-E3DF-4A5D-B26A-792E9AE88F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28</xdr:row>
      <xdr:rowOff>0</xdr:rowOff>
    </xdr:from>
    <xdr:to>
      <xdr:col>8</xdr:col>
      <xdr:colOff>800100</xdr:colOff>
      <xdr:row>42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7BF736-966D-5F02-20A1-FD3074982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orsen.dk/investor/valuta/Y37/US-dollar" TargetMode="External"/><Relationship Id="rId1" Type="http://schemas.openxmlformats.org/officeDocument/2006/relationships/hyperlink" Target="https://coinmarketcap.com/currencies/solan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18F8-3E68-4D46-8218-958563F34F9D}">
  <dimension ref="A1:AD25"/>
  <sheetViews>
    <sheetView tabSelected="1" zoomScale="70" zoomScaleNormal="70" workbookViewId="0">
      <selection activeCell="O32" sqref="O32"/>
    </sheetView>
  </sheetViews>
  <sheetFormatPr defaultRowHeight="15"/>
  <cols>
    <col min="2" max="2" width="13" customWidth="1"/>
    <col min="3" max="3" width="22.5703125" customWidth="1"/>
    <col min="4" max="4" width="21.85546875" customWidth="1"/>
    <col min="5" max="5" width="16.140625" customWidth="1"/>
    <col min="6" max="6" width="31.28515625" customWidth="1"/>
    <col min="7" max="8" width="17" customWidth="1"/>
    <col min="9" max="9" width="21.140625" customWidth="1"/>
    <col min="10" max="10" width="23.5703125" bestFit="1" customWidth="1"/>
    <col min="11" max="11" width="16.5703125" bestFit="1" customWidth="1"/>
    <col min="12" max="12" width="21" bestFit="1" customWidth="1"/>
    <col min="13" max="13" width="22.140625" customWidth="1"/>
    <col min="14" max="14" width="16.5703125" bestFit="1" customWidth="1"/>
    <col min="15" max="15" width="21" bestFit="1" customWidth="1"/>
    <col min="16" max="16" width="23" customWidth="1"/>
    <col min="17" max="17" width="16.5703125" bestFit="1" customWidth="1"/>
    <col min="18" max="18" width="21" bestFit="1" customWidth="1"/>
    <col min="19" max="19" width="24" customWidth="1"/>
    <col min="20" max="20" width="17.28515625" customWidth="1"/>
    <col min="21" max="21" width="13.5703125" customWidth="1"/>
    <col min="22" max="22" width="16.5703125" bestFit="1" customWidth="1"/>
    <col min="23" max="23" width="21" bestFit="1" customWidth="1"/>
    <col min="24" max="24" width="15.7109375" bestFit="1" customWidth="1"/>
    <col min="25" max="25" width="25.28515625" bestFit="1" customWidth="1"/>
    <col min="26" max="26" width="17" bestFit="1" customWidth="1"/>
    <col min="27" max="27" width="17.28515625" bestFit="1" customWidth="1"/>
    <col min="28" max="28" width="26" customWidth="1"/>
    <col min="29" max="29" width="17" customWidth="1"/>
    <col min="30" max="30" width="16.85546875" customWidth="1"/>
    <col min="31" max="31" width="10.85546875" customWidth="1"/>
    <col min="32" max="32" width="12.28515625" customWidth="1"/>
  </cols>
  <sheetData>
    <row r="1" spans="1:30" ht="24.75" customHeight="1">
      <c r="D1" s="123" t="s">
        <v>0</v>
      </c>
      <c r="E1" s="123"/>
      <c r="F1" s="123" t="s">
        <v>1</v>
      </c>
      <c r="G1" s="123"/>
      <c r="H1" s="25"/>
      <c r="O1" s="61" t="s">
        <v>2</v>
      </c>
      <c r="P1" t="s">
        <v>3</v>
      </c>
      <c r="Q1" s="64">
        <v>7.15</v>
      </c>
      <c r="S1" s="44" t="s">
        <v>4</v>
      </c>
      <c r="T1" s="62"/>
      <c r="U1" s="62"/>
      <c r="V1" s="45"/>
      <c r="W1" s="46">
        <v>50</v>
      </c>
    </row>
    <row r="2" spans="1:30" ht="32.25" customHeight="1" thickBot="1">
      <c r="A2" s="31" t="s">
        <v>5</v>
      </c>
      <c r="D2" s="42">
        <f>SUM(F6:F21)</f>
        <v>-73.770500000005995</v>
      </c>
      <c r="E2" s="43"/>
      <c r="F2" s="47">
        <f>SUM(F6:F21)/COUNT(F6:F21)</f>
        <v>-4.6106562500003747</v>
      </c>
      <c r="G2" s="43"/>
      <c r="H2" s="25"/>
    </row>
    <row r="3" spans="1:30" ht="32.25" customHeight="1">
      <c r="A3" s="1"/>
      <c r="G3" s="40"/>
      <c r="H3" s="25"/>
      <c r="I3" s="17" t="s">
        <v>6</v>
      </c>
      <c r="J3" s="18" t="s">
        <v>7</v>
      </c>
      <c r="K3" s="19"/>
      <c r="L3" s="20"/>
      <c r="M3" s="21" t="s">
        <v>8</v>
      </c>
      <c r="N3" s="19"/>
      <c r="O3" s="20"/>
      <c r="P3" s="21" t="s">
        <v>9</v>
      </c>
      <c r="Q3" s="19"/>
      <c r="R3" s="20"/>
      <c r="S3" s="21" t="s">
        <v>117</v>
      </c>
      <c r="T3" s="18"/>
      <c r="U3" s="18"/>
      <c r="V3" s="19"/>
      <c r="W3" s="20"/>
      <c r="Y3" s="26" t="s">
        <v>10</v>
      </c>
      <c r="Z3" s="27"/>
      <c r="AA3" s="27"/>
      <c r="AB3" s="27"/>
      <c r="AC3" s="27"/>
      <c r="AD3" s="28"/>
    </row>
    <row r="4" spans="1:30">
      <c r="A4" s="41"/>
      <c r="B4" s="24" t="s">
        <v>11</v>
      </c>
      <c r="C4" s="24" t="s">
        <v>12</v>
      </c>
      <c r="D4" s="24" t="s">
        <v>13</v>
      </c>
      <c r="E4" s="24" t="s">
        <v>14</v>
      </c>
      <c r="F4" s="24" t="s">
        <v>15</v>
      </c>
      <c r="G4" s="29" t="s">
        <v>16</v>
      </c>
      <c r="I4" s="13" t="s">
        <v>17</v>
      </c>
      <c r="J4" s="14" t="s">
        <v>12</v>
      </c>
      <c r="K4" s="15" t="s">
        <v>13</v>
      </c>
      <c r="L4" s="16" t="s">
        <v>15</v>
      </c>
      <c r="M4" s="14" t="s">
        <v>12</v>
      </c>
      <c r="N4" s="15" t="s">
        <v>13</v>
      </c>
      <c r="O4" s="16" t="s">
        <v>15</v>
      </c>
      <c r="P4" s="14" t="s">
        <v>12</v>
      </c>
      <c r="Q4" s="15" t="s">
        <v>13</v>
      </c>
      <c r="R4" s="13" t="s">
        <v>18</v>
      </c>
      <c r="S4" s="14" t="s">
        <v>12</v>
      </c>
      <c r="T4" s="15" t="s">
        <v>19</v>
      </c>
      <c r="U4" s="15" t="s">
        <v>20</v>
      </c>
      <c r="V4" s="15" t="s">
        <v>13</v>
      </c>
      <c r="W4" s="13" t="s">
        <v>18</v>
      </c>
      <c r="Y4" s="112" t="s">
        <v>21</v>
      </c>
      <c r="Z4" s="113" t="s">
        <v>6</v>
      </c>
      <c r="AA4" s="113" t="s">
        <v>7</v>
      </c>
      <c r="AB4" s="113" t="s">
        <v>22</v>
      </c>
      <c r="AC4" s="113" t="s">
        <v>23</v>
      </c>
      <c r="AD4" s="114" t="s">
        <v>24</v>
      </c>
    </row>
    <row r="5" spans="1:30">
      <c r="A5" s="2">
        <v>2021</v>
      </c>
      <c r="B5" s="22">
        <v>44409</v>
      </c>
      <c r="C5" s="48">
        <f>J5+M5+P5</f>
        <v>1916.52</v>
      </c>
      <c r="D5" s="49">
        <f t="shared" ref="D5:D9" si="0">K5+N5+Q5</f>
        <v>1916.52</v>
      </c>
      <c r="E5" s="49">
        <f>D5</f>
        <v>1916.52</v>
      </c>
      <c r="F5" s="7"/>
      <c r="G5" s="8"/>
      <c r="H5" s="5"/>
      <c r="I5" s="52">
        <v>31208</v>
      </c>
      <c r="J5" s="53">
        <v>1000</v>
      </c>
      <c r="K5" s="49">
        <v>1000</v>
      </c>
      <c r="L5" s="49"/>
      <c r="M5" s="53">
        <f>383.14+383.11+150.27</f>
        <v>916.52</v>
      </c>
      <c r="N5" s="49">
        <v>916.52</v>
      </c>
      <c r="O5" s="49"/>
      <c r="P5" s="53">
        <v>0</v>
      </c>
      <c r="Q5" s="49">
        <v>0</v>
      </c>
      <c r="R5" s="57"/>
      <c r="S5" s="48">
        <v>0</v>
      </c>
      <c r="T5" s="48"/>
      <c r="U5" s="48"/>
      <c r="V5" s="49">
        <v>0</v>
      </c>
      <c r="W5" s="57"/>
      <c r="Y5" s="104">
        <f t="shared" ref="Y5:Y21" si="1">I5+C5</f>
        <v>33124.519999999997</v>
      </c>
      <c r="Z5" s="105">
        <f t="shared" ref="Z5:Z17" si="2">I5/Y5</f>
        <v>0.94214195405699475</v>
      </c>
      <c r="AA5" s="105">
        <f t="shared" ref="AA5:AA17" si="3">J5/Y5</f>
        <v>3.0189116702672224E-2</v>
      </c>
      <c r="AB5" s="105">
        <f t="shared" ref="AB5:AB17" si="4">M5/Y5+P5/Y5</f>
        <v>2.7668929240333144E-2</v>
      </c>
      <c r="AC5" s="105">
        <v>0</v>
      </c>
      <c r="AD5" s="106">
        <v>0</v>
      </c>
    </row>
    <row r="6" spans="1:30">
      <c r="A6" s="2"/>
      <c r="B6" s="22">
        <v>44442</v>
      </c>
      <c r="C6" s="48">
        <f>J6+M6+P6</f>
        <v>12697.111000000001</v>
      </c>
      <c r="D6" s="48">
        <f t="shared" si="0"/>
        <v>10620</v>
      </c>
      <c r="E6" s="48">
        <f>E5+D6</f>
        <v>12536.52</v>
      </c>
      <c r="F6" s="48">
        <f t="shared" ref="F6:F10" si="5">C6-C5-D6</f>
        <v>160.59100000000035</v>
      </c>
      <c r="G6" s="9">
        <f t="shared" ref="G6:G7" si="6">F6/C6</f>
        <v>1.2647837764039421E-2</v>
      </c>
      <c r="H6" s="5"/>
      <c r="I6" s="52">
        <f>6702.4+18667.98</f>
        <v>25370.379999999997</v>
      </c>
      <c r="J6" s="52">
        <v>7970</v>
      </c>
      <c r="K6" s="48">
        <v>7020</v>
      </c>
      <c r="L6" s="48">
        <f t="shared" ref="L6:L21" si="7">J6-K6-J5</f>
        <v>-50</v>
      </c>
      <c r="M6" s="52">
        <v>955.2</v>
      </c>
      <c r="N6" s="48">
        <v>0</v>
      </c>
      <c r="O6" s="48">
        <f t="shared" ref="O6:O21" si="8">M6-N6-M5</f>
        <v>38.680000000000064</v>
      </c>
      <c r="P6" s="52">
        <f>(527.21+0.33)*Q1</f>
        <v>3771.9110000000005</v>
      </c>
      <c r="Q6" s="48">
        <v>3600</v>
      </c>
      <c r="R6" s="58">
        <f t="shared" ref="R6:R12" si="9">P6-Q6-P5</f>
        <v>171.91100000000051</v>
      </c>
      <c r="S6" s="48">
        <f>(527.21+0.33)*V1</f>
        <v>0</v>
      </c>
      <c r="T6" s="48"/>
      <c r="U6" s="48"/>
      <c r="V6" s="48">
        <v>0</v>
      </c>
      <c r="W6" s="58">
        <f>S6-V6-S5</f>
        <v>0</v>
      </c>
      <c r="Y6" s="107">
        <f t="shared" si="1"/>
        <v>38067.490999999995</v>
      </c>
      <c r="Z6" s="23">
        <f t="shared" si="2"/>
        <v>0.66645789710700931</v>
      </c>
      <c r="AA6" s="23">
        <f t="shared" si="3"/>
        <v>0.20936499334826142</v>
      </c>
      <c r="AB6" s="23">
        <f t="shared" si="4"/>
        <v>0.12417710954472942</v>
      </c>
      <c r="AC6" s="23">
        <v>0</v>
      </c>
      <c r="AD6" s="108">
        <v>0</v>
      </c>
    </row>
    <row r="7" spans="1:30">
      <c r="A7" s="2"/>
      <c r="B7" s="22">
        <v>44471</v>
      </c>
      <c r="C7" s="48">
        <f t="shared" ref="C7:C9" si="10">J7+M7+P7</f>
        <v>17995.819000000003</v>
      </c>
      <c r="D7" s="48">
        <f t="shared" si="0"/>
        <v>4000</v>
      </c>
      <c r="E7" s="48">
        <f>E6+D7</f>
        <v>16536.52</v>
      </c>
      <c r="F7" s="48">
        <f t="shared" si="5"/>
        <v>1298.7080000000024</v>
      </c>
      <c r="G7" s="9">
        <f t="shared" si="6"/>
        <v>7.2167207282980678E-2</v>
      </c>
      <c r="I7" s="52">
        <f>23402.01+2800+5150</f>
        <v>31352.01</v>
      </c>
      <c r="J7" s="52">
        <v>7748</v>
      </c>
      <c r="K7" s="48">
        <v>0</v>
      </c>
      <c r="L7" s="48">
        <f t="shared" si="7"/>
        <v>-222</v>
      </c>
      <c r="M7" s="52">
        <v>1019.6</v>
      </c>
      <c r="N7" s="48">
        <v>0</v>
      </c>
      <c r="O7" s="48">
        <f t="shared" si="8"/>
        <v>64.399999999999977</v>
      </c>
      <c r="P7" s="52">
        <f>1290.66*Q1</f>
        <v>9228.219000000001</v>
      </c>
      <c r="Q7" s="48">
        <v>4000</v>
      </c>
      <c r="R7" s="58">
        <f t="shared" si="9"/>
        <v>1456.3080000000004</v>
      </c>
      <c r="S7" s="48">
        <f>1290.66*V1</f>
        <v>0</v>
      </c>
      <c r="T7" s="48"/>
      <c r="U7" s="48"/>
      <c r="V7" s="48">
        <v>0</v>
      </c>
      <c r="W7" s="58">
        <f>S7-V7-S6</f>
        <v>0</v>
      </c>
      <c r="Y7" s="107">
        <f t="shared" si="1"/>
        <v>49347.828999999998</v>
      </c>
      <c r="Z7" s="23">
        <f t="shared" si="2"/>
        <v>0.63532703738598106</v>
      </c>
      <c r="AA7" s="23">
        <f t="shared" si="3"/>
        <v>0.15700792024710955</v>
      </c>
      <c r="AB7" s="23">
        <f t="shared" si="4"/>
        <v>0.20766504236690941</v>
      </c>
      <c r="AC7" s="23">
        <v>0</v>
      </c>
      <c r="AD7" s="108">
        <v>0</v>
      </c>
    </row>
    <row r="8" spans="1:30">
      <c r="A8" s="2"/>
      <c r="B8" s="22">
        <v>44502</v>
      </c>
      <c r="C8" s="48">
        <f>J8+M8+P8</f>
        <v>22970.801500000001</v>
      </c>
      <c r="D8" s="48">
        <f t="shared" si="0"/>
        <v>1000</v>
      </c>
      <c r="E8" s="48">
        <f t="shared" ref="E8:E21" si="11">E7+D8</f>
        <v>17536.52</v>
      </c>
      <c r="F8" s="48">
        <f t="shared" si="5"/>
        <v>3974.9824999999983</v>
      </c>
      <c r="G8" s="9">
        <f t="shared" ref="G8:G15" si="12">F8/C8</f>
        <v>0.17304500672299128</v>
      </c>
      <c r="I8" s="52">
        <f>27366.31+4680</f>
        <v>32046.31</v>
      </c>
      <c r="J8" s="52">
        <v>9414</v>
      </c>
      <c r="K8" s="48">
        <v>1000</v>
      </c>
      <c r="L8" s="48">
        <f t="shared" si="7"/>
        <v>666</v>
      </c>
      <c r="M8" s="52">
        <v>1340.24</v>
      </c>
      <c r="N8" s="48">
        <v>0</v>
      </c>
      <c r="O8" s="48">
        <f t="shared" si="8"/>
        <v>320.64</v>
      </c>
      <c r="P8" s="52">
        <f>1708.61*Q1</f>
        <v>12216.5615</v>
      </c>
      <c r="Q8" s="48">
        <v>0</v>
      </c>
      <c r="R8" s="58">
        <f t="shared" si="9"/>
        <v>2988.3424999999988</v>
      </c>
      <c r="S8" s="48">
        <f>1708.61*V1</f>
        <v>0</v>
      </c>
      <c r="T8" s="48"/>
      <c r="U8" s="48"/>
      <c r="V8" s="48">
        <v>0</v>
      </c>
      <c r="W8" s="58">
        <f>S8-V8-S7</f>
        <v>0</v>
      </c>
      <c r="Y8" s="107">
        <f t="shared" si="1"/>
        <v>55017.111499999999</v>
      </c>
      <c r="Z8" s="23">
        <f t="shared" si="2"/>
        <v>0.5824789620225701</v>
      </c>
      <c r="AA8" s="23">
        <f t="shared" si="3"/>
        <v>0.17111040080684717</v>
      </c>
      <c r="AB8" s="23">
        <f t="shared" si="4"/>
        <v>0.24641063717058281</v>
      </c>
      <c r="AC8" s="23">
        <v>0</v>
      </c>
      <c r="AD8" s="108">
        <v>0</v>
      </c>
    </row>
    <row r="9" spans="1:30">
      <c r="A9" s="2"/>
      <c r="B9" s="22">
        <v>44532</v>
      </c>
      <c r="C9" s="50">
        <f t="shared" si="10"/>
        <v>23315.411500000002</v>
      </c>
      <c r="D9" s="50">
        <f t="shared" si="0"/>
        <v>2000</v>
      </c>
      <c r="E9" s="50">
        <f t="shared" si="11"/>
        <v>19536.52</v>
      </c>
      <c r="F9" s="48">
        <f t="shared" si="5"/>
        <v>-1655.3899999999994</v>
      </c>
      <c r="G9" s="9">
        <f t="shared" si="12"/>
        <v>-7.0999819153953134E-2</v>
      </c>
      <c r="I9" s="54">
        <f>6247.37+5580</f>
        <v>11827.369999999999</v>
      </c>
      <c r="J9" s="54">
        <v>11173</v>
      </c>
      <c r="K9" s="50">
        <v>2000</v>
      </c>
      <c r="L9" s="48">
        <f t="shared" si="7"/>
        <v>-241</v>
      </c>
      <c r="M9" s="54">
        <v>1220</v>
      </c>
      <c r="N9" s="50">
        <v>0</v>
      </c>
      <c r="O9" s="48">
        <f t="shared" si="8"/>
        <v>-120.24000000000001</v>
      </c>
      <c r="P9" s="54">
        <f>1527.61*Q1</f>
        <v>10922.4115</v>
      </c>
      <c r="Q9" s="50">
        <v>0</v>
      </c>
      <c r="R9" s="58">
        <f t="shared" si="9"/>
        <v>-1294.1499999999996</v>
      </c>
      <c r="S9" s="50">
        <f>1527.61*V1</f>
        <v>0</v>
      </c>
      <c r="T9" s="50"/>
      <c r="U9" s="50"/>
      <c r="V9" s="50">
        <v>0</v>
      </c>
      <c r="W9" s="58">
        <f>S9-V9-S8</f>
        <v>0</v>
      </c>
      <c r="Y9" s="107">
        <f t="shared" si="1"/>
        <v>35142.781499999997</v>
      </c>
      <c r="Z9" s="23">
        <f t="shared" si="2"/>
        <v>0.33655190326923895</v>
      </c>
      <c r="AA9" s="23">
        <f t="shared" si="3"/>
        <v>0.31793157863728005</v>
      </c>
      <c r="AB9" s="23">
        <f t="shared" si="4"/>
        <v>0.34551651809348105</v>
      </c>
      <c r="AC9" s="23">
        <v>0</v>
      </c>
      <c r="AD9" s="108">
        <v>0</v>
      </c>
    </row>
    <row r="10" spans="1:30">
      <c r="A10" s="4">
        <v>2022</v>
      </c>
      <c r="B10" s="32">
        <v>44564</v>
      </c>
      <c r="C10" s="48">
        <f t="shared" ref="C10:C21" si="13">J10+M10+P10+S10</f>
        <v>30329.353250000004</v>
      </c>
      <c r="D10" s="48">
        <f t="shared" ref="D10:D21" si="14">K10+N10+Q10+V10</f>
        <v>4133.2024999999994</v>
      </c>
      <c r="E10" s="48">
        <f t="shared" si="11"/>
        <v>23669.7225</v>
      </c>
      <c r="F10" s="48">
        <f t="shared" si="5"/>
        <v>2880.7392500000024</v>
      </c>
      <c r="G10" s="9">
        <f t="shared" si="12"/>
        <v>9.4981888543897719E-2</v>
      </c>
      <c r="I10" s="55">
        <f>8213+5400*0.61</f>
        <v>11507</v>
      </c>
      <c r="J10" s="55">
        <v>13705</v>
      </c>
      <c r="K10" s="56">
        <v>2000</v>
      </c>
      <c r="L10" s="48">
        <f t="shared" si="7"/>
        <v>532</v>
      </c>
      <c r="M10" s="55">
        <v>1077</v>
      </c>
      <c r="N10" s="56">
        <v>0</v>
      </c>
      <c r="O10" s="48">
        <f t="shared" si="8"/>
        <v>-143</v>
      </c>
      <c r="P10" s="55">
        <f>1270.63*Q1</f>
        <v>9085.0045000000009</v>
      </c>
      <c r="Q10" s="56">
        <v>0</v>
      </c>
      <c r="R10" s="58">
        <f t="shared" si="9"/>
        <v>-1837.4069999999992</v>
      </c>
      <c r="S10" s="48">
        <f>T10*$Q$1*U10</f>
        <v>6462.348750000001</v>
      </c>
      <c r="T10" s="65">
        <v>5.15</v>
      </c>
      <c r="U10" s="65">
        <v>175.5</v>
      </c>
      <c r="V10" s="48">
        <f>1.7*U10*$Q$1</f>
        <v>2133.2024999999999</v>
      </c>
      <c r="W10" s="59">
        <f>S10-V10</f>
        <v>4329.1462500000016</v>
      </c>
      <c r="Y10" s="107">
        <f t="shared" si="1"/>
        <v>41836.35325</v>
      </c>
      <c r="Z10" s="23">
        <f t="shared" si="2"/>
        <v>0.27504787358587474</v>
      </c>
      <c r="AA10" s="23">
        <f t="shared" si="3"/>
        <v>0.32758591357386058</v>
      </c>
      <c r="AB10" s="23">
        <f t="shared" si="4"/>
        <v>0.24289890754280791</v>
      </c>
      <c r="AC10" s="23">
        <f>S10/Y10</f>
        <v>0.15446730529745684</v>
      </c>
      <c r="AD10" s="108">
        <v>0</v>
      </c>
    </row>
    <row r="11" spans="1:30">
      <c r="A11" s="2"/>
      <c r="B11" s="22">
        <v>44594</v>
      </c>
      <c r="C11" s="48">
        <f t="shared" si="13"/>
        <v>24211.493999999999</v>
      </c>
      <c r="D11" s="48">
        <f t="shared" si="14"/>
        <v>5511.7880000000005</v>
      </c>
      <c r="E11" s="48">
        <f t="shared" si="11"/>
        <v>29181.5105</v>
      </c>
      <c r="F11" s="48">
        <f t="shared" ref="F11:F21" si="15">C11-C10-D11</f>
        <v>-11629.647250000005</v>
      </c>
      <c r="G11" s="9">
        <f t="shared" si="12"/>
        <v>-0.48033579629575962</v>
      </c>
      <c r="H11" s="6"/>
      <c r="I11" s="52">
        <f>5040+321+2656</f>
        <v>8017</v>
      </c>
      <c r="J11" s="52">
        <v>13956</v>
      </c>
      <c r="K11" s="48">
        <v>1000</v>
      </c>
      <c r="L11" s="48">
        <f t="shared" si="7"/>
        <v>-749</v>
      </c>
      <c r="M11" s="52">
        <v>2754</v>
      </c>
      <c r="N11" s="48">
        <v>2579</v>
      </c>
      <c r="O11" s="48">
        <f t="shared" si="8"/>
        <v>-902</v>
      </c>
      <c r="P11" s="52">
        <f>995.75*Q1</f>
        <v>7119.6125000000002</v>
      </c>
      <c r="Q11" s="48">
        <v>0</v>
      </c>
      <c r="R11" s="58">
        <f t="shared" si="9"/>
        <v>-1965.3920000000007</v>
      </c>
      <c r="S11" s="48">
        <f>T11*$Q$1*U11</f>
        <v>381.88150000000002</v>
      </c>
      <c r="T11" s="65">
        <v>0.49</v>
      </c>
      <c r="U11" s="65">
        <v>109</v>
      </c>
      <c r="V11" s="48">
        <f>2.48*U11*$Q$1</f>
        <v>1932.788</v>
      </c>
      <c r="W11" s="58">
        <f t="shared" ref="W11:W16" si="16">S11-V11-S10</f>
        <v>-8013.2552500000011</v>
      </c>
      <c r="Y11" s="107">
        <f t="shared" si="1"/>
        <v>32228.493999999999</v>
      </c>
      <c r="Z11" s="23">
        <f t="shared" si="2"/>
        <v>0.24875503025366311</v>
      </c>
      <c r="AA11" s="23">
        <f t="shared" si="3"/>
        <v>0.43303295524761415</v>
      </c>
      <c r="AB11" s="23">
        <f t="shared" si="4"/>
        <v>0.30636282601352705</v>
      </c>
      <c r="AC11" s="23">
        <f>S11/Y11</f>
        <v>1.1849188485195741E-2</v>
      </c>
      <c r="AD11" s="108">
        <v>0</v>
      </c>
    </row>
    <row r="12" spans="1:30">
      <c r="A12" s="2"/>
      <c r="B12" s="22">
        <v>44623</v>
      </c>
      <c r="C12" s="48">
        <f t="shared" si="13"/>
        <v>28998.024000000001</v>
      </c>
      <c r="D12" s="48">
        <f t="shared" si="14"/>
        <v>1000</v>
      </c>
      <c r="E12" s="48">
        <f t="shared" si="11"/>
        <v>30181.5105</v>
      </c>
      <c r="F12" s="48">
        <f t="shared" si="15"/>
        <v>3786.5300000000025</v>
      </c>
      <c r="G12" s="9">
        <f t="shared" si="12"/>
        <v>0.13057889737590403</v>
      </c>
      <c r="H12" s="6"/>
      <c r="I12" s="11">
        <f>4828.81</f>
        <v>4828.8100000000004</v>
      </c>
      <c r="J12" s="11">
        <v>13946</v>
      </c>
      <c r="K12" s="48">
        <v>1000</v>
      </c>
      <c r="L12" s="48">
        <f t="shared" si="7"/>
        <v>-1010</v>
      </c>
      <c r="M12" s="11">
        <v>3016</v>
      </c>
      <c r="N12" s="60">
        <v>0</v>
      </c>
      <c r="O12" s="48">
        <f t="shared" si="8"/>
        <v>262</v>
      </c>
      <c r="P12" s="11">
        <f>1167.86*Q1</f>
        <v>8350.1990000000005</v>
      </c>
      <c r="Q12" s="60">
        <v>0</v>
      </c>
      <c r="R12" s="58">
        <f t="shared" si="9"/>
        <v>1230.5865000000003</v>
      </c>
      <c r="S12" s="48">
        <f t="shared" ref="S12:S16" si="17">T12*$Q$1*U12</f>
        <v>3685.8250000000007</v>
      </c>
      <c r="T12" s="64">
        <f>(0.89+0.45+8.97)/2</f>
        <v>5.1550000000000002</v>
      </c>
      <c r="U12" s="64">
        <v>100</v>
      </c>
      <c r="V12" s="60">
        <v>0</v>
      </c>
      <c r="W12" s="58">
        <f t="shared" si="16"/>
        <v>3303.9435000000008</v>
      </c>
      <c r="Y12" s="109">
        <f t="shared" si="1"/>
        <v>33826.834000000003</v>
      </c>
      <c r="Z12" s="23">
        <f t="shared" si="2"/>
        <v>0.14275087050712462</v>
      </c>
      <c r="AA12" s="23">
        <f t="shared" si="3"/>
        <v>0.41227624199178675</v>
      </c>
      <c r="AB12" s="23">
        <f t="shared" si="4"/>
        <v>0.33601131575009352</v>
      </c>
      <c r="AC12" s="23">
        <f>S12/Y12</f>
        <v>0.10896157175099509</v>
      </c>
      <c r="AD12" s="108">
        <v>0</v>
      </c>
    </row>
    <row r="13" spans="1:30">
      <c r="A13" s="2"/>
      <c r="B13" s="22">
        <v>44653</v>
      </c>
      <c r="C13" s="48">
        <f t="shared" si="13"/>
        <v>36099.478999999999</v>
      </c>
      <c r="D13" s="48">
        <f t="shared" si="14"/>
        <v>0</v>
      </c>
      <c r="E13" s="48">
        <f t="shared" si="11"/>
        <v>30181.5105</v>
      </c>
      <c r="F13" s="48">
        <f t="shared" si="15"/>
        <v>7101.4549999999981</v>
      </c>
      <c r="G13" s="9">
        <f t="shared" si="12"/>
        <v>0.19671904406154997</v>
      </c>
      <c r="H13" s="6"/>
      <c r="I13" s="11">
        <f>345+3655</f>
        <v>4000</v>
      </c>
      <c r="J13" s="11">
        <v>14625</v>
      </c>
      <c r="K13" s="48">
        <v>0</v>
      </c>
      <c r="L13" s="48">
        <f t="shared" si="7"/>
        <v>679</v>
      </c>
      <c r="M13" s="11">
        <v>3743.48</v>
      </c>
      <c r="N13" s="60">
        <v>0</v>
      </c>
      <c r="O13" s="48">
        <f t="shared" si="8"/>
        <v>727.48</v>
      </c>
      <c r="P13" s="11">
        <f>1283.76*Q1</f>
        <v>9178.884</v>
      </c>
      <c r="Q13" s="60">
        <v>0</v>
      </c>
      <c r="R13" s="58">
        <f>P13-Q13-P12</f>
        <v>828.68499999999949</v>
      </c>
      <c r="S13" s="48">
        <f t="shared" si="17"/>
        <v>8552.1149999999998</v>
      </c>
      <c r="T13" s="65">
        <f>(17.72)/2</f>
        <v>8.86</v>
      </c>
      <c r="U13" s="64">
        <v>135</v>
      </c>
      <c r="V13" s="60">
        <v>0</v>
      </c>
      <c r="W13" s="58">
        <f t="shared" si="16"/>
        <v>4866.2899999999991</v>
      </c>
      <c r="Y13" s="109">
        <f t="shared" si="1"/>
        <v>40099.478999999999</v>
      </c>
      <c r="Z13" s="23">
        <f t="shared" si="2"/>
        <v>9.9751919470075903E-2</v>
      </c>
      <c r="AA13" s="23">
        <f t="shared" si="3"/>
        <v>0.36471795556246506</v>
      </c>
      <c r="AB13" s="23">
        <f t="shared" si="4"/>
        <v>0.32225765327275202</v>
      </c>
      <c r="AC13" s="23">
        <f>S13/Y13</f>
        <v>0.21327247169470706</v>
      </c>
      <c r="AD13" s="110">
        <v>0</v>
      </c>
    </row>
    <row r="14" spans="1:30">
      <c r="A14" s="2"/>
      <c r="B14" s="22">
        <v>44683</v>
      </c>
      <c r="C14" s="48">
        <f>J14+M14+P14+S14</f>
        <v>66433.698000000004</v>
      </c>
      <c r="D14" s="48">
        <f t="shared" si="14"/>
        <v>0</v>
      </c>
      <c r="E14" s="48">
        <f t="shared" si="11"/>
        <v>30181.5105</v>
      </c>
      <c r="F14" s="48">
        <f t="shared" si="15"/>
        <v>30334.219000000005</v>
      </c>
      <c r="G14" s="9">
        <f t="shared" si="12"/>
        <v>0.45660891856419017</v>
      </c>
      <c r="I14" s="11">
        <f>6736.25+8191.2</f>
        <v>14927.45</v>
      </c>
      <c r="J14" s="11">
        <v>13867</v>
      </c>
      <c r="K14" s="48">
        <v>0</v>
      </c>
      <c r="L14" s="48">
        <f t="shared" si="7"/>
        <v>-758</v>
      </c>
      <c r="M14" s="11">
        <v>3155.05</v>
      </c>
      <c r="N14" s="60">
        <v>0</v>
      </c>
      <c r="O14" s="48">
        <f t="shared" si="8"/>
        <v>-588.42999999999984</v>
      </c>
      <c r="P14" s="11">
        <f>1060.48*$Q$1</f>
        <v>7582.4320000000007</v>
      </c>
      <c r="Q14" s="60">
        <v>0</v>
      </c>
      <c r="R14" s="58">
        <f>P14-Q14-P13</f>
        <v>-1596.4519999999993</v>
      </c>
      <c r="S14" s="48">
        <f t="shared" si="17"/>
        <v>41829.216000000008</v>
      </c>
      <c r="T14" s="65">
        <f>(132.96)/2</f>
        <v>66.48</v>
      </c>
      <c r="U14" s="64">
        <v>88</v>
      </c>
      <c r="V14" s="48">
        <v>0</v>
      </c>
      <c r="W14" s="58">
        <f t="shared" si="16"/>
        <v>33277.10100000001</v>
      </c>
      <c r="Y14" s="109">
        <f t="shared" si="1"/>
        <v>81361.148000000001</v>
      </c>
      <c r="Z14" s="23">
        <f t="shared" si="2"/>
        <v>0.18347147707404524</v>
      </c>
      <c r="AA14" s="23">
        <f t="shared" si="3"/>
        <v>0.17043761476915248</v>
      </c>
      <c r="AB14" s="23">
        <f t="shared" si="4"/>
        <v>0.13197308867864058</v>
      </c>
      <c r="AC14" s="23">
        <f t="shared" ref="AC14:AC17" si="18">S14/Y14</f>
        <v>0.51411781947816182</v>
      </c>
      <c r="AD14" s="108">
        <v>0</v>
      </c>
    </row>
    <row r="15" spans="1:30">
      <c r="A15" s="2"/>
      <c r="B15" s="22">
        <v>44715</v>
      </c>
      <c r="C15" s="48">
        <f t="shared" si="13"/>
        <v>48884.898499999996</v>
      </c>
      <c r="D15" s="48">
        <f t="shared" si="14"/>
        <v>0</v>
      </c>
      <c r="E15" s="48">
        <f t="shared" si="11"/>
        <v>30181.5105</v>
      </c>
      <c r="F15" s="48">
        <f t="shared" si="15"/>
        <v>-17548.799500000008</v>
      </c>
      <c r="G15" s="9">
        <f t="shared" si="12"/>
        <v>-0.35898201772884952</v>
      </c>
      <c r="I15" s="11">
        <f>10477.78+0</f>
        <v>10477.780000000001</v>
      </c>
      <c r="J15" s="11">
        <v>13570</v>
      </c>
      <c r="K15" s="48">
        <v>0</v>
      </c>
      <c r="L15" s="48">
        <f t="shared" si="7"/>
        <v>-297</v>
      </c>
      <c r="M15" s="11">
        <v>1964.51</v>
      </c>
      <c r="N15" s="60">
        <v>0</v>
      </c>
      <c r="O15" s="48">
        <f t="shared" si="8"/>
        <v>-1190.5400000000002</v>
      </c>
      <c r="P15" s="11">
        <f>829.79*$Q$1</f>
        <v>5932.9984999999997</v>
      </c>
      <c r="Q15" s="60">
        <v>0</v>
      </c>
      <c r="R15" s="58">
        <f>P15-Q15-P14</f>
        <v>-1649.433500000001</v>
      </c>
      <c r="S15" s="48">
        <f t="shared" si="17"/>
        <v>27417.39</v>
      </c>
      <c r="T15" s="64">
        <f>191.73/2</f>
        <v>95.864999999999995</v>
      </c>
      <c r="U15" s="64">
        <v>40</v>
      </c>
      <c r="V15" s="48">
        <v>0</v>
      </c>
      <c r="W15" s="58">
        <f t="shared" si="16"/>
        <v>-14411.826000000008</v>
      </c>
      <c r="Y15" s="109">
        <f t="shared" si="1"/>
        <v>59362.678499999995</v>
      </c>
      <c r="Z15" s="23">
        <f>I15/Y15</f>
        <v>0.17650450189844452</v>
      </c>
      <c r="AA15" s="23">
        <f t="shared" si="3"/>
        <v>0.22859480641527996</v>
      </c>
      <c r="AB15" s="23">
        <f t="shared" si="4"/>
        <v>0.133038277577047</v>
      </c>
      <c r="AC15" s="23">
        <f t="shared" si="18"/>
        <v>0.46186241410922863</v>
      </c>
      <c r="AD15" s="108">
        <v>0</v>
      </c>
    </row>
    <row r="16" spans="1:30">
      <c r="A16" s="2"/>
      <c r="B16" s="22">
        <v>44746</v>
      </c>
      <c r="C16" s="48">
        <f>J16+M16+P16+S16</f>
        <v>32813.202499999999</v>
      </c>
      <c r="D16" s="48">
        <f>K16+N16+Q16+V16</f>
        <v>0</v>
      </c>
      <c r="E16" s="48">
        <f t="shared" si="11"/>
        <v>30181.5105</v>
      </c>
      <c r="F16" s="48">
        <f t="shared" si="15"/>
        <v>-16071.695999999996</v>
      </c>
      <c r="G16" s="9">
        <f>F16/C16</f>
        <v>-0.48979358232406595</v>
      </c>
      <c r="I16" s="11">
        <f>321+500</f>
        <v>821</v>
      </c>
      <c r="J16" s="11">
        <v>12757</v>
      </c>
      <c r="K16" s="48">
        <v>0</v>
      </c>
      <c r="L16" s="48">
        <f t="shared" si="7"/>
        <v>-813</v>
      </c>
      <c r="M16" s="11">
        <v>85.18</v>
      </c>
      <c r="N16" s="6">
        <f>-0.15*Q1*1797.15</f>
        <v>-1927.4433750000001</v>
      </c>
      <c r="O16" s="48">
        <f t="shared" si="8"/>
        <v>48.113375000000133</v>
      </c>
      <c r="P16" s="11">
        <f>693.36*$Q$1</f>
        <v>4957.5240000000003</v>
      </c>
      <c r="Q16" s="6">
        <f>0.15*Q1*1797.15</f>
        <v>1927.4433750000001</v>
      </c>
      <c r="R16" s="58">
        <f>P16-Q16-P15</f>
        <v>-2902.9178749999992</v>
      </c>
      <c r="S16" s="48">
        <f t="shared" si="17"/>
        <v>15013.498500000002</v>
      </c>
      <c r="T16" s="64">
        <f>127.26/2</f>
        <v>63.63</v>
      </c>
      <c r="U16" s="64">
        <v>33</v>
      </c>
      <c r="V16" s="48">
        <v>0</v>
      </c>
      <c r="W16" s="58">
        <f t="shared" si="16"/>
        <v>-12403.891499999998</v>
      </c>
      <c r="Y16" s="109">
        <f t="shared" si="1"/>
        <v>33634.202499999999</v>
      </c>
      <c r="Z16" s="23">
        <f t="shared" si="2"/>
        <v>2.4409676429818724E-2</v>
      </c>
      <c r="AA16" s="23">
        <f t="shared" si="3"/>
        <v>0.37928653132179957</v>
      </c>
      <c r="AB16" s="23">
        <f t="shared" si="4"/>
        <v>0.14992785989202509</v>
      </c>
      <c r="AC16" s="23">
        <f t="shared" si="18"/>
        <v>0.44637593235635664</v>
      </c>
      <c r="AD16" s="108">
        <v>0</v>
      </c>
    </row>
    <row r="17" spans="1:30">
      <c r="A17" s="2"/>
      <c r="B17" s="22">
        <v>44779</v>
      </c>
      <c r="C17" s="48">
        <f>J17+M17+P17+S17</f>
        <v>36974.152629999997</v>
      </c>
      <c r="D17" s="48">
        <f t="shared" si="14"/>
        <v>0</v>
      </c>
      <c r="E17" s="48">
        <f t="shared" si="11"/>
        <v>30181.5105</v>
      </c>
      <c r="F17" s="48">
        <f t="shared" si="15"/>
        <v>4160.9501299999974</v>
      </c>
      <c r="G17" s="9">
        <f>F17/C17</f>
        <v>0.11253672725480925</v>
      </c>
      <c r="H17" s="6"/>
      <c r="I17" s="11">
        <f>9345</f>
        <v>9345</v>
      </c>
      <c r="J17" s="11">
        <v>14215</v>
      </c>
      <c r="K17" s="48">
        <v>0</v>
      </c>
      <c r="L17" s="48">
        <f t="shared" si="7"/>
        <v>1458</v>
      </c>
      <c r="M17" s="11">
        <v>101.03</v>
      </c>
      <c r="N17" s="60">
        <v>0</v>
      </c>
      <c r="O17" s="48">
        <f t="shared" si="8"/>
        <v>15.849999999999994</v>
      </c>
      <c r="P17" s="11">
        <f>913.9*$Q$1</f>
        <v>6534.3850000000002</v>
      </c>
      <c r="Q17" s="60">
        <v>0</v>
      </c>
      <c r="R17" s="58">
        <f>P17-Q17-P16</f>
        <v>1576.8609999999999</v>
      </c>
      <c r="S17" s="48">
        <f>T17*$Q$1*U17</f>
        <v>16123.73763</v>
      </c>
      <c r="T17" s="64">
        <f>111.72/2</f>
        <v>55.86</v>
      </c>
      <c r="U17" s="64">
        <v>40.369999999999997</v>
      </c>
      <c r="V17" s="48">
        <v>0</v>
      </c>
      <c r="W17" s="58">
        <f>S17-V17-S16</f>
        <v>1110.2391299999981</v>
      </c>
      <c r="Y17" s="109">
        <f t="shared" si="1"/>
        <v>46319.152629999997</v>
      </c>
      <c r="Z17" s="23">
        <f t="shared" si="2"/>
        <v>0.20175239548634205</v>
      </c>
      <c r="AA17" s="23">
        <f t="shared" si="3"/>
        <v>0.30689248815819714</v>
      </c>
      <c r="AB17" s="23">
        <f t="shared" si="4"/>
        <v>0.14325423983905899</v>
      </c>
      <c r="AC17" s="23">
        <f t="shared" si="18"/>
        <v>0.34810087651640187</v>
      </c>
      <c r="AD17" s="110">
        <v>0</v>
      </c>
    </row>
    <row r="18" spans="1:30">
      <c r="A18" s="2"/>
      <c r="B18" s="22">
        <v>44805</v>
      </c>
      <c r="C18" s="48">
        <f t="shared" si="13"/>
        <v>33575.42</v>
      </c>
      <c r="D18" s="48">
        <f t="shared" si="14"/>
        <v>0</v>
      </c>
      <c r="E18" s="48">
        <f>E17+D18</f>
        <v>30181.5105</v>
      </c>
      <c r="F18" s="48">
        <f t="shared" si="15"/>
        <v>-3398.7326299999986</v>
      </c>
      <c r="G18" s="9">
        <f t="shared" ref="G18:G21" si="19">F18/C18</f>
        <v>-0.10122680907640169</v>
      </c>
      <c r="I18" s="11">
        <v>16343.21</v>
      </c>
      <c r="J18" s="11">
        <v>13484</v>
      </c>
      <c r="K18" s="48">
        <v>0</v>
      </c>
      <c r="L18" s="48">
        <f t="shared" si="7"/>
        <v>-731</v>
      </c>
      <c r="M18" s="11">
        <v>91.42</v>
      </c>
      <c r="N18" s="60">
        <v>0</v>
      </c>
      <c r="O18" s="48">
        <f t="shared" si="8"/>
        <v>-9.61</v>
      </c>
      <c r="P18" s="11">
        <v>0</v>
      </c>
      <c r="Q18" s="60">
        <v>0</v>
      </c>
      <c r="R18" s="58">
        <f t="shared" ref="R18:R21" si="20">P18-Q18-P17</f>
        <v>-6534.3850000000002</v>
      </c>
      <c r="S18" s="6">
        <f>20000</f>
        <v>20000</v>
      </c>
      <c r="T18" s="64">
        <v>50</v>
      </c>
      <c r="U18" s="64">
        <v>31</v>
      </c>
      <c r="V18" s="48">
        <v>0</v>
      </c>
      <c r="W18" s="58">
        <f t="shared" ref="W18:W21" si="21">S18-V18-S17</f>
        <v>3876.2623700000004</v>
      </c>
      <c r="Y18" s="109">
        <f t="shared" si="1"/>
        <v>49918.63</v>
      </c>
      <c r="Z18" s="23">
        <f>IFERROR(I18/Y18,"")</f>
        <v>0.32739700588738113</v>
      </c>
      <c r="AA18" s="23">
        <f>IFERROR(J18/Y18,"")</f>
        <v>0.27011959262503799</v>
      </c>
      <c r="AB18" s="23">
        <f>IFERROR(M18/Y18+P18/Y18,"")</f>
        <v>1.8313803884441541E-3</v>
      </c>
      <c r="AC18" s="23">
        <f>IFERROR(S18/Y18,"")</f>
        <v>0.40065202109913678</v>
      </c>
      <c r="AD18" s="110">
        <v>0</v>
      </c>
    </row>
    <row r="19" spans="1:30">
      <c r="A19" s="2"/>
      <c r="B19" s="22">
        <v>44835</v>
      </c>
      <c r="C19" s="48">
        <f>J19+M19+P19+S19</f>
        <v>40258.92</v>
      </c>
      <c r="D19" s="48">
        <f t="shared" si="14"/>
        <v>0</v>
      </c>
      <c r="E19" s="48">
        <f t="shared" si="11"/>
        <v>30181.5105</v>
      </c>
      <c r="F19" s="48">
        <f t="shared" si="15"/>
        <v>6683.5</v>
      </c>
      <c r="G19" s="9">
        <f t="shared" si="19"/>
        <v>0.166012898507958</v>
      </c>
      <c r="I19" s="11">
        <v>17516.46</v>
      </c>
      <c r="J19" s="11">
        <v>12811</v>
      </c>
      <c r="K19" s="48">
        <v>0</v>
      </c>
      <c r="L19" s="48">
        <f t="shared" si="7"/>
        <v>-673</v>
      </c>
      <c r="M19" s="11">
        <v>87.29</v>
      </c>
      <c r="N19" s="60">
        <v>0</v>
      </c>
      <c r="O19" s="48">
        <f t="shared" si="8"/>
        <v>-4.1299999999999955</v>
      </c>
      <c r="P19" s="11">
        <v>0</v>
      </c>
      <c r="Q19" s="60">
        <v>0</v>
      </c>
      <c r="R19" s="58">
        <f t="shared" si="20"/>
        <v>0</v>
      </c>
      <c r="S19" s="6">
        <f>54721.26/2</f>
        <v>27360.63</v>
      </c>
      <c r="T19" s="64">
        <v>53.5</v>
      </c>
      <c r="U19" s="64">
        <v>32.68</v>
      </c>
      <c r="V19" s="48">
        <v>0</v>
      </c>
      <c r="W19" s="58">
        <f t="shared" si="21"/>
        <v>7360.630000000001</v>
      </c>
      <c r="Y19" s="109">
        <f t="shared" si="1"/>
        <v>57775.38</v>
      </c>
      <c r="Z19" s="23">
        <f t="shared" ref="Z19:Z21" si="22">IFERROR(I19/Y19,"")</f>
        <v>0.30318208205640534</v>
      </c>
      <c r="AA19" s="23">
        <f t="shared" ref="AA19:AA20" si="23">IFERROR(J19/Y19,"")</f>
        <v>0.2217380482828499</v>
      </c>
      <c r="AB19" s="23">
        <f t="shared" ref="AB19:AB21" si="24">IFERROR(M19/Y19+P19/Y19,"")</f>
        <v>1.5108511618616789E-3</v>
      </c>
      <c r="AC19" s="23">
        <f t="shared" ref="AC19:AC21" si="25">IFERROR(S19/Y19,"")</f>
        <v>0.47356901849888311</v>
      </c>
      <c r="AD19" s="110">
        <v>0</v>
      </c>
    </row>
    <row r="20" spans="1:30">
      <c r="A20" s="2"/>
      <c r="B20" s="22">
        <v>44872</v>
      </c>
      <c r="C20" s="48">
        <f t="shared" si="13"/>
        <v>34698.880000000005</v>
      </c>
      <c r="D20" s="48">
        <f t="shared" si="14"/>
        <v>1000</v>
      </c>
      <c r="E20" s="48">
        <f t="shared" si="11"/>
        <v>31181.5105</v>
      </c>
      <c r="F20" s="48">
        <f t="shared" si="15"/>
        <v>-6560.0399999999936</v>
      </c>
      <c r="G20" s="9">
        <f t="shared" si="19"/>
        <v>-0.18905624619584241</v>
      </c>
      <c r="I20" s="11">
        <v>22851</v>
      </c>
      <c r="J20" s="11">
        <v>14409</v>
      </c>
      <c r="K20" s="6">
        <v>1000</v>
      </c>
      <c r="L20" s="48">
        <f t="shared" si="7"/>
        <v>598</v>
      </c>
      <c r="M20" s="11">
        <v>76.430000000000007</v>
      </c>
      <c r="N20" s="60">
        <v>0</v>
      </c>
      <c r="O20" s="48">
        <f t="shared" si="8"/>
        <v>-10.86</v>
      </c>
      <c r="P20" s="11">
        <v>0</v>
      </c>
      <c r="Q20" s="60">
        <v>0</v>
      </c>
      <c r="R20" s="58">
        <f t="shared" si="20"/>
        <v>0</v>
      </c>
      <c r="S20" s="6">
        <v>20213.45</v>
      </c>
      <c r="T20" s="136">
        <f>114/2</f>
        <v>57</v>
      </c>
      <c r="U20" s="64">
        <v>32.5</v>
      </c>
      <c r="V20" s="48">
        <v>0</v>
      </c>
      <c r="W20" s="58">
        <f t="shared" si="21"/>
        <v>-7147.18</v>
      </c>
      <c r="Y20" s="109">
        <f t="shared" si="1"/>
        <v>57549.880000000005</v>
      </c>
      <c r="Z20" s="23">
        <f t="shared" ref="Z20:Z21" si="26">IFERROR(I20/Y20,"")</f>
        <v>0.39706425104622284</v>
      </c>
      <c r="AA20" s="23">
        <f t="shared" ref="AA20:AA21" si="27">IFERROR(J20/Y20,"")</f>
        <v>0.25037411025009954</v>
      </c>
      <c r="AB20" s="23">
        <f t="shared" ref="AB20:AB21" si="28">IFERROR(M20/Y20+P20/Y20,"")</f>
        <v>1.3280653235071907E-3</v>
      </c>
      <c r="AC20" s="23">
        <f t="shared" ref="AC20:AC21" si="29">IFERROR(S20/Y20,"")</f>
        <v>0.35123357338017036</v>
      </c>
      <c r="AD20" s="110">
        <v>0</v>
      </c>
    </row>
    <row r="21" spans="1:30">
      <c r="A21" s="3"/>
      <c r="B21" s="137">
        <v>44902</v>
      </c>
      <c r="C21" s="51">
        <f t="shared" si="13"/>
        <v>31607.739999999998</v>
      </c>
      <c r="D21" s="51">
        <f t="shared" si="14"/>
        <v>500</v>
      </c>
      <c r="E21" s="50">
        <f t="shared" si="11"/>
        <v>31681.5105</v>
      </c>
      <c r="F21" s="48">
        <f t="shared" si="15"/>
        <v>-3591.1400000000067</v>
      </c>
      <c r="G21" s="9">
        <f t="shared" si="19"/>
        <v>-0.11361584219561432</v>
      </c>
      <c r="I21" s="11">
        <v>29827.93</v>
      </c>
      <c r="J21" s="12">
        <v>14744</v>
      </c>
      <c r="K21" s="10">
        <v>500</v>
      </c>
      <c r="L21" s="48">
        <f t="shared" si="7"/>
        <v>-165</v>
      </c>
      <c r="M21" s="12">
        <v>57.46</v>
      </c>
      <c r="N21" s="60">
        <v>0</v>
      </c>
      <c r="O21" s="48">
        <f t="shared" si="8"/>
        <v>-18.970000000000006</v>
      </c>
      <c r="P21" s="11">
        <v>0</v>
      </c>
      <c r="Q21" s="60">
        <v>0</v>
      </c>
      <c r="R21" s="58">
        <f t="shared" si="20"/>
        <v>0</v>
      </c>
      <c r="S21" s="10">
        <f>33612.56/2</f>
        <v>16806.28</v>
      </c>
      <c r="T21" s="66">
        <f>114/2</f>
        <v>57</v>
      </c>
      <c r="U21" s="66">
        <v>13.57</v>
      </c>
      <c r="V21" s="48">
        <v>0</v>
      </c>
      <c r="W21" s="58">
        <f t="shared" si="21"/>
        <v>-3407.1700000000019</v>
      </c>
      <c r="Y21" s="111">
        <f t="shared" si="1"/>
        <v>61435.67</v>
      </c>
      <c r="Z21" s="23">
        <f t="shared" si="26"/>
        <v>0.48551484829578651</v>
      </c>
      <c r="AA21" s="23">
        <f t="shared" si="27"/>
        <v>0.23999087175251771</v>
      </c>
      <c r="AB21" s="23">
        <f t="shared" si="28"/>
        <v>9.3528726878049843E-4</v>
      </c>
      <c r="AC21" s="23">
        <f t="shared" si="29"/>
        <v>0.27355899268291528</v>
      </c>
      <c r="AD21" s="110">
        <v>0</v>
      </c>
    </row>
    <row r="22" spans="1:30" ht="21">
      <c r="I22" s="38" t="s">
        <v>25</v>
      </c>
      <c r="J22" s="33" t="s">
        <v>26</v>
      </c>
      <c r="K22" s="34" t="s">
        <v>27</v>
      </c>
      <c r="L22" s="35" t="s">
        <v>28</v>
      </c>
      <c r="M22" s="33" t="s">
        <v>26</v>
      </c>
      <c r="N22" s="34" t="s">
        <v>27</v>
      </c>
      <c r="O22" s="35" t="s">
        <v>28</v>
      </c>
      <c r="P22" s="33" t="s">
        <v>26</v>
      </c>
      <c r="Q22" s="34" t="s">
        <v>27</v>
      </c>
      <c r="R22" s="35" t="s">
        <v>28</v>
      </c>
      <c r="S22" s="33" t="s">
        <v>26</v>
      </c>
      <c r="T22" s="34"/>
      <c r="U22" s="34"/>
      <c r="V22" s="34" t="s">
        <v>27</v>
      </c>
      <c r="W22" s="35" t="s">
        <v>28</v>
      </c>
    </row>
    <row r="23" spans="1:30">
      <c r="C23" s="6"/>
      <c r="D23" s="6"/>
      <c r="E23" s="30"/>
      <c r="I23" s="39"/>
      <c r="J23" s="36" cm="1">
        <f t="array" ref="J23">INDEX(J5:J21,COUNT(J5:J21),0)</f>
        <v>14744</v>
      </c>
      <c r="K23" s="10">
        <f>SUM(K5:K21)</f>
        <v>16520</v>
      </c>
      <c r="L23" s="37">
        <f>(J23-K23)/K23</f>
        <v>-0.10750605326876514</v>
      </c>
      <c r="M23" s="36" cm="1">
        <f t="array" ref="M23">INDEX(M5:M21,COUNT(M5:M21),0)</f>
        <v>57.46</v>
      </c>
      <c r="N23" s="10">
        <f>SUM(N5:N21)</f>
        <v>1568.0766249999999</v>
      </c>
      <c r="O23" s="37">
        <f>(M23-N23)/N23</f>
        <v>-0.96335638253647204</v>
      </c>
      <c r="P23" s="36" cm="1">
        <f t="array" ref="P23">INDEX(P5:P21,COUNT(P5:P21),0)</f>
        <v>0</v>
      </c>
      <c r="Q23" s="10">
        <f>SUM(Q5:Q21)</f>
        <v>9527.4433750000007</v>
      </c>
      <c r="R23" s="37">
        <f>(P23-Q23)/Q23</f>
        <v>-1</v>
      </c>
      <c r="S23" s="36" cm="1">
        <f t="array" ref="S23">INDEX(S5:S21,COUNT(S5:S21),0)</f>
        <v>16806.28</v>
      </c>
      <c r="T23" s="63"/>
      <c r="U23" s="63"/>
      <c r="V23" s="10">
        <f>SUM(V5:V21)</f>
        <v>4065.9904999999999</v>
      </c>
      <c r="W23" s="37">
        <f>(S23-V23)/V23</f>
        <v>3.1333790622481779</v>
      </c>
    </row>
    <row r="25" spans="1:30">
      <c r="C25" s="6"/>
    </row>
  </sheetData>
  <mergeCells count="2">
    <mergeCell ref="D1:E1"/>
    <mergeCell ref="F1:G1"/>
  </mergeCells>
  <conditionalFormatting sqref="L6:L2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25" priority="53" operator="greaterThan">
      <formula>0</formula>
    </cfRule>
    <cfRule type="cellIs" dxfId="24" priority="55" operator="lessThan">
      <formula>0</formula>
    </cfRule>
  </conditionalFormatting>
  <conditionalFormatting sqref="O6:O21 F6:F21">
    <cfRule type="cellIs" dxfId="23" priority="51" operator="lessThan">
      <formula>0</formula>
    </cfRule>
    <cfRule type="cellIs" dxfId="22" priority="52" operator="greaterThan">
      <formula>0</formula>
    </cfRule>
  </conditionalFormatting>
  <conditionalFormatting sqref="R6:R2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21" priority="49" operator="greaterThan">
      <formula>0</formula>
    </cfRule>
    <cfRule type="cellIs" dxfId="20" priority="50" operator="lessThan">
      <formula>0</formula>
    </cfRule>
  </conditionalFormatting>
  <conditionalFormatting sqref="G6:G2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2">
    <cfRule type="cellIs" dxfId="19" priority="44" operator="lessThan">
      <formula>0</formula>
    </cfRule>
    <cfRule type="cellIs" dxfId="18" priority="45" operator="greaterThan">
      <formula>0</formula>
    </cfRule>
  </conditionalFormatting>
  <conditionalFormatting sqref="W6:W10">
    <cfRule type="cellIs" dxfId="17" priority="32" operator="greaterThan">
      <formula>0</formula>
    </cfRule>
    <cfRule type="cellIs" dxfId="16" priority="33" operator="lessThan">
      <formula>0</formula>
    </cfRule>
  </conditionalFormatting>
  <conditionalFormatting sqref="O6:O2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:F2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3 L23 R23 W23">
    <cfRule type="colorScale" priority="26">
      <colorScale>
        <cfvo type="min"/>
        <cfvo type="max"/>
        <color rgb="FFFFEF9C"/>
        <color rgb="FF63BE7B"/>
      </colorScale>
    </cfRule>
  </conditionalFormatting>
  <conditionalFormatting sqref="D2">
    <cfRule type="cellIs" dxfId="15" priority="24" operator="lessThan">
      <formula>0</formula>
    </cfRule>
    <cfRule type="cellIs" dxfId="14" priority="25" operator="greaterThan">
      <formula>0</formula>
    </cfRule>
  </conditionalFormatting>
  <conditionalFormatting sqref="E2">
    <cfRule type="cellIs" dxfId="13" priority="22" operator="lessThan">
      <formula>0</formula>
    </cfRule>
    <cfRule type="cellIs" dxfId="12" priority="23" operator="greaterThan">
      <formula>0</formula>
    </cfRule>
  </conditionalFormatting>
  <conditionalFormatting sqref="W11:W2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1" priority="20" operator="greaterThan">
      <formula>0</formula>
    </cfRule>
    <cfRule type="cellIs" dxfId="10" priority="21" operator="lessThan">
      <formula>0</formula>
    </cfRule>
  </conditionalFormatting>
  <conditionalFormatting sqref="W10:W2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 L23 O23 W23">
    <cfRule type="colorScale" priority="17">
      <colorScale>
        <cfvo type="min"/>
        <cfvo type="max"/>
        <color rgb="FFFFEF9C"/>
        <color rgb="FF63BE7B"/>
      </colorScale>
    </cfRule>
  </conditionalFormatting>
  <conditionalFormatting sqref="Z5:AD5">
    <cfRule type="colorScale" priority="15">
      <colorScale>
        <cfvo type="min"/>
        <cfvo type="max"/>
        <color rgb="FFFFEF9C"/>
        <color rgb="FF63BE7B"/>
      </colorScale>
    </cfRule>
  </conditionalFormatting>
  <conditionalFormatting sqref="Z6:AD6">
    <cfRule type="colorScale" priority="14">
      <colorScale>
        <cfvo type="min"/>
        <cfvo type="max"/>
        <color rgb="FFFFEF9C"/>
        <color rgb="FF63BE7B"/>
      </colorScale>
    </cfRule>
  </conditionalFormatting>
  <conditionalFormatting sqref="Z7:AD7">
    <cfRule type="colorScale" priority="13">
      <colorScale>
        <cfvo type="min"/>
        <cfvo type="max"/>
        <color rgb="FFFFEF9C"/>
        <color rgb="FF63BE7B"/>
      </colorScale>
    </cfRule>
  </conditionalFormatting>
  <conditionalFormatting sqref="Z8:AD8">
    <cfRule type="colorScale" priority="12">
      <colorScale>
        <cfvo type="min"/>
        <cfvo type="max"/>
        <color rgb="FFFFEF9C"/>
        <color rgb="FF63BE7B"/>
      </colorScale>
    </cfRule>
  </conditionalFormatting>
  <conditionalFormatting sqref="Z9:AD9">
    <cfRule type="colorScale" priority="11">
      <colorScale>
        <cfvo type="min"/>
        <cfvo type="max"/>
        <color rgb="FFFFEF9C"/>
        <color rgb="FF63BE7B"/>
      </colorScale>
    </cfRule>
  </conditionalFormatting>
  <conditionalFormatting sqref="Z10:AD10">
    <cfRule type="colorScale" priority="10">
      <colorScale>
        <cfvo type="min"/>
        <cfvo type="max"/>
        <color rgb="FFFFEF9C"/>
        <color rgb="FF63BE7B"/>
      </colorScale>
    </cfRule>
  </conditionalFormatting>
  <conditionalFormatting sqref="Z11:AD11 AB12:AB13">
    <cfRule type="colorScale" priority="9">
      <colorScale>
        <cfvo type="min"/>
        <cfvo type="max"/>
        <color rgb="FFFFEF9C"/>
        <color rgb="FF63BE7B"/>
      </colorScale>
    </cfRule>
  </conditionalFormatting>
  <conditionalFormatting sqref="Z12:AA12 AC12:AD12">
    <cfRule type="colorScale" priority="8">
      <colorScale>
        <cfvo type="min"/>
        <cfvo type="max"/>
        <color rgb="FFFFEF9C"/>
        <color rgb="FF63BE7B"/>
      </colorScale>
    </cfRule>
  </conditionalFormatting>
  <conditionalFormatting sqref="Z13:AA13 AC13:AD13">
    <cfRule type="colorScale" priority="7">
      <colorScale>
        <cfvo type="min"/>
        <cfvo type="max"/>
        <color rgb="FFFFEF9C"/>
        <color rgb="FF63BE7B"/>
      </colorScale>
    </cfRule>
  </conditionalFormatting>
  <conditionalFormatting sqref="Z14:AD14 AD15:AD16 AB15:AB21">
    <cfRule type="colorScale" priority="6">
      <colorScale>
        <cfvo type="min"/>
        <cfvo type="max"/>
        <color rgb="FFFFEF9C"/>
        <color rgb="FF63BE7B"/>
      </colorScale>
    </cfRule>
  </conditionalFormatting>
  <conditionalFormatting sqref="Z15:AD15 AD16">
    <cfRule type="colorScale" priority="5">
      <colorScale>
        <cfvo type="min"/>
        <cfvo type="max"/>
        <color rgb="FFFFEF9C"/>
        <color rgb="FF63BE7B"/>
      </colorScale>
    </cfRule>
  </conditionalFormatting>
  <conditionalFormatting sqref="Z16:AD16">
    <cfRule type="colorScale" priority="4">
      <colorScale>
        <cfvo type="min"/>
        <cfvo type="max"/>
        <color rgb="FFFFEF9C"/>
        <color rgb="FF63BE7B"/>
      </colorScale>
    </cfRule>
  </conditionalFormatting>
  <conditionalFormatting sqref="Z17:AD17">
    <cfRule type="colorScale" priority="3">
      <colorScale>
        <cfvo type="min"/>
        <cfvo type="max"/>
        <color rgb="FFFFEF9C"/>
        <color rgb="FF63BE7B"/>
      </colorScale>
    </cfRule>
  </conditionalFormatting>
  <conditionalFormatting sqref="Z18:AD18">
    <cfRule type="colorScale" priority="2">
      <colorScale>
        <cfvo type="min"/>
        <cfvo type="max"/>
        <color rgb="FFFFEF9C"/>
        <color rgb="FF63BE7B"/>
      </colorScale>
    </cfRule>
  </conditionalFormatting>
  <conditionalFormatting sqref="Z19:AD21">
    <cfRule type="colorScale" priority="1">
      <colorScale>
        <cfvo type="min"/>
        <cfvo type="max"/>
        <color rgb="FFFFEF9C"/>
        <color rgb="FF63BE7B"/>
      </colorScale>
    </cfRule>
  </conditionalFormatting>
  <hyperlinks>
    <hyperlink ref="S1" r:id="rId1" xr:uid="{E5925451-0D44-4F8C-B30C-EC3D5CBE1DD6}"/>
    <hyperlink ref="O1" r:id="rId2" xr:uid="{91D5E9EF-1148-4213-B6D8-834C1837C82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7C83-0575-41F4-9900-56996FDAB2FC}">
  <dimension ref="B1:N34"/>
  <sheetViews>
    <sheetView workbookViewId="0">
      <selection activeCell="C39" sqref="C39"/>
    </sheetView>
  </sheetViews>
  <sheetFormatPr defaultRowHeight="15"/>
  <cols>
    <col min="2" max="3" width="24.7109375" customWidth="1"/>
    <col min="4" max="4" width="39.5703125" bestFit="1" customWidth="1"/>
    <col min="5" max="5" width="10.85546875" customWidth="1"/>
    <col min="7" max="7" width="19.28515625" customWidth="1"/>
    <col min="8" max="8" width="20" customWidth="1"/>
    <col min="9" max="9" width="16.85546875" customWidth="1"/>
    <col min="10" max="10" width="20.28515625" customWidth="1"/>
    <col min="11" max="11" width="15.85546875" customWidth="1"/>
    <col min="12" max="12" width="16.140625" customWidth="1"/>
    <col min="13" max="13" width="24" customWidth="1"/>
    <col min="14" max="14" width="47.140625" customWidth="1"/>
  </cols>
  <sheetData>
    <row r="1" spans="2:14" ht="31.5">
      <c r="F1" s="126" t="s">
        <v>29</v>
      </c>
      <c r="G1" s="126"/>
      <c r="H1" s="126"/>
      <c r="I1" s="126"/>
      <c r="J1" s="126"/>
    </row>
    <row r="2" spans="2:14" ht="23.25">
      <c r="B2" s="127" t="s">
        <v>30</v>
      </c>
      <c r="C2" s="127"/>
      <c r="F2" s="76" t="s">
        <v>31</v>
      </c>
      <c r="G2" s="115">
        <v>44779</v>
      </c>
    </row>
    <row r="3" spans="2:14">
      <c r="B3" s="71" t="s">
        <v>32</v>
      </c>
      <c r="C3" s="72">
        <f>SUM(J8:J25)</f>
        <v>37222.273019999993</v>
      </c>
      <c r="F3" s="71" t="s">
        <v>3</v>
      </c>
      <c r="G3" s="71">
        <v>7.3</v>
      </c>
    </row>
    <row r="4" spans="2:14">
      <c r="B4" s="71" t="s">
        <v>33</v>
      </c>
      <c r="C4" s="72">
        <f>C3-H26</f>
        <v>5960.5425199999881</v>
      </c>
      <c r="D4" s="87"/>
      <c r="M4" s="124" t="s">
        <v>34</v>
      </c>
      <c r="N4" s="124"/>
    </row>
    <row r="5" spans="2:14">
      <c r="B5" s="71" t="s">
        <v>35</v>
      </c>
      <c r="C5" s="74">
        <f>C4/C3</f>
        <v>0.16013375961208265</v>
      </c>
      <c r="M5" s="125" t="s">
        <v>36</v>
      </c>
      <c r="N5" s="125"/>
    </row>
    <row r="7" spans="2:14" ht="18.75">
      <c r="B7" s="88" t="s">
        <v>37</v>
      </c>
      <c r="C7" s="88" t="s">
        <v>38</v>
      </c>
      <c r="D7" s="88" t="s">
        <v>39</v>
      </c>
      <c r="E7" s="88" t="s">
        <v>40</v>
      </c>
      <c r="F7" s="88" t="s">
        <v>41</v>
      </c>
      <c r="G7" s="88" t="s">
        <v>42</v>
      </c>
      <c r="H7" s="89" t="s">
        <v>43</v>
      </c>
      <c r="I7" s="88" t="s">
        <v>44</v>
      </c>
      <c r="J7" s="89" t="s">
        <v>45</v>
      </c>
      <c r="K7" s="89" t="s">
        <v>46</v>
      </c>
      <c r="L7" s="89" t="s">
        <v>47</v>
      </c>
      <c r="M7" s="89" t="s">
        <v>48</v>
      </c>
      <c r="N7" s="88" t="s">
        <v>49</v>
      </c>
    </row>
    <row r="8" spans="2:14">
      <c r="B8" s="71" t="s">
        <v>50</v>
      </c>
      <c r="C8" s="71" t="s">
        <v>51</v>
      </c>
      <c r="D8" s="71" t="s">
        <v>52</v>
      </c>
      <c r="E8" s="71" t="s">
        <v>53</v>
      </c>
      <c r="F8" s="67">
        <v>33</v>
      </c>
      <c r="G8" s="72">
        <v>198.14</v>
      </c>
      <c r="H8" s="72">
        <f>F8*G8</f>
        <v>6538.62</v>
      </c>
      <c r="I8" s="72">
        <v>184.85</v>
      </c>
      <c r="J8" s="72">
        <f>F8*I8</f>
        <v>6100.05</v>
      </c>
      <c r="K8" s="72">
        <f>J8-H8</f>
        <v>-438.56999999999971</v>
      </c>
      <c r="L8" s="74">
        <f>IFERROR(K8/H8,"")</f>
        <v>-6.7073786211769418E-2</v>
      </c>
      <c r="M8" s="74">
        <f t="shared" ref="M8:M25" si="0">IF(J8,J8/$C$3,"")</f>
        <v>0.16388171664643819</v>
      </c>
      <c r="N8" s="121" t="s">
        <v>54</v>
      </c>
    </row>
    <row r="9" spans="2:14">
      <c r="B9" s="71" t="s">
        <v>50</v>
      </c>
      <c r="C9" s="71" t="s">
        <v>51</v>
      </c>
      <c r="D9" s="71" t="s">
        <v>55</v>
      </c>
      <c r="E9" s="71" t="s">
        <v>56</v>
      </c>
      <c r="F9" s="67">
        <v>15</v>
      </c>
      <c r="G9" s="72">
        <v>188.24</v>
      </c>
      <c r="H9" s="72">
        <f t="shared" ref="H9:H11" si="1">F9*G9</f>
        <v>2823.6000000000004</v>
      </c>
      <c r="I9" s="72">
        <v>157.6</v>
      </c>
      <c r="J9" s="72">
        <f t="shared" ref="J9:J16" si="2">F9*I9</f>
        <v>2364</v>
      </c>
      <c r="K9" s="72">
        <f t="shared" ref="K9:K11" si="3">J9-H9</f>
        <v>-459.60000000000036</v>
      </c>
      <c r="L9" s="74">
        <f t="shared" ref="L9:L11" si="4">IFERROR(K9/H9,"")</f>
        <v>-0.16277093072673193</v>
      </c>
      <c r="M9" s="74">
        <f t="shared" si="0"/>
        <v>6.3510361087561557E-2</v>
      </c>
      <c r="N9" s="121"/>
    </row>
    <row r="10" spans="2:14">
      <c r="B10" s="71" t="s">
        <v>50</v>
      </c>
      <c r="C10" s="71" t="s">
        <v>51</v>
      </c>
      <c r="D10" s="71" t="s">
        <v>57</v>
      </c>
      <c r="E10" s="71" t="s">
        <v>58</v>
      </c>
      <c r="F10" s="67">
        <v>10</v>
      </c>
      <c r="G10" s="72">
        <v>148.94</v>
      </c>
      <c r="H10" s="72">
        <f t="shared" si="1"/>
        <v>1489.4</v>
      </c>
      <c r="I10" s="72">
        <v>142.9</v>
      </c>
      <c r="J10" s="72">
        <f t="shared" si="2"/>
        <v>1429</v>
      </c>
      <c r="K10" s="72">
        <f t="shared" si="3"/>
        <v>-60.400000000000091</v>
      </c>
      <c r="L10" s="74">
        <f t="shared" si="4"/>
        <v>-4.0553242916610777E-2</v>
      </c>
      <c r="M10" s="74">
        <f t="shared" si="0"/>
        <v>3.8390992383301806E-2</v>
      </c>
      <c r="N10" s="121"/>
    </row>
    <row r="11" spans="2:14">
      <c r="B11" s="71" t="s">
        <v>50</v>
      </c>
      <c r="C11" s="71" t="s">
        <v>51</v>
      </c>
      <c r="D11" s="71" t="s">
        <v>59</v>
      </c>
      <c r="E11" s="71" t="s">
        <v>60</v>
      </c>
      <c r="F11" s="67">
        <v>28</v>
      </c>
      <c r="G11" s="72">
        <v>187.45</v>
      </c>
      <c r="H11" s="72">
        <f t="shared" si="1"/>
        <v>5248.5999999999995</v>
      </c>
      <c r="I11" s="72">
        <v>146.85</v>
      </c>
      <c r="J11" s="72">
        <f t="shared" si="2"/>
        <v>4111.8</v>
      </c>
      <c r="K11" s="72">
        <f t="shared" si="3"/>
        <v>-1136.7999999999993</v>
      </c>
      <c r="L11" s="74">
        <f t="shared" si="4"/>
        <v>-0.21659109095758858</v>
      </c>
      <c r="M11" s="74">
        <f t="shared" si="0"/>
        <v>0.11046611790179171</v>
      </c>
      <c r="N11" s="121"/>
    </row>
    <row r="12" spans="2:14">
      <c r="B12" s="71" t="s">
        <v>61</v>
      </c>
      <c r="C12" s="71" t="s">
        <v>62</v>
      </c>
      <c r="D12" s="71" t="s">
        <v>61</v>
      </c>
      <c r="E12" s="71" t="s">
        <v>63</v>
      </c>
      <c r="F12" s="67">
        <v>23.61</v>
      </c>
      <c r="G12" s="117" t="s">
        <v>64</v>
      </c>
      <c r="H12" s="117" t="s">
        <v>64</v>
      </c>
      <c r="I12" s="72">
        <f>1.32*G3</f>
        <v>9.636000000000001</v>
      </c>
      <c r="J12" s="72">
        <f t="shared" si="2"/>
        <v>227.50596000000002</v>
      </c>
      <c r="K12" s="72"/>
      <c r="L12" s="71"/>
      <c r="M12" s="74">
        <f t="shared" si="0"/>
        <v>6.1120920766380444E-3</v>
      </c>
      <c r="N12" s="121" t="s">
        <v>65</v>
      </c>
    </row>
    <row r="13" spans="2:14">
      <c r="B13" s="71" t="s">
        <v>61</v>
      </c>
      <c r="C13" s="71" t="s">
        <v>62</v>
      </c>
      <c r="D13" s="71" t="s">
        <v>66</v>
      </c>
      <c r="E13" s="71" t="s">
        <v>67</v>
      </c>
      <c r="F13" s="67">
        <v>2.7E-2</v>
      </c>
      <c r="G13" s="117" t="s">
        <v>64</v>
      </c>
      <c r="H13" s="117" t="s">
        <v>64</v>
      </c>
      <c r="I13" s="72">
        <f>23184*G3</f>
        <v>169243.19999999998</v>
      </c>
      <c r="J13" s="72">
        <f t="shared" si="2"/>
        <v>4569.5663999999997</v>
      </c>
      <c r="K13" s="72"/>
      <c r="L13" s="71"/>
      <c r="M13" s="74">
        <f t="shared" si="0"/>
        <v>0.1227643029093015</v>
      </c>
      <c r="N13" s="121" t="s">
        <v>65</v>
      </c>
    </row>
    <row r="14" spans="2:14">
      <c r="B14" s="71" t="s">
        <v>61</v>
      </c>
      <c r="C14" s="71" t="s">
        <v>62</v>
      </c>
      <c r="D14" s="71" t="s">
        <v>68</v>
      </c>
      <c r="E14" s="71" t="s">
        <v>69</v>
      </c>
      <c r="F14" s="67">
        <v>0.14899999999999999</v>
      </c>
      <c r="G14" s="117" t="s">
        <v>64</v>
      </c>
      <c r="H14" s="117" t="s">
        <v>64</v>
      </c>
      <c r="I14" s="72">
        <f>1712*G3</f>
        <v>12497.6</v>
      </c>
      <c r="J14" s="72">
        <f t="shared" si="2"/>
        <v>1862.1424</v>
      </c>
      <c r="K14" s="72"/>
      <c r="L14" s="71"/>
      <c r="M14" s="74">
        <f t="shared" si="0"/>
        <v>5.00276379951178E-2</v>
      </c>
      <c r="N14" s="121" t="s">
        <v>65</v>
      </c>
    </row>
    <row r="15" spans="2:14">
      <c r="B15" s="71" t="s">
        <v>70</v>
      </c>
      <c r="C15" s="71" t="s">
        <v>62</v>
      </c>
      <c r="D15" s="71" t="s">
        <v>71</v>
      </c>
      <c r="E15" s="71" t="s">
        <v>72</v>
      </c>
      <c r="F15" s="67">
        <v>25.52</v>
      </c>
      <c r="G15" s="117" t="s">
        <v>64</v>
      </c>
      <c r="H15" s="117" t="s">
        <v>64</v>
      </c>
      <c r="I15" s="72">
        <v>3.77</v>
      </c>
      <c r="J15" s="72">
        <f t="shared" si="2"/>
        <v>96.210399999999993</v>
      </c>
      <c r="K15" s="72"/>
      <c r="L15" s="71"/>
      <c r="M15" s="74">
        <f t="shared" si="0"/>
        <v>2.5847534874698526E-3</v>
      </c>
      <c r="N15" s="121" t="s">
        <v>65</v>
      </c>
    </row>
    <row r="16" spans="2:14">
      <c r="B16" s="71" t="s">
        <v>73</v>
      </c>
      <c r="C16" s="71" t="s">
        <v>62</v>
      </c>
      <c r="D16" s="71" t="s">
        <v>74</v>
      </c>
      <c r="E16" s="71" t="s">
        <v>75</v>
      </c>
      <c r="F16" s="116">
        <f>111.72/2</f>
        <v>55.86</v>
      </c>
      <c r="G16" s="117" t="s">
        <v>64</v>
      </c>
      <c r="H16" s="117" t="s">
        <v>64</v>
      </c>
      <c r="I16" s="72">
        <f>40.37*G3</f>
        <v>294.70099999999996</v>
      </c>
      <c r="J16" s="72">
        <f t="shared" si="2"/>
        <v>16461.997859999999</v>
      </c>
      <c r="K16" s="72"/>
      <c r="L16" s="71"/>
      <c r="M16" s="74">
        <f t="shared" si="0"/>
        <v>0.4422620255123797</v>
      </c>
      <c r="N16" s="121" t="s">
        <v>65</v>
      </c>
    </row>
    <row r="17" spans="2:14">
      <c r="B17" s="71"/>
      <c r="C17" s="71"/>
      <c r="D17" s="71"/>
      <c r="E17" s="71"/>
      <c r="F17" s="67"/>
      <c r="G17" s="72"/>
      <c r="H17" s="72"/>
      <c r="I17" s="72"/>
      <c r="J17" s="72"/>
      <c r="K17" s="72"/>
      <c r="L17" s="71"/>
      <c r="M17" s="74" t="str">
        <f t="shared" si="0"/>
        <v/>
      </c>
      <c r="N17" s="121"/>
    </row>
    <row r="18" spans="2:14">
      <c r="B18" s="71"/>
      <c r="C18" s="71"/>
      <c r="D18" s="71"/>
      <c r="E18" s="71"/>
      <c r="F18" s="67"/>
      <c r="G18" s="72"/>
      <c r="H18" s="72"/>
      <c r="I18" s="72"/>
      <c r="J18" s="72"/>
      <c r="K18" s="72"/>
      <c r="L18" s="71"/>
      <c r="M18" s="74" t="str">
        <f t="shared" si="0"/>
        <v/>
      </c>
      <c r="N18" s="121"/>
    </row>
    <row r="19" spans="2:14">
      <c r="B19" s="71"/>
      <c r="C19" s="71"/>
      <c r="D19" s="71"/>
      <c r="E19" s="71"/>
      <c r="F19" s="67"/>
      <c r="G19" s="72"/>
      <c r="H19" s="72"/>
      <c r="I19" s="72"/>
      <c r="J19" s="72"/>
      <c r="K19" s="72"/>
      <c r="L19" s="71"/>
      <c r="M19" s="74" t="str">
        <f t="shared" si="0"/>
        <v/>
      </c>
      <c r="N19" s="121"/>
    </row>
    <row r="20" spans="2:14">
      <c r="B20" s="71"/>
      <c r="C20" s="71"/>
      <c r="D20" s="71"/>
      <c r="E20" s="71"/>
      <c r="F20" s="67"/>
      <c r="G20" s="72"/>
      <c r="H20" s="72"/>
      <c r="I20" s="72"/>
      <c r="J20" s="72"/>
      <c r="K20" s="72"/>
      <c r="L20" s="71"/>
      <c r="M20" s="74" t="str">
        <f t="shared" si="0"/>
        <v/>
      </c>
      <c r="N20" s="121"/>
    </row>
    <row r="21" spans="2:14">
      <c r="B21" s="71"/>
      <c r="C21" s="71"/>
      <c r="D21" s="71"/>
      <c r="E21" s="71"/>
      <c r="F21" s="67"/>
      <c r="G21" s="72"/>
      <c r="H21" s="72"/>
      <c r="I21" s="72"/>
      <c r="J21" s="72"/>
      <c r="K21" s="72"/>
      <c r="L21" s="71"/>
      <c r="M21" s="74" t="str">
        <f t="shared" si="0"/>
        <v/>
      </c>
      <c r="N21" s="121"/>
    </row>
    <row r="22" spans="2:14">
      <c r="B22" s="71"/>
      <c r="C22" s="71"/>
      <c r="D22" s="71"/>
      <c r="E22" s="71"/>
      <c r="F22" s="67"/>
      <c r="G22" s="72"/>
      <c r="H22" s="72"/>
      <c r="I22" s="72"/>
      <c r="J22" s="72"/>
      <c r="K22" s="72"/>
      <c r="L22" s="71"/>
      <c r="M22" s="74" t="str">
        <f t="shared" si="0"/>
        <v/>
      </c>
      <c r="N22" s="121"/>
    </row>
    <row r="23" spans="2:14">
      <c r="B23" s="71"/>
      <c r="C23" s="71"/>
      <c r="D23" s="71"/>
      <c r="E23" s="71"/>
      <c r="F23" s="67"/>
      <c r="G23" s="72"/>
      <c r="H23" s="72"/>
      <c r="I23" s="72"/>
      <c r="J23" s="72"/>
      <c r="K23" s="72"/>
      <c r="L23" s="71"/>
      <c r="M23" s="74" t="str">
        <f t="shared" si="0"/>
        <v/>
      </c>
      <c r="N23" s="121"/>
    </row>
    <row r="24" spans="2:14">
      <c r="B24" s="71"/>
      <c r="C24" s="71"/>
      <c r="D24" s="71"/>
      <c r="E24" s="71"/>
      <c r="F24" s="67"/>
      <c r="G24" s="72"/>
      <c r="H24" s="72"/>
      <c r="I24" s="72"/>
      <c r="J24" s="72"/>
      <c r="K24" s="72"/>
      <c r="L24" s="71"/>
      <c r="M24" s="74" t="str">
        <f t="shared" si="0"/>
        <v/>
      </c>
      <c r="N24" s="121"/>
    </row>
    <row r="25" spans="2:14">
      <c r="B25" s="76"/>
      <c r="C25" s="76"/>
      <c r="D25" s="76"/>
      <c r="E25" s="76"/>
      <c r="F25" s="68"/>
      <c r="G25" s="77"/>
      <c r="H25" s="77"/>
      <c r="I25" s="77"/>
      <c r="J25" s="77"/>
      <c r="K25" s="77"/>
      <c r="L25" s="76"/>
      <c r="M25" s="79" t="str">
        <f t="shared" si="0"/>
        <v/>
      </c>
      <c r="N25" s="122"/>
    </row>
    <row r="26" spans="2:14" ht="15.75">
      <c r="B26" s="90" t="s">
        <v>76</v>
      </c>
      <c r="C26" s="94"/>
      <c r="D26" s="94"/>
      <c r="E26" s="94"/>
      <c r="F26" s="91">
        <f>SUM(F8:F25)</f>
        <v>191.166</v>
      </c>
      <c r="G26" s="94"/>
      <c r="H26" s="92">
        <f>SUM(H8:H25)+'Månedlig udvikling'!N23+'Månedlig udvikling'!Q23+'Månedlig udvikling'!V23</f>
        <v>31261.730500000005</v>
      </c>
      <c r="I26" s="94"/>
      <c r="J26" s="93">
        <f>SUM(J8:J25)</f>
        <v>37222.273019999993</v>
      </c>
      <c r="K26" s="92">
        <f>J26-H26</f>
        <v>5960.5425199999881</v>
      </c>
      <c r="L26" s="94"/>
      <c r="M26" s="94"/>
      <c r="N26" s="95"/>
    </row>
    <row r="29" spans="2:14" ht="18.75">
      <c r="B29" s="128" t="s">
        <v>77</v>
      </c>
      <c r="C29" s="129"/>
      <c r="D29" s="130"/>
    </row>
    <row r="30" spans="2:14">
      <c r="B30" s="118" t="s">
        <v>78</v>
      </c>
      <c r="C30" s="119" t="s">
        <v>17</v>
      </c>
      <c r="D30" s="120" t="s">
        <v>79</v>
      </c>
    </row>
    <row r="31" spans="2:14">
      <c r="B31" s="96" t="s">
        <v>51</v>
      </c>
      <c r="C31" s="72" cm="1">
        <f t="array" ref="C31">SUM(_xlfn._xlws.FILTER($J$8:$J$25,$C$8:$C$25=B31,0))</f>
        <v>14004.849999999999</v>
      </c>
      <c r="D31" s="98">
        <f>C31/$C$3</f>
        <v>0.37624918801909324</v>
      </c>
    </row>
    <row r="32" spans="2:14">
      <c r="B32" s="96" t="s">
        <v>62</v>
      </c>
      <c r="C32" s="72" cm="1">
        <f t="array" ref="C32">SUM(_xlfn._xlws.FILTER($J$8:$J$25,$C$8:$C$25=B32,0))</f>
        <v>23217.423019999998</v>
      </c>
      <c r="D32" s="98">
        <f t="shared" ref="D32:D34" si="5">C32/$C$3</f>
        <v>0.62375081198090687</v>
      </c>
    </row>
    <row r="33" spans="2:4">
      <c r="B33" s="96" t="s">
        <v>80</v>
      </c>
      <c r="C33" s="72" cm="1">
        <f t="array" ref="C33">SUM(_xlfn._xlws.FILTER($J$8:$J$25,$C$8:$C$25=B33,0))</f>
        <v>0</v>
      </c>
      <c r="D33" s="98">
        <f t="shared" si="5"/>
        <v>0</v>
      </c>
    </row>
    <row r="34" spans="2:4">
      <c r="B34" s="97" t="s">
        <v>81</v>
      </c>
      <c r="C34" s="100" cm="1">
        <f t="array" ref="C34">SUM(_xlfn._xlws.FILTER($J$8:$J$25,$C$8:$C$25=B34,0))</f>
        <v>0</v>
      </c>
      <c r="D34" s="99">
        <f t="shared" si="5"/>
        <v>0</v>
      </c>
    </row>
  </sheetData>
  <mergeCells count="5">
    <mergeCell ref="M4:N4"/>
    <mergeCell ref="M5:N5"/>
    <mergeCell ref="F1:J1"/>
    <mergeCell ref="B2:C2"/>
    <mergeCell ref="B29:D29"/>
  </mergeCells>
  <conditionalFormatting sqref="C5">
    <cfRule type="cellIs" dxfId="9" priority="4" operator="greaterThan">
      <formula>0</formula>
    </cfRule>
  </conditionalFormatting>
  <conditionalFormatting sqref="C5">
    <cfRule type="cellIs" dxfId="8" priority="3" operator="lessThan">
      <formula>0</formula>
    </cfRule>
  </conditionalFormatting>
  <conditionalFormatting sqref="K8:L11">
    <cfRule type="cellIs" dxfId="7" priority="2" operator="greaterThan">
      <formula>0</formula>
    </cfRule>
  </conditionalFormatting>
  <conditionalFormatting sqref="K8:L11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CD47-B582-485F-95AC-2CF7899FC3F4}">
  <dimension ref="A1:S51"/>
  <sheetViews>
    <sheetView workbookViewId="0">
      <selection activeCell="R29" sqref="R29"/>
    </sheetView>
  </sheetViews>
  <sheetFormatPr defaultRowHeight="15"/>
  <cols>
    <col min="2" max="2" width="15.85546875" customWidth="1"/>
    <col min="3" max="3" width="32.5703125" bestFit="1" customWidth="1"/>
    <col min="4" max="4" width="18.42578125" customWidth="1"/>
    <col min="5" max="5" width="16.42578125" customWidth="1"/>
    <col min="6" max="6" width="17" customWidth="1"/>
    <col min="7" max="7" width="18.85546875" customWidth="1"/>
    <col min="8" max="8" width="21.5703125" customWidth="1"/>
    <col min="9" max="9" width="22.140625" customWidth="1"/>
    <col min="11" max="11" width="22" customWidth="1"/>
    <col min="12" max="12" width="22.85546875" customWidth="1"/>
    <col min="13" max="13" width="22.28515625" customWidth="1"/>
    <col min="14" max="14" width="21.85546875" customWidth="1"/>
    <col min="15" max="15" width="20.28515625" customWidth="1"/>
    <col min="16" max="16" width="22.7109375" customWidth="1"/>
  </cols>
  <sheetData>
    <row r="1" spans="1:19" ht="36">
      <c r="A1" s="71" t="s">
        <v>31</v>
      </c>
      <c r="B1" s="70">
        <v>44773</v>
      </c>
      <c r="E1" s="131" t="s">
        <v>82</v>
      </c>
      <c r="F1" s="131"/>
      <c r="G1" s="131"/>
      <c r="H1" s="131"/>
      <c r="I1" s="131"/>
      <c r="J1" s="131"/>
      <c r="K1" s="131"/>
    </row>
    <row r="2" spans="1:19">
      <c r="M2" s="125" t="s">
        <v>83</v>
      </c>
      <c r="N2" s="125"/>
      <c r="O2" s="125"/>
    </row>
    <row r="3" spans="1:19">
      <c r="M3" s="76" t="s">
        <v>84</v>
      </c>
      <c r="N3" s="71" t="s">
        <v>57</v>
      </c>
      <c r="O3" s="76"/>
    </row>
    <row r="4" spans="1:19">
      <c r="M4" s="71" t="s">
        <v>85</v>
      </c>
      <c r="N4" s="71" cm="1">
        <f t="array" ref="N4">SUM(_xlfn._xlws.FILTER(E12:E50,C12:C50=N3,0))</f>
        <v>10</v>
      </c>
      <c r="O4" s="71"/>
      <c r="S4" s="84"/>
    </row>
    <row r="5" spans="1:19">
      <c r="M5" s="85" t="s">
        <v>86</v>
      </c>
      <c r="N5" s="86" cm="1">
        <f t="array" ref="N5">SUM(_xlfn._xlws.FILTER(F12:F50,C12:C50=N3,0)*_xlfn._xlws.FILTER(E12:E50,C12:C50=N3,0))/N4</f>
        <v>148.935</v>
      </c>
      <c r="O5" s="85"/>
    </row>
    <row r="6" spans="1:19">
      <c r="M6" s="71" t="s">
        <v>87</v>
      </c>
      <c r="N6" s="74" cm="1">
        <f t="array" ref="N6">SUM(_xlfn._xlws.FILTER(M12:M50,C12:C50=N3,0))/SUM(_xlfn._xlws.FILTER(I12:I50,C12:C50=N3,0))-1</f>
        <v>-4.052103266525664E-2</v>
      </c>
      <c r="O6" s="71"/>
    </row>
    <row r="8" spans="1:19">
      <c r="B8" s="135" t="s">
        <v>88</v>
      </c>
      <c r="C8" s="135"/>
      <c r="D8" s="135"/>
      <c r="E8" s="135"/>
      <c r="F8" s="135"/>
      <c r="G8" s="135"/>
      <c r="H8" s="135"/>
      <c r="I8" s="135"/>
      <c r="K8" s="133" t="s">
        <v>89</v>
      </c>
      <c r="L8" s="133"/>
      <c r="M8" s="133"/>
      <c r="N8" s="133"/>
      <c r="O8" s="133"/>
      <c r="P8" s="133"/>
    </row>
    <row r="9" spans="1:19">
      <c r="B9" s="134" t="s">
        <v>90</v>
      </c>
      <c r="C9" s="134"/>
      <c r="D9" s="134"/>
      <c r="E9" s="134"/>
      <c r="F9" s="134"/>
      <c r="G9" s="134"/>
      <c r="H9" s="134"/>
      <c r="I9" s="134"/>
      <c r="K9" s="132" t="s">
        <v>90</v>
      </c>
      <c r="L9" s="132"/>
      <c r="M9" s="132"/>
      <c r="N9" s="132"/>
      <c r="O9" s="132"/>
      <c r="P9" s="132"/>
    </row>
    <row r="10" spans="1:19" ht="15.75">
      <c r="B10" s="69" t="s">
        <v>91</v>
      </c>
      <c r="C10" s="69" t="s">
        <v>39</v>
      </c>
      <c r="D10" s="69" t="s">
        <v>92</v>
      </c>
      <c r="E10" s="69" t="s">
        <v>41</v>
      </c>
      <c r="F10" s="69" t="s">
        <v>93</v>
      </c>
      <c r="G10" s="69" t="s">
        <v>44</v>
      </c>
      <c r="H10" s="69" t="s">
        <v>94</v>
      </c>
      <c r="I10" s="69" t="s">
        <v>95</v>
      </c>
      <c r="J10" s="69"/>
      <c r="K10" s="75" t="s">
        <v>96</v>
      </c>
      <c r="L10" s="75" t="s">
        <v>97</v>
      </c>
      <c r="M10" s="75" t="s">
        <v>98</v>
      </c>
      <c r="N10" s="75" t="s">
        <v>99</v>
      </c>
      <c r="O10" s="75" t="s">
        <v>100</v>
      </c>
      <c r="P10" s="75" t="s">
        <v>49</v>
      </c>
    </row>
    <row r="11" spans="1:19" ht="35.25" customHeight="1">
      <c r="B11" s="101" t="s">
        <v>101</v>
      </c>
      <c r="C11" s="101" t="s">
        <v>102</v>
      </c>
      <c r="D11" s="101" t="s">
        <v>103</v>
      </c>
      <c r="E11" s="101" t="s">
        <v>104</v>
      </c>
      <c r="F11" s="101" t="s">
        <v>105</v>
      </c>
      <c r="G11" s="101" t="s">
        <v>106</v>
      </c>
      <c r="H11" s="102" t="s">
        <v>107</v>
      </c>
      <c r="I11" s="102" t="s">
        <v>108</v>
      </c>
      <c r="J11" s="103"/>
      <c r="K11" s="102" t="s">
        <v>109</v>
      </c>
      <c r="L11" s="101" t="s">
        <v>110</v>
      </c>
      <c r="M11" s="102" t="s">
        <v>111</v>
      </c>
      <c r="N11" s="102" t="s">
        <v>112</v>
      </c>
      <c r="O11" s="102" t="s">
        <v>113</v>
      </c>
      <c r="P11" s="101" t="s">
        <v>114</v>
      </c>
    </row>
    <row r="12" spans="1:19">
      <c r="B12" s="70">
        <v>44417</v>
      </c>
      <c r="C12" s="71" t="s">
        <v>115</v>
      </c>
      <c r="D12" s="71" t="s">
        <v>53</v>
      </c>
      <c r="E12" s="71">
        <v>2</v>
      </c>
      <c r="F12" s="71">
        <v>195.63</v>
      </c>
      <c r="G12" s="72">
        <f>IF(F12,F12,"")</f>
        <v>195.63</v>
      </c>
      <c r="H12" s="71">
        <f>IF(F12,F12*E12,"")</f>
        <v>391.26</v>
      </c>
      <c r="I12" s="72">
        <f>IFERROR(IF(G12,G12*E12,""),"")</f>
        <v>391.26</v>
      </c>
      <c r="J12" s="73"/>
      <c r="K12" s="71">
        <f>'Samlet Portofølje'!$I$8</f>
        <v>184.85</v>
      </c>
      <c r="L12" s="72">
        <f>K12</f>
        <v>184.85</v>
      </c>
      <c r="M12" s="72">
        <f>IFERROR(IF(L12,L12*E12,""),"")</f>
        <v>369.7</v>
      </c>
      <c r="N12" s="72">
        <f t="shared" ref="N12" si="0">IFERROR(IF(M12,M12-I12,""),"")</f>
        <v>-21.560000000000002</v>
      </c>
      <c r="O12" s="74">
        <f t="shared" ref="O12:O13" si="1">IFERROR(IF(N12,N12/I12,""),"")</f>
        <v>-5.510402290037316E-2</v>
      </c>
      <c r="P12" s="71"/>
    </row>
    <row r="13" spans="1:19">
      <c r="B13" s="70">
        <v>44417</v>
      </c>
      <c r="C13" s="71" t="s">
        <v>55</v>
      </c>
      <c r="D13" s="71" t="s">
        <v>56</v>
      </c>
      <c r="E13" s="71">
        <v>1</v>
      </c>
      <c r="F13" s="71">
        <v>187.75</v>
      </c>
      <c r="G13" s="72">
        <f t="shared" ref="G13:G15" si="2">IF(F13,F13,"")</f>
        <v>187.75</v>
      </c>
      <c r="H13" s="71">
        <f t="shared" ref="H13:H15" si="3">IF(E13,F13*E13,"")</f>
        <v>187.75</v>
      </c>
      <c r="I13" s="72">
        <f t="shared" ref="I13:I15" si="4">IFERROR(IF(G13,G13*E13,""),"")</f>
        <v>187.75</v>
      </c>
      <c r="J13" s="73"/>
      <c r="K13" s="71">
        <f>'Samlet Portofølje'!$I$9</f>
        <v>157.6</v>
      </c>
      <c r="L13" s="72">
        <f>IF(K13,K13,"")</f>
        <v>157.6</v>
      </c>
      <c r="M13" s="72">
        <f t="shared" ref="M13:M50" si="5">IFERROR(IF(L13,L13*E13,""),"")</f>
        <v>157.6</v>
      </c>
      <c r="N13" s="72">
        <f>IFERROR(IF(M13,M13-I13,""),"")</f>
        <v>-30.150000000000006</v>
      </c>
      <c r="O13" s="74">
        <f t="shared" si="1"/>
        <v>-0.16058588548601868</v>
      </c>
      <c r="P13" s="71"/>
    </row>
    <row r="14" spans="1:19">
      <c r="B14" s="70">
        <v>44417</v>
      </c>
      <c r="C14" s="71" t="s">
        <v>57</v>
      </c>
      <c r="D14" s="71" t="s">
        <v>58</v>
      </c>
      <c r="E14" s="71">
        <v>2</v>
      </c>
      <c r="F14" s="71">
        <v>144.65</v>
      </c>
      <c r="G14" s="72">
        <f t="shared" si="2"/>
        <v>144.65</v>
      </c>
      <c r="H14" s="71">
        <f t="shared" si="3"/>
        <v>289.3</v>
      </c>
      <c r="I14" s="72">
        <f t="shared" si="4"/>
        <v>289.3</v>
      </c>
      <c r="J14" s="73"/>
      <c r="K14" s="71">
        <f>'Samlet Portofølje'!$I$10</f>
        <v>142.9</v>
      </c>
      <c r="L14" s="72">
        <f t="shared" ref="L14:L50" si="6">IF(K14,K14,"")</f>
        <v>142.9</v>
      </c>
      <c r="M14" s="72">
        <f t="shared" si="5"/>
        <v>285.8</v>
      </c>
      <c r="N14" s="72">
        <f>IFERROR(IF(M14,M14-I14,""),"")</f>
        <v>-3.5</v>
      </c>
      <c r="O14" s="74">
        <f>IFERROR(IF(N14,N14/I14,""),"")</f>
        <v>-1.2098167991704113E-2</v>
      </c>
      <c r="P14" s="71"/>
    </row>
    <row r="15" spans="1:19">
      <c r="B15" s="70">
        <v>44447</v>
      </c>
      <c r="C15" s="71" t="s">
        <v>115</v>
      </c>
      <c r="D15" s="71" t="s">
        <v>53</v>
      </c>
      <c r="E15" s="71">
        <v>28</v>
      </c>
      <c r="F15" s="71">
        <v>197.7</v>
      </c>
      <c r="G15" s="72">
        <f t="shared" si="2"/>
        <v>197.7</v>
      </c>
      <c r="H15" s="71">
        <f t="shared" si="3"/>
        <v>5535.5999999999995</v>
      </c>
      <c r="I15" s="72">
        <f t="shared" si="4"/>
        <v>5535.5999999999995</v>
      </c>
      <c r="J15" s="73"/>
      <c r="K15" s="71">
        <f>'Samlet Portofølje'!$I$8</f>
        <v>184.85</v>
      </c>
      <c r="L15" s="72">
        <f t="shared" si="6"/>
        <v>184.85</v>
      </c>
      <c r="M15" s="72">
        <f t="shared" si="5"/>
        <v>5175.8</v>
      </c>
      <c r="N15" s="72">
        <f t="shared" ref="N15" si="7">IFERROR(IF(M15,M15-I15,""),"")</f>
        <v>-359.79999999999927</v>
      </c>
      <c r="O15" s="74">
        <f t="shared" ref="O15" si="8">IFERROR(IF(N15,N15/I15,""),"")</f>
        <v>-6.499747091552846E-2</v>
      </c>
      <c r="P15" s="71"/>
    </row>
    <row r="16" spans="1:19">
      <c r="B16" s="70">
        <v>44447</v>
      </c>
      <c r="C16" s="71" t="s">
        <v>55</v>
      </c>
      <c r="D16" s="71" t="s">
        <v>56</v>
      </c>
      <c r="E16" s="71">
        <v>7</v>
      </c>
      <c r="F16" s="71">
        <v>187.75</v>
      </c>
      <c r="G16" s="72">
        <f t="shared" ref="G16:G50" si="9">IF(F16,F16,"")</f>
        <v>187.75</v>
      </c>
      <c r="H16" s="71">
        <f t="shared" ref="H16:H50" si="10">IF(E16,F16*E16,"")</f>
        <v>1314.25</v>
      </c>
      <c r="I16" s="72">
        <f t="shared" ref="I16:I50" si="11">IFERROR(IF(G16,G16*E16,""),"")</f>
        <v>1314.25</v>
      </c>
      <c r="J16" s="73"/>
      <c r="K16" s="71">
        <f>'Samlet Portofølje'!$I$9</f>
        <v>157.6</v>
      </c>
      <c r="L16" s="72">
        <f t="shared" si="6"/>
        <v>157.6</v>
      </c>
      <c r="M16" s="72">
        <f t="shared" si="5"/>
        <v>1103.2</v>
      </c>
      <c r="N16" s="72">
        <f t="shared" ref="N16:N50" si="12">IFERROR(IF(M16,M16-I16,""),"")</f>
        <v>-211.04999999999995</v>
      </c>
      <c r="O16" s="74">
        <f t="shared" ref="O16:O50" si="13">IFERROR(IF(N16,N16/I16,""),"")</f>
        <v>-0.1605858854860186</v>
      </c>
      <c r="P16" s="71"/>
    </row>
    <row r="17" spans="2:16">
      <c r="B17" s="70">
        <v>44477</v>
      </c>
      <c r="C17" s="71" t="s">
        <v>115</v>
      </c>
      <c r="D17" s="71" t="s">
        <v>53</v>
      </c>
      <c r="E17" s="71">
        <v>1</v>
      </c>
      <c r="F17" s="71">
        <v>194.7</v>
      </c>
      <c r="G17" s="72">
        <f t="shared" si="9"/>
        <v>194.7</v>
      </c>
      <c r="H17" s="71">
        <f t="shared" si="10"/>
        <v>194.7</v>
      </c>
      <c r="I17" s="72">
        <f t="shared" si="11"/>
        <v>194.7</v>
      </c>
      <c r="J17" s="73"/>
      <c r="K17" s="71">
        <f>'Samlet Portofølje'!$I$8</f>
        <v>184.85</v>
      </c>
      <c r="L17" s="72">
        <f t="shared" si="6"/>
        <v>184.85</v>
      </c>
      <c r="M17" s="72">
        <f t="shared" si="5"/>
        <v>184.85</v>
      </c>
      <c r="N17" s="72">
        <f t="shared" si="12"/>
        <v>-9.8499999999999943</v>
      </c>
      <c r="O17" s="74">
        <f t="shared" si="13"/>
        <v>-5.0590652285567514E-2</v>
      </c>
      <c r="P17" s="71"/>
    </row>
    <row r="18" spans="2:16">
      <c r="B18" s="70">
        <v>44477</v>
      </c>
      <c r="C18" s="71" t="s">
        <v>57</v>
      </c>
      <c r="D18" s="71" t="s">
        <v>58</v>
      </c>
      <c r="E18" s="71">
        <v>3</v>
      </c>
      <c r="F18" s="71">
        <v>144.85</v>
      </c>
      <c r="G18" s="72">
        <f t="shared" si="9"/>
        <v>144.85</v>
      </c>
      <c r="H18" s="71">
        <f t="shared" si="10"/>
        <v>434.54999999999995</v>
      </c>
      <c r="I18" s="72">
        <f t="shared" si="11"/>
        <v>434.54999999999995</v>
      </c>
      <c r="J18" s="73"/>
      <c r="K18" s="71">
        <f>'Samlet Portofølje'!$I$10</f>
        <v>142.9</v>
      </c>
      <c r="L18" s="72">
        <f t="shared" si="6"/>
        <v>142.9</v>
      </c>
      <c r="M18" s="72">
        <f t="shared" si="5"/>
        <v>428.70000000000005</v>
      </c>
      <c r="N18" s="72">
        <f t="shared" si="12"/>
        <v>-5.8499999999999091</v>
      </c>
      <c r="O18" s="74">
        <f t="shared" si="13"/>
        <v>-1.3462202278218639E-2</v>
      </c>
      <c r="P18" s="71"/>
    </row>
    <row r="19" spans="2:16">
      <c r="B19" s="70">
        <v>44477</v>
      </c>
      <c r="C19" s="71" t="s">
        <v>55</v>
      </c>
      <c r="D19" s="71" t="s">
        <v>56</v>
      </c>
      <c r="E19" s="71">
        <v>3</v>
      </c>
      <c r="F19" s="71">
        <v>180.55</v>
      </c>
      <c r="G19" s="72">
        <f>IF(F19,F19,"")</f>
        <v>180.55</v>
      </c>
      <c r="H19" s="71">
        <f t="shared" si="10"/>
        <v>541.65000000000009</v>
      </c>
      <c r="I19" s="72">
        <f t="shared" si="11"/>
        <v>541.65000000000009</v>
      </c>
      <c r="J19" s="73"/>
      <c r="K19" s="71">
        <f>'Samlet Portofølje'!$I$9</f>
        <v>157.6</v>
      </c>
      <c r="L19" s="72">
        <f t="shared" si="6"/>
        <v>157.6</v>
      </c>
      <c r="M19" s="72">
        <f t="shared" si="5"/>
        <v>472.79999999999995</v>
      </c>
      <c r="N19" s="72">
        <f t="shared" si="12"/>
        <v>-68.850000000000136</v>
      </c>
      <c r="O19" s="74">
        <f t="shared" si="13"/>
        <v>-0.12711160343395203</v>
      </c>
      <c r="P19" s="71"/>
    </row>
    <row r="20" spans="2:16">
      <c r="B20" s="70">
        <v>44508</v>
      </c>
      <c r="C20" s="71" t="s">
        <v>115</v>
      </c>
      <c r="D20" s="71" t="s">
        <v>53</v>
      </c>
      <c r="E20" s="71">
        <v>2</v>
      </c>
      <c r="F20" s="71">
        <v>208.5</v>
      </c>
      <c r="G20" s="72">
        <f t="shared" si="9"/>
        <v>208.5</v>
      </c>
      <c r="H20" s="71">
        <f t="shared" si="10"/>
        <v>417</v>
      </c>
      <c r="I20" s="72">
        <f t="shared" si="11"/>
        <v>417</v>
      </c>
      <c r="J20" s="73"/>
      <c r="K20" s="71">
        <f>'Samlet Portofølje'!$I$8</f>
        <v>184.85</v>
      </c>
      <c r="L20" s="72">
        <f t="shared" si="6"/>
        <v>184.85</v>
      </c>
      <c r="M20" s="72">
        <f t="shared" si="5"/>
        <v>369.7</v>
      </c>
      <c r="N20" s="72">
        <f t="shared" si="12"/>
        <v>-47.300000000000011</v>
      </c>
      <c r="O20" s="74">
        <f t="shared" si="13"/>
        <v>-0.11342925659472425</v>
      </c>
      <c r="P20" s="71"/>
    </row>
    <row r="21" spans="2:16">
      <c r="B21" s="70">
        <v>44508</v>
      </c>
      <c r="C21" s="71" t="s">
        <v>57</v>
      </c>
      <c r="D21" s="71" t="s">
        <v>58</v>
      </c>
      <c r="E21" s="71">
        <v>5</v>
      </c>
      <c r="F21" s="71">
        <v>153.1</v>
      </c>
      <c r="G21" s="72">
        <f t="shared" si="9"/>
        <v>153.1</v>
      </c>
      <c r="H21" s="71">
        <f t="shared" si="10"/>
        <v>765.5</v>
      </c>
      <c r="I21" s="72">
        <f t="shared" si="11"/>
        <v>765.5</v>
      </c>
      <c r="J21" s="73"/>
      <c r="K21" s="71">
        <f>'Samlet Portofølje'!$I$10</f>
        <v>142.9</v>
      </c>
      <c r="L21" s="72">
        <f t="shared" si="6"/>
        <v>142.9</v>
      </c>
      <c r="M21" s="72">
        <f t="shared" si="5"/>
        <v>714.5</v>
      </c>
      <c r="N21" s="72">
        <f t="shared" si="12"/>
        <v>-51</v>
      </c>
      <c r="O21" s="74">
        <f t="shared" si="13"/>
        <v>-6.6623122142390592E-2</v>
      </c>
      <c r="P21" s="71"/>
    </row>
    <row r="22" spans="2:16">
      <c r="B22" s="70">
        <v>44508</v>
      </c>
      <c r="C22" s="71" t="s">
        <v>55</v>
      </c>
      <c r="D22" s="71" t="s">
        <v>56</v>
      </c>
      <c r="E22" s="71">
        <v>4</v>
      </c>
      <c r="F22" s="71">
        <v>195</v>
      </c>
      <c r="G22" s="72">
        <f t="shared" si="9"/>
        <v>195</v>
      </c>
      <c r="H22" s="71">
        <f t="shared" si="10"/>
        <v>780</v>
      </c>
      <c r="I22" s="72">
        <f t="shared" si="11"/>
        <v>780</v>
      </c>
      <c r="J22" s="73"/>
      <c r="K22" s="71">
        <f>'Samlet Portofølje'!$I$9</f>
        <v>157.6</v>
      </c>
      <c r="L22" s="72">
        <f t="shared" si="6"/>
        <v>157.6</v>
      </c>
      <c r="M22" s="72">
        <f t="shared" si="5"/>
        <v>630.4</v>
      </c>
      <c r="N22" s="72">
        <f t="shared" si="12"/>
        <v>-149.60000000000002</v>
      </c>
      <c r="O22" s="74">
        <f t="shared" si="13"/>
        <v>-0.19179487179487181</v>
      </c>
      <c r="P22" s="71"/>
    </row>
    <row r="23" spans="2:16">
      <c r="B23" s="70">
        <v>44538</v>
      </c>
      <c r="C23" s="71" t="s">
        <v>59</v>
      </c>
      <c r="D23" s="71" t="s">
        <v>60</v>
      </c>
      <c r="E23" s="71">
        <v>9</v>
      </c>
      <c r="F23" s="71">
        <v>216.9</v>
      </c>
      <c r="G23" s="72">
        <f t="shared" si="9"/>
        <v>216.9</v>
      </c>
      <c r="H23" s="71">
        <f t="shared" si="10"/>
        <v>1952.1000000000001</v>
      </c>
      <c r="I23" s="72">
        <f t="shared" si="11"/>
        <v>1952.1000000000001</v>
      </c>
      <c r="J23" s="73"/>
      <c r="K23" s="71">
        <f>'Samlet Portofølje'!$I$11</f>
        <v>146.85</v>
      </c>
      <c r="L23" s="72">
        <f t="shared" si="6"/>
        <v>146.85</v>
      </c>
      <c r="M23" s="72">
        <f t="shared" si="5"/>
        <v>1321.6499999999999</v>
      </c>
      <c r="N23" s="72">
        <f t="shared" si="12"/>
        <v>-630.45000000000027</v>
      </c>
      <c r="O23" s="74">
        <f t="shared" si="13"/>
        <v>-0.32295988934993097</v>
      </c>
      <c r="P23" s="71"/>
    </row>
    <row r="24" spans="2:16">
      <c r="B24" s="70">
        <v>44206</v>
      </c>
      <c r="C24" s="71" t="s">
        <v>59</v>
      </c>
      <c r="D24" s="71" t="s">
        <v>60</v>
      </c>
      <c r="E24" s="71">
        <v>5</v>
      </c>
      <c r="F24" s="71">
        <v>204.1</v>
      </c>
      <c r="G24" s="72">
        <f t="shared" si="9"/>
        <v>204.1</v>
      </c>
      <c r="H24" s="71">
        <f t="shared" si="10"/>
        <v>1020.5</v>
      </c>
      <c r="I24" s="72">
        <f t="shared" si="11"/>
        <v>1020.5</v>
      </c>
      <c r="J24" s="73"/>
      <c r="K24" s="71">
        <f>'Samlet Portofølje'!$I$11</f>
        <v>146.85</v>
      </c>
      <c r="L24" s="72">
        <f t="shared" si="6"/>
        <v>146.85</v>
      </c>
      <c r="M24" s="72">
        <f t="shared" si="5"/>
        <v>734.25</v>
      </c>
      <c r="N24" s="72">
        <f t="shared" si="12"/>
        <v>-286.25</v>
      </c>
      <c r="O24" s="74">
        <f t="shared" si="13"/>
        <v>-0.28049975502204799</v>
      </c>
      <c r="P24" s="71"/>
    </row>
    <row r="25" spans="2:16">
      <c r="B25" s="70">
        <v>44600</v>
      </c>
      <c r="C25" s="71" t="s">
        <v>59</v>
      </c>
      <c r="D25" s="71" t="s">
        <v>60</v>
      </c>
      <c r="E25" s="71">
        <v>6</v>
      </c>
      <c r="F25" s="71">
        <v>191</v>
      </c>
      <c r="G25" s="72">
        <f t="shared" si="9"/>
        <v>191</v>
      </c>
      <c r="H25" s="71">
        <f t="shared" si="10"/>
        <v>1146</v>
      </c>
      <c r="I25" s="72">
        <f t="shared" si="11"/>
        <v>1146</v>
      </c>
      <c r="J25" s="73"/>
      <c r="K25" s="71">
        <f>'Samlet Portofølje'!$I$11</f>
        <v>146.85</v>
      </c>
      <c r="L25" s="72">
        <f t="shared" si="6"/>
        <v>146.85</v>
      </c>
      <c r="M25" s="72">
        <f t="shared" si="5"/>
        <v>881.09999999999991</v>
      </c>
      <c r="N25" s="72">
        <f t="shared" si="12"/>
        <v>-264.90000000000009</v>
      </c>
      <c r="O25" s="74">
        <f t="shared" si="13"/>
        <v>-0.23115183246073306</v>
      </c>
      <c r="P25" s="71"/>
    </row>
    <row r="26" spans="2:16">
      <c r="B26" s="70">
        <v>44628</v>
      </c>
      <c r="C26" s="71" t="s">
        <v>59</v>
      </c>
      <c r="D26" s="71" t="s">
        <v>60</v>
      </c>
      <c r="E26" s="71">
        <v>8</v>
      </c>
      <c r="F26" s="71">
        <v>141.25</v>
      </c>
      <c r="G26" s="72">
        <f t="shared" si="9"/>
        <v>141.25</v>
      </c>
      <c r="H26" s="71">
        <f t="shared" si="10"/>
        <v>1130</v>
      </c>
      <c r="I26" s="72">
        <f t="shared" si="11"/>
        <v>1130</v>
      </c>
      <c r="J26" s="73"/>
      <c r="K26" s="71">
        <f>'Samlet Portofølje'!$I$11</f>
        <v>146.85</v>
      </c>
      <c r="L26" s="72">
        <f t="shared" si="6"/>
        <v>146.85</v>
      </c>
      <c r="M26" s="72">
        <f t="shared" si="5"/>
        <v>1174.8</v>
      </c>
      <c r="N26" s="72">
        <f t="shared" si="12"/>
        <v>44.799999999999955</v>
      </c>
      <c r="O26" s="74">
        <f t="shared" si="13"/>
        <v>3.9646017699115001E-2</v>
      </c>
      <c r="P26" s="71"/>
    </row>
    <row r="27" spans="2:16">
      <c r="B27" s="71"/>
      <c r="C27" s="71"/>
      <c r="D27" s="71"/>
      <c r="E27" s="71"/>
      <c r="F27" s="71"/>
      <c r="G27" s="72" t="str">
        <f t="shared" si="9"/>
        <v/>
      </c>
      <c r="H27" s="71" t="str">
        <f t="shared" si="10"/>
        <v/>
      </c>
      <c r="I27" s="72" t="str">
        <f t="shared" si="11"/>
        <v/>
      </c>
      <c r="J27" s="73"/>
      <c r="K27" s="71"/>
      <c r="L27" s="72" t="str">
        <f t="shared" si="6"/>
        <v/>
      </c>
      <c r="M27" s="72" t="str">
        <f t="shared" si="5"/>
        <v/>
      </c>
      <c r="N27" s="72" t="str">
        <f t="shared" si="12"/>
        <v/>
      </c>
      <c r="O27" s="74" t="str">
        <f t="shared" si="13"/>
        <v/>
      </c>
      <c r="P27" s="71"/>
    </row>
    <row r="28" spans="2:16">
      <c r="B28" s="71"/>
      <c r="C28" s="71"/>
      <c r="D28" s="71"/>
      <c r="E28" s="71"/>
      <c r="F28" s="71"/>
      <c r="G28" s="72" t="str">
        <f t="shared" si="9"/>
        <v/>
      </c>
      <c r="H28" s="71" t="str">
        <f t="shared" si="10"/>
        <v/>
      </c>
      <c r="I28" s="72" t="str">
        <f t="shared" si="11"/>
        <v/>
      </c>
      <c r="J28" s="73"/>
      <c r="K28" s="71"/>
      <c r="L28" s="72" t="str">
        <f t="shared" si="6"/>
        <v/>
      </c>
      <c r="M28" s="72" t="str">
        <f t="shared" si="5"/>
        <v/>
      </c>
      <c r="N28" s="72" t="str">
        <f>IFERROR(IF(M28,M28-I28,""),"")</f>
        <v/>
      </c>
      <c r="O28" s="74" t="str">
        <f t="shared" si="13"/>
        <v/>
      </c>
      <c r="P28" s="71"/>
    </row>
    <row r="29" spans="2:16">
      <c r="B29" s="71"/>
      <c r="C29" s="71"/>
      <c r="D29" s="71"/>
      <c r="E29" s="71"/>
      <c r="F29" s="71"/>
      <c r="G29" s="72" t="str">
        <f t="shared" si="9"/>
        <v/>
      </c>
      <c r="H29" s="71" t="str">
        <f t="shared" si="10"/>
        <v/>
      </c>
      <c r="I29" s="72" t="str">
        <f t="shared" si="11"/>
        <v/>
      </c>
      <c r="J29" s="73"/>
      <c r="K29" s="71"/>
      <c r="L29" s="72" t="str">
        <f t="shared" si="6"/>
        <v/>
      </c>
      <c r="M29" s="72" t="str">
        <f t="shared" si="5"/>
        <v/>
      </c>
      <c r="N29" s="72" t="str">
        <f t="shared" si="12"/>
        <v/>
      </c>
      <c r="O29" s="74" t="str">
        <f t="shared" si="13"/>
        <v/>
      </c>
      <c r="P29" s="71"/>
    </row>
    <row r="30" spans="2:16">
      <c r="B30" s="71"/>
      <c r="C30" s="71"/>
      <c r="D30" s="71"/>
      <c r="E30" s="71"/>
      <c r="F30" s="71"/>
      <c r="G30" s="72" t="str">
        <f t="shared" si="9"/>
        <v/>
      </c>
      <c r="H30" s="71" t="str">
        <f t="shared" si="10"/>
        <v/>
      </c>
      <c r="I30" s="72" t="str">
        <f t="shared" si="11"/>
        <v/>
      </c>
      <c r="J30" s="73"/>
      <c r="K30" s="71"/>
      <c r="L30" s="72" t="str">
        <f t="shared" si="6"/>
        <v/>
      </c>
      <c r="M30" s="72" t="str">
        <f t="shared" si="5"/>
        <v/>
      </c>
      <c r="N30" s="72" t="str">
        <f t="shared" si="12"/>
        <v/>
      </c>
      <c r="O30" s="74" t="str">
        <f t="shared" si="13"/>
        <v/>
      </c>
      <c r="P30" s="71"/>
    </row>
    <row r="31" spans="2:16">
      <c r="B31" s="71"/>
      <c r="C31" s="71"/>
      <c r="D31" s="71"/>
      <c r="E31" s="71"/>
      <c r="F31" s="71"/>
      <c r="G31" s="72" t="str">
        <f t="shared" si="9"/>
        <v/>
      </c>
      <c r="H31" s="71" t="str">
        <f t="shared" si="10"/>
        <v/>
      </c>
      <c r="I31" s="72" t="str">
        <f t="shared" si="11"/>
        <v/>
      </c>
      <c r="J31" s="73"/>
      <c r="K31" s="71"/>
      <c r="L31" s="72" t="str">
        <f t="shared" si="6"/>
        <v/>
      </c>
      <c r="M31" s="72" t="str">
        <f t="shared" si="5"/>
        <v/>
      </c>
      <c r="N31" s="72" t="str">
        <f t="shared" si="12"/>
        <v/>
      </c>
      <c r="O31" s="74" t="str">
        <f t="shared" si="13"/>
        <v/>
      </c>
      <c r="P31" s="71"/>
    </row>
    <row r="32" spans="2:16">
      <c r="B32" s="71"/>
      <c r="C32" s="71"/>
      <c r="D32" s="71"/>
      <c r="E32" s="71"/>
      <c r="F32" s="71"/>
      <c r="G32" s="72" t="str">
        <f t="shared" si="9"/>
        <v/>
      </c>
      <c r="H32" s="71" t="str">
        <f t="shared" si="10"/>
        <v/>
      </c>
      <c r="I32" s="72" t="str">
        <f t="shared" si="11"/>
        <v/>
      </c>
      <c r="J32" s="73"/>
      <c r="K32" s="71"/>
      <c r="L32" s="72" t="str">
        <f t="shared" si="6"/>
        <v/>
      </c>
      <c r="M32" s="72" t="str">
        <f t="shared" si="5"/>
        <v/>
      </c>
      <c r="N32" s="72" t="str">
        <f t="shared" si="12"/>
        <v/>
      </c>
      <c r="O32" s="74" t="str">
        <f t="shared" si="13"/>
        <v/>
      </c>
      <c r="P32" s="71"/>
    </row>
    <row r="33" spans="2:16">
      <c r="B33" s="71"/>
      <c r="C33" s="71"/>
      <c r="D33" s="71"/>
      <c r="E33" s="71"/>
      <c r="F33" s="71"/>
      <c r="G33" s="72" t="str">
        <f t="shared" si="9"/>
        <v/>
      </c>
      <c r="H33" s="71" t="str">
        <f t="shared" si="10"/>
        <v/>
      </c>
      <c r="I33" s="72" t="str">
        <f t="shared" si="11"/>
        <v/>
      </c>
      <c r="J33" s="73"/>
      <c r="K33" s="71"/>
      <c r="L33" s="72" t="str">
        <f t="shared" si="6"/>
        <v/>
      </c>
      <c r="M33" s="72" t="str">
        <f t="shared" si="5"/>
        <v/>
      </c>
      <c r="N33" s="72" t="str">
        <f t="shared" si="12"/>
        <v/>
      </c>
      <c r="O33" s="74" t="str">
        <f t="shared" si="13"/>
        <v/>
      </c>
      <c r="P33" s="71"/>
    </row>
    <row r="34" spans="2:16">
      <c r="B34" s="71"/>
      <c r="C34" s="71"/>
      <c r="D34" s="71"/>
      <c r="E34" s="71"/>
      <c r="F34" s="71"/>
      <c r="G34" s="72" t="str">
        <f t="shared" si="9"/>
        <v/>
      </c>
      <c r="H34" s="71" t="str">
        <f t="shared" si="10"/>
        <v/>
      </c>
      <c r="I34" s="72" t="str">
        <f t="shared" si="11"/>
        <v/>
      </c>
      <c r="J34" s="73"/>
      <c r="K34" s="71"/>
      <c r="L34" s="72" t="str">
        <f t="shared" si="6"/>
        <v/>
      </c>
      <c r="M34" s="72" t="str">
        <f t="shared" si="5"/>
        <v/>
      </c>
      <c r="N34" s="72" t="str">
        <f t="shared" si="12"/>
        <v/>
      </c>
      <c r="O34" s="74" t="str">
        <f t="shared" si="13"/>
        <v/>
      </c>
      <c r="P34" s="71"/>
    </row>
    <row r="35" spans="2:16">
      <c r="B35" s="71"/>
      <c r="C35" s="71"/>
      <c r="D35" s="71"/>
      <c r="E35" s="71"/>
      <c r="F35" s="71"/>
      <c r="G35" s="72" t="str">
        <f t="shared" si="9"/>
        <v/>
      </c>
      <c r="H35" s="71" t="str">
        <f t="shared" si="10"/>
        <v/>
      </c>
      <c r="I35" s="72" t="str">
        <f t="shared" si="11"/>
        <v/>
      </c>
      <c r="J35" s="73"/>
      <c r="K35" s="71"/>
      <c r="L35" s="72" t="str">
        <f t="shared" si="6"/>
        <v/>
      </c>
      <c r="M35" s="72" t="str">
        <f t="shared" si="5"/>
        <v/>
      </c>
      <c r="N35" s="72" t="str">
        <f t="shared" si="12"/>
        <v/>
      </c>
      <c r="O35" s="74" t="str">
        <f t="shared" si="13"/>
        <v/>
      </c>
      <c r="P35" s="71"/>
    </row>
    <row r="36" spans="2:16">
      <c r="B36" s="71"/>
      <c r="C36" s="71"/>
      <c r="D36" s="71"/>
      <c r="E36" s="71"/>
      <c r="F36" s="71"/>
      <c r="G36" s="72" t="str">
        <f t="shared" si="9"/>
        <v/>
      </c>
      <c r="H36" s="71" t="str">
        <f t="shared" si="10"/>
        <v/>
      </c>
      <c r="I36" s="72" t="str">
        <f t="shared" si="11"/>
        <v/>
      </c>
      <c r="J36" s="73"/>
      <c r="K36" s="71"/>
      <c r="L36" s="72" t="str">
        <f t="shared" si="6"/>
        <v/>
      </c>
      <c r="M36" s="72" t="str">
        <f t="shared" si="5"/>
        <v/>
      </c>
      <c r="N36" s="72" t="str">
        <f t="shared" si="12"/>
        <v/>
      </c>
      <c r="O36" s="74" t="str">
        <f t="shared" si="13"/>
        <v/>
      </c>
      <c r="P36" s="71"/>
    </row>
    <row r="37" spans="2:16">
      <c r="B37" s="71"/>
      <c r="C37" s="71"/>
      <c r="D37" s="71"/>
      <c r="E37" s="71"/>
      <c r="F37" s="71"/>
      <c r="G37" s="72" t="str">
        <f t="shared" si="9"/>
        <v/>
      </c>
      <c r="H37" s="71" t="str">
        <f t="shared" si="10"/>
        <v/>
      </c>
      <c r="I37" s="72" t="str">
        <f t="shared" si="11"/>
        <v/>
      </c>
      <c r="J37" s="73"/>
      <c r="K37" s="71"/>
      <c r="L37" s="72" t="str">
        <f t="shared" si="6"/>
        <v/>
      </c>
      <c r="M37" s="72" t="str">
        <f t="shared" si="5"/>
        <v/>
      </c>
      <c r="N37" s="72" t="str">
        <f t="shared" si="12"/>
        <v/>
      </c>
      <c r="O37" s="74" t="str">
        <f t="shared" si="13"/>
        <v/>
      </c>
      <c r="P37" s="71"/>
    </row>
    <row r="38" spans="2:16">
      <c r="B38" s="71"/>
      <c r="C38" s="71"/>
      <c r="D38" s="71"/>
      <c r="E38" s="71"/>
      <c r="F38" s="71"/>
      <c r="G38" s="72" t="str">
        <f t="shared" si="9"/>
        <v/>
      </c>
      <c r="H38" s="71" t="str">
        <f t="shared" si="10"/>
        <v/>
      </c>
      <c r="I38" s="72" t="str">
        <f t="shared" si="11"/>
        <v/>
      </c>
      <c r="J38" s="73"/>
      <c r="K38" s="71"/>
      <c r="L38" s="72" t="str">
        <f t="shared" si="6"/>
        <v/>
      </c>
      <c r="M38" s="72" t="str">
        <f t="shared" si="5"/>
        <v/>
      </c>
      <c r="N38" s="72" t="str">
        <f t="shared" si="12"/>
        <v/>
      </c>
      <c r="O38" s="74" t="str">
        <f t="shared" si="13"/>
        <v/>
      </c>
      <c r="P38" s="71"/>
    </row>
    <row r="39" spans="2:16">
      <c r="B39" s="71"/>
      <c r="C39" s="71"/>
      <c r="D39" s="71"/>
      <c r="E39" s="71"/>
      <c r="F39" s="71"/>
      <c r="G39" s="72" t="str">
        <f t="shared" si="9"/>
        <v/>
      </c>
      <c r="H39" s="71" t="str">
        <f t="shared" si="10"/>
        <v/>
      </c>
      <c r="I39" s="72" t="str">
        <f t="shared" si="11"/>
        <v/>
      </c>
      <c r="J39" s="73"/>
      <c r="K39" s="71"/>
      <c r="L39" s="72" t="str">
        <f t="shared" si="6"/>
        <v/>
      </c>
      <c r="M39" s="72" t="str">
        <f t="shared" si="5"/>
        <v/>
      </c>
      <c r="N39" s="72" t="str">
        <f t="shared" si="12"/>
        <v/>
      </c>
      <c r="O39" s="74" t="str">
        <f t="shared" si="13"/>
        <v/>
      </c>
      <c r="P39" s="71"/>
    </row>
    <row r="40" spans="2:16">
      <c r="B40" s="71"/>
      <c r="C40" s="71"/>
      <c r="D40" s="71"/>
      <c r="E40" s="71"/>
      <c r="F40" s="71"/>
      <c r="G40" s="72" t="str">
        <f t="shared" si="9"/>
        <v/>
      </c>
      <c r="H40" s="71" t="str">
        <f t="shared" si="10"/>
        <v/>
      </c>
      <c r="I40" s="72" t="str">
        <f t="shared" si="11"/>
        <v/>
      </c>
      <c r="J40" s="73"/>
      <c r="K40" s="71"/>
      <c r="L40" s="72" t="str">
        <f t="shared" si="6"/>
        <v/>
      </c>
      <c r="M40" s="72" t="str">
        <f t="shared" si="5"/>
        <v/>
      </c>
      <c r="N40" s="72" t="str">
        <f t="shared" si="12"/>
        <v/>
      </c>
      <c r="O40" s="74" t="str">
        <f t="shared" si="13"/>
        <v/>
      </c>
      <c r="P40" s="71"/>
    </row>
    <row r="41" spans="2:16">
      <c r="B41" s="71"/>
      <c r="C41" s="71"/>
      <c r="D41" s="71"/>
      <c r="E41" s="71"/>
      <c r="F41" s="71"/>
      <c r="G41" s="72" t="str">
        <f t="shared" si="9"/>
        <v/>
      </c>
      <c r="H41" s="71" t="str">
        <f t="shared" si="10"/>
        <v/>
      </c>
      <c r="I41" s="72" t="str">
        <f t="shared" si="11"/>
        <v/>
      </c>
      <c r="J41" s="73"/>
      <c r="K41" s="71"/>
      <c r="L41" s="72" t="str">
        <f t="shared" si="6"/>
        <v/>
      </c>
      <c r="M41" s="72" t="str">
        <f t="shared" si="5"/>
        <v/>
      </c>
      <c r="N41" s="72" t="str">
        <f t="shared" si="12"/>
        <v/>
      </c>
      <c r="O41" s="74" t="str">
        <f t="shared" si="13"/>
        <v/>
      </c>
      <c r="P41" s="71"/>
    </row>
    <row r="42" spans="2:16">
      <c r="B42" s="71"/>
      <c r="C42" s="71"/>
      <c r="D42" s="71"/>
      <c r="E42" s="71"/>
      <c r="F42" s="71"/>
      <c r="G42" s="72" t="str">
        <f t="shared" si="9"/>
        <v/>
      </c>
      <c r="H42" s="71" t="str">
        <f t="shared" si="10"/>
        <v/>
      </c>
      <c r="I42" s="72" t="str">
        <f t="shared" si="11"/>
        <v/>
      </c>
      <c r="J42" s="73"/>
      <c r="K42" s="71"/>
      <c r="L42" s="72" t="str">
        <f t="shared" si="6"/>
        <v/>
      </c>
      <c r="M42" s="72" t="str">
        <f t="shared" si="5"/>
        <v/>
      </c>
      <c r="N42" s="72" t="str">
        <f t="shared" si="12"/>
        <v/>
      </c>
      <c r="O42" s="74" t="str">
        <f t="shared" si="13"/>
        <v/>
      </c>
      <c r="P42" s="71"/>
    </row>
    <row r="43" spans="2:16">
      <c r="B43" s="71"/>
      <c r="C43" s="71"/>
      <c r="D43" s="71"/>
      <c r="E43" s="71"/>
      <c r="F43" s="71"/>
      <c r="G43" s="72" t="str">
        <f t="shared" si="9"/>
        <v/>
      </c>
      <c r="H43" s="71" t="str">
        <f t="shared" si="10"/>
        <v/>
      </c>
      <c r="I43" s="72" t="str">
        <f t="shared" si="11"/>
        <v/>
      </c>
      <c r="J43" s="73"/>
      <c r="K43" s="71"/>
      <c r="L43" s="72" t="str">
        <f t="shared" si="6"/>
        <v/>
      </c>
      <c r="M43" s="72" t="str">
        <f t="shared" si="5"/>
        <v/>
      </c>
      <c r="N43" s="72" t="str">
        <f t="shared" si="12"/>
        <v/>
      </c>
      <c r="O43" s="74" t="str">
        <f t="shared" si="13"/>
        <v/>
      </c>
      <c r="P43" s="71"/>
    </row>
    <row r="44" spans="2:16">
      <c r="B44" s="71"/>
      <c r="C44" s="71"/>
      <c r="D44" s="71"/>
      <c r="E44" s="71"/>
      <c r="F44" s="71"/>
      <c r="G44" s="72" t="str">
        <f t="shared" si="9"/>
        <v/>
      </c>
      <c r="H44" s="71" t="str">
        <f t="shared" si="10"/>
        <v/>
      </c>
      <c r="I44" s="72" t="str">
        <f t="shared" si="11"/>
        <v/>
      </c>
      <c r="J44" s="73"/>
      <c r="K44" s="71"/>
      <c r="L44" s="72" t="str">
        <f t="shared" si="6"/>
        <v/>
      </c>
      <c r="M44" s="72" t="str">
        <f t="shared" si="5"/>
        <v/>
      </c>
      <c r="N44" s="72" t="str">
        <f t="shared" si="12"/>
        <v/>
      </c>
      <c r="O44" s="74" t="str">
        <f t="shared" si="13"/>
        <v/>
      </c>
      <c r="P44" s="71"/>
    </row>
    <row r="45" spans="2:16">
      <c r="B45" s="71"/>
      <c r="C45" s="71"/>
      <c r="D45" s="71"/>
      <c r="E45" s="71"/>
      <c r="F45" s="71"/>
      <c r="G45" s="72" t="str">
        <f t="shared" si="9"/>
        <v/>
      </c>
      <c r="H45" s="71" t="str">
        <f t="shared" si="10"/>
        <v/>
      </c>
      <c r="I45" s="72" t="str">
        <f t="shared" si="11"/>
        <v/>
      </c>
      <c r="J45" s="73"/>
      <c r="K45" s="71"/>
      <c r="L45" s="72" t="str">
        <f t="shared" si="6"/>
        <v/>
      </c>
      <c r="M45" s="72" t="str">
        <f t="shared" si="5"/>
        <v/>
      </c>
      <c r="N45" s="72" t="str">
        <f t="shared" si="12"/>
        <v/>
      </c>
      <c r="O45" s="74" t="str">
        <f t="shared" si="13"/>
        <v/>
      </c>
      <c r="P45" s="71"/>
    </row>
    <row r="46" spans="2:16">
      <c r="B46" s="71"/>
      <c r="C46" s="71"/>
      <c r="D46" s="71"/>
      <c r="E46" s="71"/>
      <c r="F46" s="71"/>
      <c r="G46" s="72" t="str">
        <f t="shared" si="9"/>
        <v/>
      </c>
      <c r="H46" s="71" t="str">
        <f t="shared" si="10"/>
        <v/>
      </c>
      <c r="I46" s="72" t="str">
        <f t="shared" si="11"/>
        <v/>
      </c>
      <c r="J46" s="73"/>
      <c r="K46" s="71"/>
      <c r="L46" s="72" t="str">
        <f t="shared" si="6"/>
        <v/>
      </c>
      <c r="M46" s="72" t="str">
        <f t="shared" si="5"/>
        <v/>
      </c>
      <c r="N46" s="72" t="str">
        <f t="shared" si="12"/>
        <v/>
      </c>
      <c r="O46" s="74" t="str">
        <f t="shared" si="13"/>
        <v/>
      </c>
      <c r="P46" s="71"/>
    </row>
    <row r="47" spans="2:16">
      <c r="B47" s="71"/>
      <c r="C47" s="71"/>
      <c r="D47" s="71"/>
      <c r="E47" s="71"/>
      <c r="F47" s="71"/>
      <c r="G47" s="72" t="str">
        <f t="shared" si="9"/>
        <v/>
      </c>
      <c r="H47" s="71" t="str">
        <f t="shared" si="10"/>
        <v/>
      </c>
      <c r="I47" s="72" t="str">
        <f t="shared" si="11"/>
        <v/>
      </c>
      <c r="J47" s="73"/>
      <c r="K47" s="71"/>
      <c r="L47" s="72" t="str">
        <f t="shared" si="6"/>
        <v/>
      </c>
      <c r="M47" s="72" t="str">
        <f t="shared" si="5"/>
        <v/>
      </c>
      <c r="N47" s="72" t="str">
        <f t="shared" si="12"/>
        <v/>
      </c>
      <c r="O47" s="74" t="str">
        <f t="shared" si="13"/>
        <v/>
      </c>
      <c r="P47" s="71"/>
    </row>
    <row r="48" spans="2:16">
      <c r="B48" s="71"/>
      <c r="C48" s="71"/>
      <c r="D48" s="71"/>
      <c r="E48" s="71"/>
      <c r="F48" s="71"/>
      <c r="G48" s="72" t="str">
        <f t="shared" si="9"/>
        <v/>
      </c>
      <c r="H48" s="71" t="str">
        <f t="shared" si="10"/>
        <v/>
      </c>
      <c r="I48" s="72" t="str">
        <f t="shared" si="11"/>
        <v/>
      </c>
      <c r="J48" s="73"/>
      <c r="K48" s="71"/>
      <c r="L48" s="72" t="str">
        <f t="shared" si="6"/>
        <v/>
      </c>
      <c r="M48" s="72" t="str">
        <f t="shared" si="5"/>
        <v/>
      </c>
      <c r="N48" s="72" t="str">
        <f t="shared" si="12"/>
        <v/>
      </c>
      <c r="O48" s="74" t="str">
        <f t="shared" si="13"/>
        <v/>
      </c>
      <c r="P48" s="71"/>
    </row>
    <row r="49" spans="2:16">
      <c r="B49" s="71"/>
      <c r="C49" s="71"/>
      <c r="D49" s="71"/>
      <c r="E49" s="71"/>
      <c r="F49" s="71"/>
      <c r="G49" s="72" t="str">
        <f t="shared" si="9"/>
        <v/>
      </c>
      <c r="H49" s="71" t="str">
        <f t="shared" si="10"/>
        <v/>
      </c>
      <c r="I49" s="72" t="str">
        <f t="shared" si="11"/>
        <v/>
      </c>
      <c r="J49" s="73"/>
      <c r="K49" s="71"/>
      <c r="L49" s="72" t="str">
        <f t="shared" si="6"/>
        <v/>
      </c>
      <c r="M49" s="72" t="str">
        <f t="shared" si="5"/>
        <v/>
      </c>
      <c r="N49" s="72" t="str">
        <f t="shared" si="12"/>
        <v/>
      </c>
      <c r="O49" s="74" t="str">
        <f t="shared" si="13"/>
        <v/>
      </c>
      <c r="P49" s="71"/>
    </row>
    <row r="50" spans="2:16">
      <c r="B50" s="76"/>
      <c r="C50" s="76"/>
      <c r="D50" s="76"/>
      <c r="E50" s="76"/>
      <c r="F50" s="76"/>
      <c r="G50" s="77" t="str">
        <f t="shared" si="9"/>
        <v/>
      </c>
      <c r="H50" s="76" t="str">
        <f t="shared" si="10"/>
        <v/>
      </c>
      <c r="I50" s="77" t="str">
        <f t="shared" si="11"/>
        <v/>
      </c>
      <c r="J50" s="78"/>
      <c r="K50" s="76"/>
      <c r="L50" s="77" t="str">
        <f t="shared" si="6"/>
        <v/>
      </c>
      <c r="M50" s="77" t="str">
        <f t="shared" si="5"/>
        <v/>
      </c>
      <c r="N50" s="77" t="str">
        <f t="shared" si="12"/>
        <v/>
      </c>
      <c r="O50" s="79" t="str">
        <f t="shared" si="13"/>
        <v/>
      </c>
      <c r="P50" s="76"/>
    </row>
    <row r="51" spans="2:16" ht="21">
      <c r="B51" s="80" t="s">
        <v>116</v>
      </c>
      <c r="C51" s="81"/>
      <c r="D51" s="81"/>
      <c r="E51" s="81">
        <f>SUM(E12:E50)</f>
        <v>86</v>
      </c>
      <c r="F51" s="81"/>
      <c r="G51" s="81"/>
      <c r="H51" s="81">
        <f>SUM(H12:H50)</f>
        <v>16100.16</v>
      </c>
      <c r="I51" s="82">
        <f>SUM(I12:I50)</f>
        <v>16100.16</v>
      </c>
      <c r="J51" s="81"/>
      <c r="K51" s="81"/>
      <c r="L51" s="81"/>
      <c r="M51" s="82">
        <f>SUM(M12:M50)</f>
        <v>14004.849999999999</v>
      </c>
      <c r="N51" s="82">
        <f>M51-I51</f>
        <v>-2095.3100000000013</v>
      </c>
      <c r="O51" s="81"/>
      <c r="P51" s="83"/>
    </row>
  </sheetData>
  <autoFilter ref="C10:C51" xr:uid="{4C24CD47-B582-485F-95AC-2CF7899FC3F4}"/>
  <mergeCells count="6">
    <mergeCell ref="E1:K1"/>
    <mergeCell ref="M2:O2"/>
    <mergeCell ref="K9:P9"/>
    <mergeCell ref="K8:P8"/>
    <mergeCell ref="B9:I9"/>
    <mergeCell ref="B8:I8"/>
  </mergeCells>
  <conditionalFormatting sqref="N12:N50">
    <cfRule type="cellIs" dxfId="5" priority="7" operator="lessThan">
      <formula>0</formula>
    </cfRule>
  </conditionalFormatting>
  <conditionalFormatting sqref="N12:N50">
    <cfRule type="cellIs" dxfId="4" priority="6" operator="greaterThan">
      <formula>0</formula>
    </cfRule>
  </conditionalFormatting>
  <conditionalFormatting sqref="N12:N50">
    <cfRule type="cellIs" priority="5" operator="equal">
      <formula>0</formula>
    </cfRule>
  </conditionalFormatting>
  <conditionalFormatting sqref="N6">
    <cfRule type="cellIs" dxfId="3" priority="4" operator="greaterThan">
      <formula>0</formula>
    </cfRule>
  </conditionalFormatting>
  <conditionalFormatting sqref="N6">
    <cfRule type="cellIs" dxfId="2" priority="3" operator="lessThan">
      <formula>0</formula>
    </cfRule>
  </conditionalFormatting>
  <conditionalFormatting sqref="N51">
    <cfRule type="cellIs" dxfId="1" priority="2" operator="greaterThan">
      <formula>0</formula>
    </cfRule>
  </conditionalFormatting>
  <conditionalFormatting sqref="N51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Månedlig udvikling</vt:lpstr>
      <vt:lpstr>Samlet Portofølje</vt:lpstr>
      <vt:lpstr>Aktiekøb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Simonsen</dc:creator>
  <cp:keywords/>
  <dc:description/>
  <cp:lastModifiedBy>Niklas Simonsen</cp:lastModifiedBy>
  <cp:revision/>
  <dcterms:created xsi:type="dcterms:W3CDTF">2021-08-01T16:13:47Z</dcterms:created>
  <dcterms:modified xsi:type="dcterms:W3CDTF">2022-12-07T19:31:37Z</dcterms:modified>
  <cp:category/>
  <cp:contentStatus/>
</cp:coreProperties>
</file>