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2f364afe123e12d/Ymisk papírir/Niklas'sPengetips/Reference Notes/"/>
    </mc:Choice>
  </mc:AlternateContent>
  <xr:revisionPtr revIDLastSave="1779" documentId="13_ncr:1_{482E5F4A-CC18-4E96-ABEE-141D2E51C8D1}" xr6:coauthVersionLast="47" xr6:coauthVersionMax="47" xr10:uidLastSave="{24FD2BA2-A419-47B2-8297-7E144DEEAAB0}"/>
  <bookViews>
    <workbookView xWindow="38280" yWindow="3255" windowWidth="29040" windowHeight="15840" xr2:uid="{00000000-000D-0000-FFFF-FFFF00000000}"/>
  </bookViews>
  <sheets>
    <sheet name="Økonomi 2022 sep-dec" sheetId="5" r:id="rId1"/>
    <sheet name="Økonomi 2022 jan-sep" sheetId="2" r:id="rId2"/>
    <sheet name="Økonomi 2021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5" l="1" a="1"/>
  <c r="E71" i="5" s="1"/>
  <c r="F15" i="5"/>
  <c r="G15" i="5" s="1"/>
  <c r="F62" i="5" a="1"/>
  <c r="F62" i="5" s="1"/>
  <c r="C59" i="5"/>
  <c r="M39" i="5"/>
  <c r="L39" i="5" s="1"/>
  <c r="M38" i="5"/>
  <c r="L38" i="5" s="1"/>
  <c r="N27" i="5"/>
  <c r="N38" i="5"/>
  <c r="G46" i="5"/>
  <c r="G44" i="5"/>
  <c r="M35" i="5"/>
  <c r="N35" i="5" s="1"/>
  <c r="M36" i="5"/>
  <c r="N36" i="5" s="1"/>
  <c r="G43" i="5"/>
  <c r="N39" i="5"/>
  <c r="N8" i="5"/>
  <c r="N5" i="5"/>
  <c r="N7" i="5"/>
  <c r="N6" i="5"/>
  <c r="N4" i="5"/>
  <c r="G42" i="5"/>
  <c r="F61" i="5" s="1" a="1"/>
  <c r="F61" i="5" s="1"/>
  <c r="G41" i="5"/>
  <c r="G40" i="5"/>
  <c r="G39" i="5"/>
  <c r="M37" i="5" s="1"/>
  <c r="L37" i="5" s="1"/>
  <c r="G36" i="5"/>
  <c r="G35" i="5"/>
  <c r="G34" i="5"/>
  <c r="G33" i="5"/>
  <c r="G32" i="5"/>
  <c r="G31" i="5"/>
  <c r="F54" i="5" s="1" a="1"/>
  <c r="F54" i="5" s="1"/>
  <c r="G30" i="5"/>
  <c r="G26" i="5"/>
  <c r="F59" i="5" s="1" a="1"/>
  <c r="F59" i="5" s="1"/>
  <c r="G25" i="5"/>
  <c r="F63" i="5" s="1" a="1"/>
  <c r="F63" i="5" s="1"/>
  <c r="G24" i="5"/>
  <c r="G23" i="5"/>
  <c r="G22" i="5"/>
  <c r="G21" i="5"/>
  <c r="F57" i="5" s="1" a="1"/>
  <c r="F57" i="5" s="1"/>
  <c r="G20" i="5"/>
  <c r="G14" i="5"/>
  <c r="G13" i="5"/>
  <c r="F60" i="5" s="1" a="1"/>
  <c r="F60" i="5" s="1"/>
  <c r="G12" i="5"/>
  <c r="F45" i="5"/>
  <c r="G45" i="5" s="1"/>
  <c r="G11" i="5"/>
  <c r="G10" i="5"/>
  <c r="G9" i="5"/>
  <c r="G8" i="5"/>
  <c r="G7" i="5"/>
  <c r="F6" i="5"/>
  <c r="G6" i="5" s="1"/>
  <c r="F5" i="5"/>
  <c r="G5" i="5" s="1"/>
  <c r="F56" i="5" s="1" a="1"/>
  <c r="F56" i="5" s="1"/>
  <c r="G4" i="5"/>
  <c r="F55" i="5" s="1" a="1"/>
  <c r="F55" i="5" s="1"/>
  <c r="H36" i="2"/>
  <c r="D21" i="2"/>
  <c r="J22" i="2"/>
  <c r="P23" i="2"/>
  <c r="D23" i="2"/>
  <c r="P22" i="2"/>
  <c r="O22" i="2"/>
  <c r="D22" i="2"/>
  <c r="P21" i="2"/>
  <c r="J21" i="2"/>
  <c r="P13" i="2"/>
  <c r="J13" i="2"/>
  <c r="D13" i="2"/>
  <c r="P12" i="2"/>
  <c r="J12" i="2"/>
  <c r="D12" i="2"/>
  <c r="P11" i="2"/>
  <c r="J11" i="2"/>
  <c r="D11" i="2"/>
  <c r="P10" i="2"/>
  <c r="J10" i="2"/>
  <c r="D10" i="2"/>
  <c r="P9" i="2"/>
  <c r="J9" i="2"/>
  <c r="D9" i="2"/>
  <c r="P8" i="2"/>
  <c r="J8" i="2"/>
  <c r="D8" i="2"/>
  <c r="P7" i="2"/>
  <c r="J7" i="2"/>
  <c r="D7" i="2"/>
  <c r="C7" i="2"/>
  <c r="P6" i="2"/>
  <c r="J6" i="2"/>
  <c r="C6" i="2"/>
  <c r="D6" i="2"/>
  <c r="P5" i="2"/>
  <c r="J5" i="2"/>
  <c r="D5" i="2"/>
  <c r="P4" i="2"/>
  <c r="J4" i="2"/>
  <c r="J15" i="2"/>
  <c r="D4" i="2"/>
  <c r="N25" i="5"/>
  <c r="D25" i="2"/>
  <c r="D26" i="2"/>
  <c r="E21" i="2"/>
  <c r="D15" i="2"/>
  <c r="D16" i="2"/>
  <c r="E13" i="2"/>
  <c r="J16" i="2"/>
  <c r="J25" i="2"/>
  <c r="P25" i="2"/>
  <c r="P15" i="2"/>
  <c r="E22" i="2"/>
  <c r="E26" i="2"/>
  <c r="E23" i="2"/>
  <c r="I31" i="2"/>
  <c r="E4" i="2"/>
  <c r="E7" i="2"/>
  <c r="E12" i="2"/>
  <c r="E11" i="2"/>
  <c r="I32" i="2"/>
  <c r="E9" i="2"/>
  <c r="E6" i="2"/>
  <c r="E5" i="2"/>
  <c r="E10" i="2"/>
  <c r="E8" i="2"/>
  <c r="J32" i="2"/>
  <c r="K6" i="2"/>
  <c r="J26" i="2"/>
  <c r="O31" i="2"/>
  <c r="P26" i="2"/>
  <c r="K13" i="2"/>
  <c r="K4" i="2"/>
  <c r="K10" i="2"/>
  <c r="K11" i="2"/>
  <c r="K12" i="2"/>
  <c r="K5" i="2"/>
  <c r="K8" i="2"/>
  <c r="K9" i="2"/>
  <c r="K7" i="2"/>
  <c r="O32" i="2"/>
  <c r="P16" i="2"/>
  <c r="E16" i="2"/>
  <c r="C32" i="2"/>
  <c r="K16" i="2"/>
  <c r="P32" i="2"/>
  <c r="D32" i="2"/>
  <c r="Q6" i="2"/>
  <c r="Q5" i="2"/>
  <c r="Q13" i="2"/>
  <c r="Q7" i="2"/>
  <c r="Q4" i="2"/>
  <c r="Q8" i="2"/>
  <c r="Q10" i="2"/>
  <c r="Q11" i="2"/>
  <c r="Q12" i="2"/>
  <c r="Q9" i="2"/>
  <c r="P31" i="2"/>
  <c r="Q23" i="2"/>
  <c r="Q22" i="2"/>
  <c r="Q21" i="2"/>
  <c r="Q26" i="2"/>
  <c r="J31" i="2"/>
  <c r="K21" i="2"/>
  <c r="K23" i="2"/>
  <c r="K22" i="2"/>
  <c r="O33" i="2"/>
  <c r="I33" i="2"/>
  <c r="C31" i="2"/>
  <c r="Q16" i="2"/>
  <c r="P33" i="2"/>
  <c r="C33" i="2"/>
  <c r="K26" i="2"/>
  <c r="J33" i="2"/>
  <c r="D31" i="2"/>
  <c r="D33" i="2"/>
  <c r="I22" i="1"/>
  <c r="J22" i="1"/>
  <c r="J25" i="1"/>
  <c r="C6" i="1"/>
  <c r="J5" i="1"/>
  <c r="J6" i="1"/>
  <c r="J7" i="1"/>
  <c r="J8" i="1"/>
  <c r="J9" i="1"/>
  <c r="J10" i="1"/>
  <c r="J11" i="1"/>
  <c r="J12" i="1"/>
  <c r="J13" i="1"/>
  <c r="J4" i="1"/>
  <c r="O21" i="1"/>
  <c r="O22" i="1"/>
  <c r="P21" i="1"/>
  <c r="P23" i="1"/>
  <c r="P22" i="1"/>
  <c r="J23" i="1"/>
  <c r="J21" i="1"/>
  <c r="P5" i="1"/>
  <c r="P6" i="1"/>
  <c r="P7" i="1"/>
  <c r="P8" i="1"/>
  <c r="P9" i="1"/>
  <c r="P10" i="1"/>
  <c r="P11" i="1"/>
  <c r="P12" i="1"/>
  <c r="P13" i="1"/>
  <c r="D5" i="1"/>
  <c r="D6" i="1"/>
  <c r="D7" i="1"/>
  <c r="D8" i="1"/>
  <c r="D9" i="1"/>
  <c r="D10" i="1"/>
  <c r="D11" i="1"/>
  <c r="D12" i="1"/>
  <c r="D13" i="1"/>
  <c r="C7" i="1"/>
  <c r="P4" i="1"/>
  <c r="D23" i="1"/>
  <c r="D22" i="1"/>
  <c r="D21" i="1"/>
  <c r="D4" i="1"/>
  <c r="D25" i="1"/>
  <c r="D26" i="1"/>
  <c r="D15" i="1"/>
  <c r="P25" i="1"/>
  <c r="P15" i="1"/>
  <c r="P16" i="1"/>
  <c r="Q8" i="1"/>
  <c r="J15" i="1"/>
  <c r="I31" i="1"/>
  <c r="E23" i="1"/>
  <c r="E22" i="1"/>
  <c r="E21" i="1"/>
  <c r="P26" i="1"/>
  <c r="O31" i="1"/>
  <c r="Q12" i="1"/>
  <c r="O32" i="1"/>
  <c r="I32" i="1"/>
  <c r="J26" i="1"/>
  <c r="J31" i="1"/>
  <c r="Q4" i="1"/>
  <c r="Q7" i="1"/>
  <c r="Q5" i="1"/>
  <c r="Q9" i="1"/>
  <c r="Q13" i="1"/>
  <c r="Q6" i="1"/>
  <c r="Q10" i="1"/>
  <c r="Q11" i="1"/>
  <c r="J16" i="1"/>
  <c r="I33" i="1"/>
  <c r="C31" i="1"/>
  <c r="E26" i="1"/>
  <c r="O33" i="1"/>
  <c r="Q21" i="1"/>
  <c r="P31" i="1"/>
  <c r="D31" i="1"/>
  <c r="Q23" i="1"/>
  <c r="Q22" i="1"/>
  <c r="Q16" i="1"/>
  <c r="C32" i="1"/>
  <c r="K12" i="1"/>
  <c r="K5" i="1"/>
  <c r="K22" i="1"/>
  <c r="K21" i="1"/>
  <c r="K23" i="1"/>
  <c r="K7" i="1"/>
  <c r="K8" i="1"/>
  <c r="K9" i="1"/>
  <c r="K11" i="1"/>
  <c r="K6" i="1"/>
  <c r="K13" i="1"/>
  <c r="K10" i="1"/>
  <c r="K4" i="1"/>
  <c r="C33" i="1"/>
  <c r="Q26" i="1"/>
  <c r="K26" i="1"/>
  <c r="K16" i="1"/>
  <c r="D16" i="1"/>
  <c r="P32" i="1"/>
  <c r="P33" i="1"/>
  <c r="J32" i="1"/>
  <c r="E7" i="1"/>
  <c r="E11" i="1"/>
  <c r="E8" i="1"/>
  <c r="E12" i="1"/>
  <c r="E9" i="1"/>
  <c r="E6" i="1"/>
  <c r="E5" i="1"/>
  <c r="E13" i="1"/>
  <c r="E10" i="1"/>
  <c r="E4" i="1"/>
  <c r="D32" i="1"/>
  <c r="D33" i="1"/>
  <c r="J33" i="1"/>
  <c r="E16" i="1"/>
  <c r="G71" i="5" l="1" a="1"/>
  <c r="G62" i="5"/>
  <c r="F58" i="5" a="1"/>
  <c r="F58" i="5" s="1"/>
  <c r="F64" i="5" a="1"/>
  <c r="F64" i="5" s="1"/>
  <c r="G64" i="5" s="1"/>
  <c r="M34" i="5"/>
  <c r="L34" i="5" s="1"/>
  <c r="L36" i="5"/>
  <c r="L35" i="5"/>
  <c r="N37" i="5"/>
  <c r="G47" i="5"/>
  <c r="G48" i="5" s="1"/>
  <c r="H34" i="5" s="1"/>
  <c r="G56" i="5"/>
  <c r="G61" i="5"/>
  <c r="G54" i="5"/>
  <c r="N12" i="5"/>
  <c r="M17" i="5" s="1"/>
  <c r="G71" i="5" l="1"/>
  <c r="F72" i="5"/>
  <c r="F74" i="5"/>
  <c r="F73" i="5"/>
  <c r="H6" i="5"/>
  <c r="H62" i="5"/>
  <c r="H41" i="5"/>
  <c r="H33" i="5"/>
  <c r="H12" i="5"/>
  <c r="H35" i="5"/>
  <c r="H42" i="5"/>
  <c r="H7" i="5"/>
  <c r="H10" i="5"/>
  <c r="H46" i="5"/>
  <c r="H45" i="5"/>
  <c r="N34" i="5"/>
  <c r="H36" i="5"/>
  <c r="H32" i="5"/>
  <c r="H5" i="5"/>
  <c r="H23" i="5"/>
  <c r="H30" i="5"/>
  <c r="G50" i="5"/>
  <c r="H15" i="5"/>
  <c r="H27" i="5"/>
  <c r="H16" i="5"/>
  <c r="H28" i="5"/>
  <c r="H17" i="5"/>
  <c r="H29" i="5"/>
  <c r="H18" i="5"/>
  <c r="H13" i="5"/>
  <c r="H19" i="5"/>
  <c r="H25" i="5"/>
  <c r="H37" i="5"/>
  <c r="H43" i="5"/>
  <c r="H8" i="5"/>
  <c r="H20" i="5"/>
  <c r="H26" i="5"/>
  <c r="H38" i="5"/>
  <c r="H44" i="5"/>
  <c r="H24" i="5"/>
  <c r="H31" i="5"/>
  <c r="H21" i="5"/>
  <c r="H14" i="5"/>
  <c r="H39" i="5"/>
  <c r="H40" i="5"/>
  <c r="H22" i="5"/>
  <c r="H11" i="5"/>
  <c r="H9" i="5"/>
  <c r="M18" i="5"/>
  <c r="M19" i="5" s="1"/>
  <c r="H56" i="5"/>
  <c r="G59" i="5"/>
  <c r="H59" i="5"/>
  <c r="G60" i="5"/>
  <c r="H60" i="5"/>
  <c r="H61" i="5"/>
  <c r="G63" i="5"/>
  <c r="H63" i="5"/>
  <c r="G58" i="5"/>
  <c r="H58" i="5"/>
  <c r="G55" i="5"/>
  <c r="H55" i="5"/>
  <c r="G57" i="5"/>
  <c r="H57" i="5"/>
  <c r="H64" i="5"/>
  <c r="H54" i="5"/>
  <c r="N17" i="5"/>
  <c r="N13" i="5"/>
  <c r="F71" i="5" l="1"/>
  <c r="G77" i="5"/>
  <c r="H74" i="5"/>
  <c r="N18" i="5"/>
  <c r="N19" i="5" s="1"/>
  <c r="H4" i="5"/>
  <c r="M40" i="5"/>
  <c r="N40" i="5" s="1"/>
  <c r="G65" i="5"/>
  <c r="G66" i="5" s="1"/>
  <c r="M20" i="5"/>
  <c r="H66" i="5"/>
  <c r="O10" i="5"/>
  <c r="O11" i="5"/>
  <c r="O7" i="5"/>
  <c r="O4" i="5"/>
  <c r="O9" i="5"/>
  <c r="O5" i="5"/>
  <c r="O8" i="5"/>
  <c r="O6" i="5"/>
  <c r="G78" i="5" l="1"/>
  <c r="H72" i="5"/>
  <c r="H71" i="5"/>
  <c r="H73" i="5"/>
  <c r="H48" i="5"/>
  <c r="N23" i="5"/>
  <c r="O13" i="5"/>
  <c r="H78" i="5" l="1"/>
  <c r="M26" i="5"/>
  <c r="N2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<sst xmlns="http://schemas.openxmlformats.org/spreadsheetml/2006/main" count="337" uniqueCount="107">
  <si>
    <t>Udgifter 💸</t>
  </si>
  <si>
    <t>Indtægter 💰</t>
  </si>
  <si>
    <t>Type</t>
  </si>
  <si>
    <t>Antal betalinger årligt</t>
  </si>
  <si>
    <t>Kategori</t>
  </si>
  <si>
    <t>Udgift</t>
  </si>
  <si>
    <t>Pris</t>
  </si>
  <si>
    <t>Årlig udgift</t>
  </si>
  <si>
    <t>% af samlede udgifter</t>
  </si>
  <si>
    <t>Antal indbetalinger årligt</t>
  </si>
  <si>
    <t>Indtjeningskilde</t>
  </si>
  <si>
    <t>Beløb</t>
  </si>
  <si>
    <t>Årlig indtægt</t>
  </si>
  <si>
    <t>% af samlede indtægter</t>
  </si>
  <si>
    <t>Faste:</t>
  </si>
  <si>
    <t>Bolig</t>
  </si>
  <si>
    <t>Lejebolig</t>
  </si>
  <si>
    <t>Grundfos løn</t>
  </si>
  <si>
    <t>Forsikring</t>
  </si>
  <si>
    <t>Tryg Indboforsikring</t>
  </si>
  <si>
    <t>30% af fradrag af A-kasse</t>
  </si>
  <si>
    <t>Tryg Årsrejseforsikring</t>
  </si>
  <si>
    <t>Krüger PhD løn</t>
  </si>
  <si>
    <t>Stofa Internet</t>
  </si>
  <si>
    <t>Norlys Energi</t>
  </si>
  <si>
    <t>Dogley</t>
  </si>
  <si>
    <t>Boligforening i Aalborg</t>
  </si>
  <si>
    <t>Bilforsikring (IDA)</t>
  </si>
  <si>
    <t>Bil</t>
  </si>
  <si>
    <t>Parkeringslicens</t>
  </si>
  <si>
    <t>Servicesyn</t>
  </si>
  <si>
    <t>Gennemsnitlig månedlig indtægt:</t>
  </si>
  <si>
    <t>Diverse</t>
  </si>
  <si>
    <t>Spotify</t>
  </si>
  <si>
    <t>Årlig indægt:</t>
  </si>
  <si>
    <t>Disney Plus</t>
  </si>
  <si>
    <t>HBO Max</t>
  </si>
  <si>
    <t>Opgørelse  📊</t>
  </si>
  <si>
    <t>Månedlig</t>
  </si>
  <si>
    <t>Årlig</t>
  </si>
  <si>
    <t>Indtægt:</t>
  </si>
  <si>
    <t>Must Udgifter:</t>
  </si>
  <si>
    <t>Overskud:</t>
  </si>
  <si>
    <t>Tryg Ulykkeforsikring</t>
  </si>
  <si>
    <t>Opsparingsrate:</t>
  </si>
  <si>
    <t>Telefoni</t>
  </si>
  <si>
    <t>CallMe</t>
  </si>
  <si>
    <t>A-kasse</t>
  </si>
  <si>
    <t>Håndboldspillerforeningen</t>
  </si>
  <si>
    <t>Sygeforsikring Danmark</t>
  </si>
  <si>
    <t>Opsparing/Investering/Lommepenge</t>
  </si>
  <si>
    <t>IDA Ingeniørforening</t>
  </si>
  <si>
    <t>A-kassen Akademikernes</t>
  </si>
  <si>
    <t>Lommepenge:</t>
  </si>
  <si>
    <t>Fitness World</t>
  </si>
  <si>
    <t>Opsparing:</t>
  </si>
  <si>
    <t>Tøj og andet</t>
  </si>
  <si>
    <t>Kontaklinser</t>
  </si>
  <si>
    <t>Konto Overførsler</t>
  </si>
  <si>
    <t>Ungdomsbo</t>
  </si>
  <si>
    <t>Flukturerende:</t>
  </si>
  <si>
    <t>Mad</t>
  </si>
  <si>
    <t>Restaurant/take-away</t>
  </si>
  <si>
    <t>Dagligvarer</t>
  </si>
  <si>
    <t>Sammenlagte overførsler:</t>
  </si>
  <si>
    <t>Benzin</t>
  </si>
  <si>
    <t>Ferie</t>
  </si>
  <si>
    <t>Gennemsnitlig månedlig udgift:</t>
  </si>
  <si>
    <t>Årlig udgift:</t>
  </si>
  <si>
    <t>Økonomisk uafhængighed efter 4%-reglen svarer til følgende krævede beløb investeret:</t>
  </si>
  <si>
    <t>Udgifter i kategorier</t>
  </si>
  <si>
    <t>Fælles Udgifter</t>
  </si>
  <si>
    <t>Skatti Udgifter</t>
  </si>
  <si>
    <t>Skattimuuuus Udgifter</t>
  </si>
  <si>
    <t>Madkonto</t>
  </si>
  <si>
    <t>Proteinpulver</t>
  </si>
  <si>
    <t>Håndbold</t>
  </si>
  <si>
    <t>A-kassen</t>
  </si>
  <si>
    <t>Boligstøtte tilsvarende</t>
  </si>
  <si>
    <t>Fælles Indtægter</t>
  </si>
  <si>
    <t>Skatti Indtægter</t>
  </si>
  <si>
    <t>Skattimuuuuuuus Indtægter</t>
  </si>
  <si>
    <t>SU</t>
  </si>
  <si>
    <t>Petur Larsen</t>
  </si>
  <si>
    <t>Fælles Opgørelse</t>
  </si>
  <si>
    <t>Skatti Opgørelse</t>
  </si>
  <si>
    <t>Skattiuuuuus Opgørelse</t>
  </si>
  <si>
    <t>Udgifter:</t>
  </si>
  <si>
    <t>Boligstøtte</t>
  </si>
  <si>
    <t>Hjælpelærer Brush-Up kursus</t>
  </si>
  <si>
    <t>Underholdning</t>
  </si>
  <si>
    <t>Fitness</t>
  </si>
  <si>
    <t>Tandlæge</t>
  </si>
  <si>
    <t>Niklas:</t>
  </si>
  <si>
    <t>Laura:</t>
  </si>
  <si>
    <t>Lommepenge Niklas</t>
  </si>
  <si>
    <t>Lommepenge Laura</t>
  </si>
  <si>
    <t>Budget Konto:</t>
  </si>
  <si>
    <t>Fælles forbrugskonto</t>
  </si>
  <si>
    <t>Investering</t>
  </si>
  <si>
    <t>Investering Niklas</t>
  </si>
  <si>
    <t>Investering Laura</t>
  </si>
  <si>
    <t>Biludgifter</t>
  </si>
  <si>
    <t>Overførsel hver:</t>
  </si>
  <si>
    <t>Benzin i november:</t>
  </si>
  <si>
    <t>Fagforening</t>
  </si>
  <si>
    <t>Ida/Tryg Bilpleje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</si>
</sst>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kr.&quot;_-;\-* #,##0.00\ &quot;kr.&quot;_-;_-* &quot;-&quot;??\ &quot;kr.&quot;_-;_-@_-"/>
    <numFmt numFmtId="165" formatCode="#,##0\ &quot;kr.&quot;"/>
    <numFmt numFmtId="166" formatCode="_-* #,##0\ &quot;kr.&quot;_-;\-* #,##0\ &quot;kr.&quot;_-;_-* &quot;-&quot;??\ &quot;kr.&quot;_-;_-@_-"/>
    <numFmt numFmtId="167" formatCode="#.##0.00\ &quot;kr.&quot;"/>
    <numFmt numFmtId="169" formatCode="#.##\ &quot;kr.&quot;"/>
    <numFmt numFmtId="176" formatCode="#\ &quot;kr.&quot;"/>
  </numFmts>
  <fonts count="24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</font>
    <font>
      <sz val="11"/>
      <color rgb="FF000000"/>
      <name val="Calibri"/>
    </font>
    <font>
      <b/>
      <sz val="20"/>
      <color rgb="FF000000"/>
      <name val="Calibri"/>
    </font>
    <font>
      <b/>
      <sz val="18"/>
      <color theme="1"/>
      <name val="Calibri"/>
    </font>
    <font>
      <b/>
      <sz val="10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67C"/>
        <bgColor rgb="FF9BC67C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20">
    <xf numFmtId="0" fontId="0" fillId="0" borderId="0" xfId="0"/>
    <xf numFmtId="0" fontId="1" fillId="0" borderId="2" xfId="0" applyFont="1" applyBorder="1"/>
    <xf numFmtId="9" fontId="4" fillId="0" borderId="0" xfId="1" applyFont="1" applyBorder="1"/>
    <xf numFmtId="9" fontId="4" fillId="0" borderId="11" xfId="1" applyFont="1" applyBorder="1"/>
    <xf numFmtId="0" fontId="1" fillId="0" borderId="2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4" fillId="0" borderId="0" xfId="0" applyFont="1"/>
    <xf numFmtId="0" fontId="5" fillId="0" borderId="9" xfId="0" applyFont="1" applyBorder="1"/>
    <xf numFmtId="9" fontId="4" fillId="0" borderId="15" xfId="0" applyNumberFormat="1" applyFont="1" applyBorder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10" xfId="0" applyFont="1" applyBorder="1"/>
    <xf numFmtId="10" fontId="1" fillId="2" borderId="4" xfId="0" applyNumberFormat="1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9" xfId="0" applyFont="1" applyBorder="1"/>
    <xf numFmtId="0" fontId="1" fillId="0" borderId="1" xfId="0" applyFont="1" applyBorder="1" applyAlignment="1">
      <alignment horizontal="right"/>
    </xf>
    <xf numFmtId="0" fontId="6" fillId="0" borderId="16" xfId="0" applyFont="1" applyBorder="1"/>
    <xf numFmtId="0" fontId="1" fillId="0" borderId="3" xfId="0" applyFont="1" applyBorder="1" applyAlignment="1">
      <alignment horizontal="right"/>
    </xf>
    <xf numFmtId="3" fontId="1" fillId="0" borderId="9" xfId="0" applyNumberFormat="1" applyFont="1" applyBorder="1"/>
    <xf numFmtId="0" fontId="1" fillId="0" borderId="4" xfId="0" applyFont="1" applyBorder="1"/>
    <xf numFmtId="0" fontId="1" fillId="0" borderId="9" xfId="0" applyFont="1" applyBorder="1" applyAlignment="1">
      <alignment horizontal="right"/>
    </xf>
    <xf numFmtId="0" fontId="7" fillId="0" borderId="7" xfId="0" applyFont="1" applyBorder="1"/>
    <xf numFmtId="0" fontId="1" fillId="0" borderId="11" xfId="0" applyFont="1" applyBorder="1"/>
    <xf numFmtId="0" fontId="1" fillId="0" borderId="5" xfId="0" applyFont="1" applyBorder="1"/>
    <xf numFmtId="10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9" xfId="0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164" fontId="7" fillId="0" borderId="7" xfId="2" applyFont="1" applyBorder="1" applyAlignment="1">
      <alignment horizontal="right"/>
    </xf>
    <xf numFmtId="164" fontId="4" fillId="0" borderId="9" xfId="2" applyFont="1" applyBorder="1" applyAlignment="1"/>
    <xf numFmtId="164" fontId="5" fillId="0" borderId="9" xfId="2" applyFont="1" applyBorder="1" applyAlignment="1"/>
    <xf numFmtId="0" fontId="4" fillId="0" borderId="9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/>
    <xf numFmtId="0" fontId="1" fillId="0" borderId="17" xfId="0" applyFont="1" applyBorder="1"/>
    <xf numFmtId="0" fontId="1" fillId="0" borderId="14" xfId="0" applyFont="1" applyBorder="1"/>
    <xf numFmtId="0" fontId="1" fillId="0" borderId="18" xfId="0" applyFont="1" applyBorder="1"/>
    <xf numFmtId="164" fontId="1" fillId="0" borderId="19" xfId="2" applyFont="1" applyBorder="1" applyAlignment="1">
      <alignment horizontal="right"/>
    </xf>
    <xf numFmtId="0" fontId="1" fillId="0" borderId="19" xfId="0" applyFont="1" applyBorder="1"/>
    <xf numFmtId="0" fontId="1" fillId="0" borderId="21" xfId="0" applyFont="1" applyBorder="1"/>
    <xf numFmtId="0" fontId="6" fillId="0" borderId="20" xfId="0" applyFont="1" applyBorder="1"/>
    <xf numFmtId="165" fontId="1" fillId="0" borderId="2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4" fillId="0" borderId="9" xfId="0" applyNumberFormat="1" applyFont="1" applyBorder="1"/>
    <xf numFmtId="165" fontId="1" fillId="0" borderId="6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6" fillId="0" borderId="9" xfId="0" applyNumberFormat="1" applyFont="1" applyBorder="1"/>
    <xf numFmtId="165" fontId="4" fillId="0" borderId="13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5" fillId="0" borderId="9" xfId="2" applyNumberFormat="1" applyFont="1" applyBorder="1" applyAlignment="1"/>
    <xf numFmtId="166" fontId="4" fillId="0" borderId="9" xfId="2" applyNumberFormat="1" applyFont="1" applyBorder="1" applyAlignment="1"/>
    <xf numFmtId="166" fontId="7" fillId="0" borderId="7" xfId="2" applyNumberFormat="1" applyFont="1" applyBorder="1" applyAlignment="1">
      <alignment horizontal="right"/>
    </xf>
    <xf numFmtId="166" fontId="1" fillId="0" borderId="19" xfId="2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6" fontId="8" fillId="0" borderId="2" xfId="0" applyNumberFormat="1" applyFont="1" applyBorder="1"/>
    <xf numFmtId="166" fontId="1" fillId="0" borderId="2" xfId="2" applyNumberFormat="1" applyFont="1" applyBorder="1" applyAlignment="1"/>
    <xf numFmtId="166" fontId="1" fillId="0" borderId="2" xfId="0" applyNumberFormat="1" applyFont="1" applyBorder="1"/>
    <xf numFmtId="166" fontId="1" fillId="0" borderId="8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6" fillId="0" borderId="0" xfId="0" applyNumberFormat="1" applyFont="1"/>
    <xf numFmtId="0" fontId="1" fillId="0" borderId="6" xfId="0" applyFont="1" applyBorder="1"/>
    <xf numFmtId="0" fontId="11" fillId="0" borderId="7" xfId="0" applyFont="1" applyBorder="1"/>
    <xf numFmtId="166" fontId="1" fillId="0" borderId="25" xfId="0" applyNumberFormat="1" applyFont="1" applyBorder="1" applyAlignment="1">
      <alignment horizontal="right"/>
    </xf>
    <xf numFmtId="166" fontId="1" fillId="0" borderId="26" xfId="0" applyNumberFormat="1" applyFont="1" applyBorder="1" applyAlignment="1">
      <alignment horizontal="right"/>
    </xf>
    <xf numFmtId="166" fontId="1" fillId="0" borderId="26" xfId="2" applyNumberFormat="1" applyFont="1" applyFill="1" applyBorder="1" applyAlignment="1"/>
    <xf numFmtId="0" fontId="2" fillId="0" borderId="0" xfId="0" applyFont="1" applyAlignment="1">
      <alignment horizontal="center"/>
    </xf>
    <xf numFmtId="0" fontId="7" fillId="0" borderId="25" xfId="0" applyFont="1" applyBorder="1"/>
    <xf numFmtId="0" fontId="13" fillId="0" borderId="2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0" xfId="0" applyFont="1" applyBorder="1" applyAlignment="1">
      <alignment horizontal="left"/>
    </xf>
    <xf numFmtId="0" fontId="12" fillId="0" borderId="2" xfId="0" applyFont="1" applyBorder="1"/>
    <xf numFmtId="0" fontId="13" fillId="0" borderId="2" xfId="0" applyFont="1" applyBorder="1"/>
    <xf numFmtId="0" fontId="12" fillId="0" borderId="0" xfId="0" applyFont="1"/>
    <xf numFmtId="0" fontId="16" fillId="0" borderId="33" xfId="0" applyFont="1" applyBorder="1"/>
    <xf numFmtId="0" fontId="17" fillId="0" borderId="2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24" xfId="0" applyFont="1" applyBorder="1"/>
    <xf numFmtId="0" fontId="18" fillId="0" borderId="7" xfId="0" applyFont="1" applyBorder="1"/>
    <xf numFmtId="0" fontId="18" fillId="0" borderId="7" xfId="0" applyFont="1" applyBorder="1" applyAlignment="1">
      <alignment horizontal="right"/>
    </xf>
    <xf numFmtId="0" fontId="18" fillId="0" borderId="7" xfId="0" applyFont="1" applyBorder="1" applyAlignment="1">
      <alignment horizontal="left"/>
    </xf>
    <xf numFmtId="165" fontId="18" fillId="0" borderId="7" xfId="0" applyNumberFormat="1" applyFont="1" applyBorder="1" applyAlignment="1">
      <alignment horizontal="right"/>
    </xf>
    <xf numFmtId="10" fontId="18" fillId="2" borderId="28" xfId="0" applyNumberFormat="1" applyFont="1" applyFill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8" fillId="0" borderId="2" xfId="0" applyFont="1" applyBorder="1"/>
    <xf numFmtId="165" fontId="13" fillId="0" borderId="13" xfId="0" applyNumberFormat="1" applyFont="1" applyBorder="1" applyAlignment="1">
      <alignment horizontal="right"/>
    </xf>
    <xf numFmtId="0" fontId="18" fillId="0" borderId="2" xfId="0" applyFont="1" applyBorder="1" applyAlignment="1">
      <alignment horizontal="left"/>
    </xf>
    <xf numFmtId="165" fontId="18" fillId="0" borderId="2" xfId="0" applyNumberFormat="1" applyFont="1" applyBorder="1" applyAlignment="1">
      <alignment horizontal="right"/>
    </xf>
    <xf numFmtId="0" fontId="12" fillId="0" borderId="9" xfId="0" applyFont="1" applyBorder="1"/>
    <xf numFmtId="3" fontId="18" fillId="0" borderId="2" xfId="0" applyNumberFormat="1" applyFont="1" applyBorder="1"/>
    <xf numFmtId="165" fontId="13" fillId="0" borderId="2" xfId="0" applyNumberFormat="1" applyFont="1" applyBorder="1"/>
    <xf numFmtId="0" fontId="18" fillId="0" borderId="21" xfId="0" applyFont="1" applyBorder="1"/>
    <xf numFmtId="0" fontId="12" fillId="0" borderId="20" xfId="0" applyFont="1" applyBorder="1"/>
    <xf numFmtId="0" fontId="18" fillId="0" borderId="30" xfId="0" applyFont="1" applyBorder="1" applyAlignment="1">
      <alignment horizontal="right"/>
    </xf>
    <xf numFmtId="0" fontId="18" fillId="0" borderId="30" xfId="0" applyFont="1" applyBorder="1"/>
    <xf numFmtId="165" fontId="18" fillId="0" borderId="30" xfId="0" applyNumberFormat="1" applyFont="1" applyBorder="1" applyAlignment="1">
      <alignment horizontal="right"/>
    </xf>
    <xf numFmtId="0" fontId="17" fillId="0" borderId="7" xfId="0" applyFont="1" applyBorder="1"/>
    <xf numFmtId="164" fontId="17" fillId="0" borderId="7" xfId="2" applyFont="1" applyBorder="1" applyAlignment="1">
      <alignment horizontal="right"/>
    </xf>
    <xf numFmtId="0" fontId="18" fillId="0" borderId="4" xfId="0" applyFont="1" applyBorder="1"/>
    <xf numFmtId="0" fontId="18" fillId="0" borderId="18" xfId="0" applyFont="1" applyBorder="1"/>
    <xf numFmtId="0" fontId="18" fillId="0" borderId="5" xfId="0" applyFont="1" applyBorder="1"/>
    <xf numFmtId="164" fontId="18" fillId="0" borderId="19" xfId="2" applyFont="1" applyBorder="1" applyAlignment="1">
      <alignment horizontal="right"/>
    </xf>
    <xf numFmtId="10" fontId="18" fillId="0" borderId="6" xfId="0" applyNumberFormat="1" applyFont="1" applyBorder="1" applyAlignment="1">
      <alignment horizontal="right"/>
    </xf>
    <xf numFmtId="0" fontId="17" fillId="0" borderId="26" xfId="0" applyFont="1" applyBorder="1"/>
    <xf numFmtId="0" fontId="12" fillId="0" borderId="15" xfId="0" applyFont="1" applyBorder="1"/>
    <xf numFmtId="0" fontId="19" fillId="0" borderId="15" xfId="0" applyFont="1" applyBorder="1"/>
    <xf numFmtId="10" fontId="18" fillId="2" borderId="8" xfId="0" applyNumberFormat="1" applyFont="1" applyFill="1" applyBorder="1" applyAlignment="1">
      <alignment horizontal="right"/>
    </xf>
    <xf numFmtId="0" fontId="12" fillId="0" borderId="25" xfId="0" applyFont="1" applyBorder="1"/>
    <xf numFmtId="9" fontId="13" fillId="0" borderId="7" xfId="0" applyNumberFormat="1" applyFont="1" applyBorder="1"/>
    <xf numFmtId="165" fontId="18" fillId="0" borderId="21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37" xfId="0" applyNumberFormat="1" applyFont="1" applyBorder="1" applyAlignment="1">
      <alignment horizontal="right"/>
    </xf>
    <xf numFmtId="0" fontId="12" fillId="0" borderId="13" xfId="0" applyFont="1" applyBorder="1"/>
    <xf numFmtId="164" fontId="19" fillId="0" borderId="38" xfId="2" applyFont="1" applyBorder="1" applyAlignment="1"/>
    <xf numFmtId="166" fontId="13" fillId="0" borderId="21" xfId="2" applyNumberFormat="1" applyFont="1" applyBorder="1" applyAlignment="1"/>
    <xf numFmtId="0" fontId="17" fillId="0" borderId="16" xfId="0" applyFont="1" applyBorder="1"/>
    <xf numFmtId="0" fontId="13" fillId="0" borderId="0" xfId="0" applyFont="1"/>
    <xf numFmtId="0" fontId="19" fillId="0" borderId="2" xfId="0" applyFont="1" applyBorder="1"/>
    <xf numFmtId="166" fontId="19" fillId="0" borderId="2" xfId="0" applyNumberFormat="1" applyFont="1" applyBorder="1"/>
    <xf numFmtId="0" fontId="19" fillId="0" borderId="8" xfId="0" applyFont="1" applyBorder="1"/>
    <xf numFmtId="166" fontId="20" fillId="0" borderId="8" xfId="0" applyNumberFormat="1" applyFont="1" applyBorder="1"/>
    <xf numFmtId="166" fontId="9" fillId="0" borderId="24" xfId="0" applyNumberFormat="1" applyFont="1" applyBorder="1"/>
    <xf numFmtId="9" fontId="19" fillId="0" borderId="2" xfId="0" applyNumberFormat="1" applyFont="1" applyBorder="1"/>
    <xf numFmtId="0" fontId="17" fillId="0" borderId="39" xfId="0" applyFont="1" applyBorder="1"/>
    <xf numFmtId="0" fontId="17" fillId="0" borderId="31" xfId="0" applyFont="1" applyBorder="1"/>
    <xf numFmtId="165" fontId="13" fillId="0" borderId="13" xfId="0" applyNumberFormat="1" applyFont="1" applyBorder="1"/>
    <xf numFmtId="10" fontId="13" fillId="0" borderId="8" xfId="0" applyNumberFormat="1" applyFont="1" applyBorder="1"/>
    <xf numFmtId="10" fontId="13" fillId="0" borderId="25" xfId="0" applyNumberFormat="1" applyFont="1" applyBorder="1"/>
    <xf numFmtId="10" fontId="13" fillId="0" borderId="7" xfId="0" applyNumberFormat="1" applyFont="1" applyBorder="1"/>
    <xf numFmtId="10" fontId="1" fillId="0" borderId="0" xfId="0" applyNumberFormat="1" applyFont="1" applyAlignment="1">
      <alignment horizontal="right"/>
    </xf>
    <xf numFmtId="10" fontId="6" fillId="0" borderId="0" xfId="0" applyNumberFormat="1" applyFont="1"/>
    <xf numFmtId="166" fontId="11" fillId="0" borderId="27" xfId="0" applyNumberFormat="1" applyFont="1" applyBorder="1"/>
    <xf numFmtId="0" fontId="10" fillId="0" borderId="7" xfId="0" applyFont="1" applyBorder="1"/>
    <xf numFmtId="166" fontId="11" fillId="0" borderId="2" xfId="0" applyNumberFormat="1" applyFont="1" applyBorder="1"/>
    <xf numFmtId="0" fontId="13" fillId="0" borderId="23" xfId="0" applyFont="1" applyBorder="1"/>
    <xf numFmtId="0" fontId="18" fillId="0" borderId="27" xfId="0" applyFont="1" applyBorder="1"/>
    <xf numFmtId="0" fontId="9" fillId="0" borderId="22" xfId="0" applyFont="1" applyBorder="1" applyAlignment="1"/>
    <xf numFmtId="0" fontId="9" fillId="0" borderId="23" xfId="0" applyFont="1" applyBorder="1" applyAlignment="1"/>
    <xf numFmtId="0" fontId="9" fillId="0" borderId="24" xfId="0" applyFont="1" applyBorder="1" applyAlignment="1"/>
    <xf numFmtId="0" fontId="4" fillId="0" borderId="8" xfId="0" applyFont="1" applyBorder="1"/>
    <xf numFmtId="0" fontId="4" fillId="0" borderId="2" xfId="0" applyFont="1" applyBorder="1"/>
    <xf numFmtId="0" fontId="13" fillId="0" borderId="8" xfId="0" applyFont="1" applyBorder="1"/>
    <xf numFmtId="0" fontId="4" fillId="0" borderId="8" xfId="0" applyFont="1" applyBorder="1" applyAlignment="1">
      <alignment horizontal="left"/>
    </xf>
    <xf numFmtId="0" fontId="18" fillId="0" borderId="8" xfId="0" applyFont="1" applyBorder="1" applyAlignment="1">
      <alignment horizontal="right"/>
    </xf>
    <xf numFmtId="165" fontId="18" fillId="0" borderId="8" xfId="0" applyNumberFormat="1" applyFont="1" applyBorder="1" applyAlignment="1">
      <alignment horizontal="right"/>
    </xf>
    <xf numFmtId="165" fontId="18" fillId="0" borderId="9" xfId="0" applyNumberFormat="1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3" fillId="0" borderId="9" xfId="0" applyFont="1" applyBorder="1" applyAlignment="1">
      <alignment horizontal="left"/>
    </xf>
    <xf numFmtId="0" fontId="18" fillId="0" borderId="41" xfId="0" applyFont="1" applyBorder="1" applyAlignment="1">
      <alignment horizontal="right"/>
    </xf>
    <xf numFmtId="0" fontId="13" fillId="0" borderId="41" xfId="0" applyFont="1" applyBorder="1" applyAlignment="1">
      <alignment horizontal="left"/>
    </xf>
    <xf numFmtId="0" fontId="18" fillId="0" borderId="41" xfId="0" applyFont="1" applyBorder="1"/>
    <xf numFmtId="165" fontId="18" fillId="0" borderId="41" xfId="0" applyNumberFormat="1" applyFont="1" applyBorder="1" applyAlignment="1">
      <alignment horizontal="right"/>
    </xf>
    <xf numFmtId="165" fontId="18" fillId="0" borderId="42" xfId="0" applyNumberFormat="1" applyFont="1" applyBorder="1" applyAlignment="1">
      <alignment horizontal="right"/>
    </xf>
    <xf numFmtId="165" fontId="18" fillId="0" borderId="44" xfId="0" applyNumberFormat="1" applyFont="1" applyBorder="1" applyAlignment="1">
      <alignment horizontal="right"/>
    </xf>
    <xf numFmtId="165" fontId="18" fillId="0" borderId="45" xfId="0" applyNumberFormat="1" applyFont="1" applyBorder="1" applyAlignment="1">
      <alignment horizontal="right"/>
    </xf>
    <xf numFmtId="165" fontId="18" fillId="0" borderId="46" xfId="0" applyNumberFormat="1" applyFont="1" applyBorder="1" applyAlignment="1">
      <alignment horizontal="right"/>
    </xf>
    <xf numFmtId="0" fontId="12" fillId="0" borderId="48" xfId="0" applyFont="1" applyBorder="1"/>
    <xf numFmtId="0" fontId="13" fillId="0" borderId="48" xfId="0" applyFont="1" applyBorder="1" applyAlignment="1">
      <alignment horizontal="left"/>
    </xf>
    <xf numFmtId="165" fontId="18" fillId="0" borderId="49" xfId="0" applyNumberFormat="1" applyFont="1" applyBorder="1" applyAlignment="1">
      <alignment horizontal="right"/>
    </xf>
    <xf numFmtId="0" fontId="12" fillId="0" borderId="14" xfId="0" applyFont="1" applyBorder="1"/>
    <xf numFmtId="165" fontId="18" fillId="0" borderId="14" xfId="0" applyNumberFormat="1" applyFont="1" applyBorder="1" applyAlignment="1">
      <alignment horizontal="right"/>
    </xf>
    <xf numFmtId="0" fontId="18" fillId="0" borderId="50" xfId="0" applyFont="1" applyBorder="1" applyAlignment="1">
      <alignment horizontal="right"/>
    </xf>
    <xf numFmtId="0" fontId="4" fillId="0" borderId="50" xfId="0" applyFont="1" applyBorder="1" applyAlignment="1">
      <alignment horizontal="left"/>
    </xf>
    <xf numFmtId="0" fontId="4" fillId="0" borderId="50" xfId="0" applyFont="1" applyBorder="1"/>
    <xf numFmtId="165" fontId="18" fillId="0" borderId="50" xfId="0" applyNumberFormat="1" applyFont="1" applyBorder="1" applyAlignment="1">
      <alignment horizontal="right"/>
    </xf>
    <xf numFmtId="165" fontId="18" fillId="0" borderId="51" xfId="0" applyNumberFormat="1" applyFont="1" applyBorder="1" applyAlignment="1">
      <alignment horizontal="right"/>
    </xf>
    <xf numFmtId="0" fontId="22" fillId="0" borderId="32" xfId="0" applyFont="1" applyBorder="1"/>
    <xf numFmtId="0" fontId="23" fillId="0" borderId="32" xfId="0" applyFont="1" applyBorder="1"/>
    <xf numFmtId="0" fontId="22" fillId="0" borderId="29" xfId="0" applyFont="1" applyBorder="1"/>
    <xf numFmtId="0" fontId="22" fillId="0" borderId="40" xfId="0" applyFont="1" applyBorder="1"/>
    <xf numFmtId="0" fontId="23" fillId="0" borderId="43" xfId="0" applyFont="1" applyBorder="1"/>
    <xf numFmtId="0" fontId="23" fillId="0" borderId="47" xfId="0" applyFont="1" applyBorder="1"/>
    <xf numFmtId="0" fontId="4" fillId="0" borderId="22" xfId="0" applyFont="1" applyBorder="1"/>
    <xf numFmtId="167" fontId="13" fillId="0" borderId="0" xfId="0" applyNumberFormat="1" applyFont="1"/>
    <xf numFmtId="165" fontId="10" fillId="0" borderId="46" xfId="0" applyNumberFormat="1" applyFont="1" applyBorder="1" applyAlignment="1">
      <alignment horizontal="right"/>
    </xf>
    <xf numFmtId="165" fontId="2" fillId="0" borderId="46" xfId="0" applyNumberFormat="1" applyFont="1" applyBorder="1" applyAlignment="1">
      <alignment horizontal="right"/>
    </xf>
    <xf numFmtId="0" fontId="13" fillId="0" borderId="25" xfId="0" applyFont="1" applyBorder="1" applyAlignment="1">
      <alignment horizontal="left"/>
    </xf>
    <xf numFmtId="0" fontId="1" fillId="0" borderId="15" xfId="0" applyFont="1" applyBorder="1"/>
    <xf numFmtId="0" fontId="7" fillId="0" borderId="15" xfId="0" applyFont="1" applyBorder="1"/>
    <xf numFmtId="166" fontId="4" fillId="0" borderId="25" xfId="0" applyNumberFormat="1" applyFont="1" applyBorder="1"/>
    <xf numFmtId="0" fontId="1" fillId="0" borderId="55" xfId="0" applyFont="1" applyBorder="1"/>
    <xf numFmtId="0" fontId="1" fillId="0" borderId="25" xfId="0" applyFont="1" applyBorder="1"/>
    <xf numFmtId="0" fontId="1" fillId="0" borderId="56" xfId="0" applyFont="1" applyBorder="1"/>
    <xf numFmtId="166" fontId="4" fillId="0" borderId="56" xfId="0" applyNumberFormat="1" applyFont="1" applyBorder="1"/>
    <xf numFmtId="0" fontId="17" fillId="0" borderId="15" xfId="0" applyFont="1" applyBorder="1"/>
    <xf numFmtId="0" fontId="9" fillId="0" borderId="52" xfId="0" applyFont="1" applyBorder="1" applyAlignment="1"/>
    <xf numFmtId="0" fontId="12" fillId="0" borderId="53" xfId="0" applyFont="1" applyBorder="1"/>
    <xf numFmtId="0" fontId="12" fillId="0" borderId="54" xfId="0" applyFont="1" applyBorder="1"/>
    <xf numFmtId="166" fontId="1" fillId="0" borderId="56" xfId="0" applyNumberFormat="1" applyFont="1" applyBorder="1" applyAlignment="1">
      <alignment horizontal="right"/>
    </xf>
    <xf numFmtId="16" fontId="12" fillId="0" borderId="0" xfId="0" applyNumberFormat="1" applyFont="1"/>
    <xf numFmtId="0" fontId="4" fillId="0" borderId="2" xfId="0" applyFont="1" applyBorder="1" applyAlignment="1">
      <alignment horizontal="left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9" fontId="2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/>
    <xf numFmtId="169" fontId="12" fillId="0" borderId="9" xfId="0" applyNumberFormat="1" applyFont="1" applyBorder="1"/>
    <xf numFmtId="176" fontId="13" fillId="0" borderId="2" xfId="2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E8-454D-849C-4DC6061AF4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E8-454D-849C-4DC6061AF4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E8-454D-849C-4DC6061AF4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E8-454D-849C-4DC6061AF4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E8-454D-849C-4DC6061AF40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E8-454D-849C-4DC6061AF40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E8-454D-849C-4DC6061AF40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54-4522-BA1F-274FEA7D047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54-4522-BA1F-274FEA7D047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54-4522-BA1F-274FEA7D047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1B6-49B6-8F9E-8EFC516427B6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E8-454D-849C-4DC6061AF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2022 sep-dec'!$E$54:$E$64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2022 sep-dec'!$F$54:$F$64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671.0958333333333</c:v>
                </c:pt>
                <c:pt idx="3">
                  <c:v>218</c:v>
                </c:pt>
                <c:pt idx="4">
                  <c:v>2683.875</c:v>
                </c:pt>
                <c:pt idx="5">
                  <c:v>562.66666666666663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2-4979-AED3-85E75E74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971D0-D698-A783-41E2-9EED8B2A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30372</xdr:colOff>
      <xdr:row>39</xdr:row>
      <xdr:rowOff>158439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0E9BC-A56A-F66B-8464-829111EA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16819"/>
          <a:ext cx="6231147" cy="34566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CB84-8BE1-41C8-B1B7-D933F06EAB58}">
  <dimension ref="B2:O78"/>
  <sheetViews>
    <sheetView tabSelected="1" topLeftCell="A39" zoomScale="85" zoomScaleNormal="85" workbookViewId="0">
      <selection activeCell="F54" sqref="F54:F64"/>
    </sheetView>
  </sheetViews>
  <sheetFormatPr defaultColWidth="9.140625" defaultRowHeight="12.75" x14ac:dyDescent="0.2"/>
  <cols>
    <col min="1" max="1" width="9.140625" style="83"/>
    <col min="2" max="2" width="16.140625" style="83" customWidth="1"/>
    <col min="3" max="3" width="21.140625" style="83" customWidth="1"/>
    <col min="4" max="4" width="19" style="83" customWidth="1"/>
    <col min="5" max="5" width="2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7" style="83" customWidth="1"/>
    <col min="13" max="13" width="15.28515625" style="83" customWidth="1"/>
    <col min="14" max="14" width="22.85546875" style="83" customWidth="1"/>
    <col min="15" max="15" width="24.85546875" style="83" customWidth="1"/>
    <col min="16" max="16384" width="9.140625" style="83"/>
  </cols>
  <sheetData>
    <row r="2" spans="2:15" ht="26.25" x14ac:dyDescent="0.4">
      <c r="B2" s="207" t="s">
        <v>0</v>
      </c>
      <c r="C2" s="208"/>
      <c r="D2" s="208"/>
      <c r="E2" s="208"/>
      <c r="F2" s="208"/>
      <c r="G2" s="208"/>
      <c r="H2" s="209"/>
      <c r="K2" s="210" t="s">
        <v>1</v>
      </c>
      <c r="L2" s="211"/>
      <c r="M2" s="211"/>
      <c r="N2" s="211"/>
      <c r="O2" s="212"/>
    </row>
    <row r="3" spans="2:15" ht="15" x14ac:dyDescent="0.25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90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0.30835906111128614</v>
      </c>
      <c r="K4" s="94">
        <v>12</v>
      </c>
      <c r="L4" s="95" t="s">
        <v>17</v>
      </c>
      <c r="M4" s="96">
        <v>23000</v>
      </c>
      <c r="N4" s="120">
        <f t="shared" ref="N4:N5" si="1">K4*M4</f>
        <v>276000</v>
      </c>
      <c r="O4" s="117">
        <f>N4/$N$13</f>
        <v>0.52776502983019735</v>
      </c>
    </row>
    <row r="5" spans="2:15" ht="15" x14ac:dyDescent="0.25">
      <c r="B5" s="178"/>
      <c r="C5" s="94">
        <v>1</v>
      </c>
      <c r="D5" s="97" t="s">
        <v>18</v>
      </c>
      <c r="E5" s="95" t="s">
        <v>19</v>
      </c>
      <c r="F5" s="98">
        <f>460+18</f>
        <v>478</v>
      </c>
      <c r="G5" s="98">
        <f t="shared" si="0"/>
        <v>478</v>
      </c>
      <c r="H5" s="93">
        <f t="shared" ref="H5:H46" si="2">G5/$G$48</f>
        <v>2.0544686046036344E-3</v>
      </c>
      <c r="K5" s="4">
        <v>12</v>
      </c>
      <c r="L5" s="1" t="s">
        <v>20</v>
      </c>
      <c r="M5" s="57">
        <v>140</v>
      </c>
      <c r="N5" s="121">
        <f t="shared" si="1"/>
        <v>1680</v>
      </c>
      <c r="O5" s="117">
        <f t="shared" ref="O5:O11" si="3">N5/$N$13</f>
        <v>3.2124827902707664E-3</v>
      </c>
    </row>
    <row r="6" spans="2:15" ht="15" x14ac:dyDescent="0.25">
      <c r="B6" s="178"/>
      <c r="C6" s="94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2.5659367300175095E-3</v>
      </c>
      <c r="K6" s="4">
        <v>12</v>
      </c>
      <c r="L6" s="1" t="s">
        <v>22</v>
      </c>
      <c r="M6" s="55">
        <v>20200</v>
      </c>
      <c r="N6" s="121">
        <f t="shared" ref="N6:N7" si="4">K6*M6</f>
        <v>242400</v>
      </c>
      <c r="O6" s="117">
        <f t="shared" si="3"/>
        <v>0.46351537402478199</v>
      </c>
    </row>
    <row r="7" spans="2:15" ht="15" x14ac:dyDescent="0.25">
      <c r="B7" s="178"/>
      <c r="C7" s="94">
        <v>4</v>
      </c>
      <c r="D7" s="97" t="s">
        <v>15</v>
      </c>
      <c r="E7" s="95" t="s">
        <v>23</v>
      </c>
      <c r="F7" s="98">
        <v>726.75</v>
      </c>
      <c r="G7" s="98">
        <f t="shared" si="0"/>
        <v>2907</v>
      </c>
      <c r="H7" s="93">
        <f t="shared" si="2"/>
        <v>1.2494435635110386E-2</v>
      </c>
      <c r="K7" s="4">
        <v>12</v>
      </c>
      <c r="L7" s="1" t="s">
        <v>20</v>
      </c>
      <c r="M7" s="57">
        <v>140</v>
      </c>
      <c r="N7" s="121">
        <f t="shared" si="4"/>
        <v>1680</v>
      </c>
      <c r="O7" s="117">
        <f t="shared" si="3"/>
        <v>3.2124827902707664E-3</v>
      </c>
    </row>
    <row r="8" spans="2:15" ht="15" x14ac:dyDescent="0.25">
      <c r="B8" s="178"/>
      <c r="C8" s="94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1.8911426485891194E-2</v>
      </c>
      <c r="K8" s="18">
        <v>12</v>
      </c>
      <c r="L8" s="5" t="s">
        <v>25</v>
      </c>
      <c r="M8" s="58">
        <v>100</v>
      </c>
      <c r="N8" s="122">
        <f t="shared" ref="N8" si="5">K8*M8</f>
        <v>1200</v>
      </c>
      <c r="O8" s="117">
        <f t="shared" si="3"/>
        <v>2.294630564479119E-3</v>
      </c>
    </row>
    <row r="9" spans="2:15" ht="15" x14ac:dyDescent="0.25">
      <c r="B9" s="178"/>
      <c r="C9" s="94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8.5961029481323612E-4</v>
      </c>
      <c r="K9" s="81"/>
      <c r="L9" s="81"/>
      <c r="M9" s="81"/>
      <c r="N9" s="123"/>
      <c r="O9" s="117">
        <f t="shared" si="3"/>
        <v>0</v>
      </c>
    </row>
    <row r="10" spans="2:15" ht="15" x14ac:dyDescent="0.25">
      <c r="B10" s="178"/>
      <c r="C10" s="95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1.6313254369818189E-2</v>
      </c>
      <c r="K10" s="81"/>
      <c r="L10" s="81"/>
      <c r="M10" s="81"/>
      <c r="N10" s="123"/>
      <c r="O10" s="117">
        <f t="shared" si="3"/>
        <v>0</v>
      </c>
    </row>
    <row r="11" spans="2:15" ht="15" x14ac:dyDescent="0.25">
      <c r="B11" s="178"/>
      <c r="C11" s="95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4.2980514740661802E-3</v>
      </c>
      <c r="K11" s="81"/>
      <c r="L11" s="81"/>
      <c r="M11" s="81"/>
      <c r="N11" s="123"/>
      <c r="O11" s="117">
        <f t="shared" si="3"/>
        <v>0</v>
      </c>
    </row>
    <row r="12" spans="2:15" ht="15" x14ac:dyDescent="0.25">
      <c r="B12" s="178"/>
      <c r="C12" s="82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6.6533836818544476E-3</v>
      </c>
      <c r="K12" s="115"/>
      <c r="L12" s="116" t="s">
        <v>31</v>
      </c>
      <c r="M12" s="115"/>
      <c r="N12" s="124">
        <f>SUM(N4:N11)/12</f>
        <v>43580</v>
      </c>
      <c r="O12" s="118"/>
    </row>
    <row r="13" spans="2:15" ht="15" x14ac:dyDescent="0.25">
      <c r="B13" s="178"/>
      <c r="C13" s="94">
        <v>12</v>
      </c>
      <c r="D13" s="78" t="s">
        <v>90</v>
      </c>
      <c r="E13" s="82" t="s">
        <v>35</v>
      </c>
      <c r="F13" s="98">
        <v>79</v>
      </c>
      <c r="G13" s="98">
        <f t="shared" ref="G13:G15" si="6">C13*F13</f>
        <v>948</v>
      </c>
      <c r="H13" s="93">
        <f t="shared" si="2"/>
        <v>4.0745527974147388E-3</v>
      </c>
      <c r="K13" s="99"/>
      <c r="L13" s="102" t="s">
        <v>34</v>
      </c>
      <c r="M13" s="103"/>
      <c r="N13" s="125">
        <f>N12*12</f>
        <v>522960</v>
      </c>
      <c r="O13" s="119">
        <f>SUM(O4:O11)</f>
        <v>0.99999999999999989</v>
      </c>
    </row>
    <row r="14" spans="2:15" ht="15.75" thickBot="1" x14ac:dyDescent="0.3">
      <c r="B14" s="178"/>
      <c r="C14" s="18">
        <v>12</v>
      </c>
      <c r="D14" s="153" t="s">
        <v>90</v>
      </c>
      <c r="E14" s="150" t="s">
        <v>36</v>
      </c>
      <c r="F14" s="48">
        <v>39</v>
      </c>
      <c r="G14" s="48">
        <f t="shared" si="6"/>
        <v>468</v>
      </c>
      <c r="H14" s="93">
        <f t="shared" si="2"/>
        <v>2.0114880898629726E-3</v>
      </c>
    </row>
    <row r="15" spans="2:15" ht="24" thickBot="1" x14ac:dyDescent="0.4">
      <c r="B15" s="178"/>
      <c r="C15" s="36">
        <v>1</v>
      </c>
      <c r="D15" s="36" t="s">
        <v>28</v>
      </c>
      <c r="E15" s="36" t="s">
        <v>106</v>
      </c>
      <c r="F15" s="48">
        <f>12*79+9</f>
        <v>957</v>
      </c>
      <c r="G15" s="48">
        <f t="shared" si="6"/>
        <v>957</v>
      </c>
      <c r="H15" s="93">
        <f t="shared" si="2"/>
        <v>4.1132352606813348E-3</v>
      </c>
      <c r="K15" s="205" t="s">
        <v>37</v>
      </c>
      <c r="L15" s="206"/>
      <c r="M15" s="206"/>
      <c r="N15" s="213"/>
    </row>
    <row r="16" spans="2:15" ht="15" x14ac:dyDescent="0.25">
      <c r="B16" s="178"/>
      <c r="C16" s="99"/>
      <c r="D16" s="99"/>
      <c r="E16" s="99"/>
      <c r="F16" s="99"/>
      <c r="G16" s="99"/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99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43580</v>
      </c>
      <c r="N17" s="63">
        <f>M17*12</f>
        <v>522960</v>
      </c>
    </row>
    <row r="18" spans="2:15" ht="15" x14ac:dyDescent="0.25">
      <c r="B18" s="178"/>
      <c r="C18" s="99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19388.630833333333</v>
      </c>
      <c r="N18" s="69">
        <f t="shared" ref="N18" si="7">M18*12</f>
        <v>232663.57</v>
      </c>
    </row>
    <row r="19" spans="2:15" ht="19.5" thickBot="1" x14ac:dyDescent="0.35">
      <c r="B19" s="178"/>
      <c r="C19" s="118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24191.369166666667</v>
      </c>
      <c r="N19" s="131">
        <f>N17-N18</f>
        <v>290296.43</v>
      </c>
    </row>
    <row r="20" spans="2:15" ht="21" x14ac:dyDescent="0.35">
      <c r="B20" s="179" t="s">
        <v>93</v>
      </c>
      <c r="C20" s="104">
        <v>1</v>
      </c>
      <c r="D20" s="80" t="s">
        <v>18</v>
      </c>
      <c r="E20" s="105" t="s">
        <v>43</v>
      </c>
      <c r="F20" s="106">
        <v>758.65</v>
      </c>
      <c r="G20" s="106">
        <f t="shared" ref="G20:G26" si="8">C20*F20</f>
        <v>758.65</v>
      </c>
      <c r="H20" s="93">
        <f t="shared" si="2"/>
        <v>3.2607167508003077E-3</v>
      </c>
      <c r="K20" s="128" t="s">
        <v>44</v>
      </c>
      <c r="L20" s="128"/>
      <c r="M20" s="214">
        <f>M19/M17*100%</f>
        <v>0.55510255086431082</v>
      </c>
      <c r="N20" s="214"/>
    </row>
    <row r="21" spans="2:15" ht="15" x14ac:dyDescent="0.25">
      <c r="B21" s="178"/>
      <c r="C21" s="94">
        <v>12</v>
      </c>
      <c r="D21" s="78" t="s">
        <v>45</v>
      </c>
      <c r="E21" s="95" t="s">
        <v>46</v>
      </c>
      <c r="F21" s="98">
        <v>109</v>
      </c>
      <c r="G21" s="98">
        <f t="shared" si="8"/>
        <v>1308</v>
      </c>
      <c r="H21" s="93">
        <f t="shared" si="2"/>
        <v>5.6218513280785641E-3</v>
      </c>
    </row>
    <row r="22" spans="2:15" ht="15" x14ac:dyDescent="0.25">
      <c r="B22" s="178"/>
      <c r="C22" s="94">
        <v>1</v>
      </c>
      <c r="D22" s="201" t="s">
        <v>105</v>
      </c>
      <c r="E22" s="95" t="s">
        <v>48</v>
      </c>
      <c r="F22" s="98">
        <v>500</v>
      </c>
      <c r="G22" s="98">
        <f t="shared" si="8"/>
        <v>500</v>
      </c>
      <c r="H22" s="93">
        <f t="shared" si="2"/>
        <v>2.1490257370330901E-3</v>
      </c>
    </row>
    <row r="23" spans="2:15" ht="23.25" x14ac:dyDescent="0.35">
      <c r="B23" s="178"/>
      <c r="C23" s="94">
        <v>4</v>
      </c>
      <c r="D23" s="78" t="s">
        <v>18</v>
      </c>
      <c r="E23" s="95" t="s">
        <v>49</v>
      </c>
      <c r="F23" s="98">
        <v>391</v>
      </c>
      <c r="G23" s="98">
        <f t="shared" si="8"/>
        <v>1564</v>
      </c>
      <c r="H23" s="93">
        <f t="shared" si="2"/>
        <v>6.7221525054395066E-3</v>
      </c>
      <c r="K23" s="205" t="s">
        <v>50</v>
      </c>
      <c r="L23" s="206"/>
      <c r="M23" s="206"/>
      <c r="N23" s="132">
        <f>M19</f>
        <v>24191.369166666667</v>
      </c>
    </row>
    <row r="24" spans="2:15" ht="15" x14ac:dyDescent="0.25">
      <c r="B24" s="178"/>
      <c r="C24" s="94">
        <v>12</v>
      </c>
      <c r="D24" s="201" t="s">
        <v>105</v>
      </c>
      <c r="E24" s="95" t="s">
        <v>51</v>
      </c>
      <c r="F24" s="98">
        <v>293</v>
      </c>
      <c r="G24" s="98">
        <f t="shared" si="8"/>
        <v>3516</v>
      </c>
      <c r="H24" s="93">
        <f t="shared" si="2"/>
        <v>1.5111948982816691E-2</v>
      </c>
      <c r="K24" s="7"/>
      <c r="L24" s="71"/>
      <c r="M24" s="26" t="s">
        <v>38</v>
      </c>
      <c r="N24" s="26" t="s">
        <v>39</v>
      </c>
    </row>
    <row r="25" spans="2:15" ht="15" x14ac:dyDescent="0.25">
      <c r="B25" s="178"/>
      <c r="C25" s="94">
        <v>12</v>
      </c>
      <c r="D25" s="78" t="s">
        <v>47</v>
      </c>
      <c r="E25" s="95" t="s">
        <v>52</v>
      </c>
      <c r="F25" s="98">
        <v>467</v>
      </c>
      <c r="G25" s="98">
        <f t="shared" si="8"/>
        <v>5604</v>
      </c>
      <c r="H25" s="93">
        <f t="shared" si="2"/>
        <v>2.4086280460666874E-2</v>
      </c>
      <c r="K25" s="5" t="s">
        <v>53</v>
      </c>
      <c r="L25" s="14"/>
      <c r="M25" s="68">
        <v>6000</v>
      </c>
      <c r="N25" s="67">
        <f>M25*12</f>
        <v>72000</v>
      </c>
    </row>
    <row r="26" spans="2:15" ht="15" x14ac:dyDescent="0.25">
      <c r="B26" s="178"/>
      <c r="C26" s="94">
        <v>12</v>
      </c>
      <c r="D26" s="78" t="s">
        <v>91</v>
      </c>
      <c r="E26" s="95" t="s">
        <v>54</v>
      </c>
      <c r="F26" s="98">
        <v>198</v>
      </c>
      <c r="G26" s="98">
        <f t="shared" si="8"/>
        <v>2376</v>
      </c>
      <c r="H26" s="93">
        <f t="shared" si="2"/>
        <v>1.0212170302381245E-2</v>
      </c>
      <c r="K26" s="1" t="s">
        <v>55</v>
      </c>
      <c r="L26" s="1"/>
      <c r="M26" s="63">
        <f>N23-M25-M27</f>
        <v>17191.369166666667</v>
      </c>
      <c r="N26" s="63">
        <f t="shared" ref="N26:N27" si="9">M26*12</f>
        <v>206296.43</v>
      </c>
    </row>
    <row r="27" spans="2:15" ht="15" x14ac:dyDescent="0.25">
      <c r="B27" s="178"/>
      <c r="C27" s="154"/>
      <c r="D27" s="79"/>
      <c r="E27" s="152"/>
      <c r="F27" s="155"/>
      <c r="G27" s="155"/>
      <c r="H27" s="93">
        <f t="shared" si="2"/>
        <v>0</v>
      </c>
      <c r="K27" s="151" t="s">
        <v>99</v>
      </c>
      <c r="L27" s="128"/>
      <c r="M27" s="68">
        <v>1000</v>
      </c>
      <c r="N27" s="63">
        <f t="shared" si="9"/>
        <v>12000</v>
      </c>
    </row>
    <row r="28" spans="2:15" ht="15" x14ac:dyDescent="0.25">
      <c r="B28" s="178"/>
      <c r="C28" s="99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17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94</v>
      </c>
      <c r="C30" s="159">
        <v>1</v>
      </c>
      <c r="D30" s="160" t="s">
        <v>18</v>
      </c>
      <c r="E30" s="161" t="s">
        <v>43</v>
      </c>
      <c r="F30" s="162">
        <v>860</v>
      </c>
      <c r="G30" s="163">
        <f t="shared" ref="G30:G36" si="10">C30*F30</f>
        <v>860</v>
      </c>
      <c r="H30" s="93">
        <f t="shared" si="2"/>
        <v>3.6963242676969154E-3</v>
      </c>
      <c r="K30" s="128"/>
      <c r="L30" s="128"/>
      <c r="M30" s="129"/>
      <c r="N30" s="129"/>
    </row>
    <row r="31" spans="2:15" ht="15.75" thickBot="1" x14ac:dyDescent="0.3">
      <c r="B31" s="181"/>
      <c r="C31" s="94">
        <v>12</v>
      </c>
      <c r="D31" s="78" t="s">
        <v>32</v>
      </c>
      <c r="E31" s="95" t="s">
        <v>57</v>
      </c>
      <c r="F31" s="98">
        <v>263</v>
      </c>
      <c r="G31" s="164">
        <f t="shared" si="10"/>
        <v>3156</v>
      </c>
      <c r="H31" s="93">
        <f t="shared" si="2"/>
        <v>1.3564650452152865E-2</v>
      </c>
    </row>
    <row r="32" spans="2:15" ht="24" thickBot="1" x14ac:dyDescent="0.4">
      <c r="B32" s="181"/>
      <c r="C32" s="94">
        <v>12</v>
      </c>
      <c r="D32" s="78" t="s">
        <v>45</v>
      </c>
      <c r="E32" s="95" t="s">
        <v>46</v>
      </c>
      <c r="F32" s="98">
        <v>109</v>
      </c>
      <c r="G32" s="164">
        <f t="shared" si="10"/>
        <v>1308</v>
      </c>
      <c r="H32" s="93">
        <f t="shared" si="2"/>
        <v>5.6218513280785641E-3</v>
      </c>
      <c r="K32" s="202" t="s">
        <v>58</v>
      </c>
      <c r="L32" s="203"/>
      <c r="M32" s="203"/>
      <c r="N32" s="204"/>
      <c r="O32" s="76"/>
    </row>
    <row r="33" spans="2:15" ht="15" x14ac:dyDescent="0.25">
      <c r="B33" s="181"/>
      <c r="C33" s="94">
        <v>1</v>
      </c>
      <c r="D33" s="78" t="s">
        <v>15</v>
      </c>
      <c r="E33" s="95" t="s">
        <v>59</v>
      </c>
      <c r="F33" s="98">
        <v>125</v>
      </c>
      <c r="G33" s="164">
        <f t="shared" si="10"/>
        <v>125</v>
      </c>
      <c r="H33" s="93">
        <f t="shared" si="2"/>
        <v>5.3725643425827252E-4</v>
      </c>
      <c r="K33" s="188"/>
      <c r="L33" s="189" t="s">
        <v>103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94">
        <v>12</v>
      </c>
      <c r="D34" s="201" t="s">
        <v>105</v>
      </c>
      <c r="E34" s="95" t="s">
        <v>51</v>
      </c>
      <c r="F34" s="98">
        <v>293</v>
      </c>
      <c r="G34" s="164">
        <f t="shared" si="10"/>
        <v>3516</v>
      </c>
      <c r="H34" s="93">
        <f t="shared" si="2"/>
        <v>1.5111948982816691E-2</v>
      </c>
      <c r="K34" s="191" t="s">
        <v>97</v>
      </c>
      <c r="L34" s="74">
        <f>M34/2</f>
        <v>5067.2529166666664</v>
      </c>
      <c r="M34" s="74">
        <f>SUM(G4:G38)/12</f>
        <v>10134.505833333333</v>
      </c>
      <c r="N34" s="73">
        <f>M34*12</f>
        <v>121614.06999999999</v>
      </c>
      <c r="O34" s="140"/>
    </row>
    <row r="35" spans="2:15" ht="15" x14ac:dyDescent="0.25">
      <c r="B35" s="181"/>
      <c r="C35" s="94">
        <v>12</v>
      </c>
      <c r="D35" s="78" t="s">
        <v>47</v>
      </c>
      <c r="E35" s="95" t="s">
        <v>52</v>
      </c>
      <c r="F35" s="98">
        <v>467</v>
      </c>
      <c r="G35" s="164">
        <f t="shared" si="10"/>
        <v>5604</v>
      </c>
      <c r="H35" s="93">
        <f t="shared" si="2"/>
        <v>2.4086280460666874E-2</v>
      </c>
      <c r="K35" s="192" t="s">
        <v>95</v>
      </c>
      <c r="L35" s="74">
        <f>M35</f>
        <v>3000</v>
      </c>
      <c r="M35" s="75">
        <f>M25/2</f>
        <v>3000</v>
      </c>
      <c r="N35" s="73">
        <f>M35*12</f>
        <v>36000</v>
      </c>
      <c r="O35" s="140"/>
    </row>
    <row r="36" spans="2:15" ht="15" x14ac:dyDescent="0.25">
      <c r="B36" s="181"/>
      <c r="C36" s="94">
        <v>12</v>
      </c>
      <c r="D36" s="78" t="s">
        <v>91</v>
      </c>
      <c r="E36" s="95" t="s">
        <v>54</v>
      </c>
      <c r="F36" s="98">
        <v>198</v>
      </c>
      <c r="G36" s="164">
        <f t="shared" si="10"/>
        <v>2376</v>
      </c>
      <c r="H36" s="93">
        <f t="shared" si="2"/>
        <v>1.0212170302381245E-2</v>
      </c>
      <c r="K36" s="192" t="s">
        <v>96</v>
      </c>
      <c r="L36" s="74">
        <f>M36</f>
        <v>3000</v>
      </c>
      <c r="M36" s="75">
        <f>M25/2</f>
        <v>3000</v>
      </c>
      <c r="N36" s="73">
        <f>M36*12</f>
        <v>36000</v>
      </c>
      <c r="O36" s="140"/>
    </row>
    <row r="37" spans="2:15" ht="15" x14ac:dyDescent="0.25">
      <c r="B37" s="181"/>
      <c r="C37" s="94"/>
      <c r="D37" s="78"/>
      <c r="E37" s="82"/>
      <c r="F37" s="98"/>
      <c r="G37" s="164"/>
      <c r="H37" s="93">
        <f t="shared" si="2"/>
        <v>0</v>
      </c>
      <c r="K37" s="192" t="s">
        <v>98</v>
      </c>
      <c r="L37" s="74">
        <f t="shared" ref="L37" si="11">M37/2</f>
        <v>4627.0625</v>
      </c>
      <c r="M37" s="74">
        <f>SUM(G39:G45)/12</f>
        <v>9254.125</v>
      </c>
      <c r="N37" s="73">
        <f>M37*12</f>
        <v>111049.5</v>
      </c>
      <c r="O37" s="140"/>
    </row>
    <row r="38" spans="2:15" ht="15.75" thickBot="1" x14ac:dyDescent="0.3">
      <c r="B38" s="182"/>
      <c r="C38" s="172"/>
      <c r="D38" s="173"/>
      <c r="E38" s="174"/>
      <c r="F38" s="175"/>
      <c r="G38" s="176"/>
      <c r="H38" s="93">
        <f t="shared" si="2"/>
        <v>0</v>
      </c>
      <c r="K38" s="192" t="s">
        <v>100</v>
      </c>
      <c r="L38" s="74">
        <f>M38</f>
        <v>500</v>
      </c>
      <c r="M38" s="190">
        <f>M27/2</f>
        <v>500</v>
      </c>
      <c r="N38" s="73">
        <f t="shared" ref="N38" si="12">M38*12</f>
        <v>6000</v>
      </c>
      <c r="O38" s="140"/>
    </row>
    <row r="39" spans="2:15" ht="15" x14ac:dyDescent="0.25">
      <c r="B39" s="180" t="s">
        <v>60</v>
      </c>
      <c r="C39" s="159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5.1576617688794166E-2</v>
      </c>
      <c r="K39" s="193" t="s">
        <v>101</v>
      </c>
      <c r="L39" s="199">
        <f>M39</f>
        <v>500</v>
      </c>
      <c r="M39" s="194">
        <f>M27/2</f>
        <v>500</v>
      </c>
      <c r="N39" s="73">
        <f t="shared" ref="N39" si="13">M39*12</f>
        <v>6000</v>
      </c>
      <c r="O39" s="140"/>
    </row>
    <row r="40" spans="2:15" ht="15.75" x14ac:dyDescent="0.25">
      <c r="B40" s="181"/>
      <c r="C40" s="94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0.15472985306638251</v>
      </c>
      <c r="K40" s="143" t="s">
        <v>64</v>
      </c>
      <c r="L40" s="72"/>
      <c r="M40" s="142">
        <f>SUM(M34:M39)</f>
        <v>26388.630833333333</v>
      </c>
      <c r="N40" s="144">
        <f>M40*12</f>
        <v>316663.57</v>
      </c>
      <c r="O40" s="141"/>
    </row>
    <row r="41" spans="2:15" ht="15" x14ac:dyDescent="0.25">
      <c r="B41" s="181"/>
      <c r="C41" s="82">
        <v>12</v>
      </c>
      <c r="D41" s="78" t="s">
        <v>28</v>
      </c>
      <c r="E41" s="82" t="s">
        <v>65</v>
      </c>
      <c r="F41" s="101">
        <v>2500</v>
      </c>
      <c r="G41" s="164">
        <f>C41*F41</f>
        <v>30000</v>
      </c>
      <c r="H41" s="93">
        <f t="shared" si="2"/>
        <v>0.12894154422198542</v>
      </c>
    </row>
    <row r="42" spans="2:15" ht="15" x14ac:dyDescent="0.25">
      <c r="B42" s="181"/>
      <c r="C42" s="94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0.12894154422198542</v>
      </c>
    </row>
    <row r="43" spans="2:15" ht="15" x14ac:dyDescent="0.25">
      <c r="B43" s="181"/>
      <c r="C43" s="154">
        <v>4</v>
      </c>
      <c r="D43" s="153" t="s">
        <v>32</v>
      </c>
      <c r="E43" s="150" t="s">
        <v>92</v>
      </c>
      <c r="F43" s="155">
        <v>200</v>
      </c>
      <c r="G43" s="165">
        <f>C43*F43</f>
        <v>800</v>
      </c>
      <c r="H43" s="93">
        <f t="shared" si="2"/>
        <v>3.4384411792529445E-3</v>
      </c>
    </row>
    <row r="44" spans="2:15" ht="15" x14ac:dyDescent="0.25">
      <c r="B44" s="181"/>
      <c r="C44" s="157">
        <v>2</v>
      </c>
      <c r="D44" s="158" t="s">
        <v>91</v>
      </c>
      <c r="E44" s="36" t="s">
        <v>75</v>
      </c>
      <c r="F44" s="156">
        <v>1000</v>
      </c>
      <c r="G44" s="166">
        <f t="shared" ref="G44" si="14">C44*F44</f>
        <v>2000</v>
      </c>
      <c r="H44" s="93">
        <f t="shared" si="2"/>
        <v>8.5961029481323604E-3</v>
      </c>
    </row>
    <row r="45" spans="2:15" ht="15" x14ac:dyDescent="0.25">
      <c r="B45" s="181"/>
      <c r="C45" s="95">
        <v>1</v>
      </c>
      <c r="D45" s="97" t="s">
        <v>28</v>
      </c>
      <c r="E45" s="100" t="s">
        <v>30</v>
      </c>
      <c r="F45" s="95">
        <f>499/2</f>
        <v>249.5</v>
      </c>
      <c r="G45" s="98">
        <f>C45*F45</f>
        <v>249.5</v>
      </c>
      <c r="H45" s="93">
        <f t="shared" si="2"/>
        <v>1.072363842779512E-3</v>
      </c>
    </row>
    <row r="46" spans="2:15" ht="15.75" thickBot="1" x14ac:dyDescent="0.3">
      <c r="B46" s="182"/>
      <c r="C46" s="167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19388.630833333333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111" t="s">
        <v>68</v>
      </c>
      <c r="F48" s="111"/>
      <c r="G48" s="185">
        <f>G47*12</f>
        <v>232663.57</v>
      </c>
      <c r="H48" s="113">
        <f>SUM(H4:H46)</f>
        <v>1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21.75" thickBot="1" x14ac:dyDescent="0.4">
      <c r="C50" s="183" t="s">
        <v>69</v>
      </c>
      <c r="D50" s="145"/>
      <c r="E50" s="145"/>
      <c r="F50" s="145"/>
      <c r="G50" s="186">
        <f>G48*25</f>
        <v>5816589.25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3.25" x14ac:dyDescent="0.35">
      <c r="B52" s="11" t="s">
        <v>104</v>
      </c>
      <c r="C52" s="127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00">
        <v>44893</v>
      </c>
      <c r="C53" s="127">
        <v>360</v>
      </c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00">
        <v>44875</v>
      </c>
      <c r="C54" s="127">
        <v>350</v>
      </c>
      <c r="D54" s="127"/>
      <c r="E54" s="82" t="s">
        <v>32</v>
      </c>
      <c r="F54" s="219" cm="1">
        <f t="array" ref="F54">SUM(_xlfn._xlws.FILTER($G$4:$G$45,$D$4:$D$45=E54))/12</f>
        <v>329.66666666666669</v>
      </c>
      <c r="G54" s="136">
        <f>F54*12</f>
        <v>3956</v>
      </c>
      <c r="H54" s="137">
        <f>F54/$G$47</f>
        <v>1.7003091631405811E-2</v>
      </c>
    </row>
    <row r="55" spans="2:14" ht="15" x14ac:dyDescent="0.25">
      <c r="B55" s="200">
        <v>44873</v>
      </c>
      <c r="C55" s="127">
        <v>451</v>
      </c>
      <c r="D55" s="127"/>
      <c r="E55" s="82" t="s">
        <v>15</v>
      </c>
      <c r="F55" s="219" cm="1">
        <f t="array" ref="F55">SUM(_xlfn._xlws.FILTER($G$4:$G$45,$D$4:$D$45=E55))/12</f>
        <v>6614.66</v>
      </c>
      <c r="G55" s="136">
        <f t="shared" ref="G55:G64" si="15">F55*12</f>
        <v>79375.92</v>
      </c>
      <c r="H55" s="138">
        <f t="shared" ref="H55:H64" si="16">F55/$G$47</f>
        <v>0.34116178996135921</v>
      </c>
    </row>
    <row r="56" spans="2:14" ht="15" x14ac:dyDescent="0.25">
      <c r="B56" s="200">
        <v>44869</v>
      </c>
      <c r="C56" s="127">
        <v>166</v>
      </c>
      <c r="D56" s="127"/>
      <c r="E56" s="82" t="s">
        <v>18</v>
      </c>
      <c r="F56" s="219" cm="1">
        <f t="array" ref="F56">SUM(_xlfn._xlws.FILTER($G$4:$G$45,$D$4:$D$45=E56))/12</f>
        <v>671.0958333333333</v>
      </c>
      <c r="G56" s="136">
        <f t="shared" si="15"/>
        <v>8053.15</v>
      </c>
      <c r="H56" s="138">
        <f t="shared" si="16"/>
        <v>3.461285322837606E-2</v>
      </c>
    </row>
    <row r="57" spans="2:14" ht="15" x14ac:dyDescent="0.25">
      <c r="B57" s="200">
        <v>44883</v>
      </c>
      <c r="C57" s="83">
        <v>356</v>
      </c>
      <c r="E57" s="82" t="s">
        <v>45</v>
      </c>
      <c r="F57" s="219" cm="1">
        <f t="array" ref="F57">SUM(_xlfn._xlws.FILTER($G$4:$G$45,$D$4:$D$45=E57))/12</f>
        <v>218</v>
      </c>
      <c r="G57" s="136">
        <f t="shared" si="15"/>
        <v>2616</v>
      </c>
      <c r="H57" s="138">
        <f t="shared" si="16"/>
        <v>1.1243702656157128E-2</v>
      </c>
    </row>
    <row r="58" spans="2:14" ht="15" x14ac:dyDescent="0.25">
      <c r="B58" s="200">
        <v>44845</v>
      </c>
      <c r="C58" s="83">
        <v>323</v>
      </c>
      <c r="E58" s="82" t="s">
        <v>28</v>
      </c>
      <c r="F58" s="219" cm="1">
        <f t="array" ref="F58">SUM(_xlfn._xlws.FILTER($G$4:$G$45,$D$4:$D$45=E58))/12</f>
        <v>2683.875</v>
      </c>
      <c r="G58" s="136">
        <f t="shared" si="15"/>
        <v>32206.5</v>
      </c>
      <c r="H58" s="138">
        <f t="shared" si="16"/>
        <v>0.13842519479951246</v>
      </c>
    </row>
    <row r="59" spans="2:14" ht="15" x14ac:dyDescent="0.25">
      <c r="C59" s="83">
        <f>SUM(C53:C58)</f>
        <v>2006</v>
      </c>
      <c r="E59" s="82" t="s">
        <v>91</v>
      </c>
      <c r="F59" s="219" cm="1">
        <f t="array" ref="F59">SUM(_xlfn._xlws.FILTER($G$4:$G$45,$D$4:$D$45=E59))/12</f>
        <v>562.66666666666663</v>
      </c>
      <c r="G59" s="136">
        <f t="shared" si="15"/>
        <v>6752</v>
      </c>
      <c r="H59" s="138">
        <f t="shared" si="16"/>
        <v>2.9020443552894851E-2</v>
      </c>
    </row>
    <row r="60" spans="2:14" ht="15" x14ac:dyDescent="0.25">
      <c r="E60" s="82" t="s">
        <v>90</v>
      </c>
      <c r="F60" s="219" cm="1">
        <f t="array" ref="F60">SUM(_xlfn._xlws.FILTER($G$4:$G$45,$D$4:$D$45=E60))/12</f>
        <v>247</v>
      </c>
      <c r="G60" s="136">
        <f t="shared" si="15"/>
        <v>2964</v>
      </c>
      <c r="H60" s="138">
        <f t="shared" si="16"/>
        <v>1.2739424569132159E-2</v>
      </c>
    </row>
    <row r="61" spans="2:14" ht="15" x14ac:dyDescent="0.25">
      <c r="E61" s="151" t="s">
        <v>66</v>
      </c>
      <c r="F61" s="219" cm="1">
        <f t="array" ref="F61">SUM(_xlfn._xlws.FILTER($G$4:$G$45,$D$4:$D$45=E61))/12</f>
        <v>2500</v>
      </c>
      <c r="G61" s="136">
        <f t="shared" si="15"/>
        <v>30000</v>
      </c>
      <c r="H61" s="138">
        <f t="shared" si="16"/>
        <v>0.12894154422198542</v>
      </c>
    </row>
    <row r="62" spans="2:14" ht="15" x14ac:dyDescent="0.25">
      <c r="E62" s="151" t="s">
        <v>105</v>
      </c>
      <c r="F62" s="219" cm="1">
        <f t="array" ref="F62">SUM(_xlfn._xlws.FILTER($G$4:$G$45,$D$4:$D$45=E62))/12</f>
        <v>627.66666666666663</v>
      </c>
      <c r="G62" s="136">
        <f t="shared" si="15"/>
        <v>7532</v>
      </c>
      <c r="H62" s="138">
        <f t="shared" si="16"/>
        <v>3.2372923702666472E-2</v>
      </c>
    </row>
    <row r="63" spans="2:14" ht="15" x14ac:dyDescent="0.25">
      <c r="E63" s="82" t="s">
        <v>47</v>
      </c>
      <c r="F63" s="219" cm="1">
        <f t="array" ref="F63">SUM(_xlfn._xlws.FILTER($G$4:$G$45,$D$4:$D$45=E63))/12</f>
        <v>934</v>
      </c>
      <c r="G63" s="136">
        <f t="shared" si="15"/>
        <v>11208</v>
      </c>
      <c r="H63" s="138">
        <f t="shared" si="16"/>
        <v>4.8172560921333756E-2</v>
      </c>
    </row>
    <row r="64" spans="2:14" ht="15" x14ac:dyDescent="0.25">
      <c r="E64" s="82" t="s">
        <v>61</v>
      </c>
      <c r="F64" s="219" cm="1">
        <f t="array" ref="F64">SUM(_xlfn._xlws.FILTER($G$4:$G$45,$D$4:$D$45=E64))/12</f>
        <v>4000</v>
      </c>
      <c r="G64" s="136">
        <f t="shared" si="15"/>
        <v>48000</v>
      </c>
      <c r="H64" s="138">
        <f t="shared" si="16"/>
        <v>0.20630647075517666</v>
      </c>
    </row>
    <row r="65" spans="5:8" ht="15" x14ac:dyDescent="0.25">
      <c r="E65" s="107" t="s">
        <v>67</v>
      </c>
      <c r="F65" s="107"/>
      <c r="G65" s="108">
        <f>(SUM(G54:G64)/12)</f>
        <v>19388.630833333333</v>
      </c>
      <c r="H65" s="138"/>
    </row>
    <row r="66" spans="5:8" ht="15" x14ac:dyDescent="0.25">
      <c r="E66" s="146" t="s">
        <v>68</v>
      </c>
      <c r="F66" s="111"/>
      <c r="G66" s="112">
        <f>G65*12</f>
        <v>232663.57</v>
      </c>
      <c r="H66" s="139">
        <f>SUM(H54:H64)</f>
        <v>1</v>
      </c>
    </row>
    <row r="68" spans="5:8" ht="13.5" thickBot="1" x14ac:dyDescent="0.25"/>
    <row r="69" spans="5:8" ht="24" thickBot="1" x14ac:dyDescent="0.4">
      <c r="E69" s="196" t="s">
        <v>102</v>
      </c>
      <c r="F69" s="197"/>
      <c r="G69" s="197"/>
      <c r="H69" s="198"/>
    </row>
    <row r="70" spans="5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5:8" ht="15" x14ac:dyDescent="0.25">
      <c r="E71" s="99" t="str" cm="1">
        <f t="array" ref="E71:E74">_xlfn._xlws.FILTER($E$4:$E$45,$D$4:$D$45=E58)</f>
        <v>Parkeringslicens</v>
      </c>
      <c r="F71" s="218">
        <f>G71/12</f>
        <v>83.333333333333329</v>
      </c>
      <c r="G71" s="218" cm="1">
        <f t="array" ref="G71:G74">_xlfn._xlws.FILTER($G$4:$G$45,$D$4:$D$45=E58)</f>
        <v>1000</v>
      </c>
      <c r="H71" s="137">
        <f>F71/$G$77</f>
        <v>3.1049632838091687E-2</v>
      </c>
    </row>
    <row r="72" spans="5:8" ht="15" x14ac:dyDescent="0.25">
      <c r="E72" s="99" t="str">
        <v>Ida/Tryg Bilpleje</v>
      </c>
      <c r="F72" s="218">
        <f t="shared" ref="F72:F74" si="17">G72/12</f>
        <v>79.75</v>
      </c>
      <c r="G72" s="218">
        <v>957</v>
      </c>
      <c r="H72" s="137">
        <f t="shared" ref="H72:H74" si="18">F72/$G$77</f>
        <v>2.9714498626053746E-2</v>
      </c>
    </row>
    <row r="73" spans="5:8" ht="15" x14ac:dyDescent="0.25">
      <c r="E73" s="99" t="str">
        <v>Benzin</v>
      </c>
      <c r="F73" s="218">
        <f t="shared" si="17"/>
        <v>2500</v>
      </c>
      <c r="G73" s="218">
        <v>30000</v>
      </c>
      <c r="H73" s="137">
        <f t="shared" si="18"/>
        <v>0.93148898514275069</v>
      </c>
    </row>
    <row r="74" spans="5:8" ht="15" x14ac:dyDescent="0.25">
      <c r="E74" s="99" t="str">
        <v>Servicesyn</v>
      </c>
      <c r="F74" s="218">
        <f t="shared" si="17"/>
        <v>20.791666666666668</v>
      </c>
      <c r="G74" s="218">
        <v>249.5</v>
      </c>
      <c r="H74" s="137">
        <f t="shared" si="18"/>
        <v>7.7468833931038771E-3</v>
      </c>
    </row>
    <row r="75" spans="5:8" x14ac:dyDescent="0.2">
      <c r="E75" s="99"/>
      <c r="F75" s="99"/>
      <c r="G75" s="99"/>
      <c r="H75" s="99"/>
    </row>
    <row r="76" spans="5:8" x14ac:dyDescent="0.2">
      <c r="E76" s="99"/>
      <c r="F76" s="99"/>
      <c r="G76" s="99"/>
      <c r="H76" s="99"/>
    </row>
    <row r="77" spans="5:8" ht="15" x14ac:dyDescent="0.25">
      <c r="E77" s="107" t="s">
        <v>67</v>
      </c>
      <c r="F77" s="107"/>
      <c r="G77" s="108">
        <f>(SUM(G71:G76)/12)</f>
        <v>2683.875</v>
      </c>
      <c r="H77" s="138"/>
    </row>
    <row r="78" spans="5:8" ht="15" x14ac:dyDescent="0.25">
      <c r="E78" s="146" t="s">
        <v>68</v>
      </c>
      <c r="F78" s="111"/>
      <c r="G78" s="112">
        <f>G77*12</f>
        <v>32206.5</v>
      </c>
      <c r="H78" s="139">
        <f>SUM(H67:H76)</f>
        <v>1</v>
      </c>
    </row>
  </sheetData>
  <mergeCells count="6">
    <mergeCell ref="K32:N32"/>
    <mergeCell ref="K23:M23"/>
    <mergeCell ref="B2:H2"/>
    <mergeCell ref="K2:O2"/>
    <mergeCell ref="K15:N15"/>
    <mergeCell ref="M20:N20"/>
  </mergeCells>
  <conditionalFormatting sqref="H4:H46">
    <cfRule type="colorScale" priority="1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</conditionalFormatting>
  <conditionalFormatting sqref="H54:H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:O39"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5">
      <colorScale>
        <cfvo type="min"/>
        <cfvo type="max"/>
        <color rgb="FF63BE7B"/>
        <color rgb="FFFFEF9C"/>
      </colorScale>
    </cfRule>
  </conditionalFormatting>
  <conditionalFormatting sqref="O34:O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:H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FD2A-7AA5-4960-BCE4-8301C1682775}">
  <dimension ref="A2:Q42"/>
  <sheetViews>
    <sheetView zoomScale="85" zoomScaleNormal="85" workbookViewId="0">
      <selection activeCell="H37" sqref="H37"/>
    </sheetView>
  </sheetViews>
  <sheetFormatPr defaultColWidth="14.42578125" defaultRowHeight="12.75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16" t="s">
        <v>71</v>
      </c>
      <c r="B2" s="217"/>
      <c r="C2" s="217"/>
      <c r="D2" s="217"/>
      <c r="E2" s="217"/>
      <c r="F2" s="12"/>
      <c r="G2" s="216" t="s">
        <v>72</v>
      </c>
      <c r="H2" s="217"/>
      <c r="I2" s="217"/>
      <c r="J2" s="217"/>
      <c r="K2" s="217"/>
      <c r="L2" s="12"/>
      <c r="M2" s="216" t="s">
        <v>73</v>
      </c>
      <c r="N2" s="217"/>
      <c r="O2" s="217"/>
      <c r="P2" s="217"/>
      <c r="Q2" s="217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0.60142483120116108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4.8548473281221506E-2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2.4219212030752765E-2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0.30178576697846732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8.3703160946204086E-2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8.887887577797178E-2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4.0070443504363158E-3</v>
      </c>
      <c r="F6" s="12"/>
      <c r="G6" s="4">
        <v>12</v>
      </c>
      <c r="H6" s="5" t="s">
        <v>54</v>
      </c>
      <c r="I6" s="47">
        <v>198</v>
      </c>
      <c r="J6" s="47">
        <f t="shared" si="3"/>
        <v>2376</v>
      </c>
      <c r="K6" s="16">
        <f t="shared" ref="K6:K13" si="5">J6/$J$16</f>
        <v>0.15204794373714137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3.6835731786307696E-2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5.0046139690595823E-3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3.1996621156805842E-2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3.5202343067954603E-3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2.4369200683511234E-2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0.10008543097848867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9.9017150581542701E-2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3.6884927075146005E-2</v>
      </c>
      <c r="F9" s="12"/>
      <c r="G9" s="20">
        <v>12</v>
      </c>
      <c r="H9" s="6" t="s">
        <v>51</v>
      </c>
      <c r="I9" s="53">
        <v>293</v>
      </c>
      <c r="J9" s="47">
        <f t="shared" si="3"/>
        <v>3516</v>
      </c>
      <c r="K9" s="16">
        <f t="shared" si="5"/>
        <v>0.22500023997465868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0.15781914444225409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1.2976787980074093E-2</v>
      </c>
      <c r="F10" s="12"/>
      <c r="G10" s="20">
        <v>1.5</v>
      </c>
      <c r="H10" s="6" t="s">
        <v>75</v>
      </c>
      <c r="I10" s="53">
        <v>0</v>
      </c>
      <c r="J10" s="47">
        <f t="shared" si="3"/>
        <v>0</v>
      </c>
      <c r="K10" s="16">
        <f t="shared" si="5"/>
        <v>0</v>
      </c>
      <c r="L10" s="12"/>
      <c r="M10" s="17">
        <v>0</v>
      </c>
      <c r="N10" s="6" t="s">
        <v>76</v>
      </c>
      <c r="O10" s="52">
        <v>1500</v>
      </c>
      <c r="P10" s="47">
        <f t="shared" si="1"/>
        <v>0</v>
      </c>
      <c r="Q10" s="16">
        <f t="shared" si="4"/>
        <v>0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7.9470251970996386E-3</v>
      </c>
      <c r="F11" s="12"/>
      <c r="G11" s="20">
        <v>12</v>
      </c>
      <c r="H11" s="41" t="s">
        <v>77</v>
      </c>
      <c r="I11" s="53">
        <v>467</v>
      </c>
      <c r="J11" s="47">
        <f t="shared" si="3"/>
        <v>5604</v>
      </c>
      <c r="K11" s="16">
        <f t="shared" si="5"/>
        <v>0.35861812992547987</v>
      </c>
      <c r="L11" s="12"/>
      <c r="M11" s="17">
        <v>12</v>
      </c>
      <c r="N11" s="6" t="s">
        <v>56</v>
      </c>
      <c r="O11" s="52">
        <v>800</v>
      </c>
      <c r="P11" s="47">
        <f t="shared" si="1"/>
        <v>9600</v>
      </c>
      <c r="Q11" s="16">
        <f t="shared" si="4"/>
        <v>0.27035399476189137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3.923214970720075E-3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>
        <v>12</v>
      </c>
      <c r="N12" s="6" t="s">
        <v>78</v>
      </c>
      <c r="O12" s="53">
        <v>945</v>
      </c>
      <c r="P12" s="47">
        <f t="shared" si="1"/>
        <v>11340</v>
      </c>
      <c r="Q12" s="16">
        <f t="shared" si="4"/>
        <v>0.31935565631248414</v>
      </c>
    </row>
    <row r="13" spans="1:17" ht="15.75" customHeight="1" x14ac:dyDescent="0.25">
      <c r="A13" s="20">
        <v>1</v>
      </c>
      <c r="B13" s="39" t="s">
        <v>26</v>
      </c>
      <c r="C13" s="56">
        <v>200</v>
      </c>
      <c r="D13" s="52">
        <f t="shared" si="0"/>
        <v>200</v>
      </c>
      <c r="E13" s="16">
        <f t="shared" si="2"/>
        <v>1.6765875943248183E-3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9940.8266666666659</v>
      </c>
      <c r="E15" s="24"/>
      <c r="F15" s="12"/>
      <c r="G15" s="7"/>
      <c r="H15" s="26" t="s">
        <v>67</v>
      </c>
      <c r="I15" s="26"/>
      <c r="J15" s="33">
        <f>(SUM(J4:J13)/12)</f>
        <v>1302.2208333333333</v>
      </c>
      <c r="K15" s="27"/>
      <c r="L15" s="12"/>
      <c r="M15" s="7"/>
      <c r="N15" s="26" t="s">
        <v>67</v>
      </c>
      <c r="O15" s="26"/>
      <c r="P15" s="61">
        <f>(SUM(P4:P13)/12)</f>
        <v>2959.0833333333335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119289.91999999998</v>
      </c>
      <c r="E16" s="29">
        <f>SUM(E4:E13)</f>
        <v>1.0000000000000002</v>
      </c>
      <c r="F16" s="12"/>
      <c r="G16" s="42"/>
      <c r="H16" s="28" t="s">
        <v>68</v>
      </c>
      <c r="I16" s="28"/>
      <c r="J16" s="43">
        <f>J15*12</f>
        <v>15626.65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35509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15" t="s">
        <v>79</v>
      </c>
      <c r="B19" s="215"/>
      <c r="C19" s="215"/>
      <c r="D19" s="215"/>
      <c r="E19" s="215"/>
      <c r="F19" s="12"/>
      <c r="G19" s="215" t="s">
        <v>80</v>
      </c>
      <c r="H19" s="215"/>
      <c r="I19" s="215"/>
      <c r="J19" s="215"/>
      <c r="K19" s="215"/>
      <c r="L19" s="12"/>
      <c r="M19" s="215" t="s">
        <v>81</v>
      </c>
      <c r="N19" s="215"/>
      <c r="O19" s="215"/>
      <c r="P19" s="215"/>
      <c r="Q19" s="215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/>
      <c r="B21" s="1"/>
      <c r="C21" s="55"/>
      <c r="D21" s="56">
        <f t="shared" ref="D21:D23" si="6">A21*C21</f>
        <v>0</v>
      </c>
      <c r="E21" s="16" t="e">
        <f>D21/$D$26</f>
        <v>#DIV/0!</v>
      </c>
      <c r="F21" s="12"/>
      <c r="G21" s="4">
        <v>12</v>
      </c>
      <c r="H21" s="1" t="s">
        <v>82</v>
      </c>
      <c r="I21" s="55">
        <v>5082</v>
      </c>
      <c r="J21" s="56">
        <f t="shared" ref="J21:J22" si="7">G21*I21</f>
        <v>60984</v>
      </c>
      <c r="K21" s="16">
        <f>J21/$J$26</f>
        <v>1</v>
      </c>
      <c r="L21" s="12"/>
      <c r="M21" s="4">
        <v>12</v>
      </c>
      <c r="N21" s="1" t="s">
        <v>22</v>
      </c>
      <c r="O21" s="55">
        <v>22000</v>
      </c>
      <c r="P21" s="56">
        <f t="shared" ref="P21:P23" si="8">M21*O21</f>
        <v>264000</v>
      </c>
      <c r="Q21" s="16">
        <f>P21/$P$26</f>
        <v>0.99367211530209887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 t="e">
        <f t="shared" ref="E22:E23" si="9">D22/$D$26</f>
        <v>#DIV/0!</v>
      </c>
      <c r="F22" s="12"/>
      <c r="G22" s="4">
        <v>12</v>
      </c>
      <c r="H22" s="1" t="s">
        <v>83</v>
      </c>
      <c r="I22" s="57">
        <v>0</v>
      </c>
      <c r="J22" s="56">
        <f t="shared" si="7"/>
        <v>0</v>
      </c>
      <c r="K22" s="16">
        <f t="shared" ref="K22:K23" si="10">J22/$J$26</f>
        <v>0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6.3278846979010926E-3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 t="e">
        <f t="shared" si="9"/>
        <v>#DIV/0!</v>
      </c>
      <c r="F23" s="12"/>
      <c r="G23" s="18"/>
      <c r="H23" s="5"/>
      <c r="I23" s="58"/>
      <c r="J23" s="56"/>
      <c r="K23" s="16">
        <f t="shared" si="10"/>
        <v>0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0</v>
      </c>
      <c r="E25" s="21"/>
      <c r="F25" s="12"/>
      <c r="G25" s="19"/>
      <c r="H25" s="9" t="s">
        <v>31</v>
      </c>
      <c r="I25" s="19"/>
      <c r="J25" s="35">
        <f>SUM(J21:J23)/12</f>
        <v>5082</v>
      </c>
      <c r="K25" s="21"/>
      <c r="L25" s="12"/>
      <c r="M25" s="19"/>
      <c r="N25" s="9" t="s">
        <v>31</v>
      </c>
      <c r="O25" s="19"/>
      <c r="P25" s="59">
        <f>SUM(P21:P23)/12</f>
        <v>22140.100000000002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0</v>
      </c>
      <c r="E26" s="10" t="e">
        <f>SUM(E21:E23)</f>
        <v>#DIV/0!</v>
      </c>
      <c r="F26" s="12"/>
      <c r="G26" s="19"/>
      <c r="H26" s="45" t="s">
        <v>34</v>
      </c>
      <c r="I26" s="46"/>
      <c r="J26" s="60">
        <f>J25*12</f>
        <v>60984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265681.2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15" t="s">
        <v>84</v>
      </c>
      <c r="B29" s="215"/>
      <c r="C29" s="215"/>
      <c r="D29" s="215"/>
      <c r="E29" s="215"/>
      <c r="G29" s="215" t="s">
        <v>85</v>
      </c>
      <c r="H29" s="215"/>
      <c r="I29" s="215"/>
      <c r="J29" s="215"/>
      <c r="K29" s="215"/>
      <c r="M29" s="215" t="s">
        <v>86</v>
      </c>
      <c r="N29" s="215"/>
      <c r="O29" s="215"/>
      <c r="P29" s="215"/>
      <c r="Q29" s="215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27222.100000000002</v>
      </c>
      <c r="D31" s="63">
        <f>J31+P31</f>
        <v>326665.2</v>
      </c>
      <c r="G31" s="1" t="s">
        <v>40</v>
      </c>
      <c r="H31" s="1"/>
      <c r="I31" s="63">
        <f>J25+D25/2</f>
        <v>5082</v>
      </c>
      <c r="J31" s="63">
        <f>J26+D26/2</f>
        <v>60984</v>
      </c>
      <c r="M31" s="1" t="s">
        <v>40</v>
      </c>
      <c r="N31" s="1"/>
      <c r="O31" s="63">
        <f>P25+D25/2</f>
        <v>22140.100000000002</v>
      </c>
      <c r="P31" s="63">
        <f>P26+D26/2</f>
        <v>265681.2</v>
      </c>
    </row>
    <row r="32" spans="1:17" ht="15.75" customHeight="1" x14ac:dyDescent="0.25">
      <c r="A32" s="1" t="s">
        <v>87</v>
      </c>
      <c r="B32" s="1"/>
      <c r="C32" s="63">
        <f>I32+O32</f>
        <v>14202.130833333333</v>
      </c>
      <c r="D32" s="63">
        <f>J32+P32</f>
        <v>170425.56999999998</v>
      </c>
      <c r="G32" s="1" t="s">
        <v>87</v>
      </c>
      <c r="H32" s="1"/>
      <c r="I32" s="65">
        <f>J15+D15/2</f>
        <v>6272.6341666666667</v>
      </c>
      <c r="J32" s="66">
        <f>J16+D16/2</f>
        <v>75271.609999999986</v>
      </c>
      <c r="M32" s="1" t="s">
        <v>87</v>
      </c>
      <c r="N32" s="1"/>
      <c r="O32" s="65">
        <f>P15+D15/2</f>
        <v>7929.496666666666</v>
      </c>
      <c r="P32" s="66">
        <f>P16+D16/2</f>
        <v>95153.959999999992</v>
      </c>
    </row>
    <row r="33" spans="1:16" ht="15.75" customHeight="1" x14ac:dyDescent="0.25">
      <c r="A33" s="1" t="s">
        <v>42</v>
      </c>
      <c r="B33" s="1"/>
      <c r="C33" s="64">
        <f>C31-C32</f>
        <v>13019.969166666669</v>
      </c>
      <c r="D33" s="64">
        <f>D31-D32</f>
        <v>156239.63000000003</v>
      </c>
      <c r="G33" s="1" t="s">
        <v>42</v>
      </c>
      <c r="H33" s="1"/>
      <c r="I33" s="64">
        <f>I31-I32</f>
        <v>-1190.6341666666667</v>
      </c>
      <c r="J33" s="64">
        <f>J31-J32</f>
        <v>-14287.609999999986</v>
      </c>
      <c r="M33" s="1" t="s">
        <v>42</v>
      </c>
      <c r="N33" s="1"/>
      <c r="O33" s="64">
        <f>O31-O32</f>
        <v>14210.603333333336</v>
      </c>
      <c r="P33" s="64">
        <f>P31-P32</f>
        <v>170527.24000000002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  <c r="H36" s="70">
        <f>2719+500-I32-3125</f>
        <v>-6178.6341666666667</v>
      </c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8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42"/>
  <sheetViews>
    <sheetView topLeftCell="A10" zoomScale="85" zoomScaleNormal="85" workbookViewId="0">
      <selection activeCell="H39" sqref="H39"/>
    </sheetView>
  </sheetViews>
  <sheetFormatPr defaultColWidth="14.42578125" defaultRowHeight="15.75" customHeight="1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16" t="s">
        <v>71</v>
      </c>
      <c r="B2" s="217"/>
      <c r="C2" s="217"/>
      <c r="D2" s="217"/>
      <c r="E2" s="217"/>
      <c r="F2" s="12"/>
      <c r="G2" s="216" t="s">
        <v>72</v>
      </c>
      <c r="H2" s="217"/>
      <c r="I2" s="217"/>
      <c r="J2" s="217"/>
      <c r="K2" s="217"/>
      <c r="L2" s="12"/>
      <c r="M2" s="216" t="s">
        <v>73</v>
      </c>
      <c r="N2" s="217"/>
      <c r="O2" s="217"/>
      <c r="P2" s="217"/>
      <c r="Q2" s="217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0.60243486602392549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9.4752486995185251E-2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3.7266542444858518E-2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0.30229258697965372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0.16336420350583578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0.13675954413485289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4.013773793785402E-3</v>
      </c>
      <c r="F6" s="12"/>
      <c r="G6" s="4">
        <v>12</v>
      </c>
      <c r="H6" s="5" t="s">
        <v>54</v>
      </c>
      <c r="I6" s="47">
        <v>178</v>
      </c>
      <c r="J6" s="47">
        <f t="shared" si="3"/>
        <v>2136</v>
      </c>
      <c r="K6" s="16">
        <f t="shared" ref="K6:K13" si="5">J6/$J$16</f>
        <v>0.26677824058751165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5.6679811067296443E-2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5.0130187340792567E-3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6.2448090025166582E-2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5.4166486111712963E-3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2.4410126398607037E-2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0.19533762559872106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0.15235949213502623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3.6946871741957675E-2</v>
      </c>
      <c r="F9" s="12"/>
      <c r="G9" s="20">
        <v>2</v>
      </c>
      <c r="H9" s="6" t="s">
        <v>51</v>
      </c>
      <c r="I9" s="53">
        <v>120</v>
      </c>
      <c r="J9" s="47">
        <f t="shared" si="3"/>
        <v>240</v>
      </c>
      <c r="K9" s="16">
        <f t="shared" si="5"/>
        <v>2.9975083212079961E-2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0.24283919053603154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1.2998581240125109E-2</v>
      </c>
      <c r="F10" s="12"/>
      <c r="G10" s="20">
        <v>1.5</v>
      </c>
      <c r="H10" s="6" t="s">
        <v>75</v>
      </c>
      <c r="I10" s="53">
        <v>1000</v>
      </c>
      <c r="J10" s="47">
        <f t="shared" si="3"/>
        <v>1500</v>
      </c>
      <c r="K10" s="16">
        <f t="shared" si="5"/>
        <v>0.18734427007549975</v>
      </c>
      <c r="L10" s="12"/>
      <c r="M10" s="17">
        <v>1</v>
      </c>
      <c r="N10" s="6" t="s">
        <v>76</v>
      </c>
      <c r="O10" s="52">
        <v>1500</v>
      </c>
      <c r="P10" s="47">
        <f t="shared" si="1"/>
        <v>1500</v>
      </c>
      <c r="Q10" s="16">
        <f t="shared" si="4"/>
        <v>6.4999783334055553E-2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7.9603714571308808E-3</v>
      </c>
      <c r="F11" s="12"/>
      <c r="G11" s="20"/>
      <c r="H11" s="41"/>
      <c r="I11" s="53"/>
      <c r="J11" s="47">
        <f t="shared" si="3"/>
        <v>0</v>
      </c>
      <c r="K11" s="16">
        <f t="shared" si="5"/>
        <v>0</v>
      </c>
      <c r="L11" s="12"/>
      <c r="M11" s="17">
        <v>12</v>
      </c>
      <c r="N11" s="6" t="s">
        <v>56</v>
      </c>
      <c r="O11" s="52">
        <v>584</v>
      </c>
      <c r="P11" s="47">
        <f t="shared" si="1"/>
        <v>7008</v>
      </c>
      <c r="Q11" s="16">
        <f t="shared" si="4"/>
        <v>0.30367898773670754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3.9298036307354985E-3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/>
      <c r="N12" s="6"/>
      <c r="O12" s="53"/>
      <c r="P12" s="47">
        <f t="shared" si="1"/>
        <v>0</v>
      </c>
      <c r="Q12" s="16">
        <f t="shared" si="4"/>
        <v>0</v>
      </c>
    </row>
    <row r="13" spans="1:17" ht="15.75" customHeight="1" x14ac:dyDescent="0.25">
      <c r="A13" s="20"/>
      <c r="B13" s="39"/>
      <c r="C13" s="22"/>
      <c r="D13" s="47">
        <f t="shared" si="0"/>
        <v>0</v>
      </c>
      <c r="E13" s="16">
        <f t="shared" si="2"/>
        <v>0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9924.16</v>
      </c>
      <c r="E15" s="24"/>
      <c r="F15" s="12"/>
      <c r="G15" s="7"/>
      <c r="H15" s="26" t="s">
        <v>67</v>
      </c>
      <c r="I15" s="26"/>
      <c r="J15" s="33">
        <f>(SUM(J4:J13)/12)</f>
        <v>667.2208333333333</v>
      </c>
      <c r="K15" s="27"/>
      <c r="L15" s="12"/>
      <c r="M15" s="7"/>
      <c r="N15" s="26" t="s">
        <v>67</v>
      </c>
      <c r="O15" s="26"/>
      <c r="P15" s="61">
        <f>(SUM(P4:P13)/12)</f>
        <v>1923.0833333333333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119089.92</v>
      </c>
      <c r="E16" s="29">
        <f>SUM(E4:E13)</f>
        <v>1</v>
      </c>
      <c r="F16" s="12"/>
      <c r="G16" s="42"/>
      <c r="H16" s="28" t="s">
        <v>68</v>
      </c>
      <c r="I16" s="28"/>
      <c r="J16" s="43">
        <f>J15*12</f>
        <v>8006.65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23077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15" t="s">
        <v>79</v>
      </c>
      <c r="B19" s="215"/>
      <c r="C19" s="215"/>
      <c r="D19" s="215"/>
      <c r="E19" s="215"/>
      <c r="F19" s="12"/>
      <c r="G19" s="215" t="s">
        <v>80</v>
      </c>
      <c r="H19" s="215"/>
      <c r="I19" s="215"/>
      <c r="J19" s="215"/>
      <c r="K19" s="215"/>
      <c r="L19" s="12"/>
      <c r="M19" s="215" t="s">
        <v>81</v>
      </c>
      <c r="N19" s="215"/>
      <c r="O19" s="215"/>
      <c r="P19" s="215"/>
      <c r="Q19" s="215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>
        <v>12</v>
      </c>
      <c r="B21" s="1" t="s">
        <v>88</v>
      </c>
      <c r="C21" s="55">
        <v>945</v>
      </c>
      <c r="D21" s="56">
        <f t="shared" ref="D21:D23" si="6">A21*C21</f>
        <v>11340</v>
      </c>
      <c r="E21" s="16">
        <f>D21/$D$26</f>
        <v>1</v>
      </c>
      <c r="F21" s="12"/>
      <c r="G21" s="4">
        <v>12</v>
      </c>
      <c r="H21" s="1" t="s">
        <v>82</v>
      </c>
      <c r="I21" s="55">
        <v>5082</v>
      </c>
      <c r="J21" s="56">
        <f t="shared" ref="J21:J23" si="7">G21*I21</f>
        <v>60984</v>
      </c>
      <c r="K21" s="16">
        <f>J21/$J$26</f>
        <v>0.60977292497825242</v>
      </c>
      <c r="L21" s="12"/>
      <c r="M21" s="4">
        <v>12</v>
      </c>
      <c r="N21" s="1" t="s">
        <v>22</v>
      </c>
      <c r="O21" s="55">
        <f>35000*0.53</f>
        <v>18550</v>
      </c>
      <c r="P21" s="56">
        <f t="shared" ref="P21:P23" si="8">M21*O21</f>
        <v>222600</v>
      </c>
      <c r="Q21" s="16">
        <f>P21/$P$26</f>
        <v>0.99250405294781729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>
        <f t="shared" ref="E22:E23" si="9">D22/$D$26</f>
        <v>0</v>
      </c>
      <c r="F22" s="12"/>
      <c r="G22" s="4">
        <v>12</v>
      </c>
      <c r="H22" s="1" t="s">
        <v>83</v>
      </c>
      <c r="I22" s="57">
        <f>3000</f>
        <v>3000</v>
      </c>
      <c r="J22" s="56">
        <f>24660+(G22*I22-24660)*0.6</f>
        <v>31464</v>
      </c>
      <c r="K22" s="16">
        <f t="shared" ref="K22:K23" si="10">J22/$J$26</f>
        <v>0.31460539340672528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7.4959470521827054E-3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>
        <f t="shared" si="9"/>
        <v>0</v>
      </c>
      <c r="F23" s="12"/>
      <c r="G23" s="18">
        <v>1</v>
      </c>
      <c r="H23" s="5" t="s">
        <v>89</v>
      </c>
      <c r="I23" s="58">
        <v>7563</v>
      </c>
      <c r="J23" s="56">
        <f t="shared" si="7"/>
        <v>7563</v>
      </c>
      <c r="K23" s="16">
        <f t="shared" si="10"/>
        <v>7.5621681615022349E-2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945</v>
      </c>
      <c r="E25" s="21"/>
      <c r="F25" s="12"/>
      <c r="G25" s="19"/>
      <c r="H25" s="9" t="s">
        <v>31</v>
      </c>
      <c r="I25" s="19"/>
      <c r="J25" s="35">
        <f>SUM(J21:J23)/12</f>
        <v>8334.25</v>
      </c>
      <c r="K25" s="21"/>
      <c r="L25" s="12"/>
      <c r="M25" s="19"/>
      <c r="N25" s="9" t="s">
        <v>31</v>
      </c>
      <c r="O25" s="19"/>
      <c r="P25" s="59">
        <f>SUM(P21:P23)/12</f>
        <v>18690.100000000002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11340</v>
      </c>
      <c r="E26" s="10">
        <f>SUM(E21:E23)</f>
        <v>1</v>
      </c>
      <c r="F26" s="12"/>
      <c r="G26" s="19"/>
      <c r="H26" s="45" t="s">
        <v>34</v>
      </c>
      <c r="I26" s="46"/>
      <c r="J26" s="60">
        <f>J25*12</f>
        <v>100011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224281.2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15" t="s">
        <v>84</v>
      </c>
      <c r="B29" s="215"/>
      <c r="C29" s="215"/>
      <c r="D29" s="215"/>
      <c r="E29" s="215"/>
      <c r="G29" s="215" t="s">
        <v>85</v>
      </c>
      <c r="H29" s="215"/>
      <c r="I29" s="215"/>
      <c r="J29" s="215"/>
      <c r="K29" s="215"/>
      <c r="M29" s="215" t="s">
        <v>86</v>
      </c>
      <c r="N29" s="215"/>
      <c r="O29" s="215"/>
      <c r="P29" s="215"/>
      <c r="Q29" s="215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27969.350000000002</v>
      </c>
      <c r="D31" s="63">
        <f>J31+P31</f>
        <v>335632.2</v>
      </c>
      <c r="G31" s="1" t="s">
        <v>40</v>
      </c>
      <c r="H31" s="1"/>
      <c r="I31" s="63">
        <f>J25+D25/2</f>
        <v>8806.75</v>
      </c>
      <c r="J31" s="63">
        <f>J26+D26/2</f>
        <v>105681</v>
      </c>
      <c r="M31" s="1" t="s">
        <v>40</v>
      </c>
      <c r="N31" s="1"/>
      <c r="O31" s="63">
        <f>P25+D25/2</f>
        <v>19162.600000000002</v>
      </c>
      <c r="P31" s="63">
        <f>P26+D26/2</f>
        <v>229951.2</v>
      </c>
    </row>
    <row r="32" spans="1:17" ht="15.75" customHeight="1" x14ac:dyDescent="0.25">
      <c r="A32" s="1" t="s">
        <v>87</v>
      </c>
      <c r="B32" s="1"/>
      <c r="C32" s="63">
        <f>I32+O32</f>
        <v>12514.464166666665</v>
      </c>
      <c r="D32" s="63">
        <f>J32+P32</f>
        <v>150173.57</v>
      </c>
      <c r="G32" s="1" t="s">
        <v>87</v>
      </c>
      <c r="H32" s="1"/>
      <c r="I32" s="65">
        <f>J15+D15/2</f>
        <v>5629.3008333333328</v>
      </c>
      <c r="J32" s="66">
        <f>J16+D16/2</f>
        <v>67551.61</v>
      </c>
      <c r="M32" s="1" t="s">
        <v>87</v>
      </c>
      <c r="N32" s="1"/>
      <c r="O32" s="65">
        <f>P15+D15/2</f>
        <v>6885.163333333333</v>
      </c>
      <c r="P32" s="66">
        <f>P16+D16/2</f>
        <v>82621.959999999992</v>
      </c>
    </row>
    <row r="33" spans="1:16" ht="15.75" customHeight="1" x14ac:dyDescent="0.25">
      <c r="A33" s="1" t="s">
        <v>42</v>
      </c>
      <c r="B33" s="1"/>
      <c r="C33" s="64">
        <f>C31-C32</f>
        <v>15454.885833333337</v>
      </c>
      <c r="D33" s="64">
        <f>D31-D32</f>
        <v>185458.63</v>
      </c>
      <c r="G33" s="1" t="s">
        <v>42</v>
      </c>
      <c r="H33" s="1"/>
      <c r="I33" s="64">
        <f>I31-I32</f>
        <v>3177.4491666666672</v>
      </c>
      <c r="J33" s="64">
        <f>J31-J32</f>
        <v>38129.39</v>
      </c>
      <c r="M33" s="1" t="s">
        <v>42</v>
      </c>
      <c r="N33" s="1"/>
      <c r="O33" s="64">
        <f>O31-O32</f>
        <v>12277.436666666668</v>
      </c>
      <c r="P33" s="64">
        <f>P31-P32</f>
        <v>147329.24000000002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Økonomi 2022 sep-dec</vt:lpstr>
      <vt:lpstr>Økonomi 2022 jan-sep</vt:lpstr>
      <vt:lpstr>Økonomi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2021-08-13T19:38:21Z</dcterms:created>
  <dcterms:modified xsi:type="dcterms:W3CDTF">2022-12-07T17:47:58Z</dcterms:modified>
  <cp:category/>
  <cp:contentStatus/>
</cp:coreProperties>
</file>