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2"/>
  <workbookPr/>
  <mc:AlternateContent xmlns:mc="http://schemas.openxmlformats.org/markup-compatibility/2006">
    <mc:Choice Requires="x15">
      <x15ac:absPath xmlns:x15ac="http://schemas.microsoft.com/office/spreadsheetml/2010/11/ac" url="https://d.docs.live.net/42f364afe123e12d/Ymisk papírir/DanielsPengetips/"/>
    </mc:Choice>
  </mc:AlternateContent>
  <xr:revisionPtr revIDLastSave="102" documentId="11_7BE627E700D46DB22EBAE22399BCAD68729A7014" xr6:coauthVersionLast="47" xr6:coauthVersionMax="47" xr10:uidLastSave="{FDA06A61-1E35-4A1D-8511-869BD4B9004D}"/>
  <bookViews>
    <workbookView minimized="1" xWindow="4395" yWindow="3750" windowWidth="24750" windowHeight="11385" xr2:uid="{00000000-000D-0000-FFFF-FFFF00000000}"/>
  </bookViews>
  <sheets>
    <sheet name="Beregner" sheetId="1" r:id="rId1"/>
    <sheet name="Info" sheetId="2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C7" i="1"/>
  <c r="F7" i="1"/>
  <c r="H3" i="1"/>
  <c r="F9" i="1" l="1"/>
  <c r="G6" i="1" l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C14" i="1"/>
  <c r="F13" i="1"/>
  <c r="E13" i="1"/>
  <c r="F12" i="1"/>
  <c r="E12" i="1"/>
  <c r="C12" i="1"/>
  <c r="F11" i="1"/>
  <c r="E11" i="1"/>
  <c r="F10" i="1"/>
  <c r="E10" i="1"/>
  <c r="E9" i="1"/>
  <c r="F8" i="1"/>
  <c r="E8" i="1"/>
  <c r="E7" i="1"/>
  <c r="E6" i="1"/>
  <c r="G36" i="1" l="1"/>
  <c r="I36" i="1" s="1"/>
  <c r="G11" i="1"/>
  <c r="I11" i="1" s="1"/>
  <c r="G16" i="1"/>
  <c r="I16" i="1" s="1"/>
  <c r="G40" i="1"/>
  <c r="I40" i="1" s="1"/>
  <c r="G32" i="1"/>
  <c r="I32" i="1" s="1"/>
  <c r="G28" i="1"/>
  <c r="I28" i="1" s="1"/>
  <c r="G14" i="1"/>
  <c r="I14" i="1" s="1"/>
  <c r="G22" i="1"/>
  <c r="I22" i="1" s="1"/>
  <c r="G26" i="1"/>
  <c r="I26" i="1" s="1"/>
  <c r="G12" i="1"/>
  <c r="H12" i="1" s="1"/>
  <c r="G23" i="1"/>
  <c r="H23" i="1" s="1"/>
  <c r="G27" i="1"/>
  <c r="H27" i="1" s="1"/>
  <c r="G38" i="1"/>
  <c r="H38" i="1" s="1"/>
  <c r="G42" i="1"/>
  <c r="I42" i="1" s="1"/>
  <c r="G20" i="1"/>
  <c r="I20" i="1" s="1"/>
  <c r="G9" i="1"/>
  <c r="H9" i="1" s="1"/>
  <c r="G10" i="1"/>
  <c r="H10" i="1" s="1"/>
  <c r="G44" i="1"/>
  <c r="I44" i="1" s="1"/>
  <c r="G15" i="1"/>
  <c r="H15" i="1" s="1"/>
  <c r="G30" i="1"/>
  <c r="H30" i="1" s="1"/>
  <c r="G31" i="1"/>
  <c r="I31" i="1" s="1"/>
  <c r="G45" i="1"/>
  <c r="I45" i="1" s="1"/>
  <c r="G13" i="1"/>
  <c r="I13" i="1" s="1"/>
  <c r="G18" i="1"/>
  <c r="H18" i="1" s="1"/>
  <c r="G19" i="1"/>
  <c r="I19" i="1" s="1"/>
  <c r="G24" i="1"/>
  <c r="I24" i="1" s="1"/>
  <c r="G34" i="1"/>
  <c r="H34" i="1" s="1"/>
  <c r="G35" i="1"/>
  <c r="I35" i="1" s="1"/>
  <c r="C13" i="1"/>
  <c r="G39" i="1"/>
  <c r="I39" i="1" s="1"/>
  <c r="G46" i="1"/>
  <c r="H46" i="1" s="1"/>
  <c r="G43" i="1"/>
  <c r="I43" i="1" s="1"/>
  <c r="G7" i="1"/>
  <c r="I7" i="1" s="1"/>
  <c r="H6" i="1"/>
  <c r="I6" i="1"/>
  <c r="G8" i="1"/>
  <c r="G17" i="1"/>
  <c r="G21" i="1"/>
  <c r="G25" i="1"/>
  <c r="G29" i="1"/>
  <c r="G33" i="1"/>
  <c r="G37" i="1"/>
  <c r="G41" i="1"/>
  <c r="H14" i="1" l="1"/>
  <c r="H22" i="1"/>
  <c r="H11" i="1"/>
  <c r="H26" i="1"/>
  <c r="I18" i="1"/>
  <c r="H16" i="1"/>
  <c r="H32" i="1"/>
  <c r="I30" i="1"/>
  <c r="I46" i="1"/>
  <c r="H42" i="1"/>
  <c r="I34" i="1"/>
  <c r="I38" i="1"/>
  <c r="H13" i="1"/>
  <c r="H43" i="1"/>
  <c r="H36" i="1"/>
  <c r="H20" i="1"/>
  <c r="H40" i="1"/>
  <c r="H28" i="1"/>
  <c r="I23" i="1"/>
  <c r="I27" i="1"/>
  <c r="I15" i="1"/>
  <c r="H35" i="1"/>
  <c r="I9" i="1"/>
  <c r="H39" i="1"/>
  <c r="I12" i="1"/>
  <c r="H44" i="1"/>
  <c r="I10" i="1"/>
  <c r="H19" i="1"/>
  <c r="H31" i="1"/>
  <c r="H45" i="1"/>
  <c r="H24" i="1"/>
  <c r="H7" i="1"/>
  <c r="I29" i="1"/>
  <c r="H29" i="1"/>
  <c r="I41" i="1"/>
  <c r="H41" i="1"/>
  <c r="I25" i="1"/>
  <c r="H25" i="1"/>
  <c r="I8" i="1"/>
  <c r="H8" i="1"/>
  <c r="I37" i="1"/>
  <c r="H37" i="1"/>
  <c r="I21" i="1"/>
  <c r="H21" i="1"/>
  <c r="I33" i="1"/>
  <c r="H33" i="1"/>
  <c r="I17" i="1"/>
  <c r="H17" i="1"/>
</calcChain>
</file>

<file path=xl/sharedStrings.xml><?xml version="1.0" encoding="utf-8"?>
<sst xmlns="http://schemas.openxmlformats.org/spreadsheetml/2006/main" count="22" uniqueCount="21">
  <si>
    <t>Rentes rente beregner</t>
  </si>
  <si>
    <t>Beregneren tager udgangspunkt i du starter januar</t>
  </si>
  <si>
    <t>Input værdier her ⬇️</t>
  </si>
  <si>
    <t>År (slut)</t>
  </si>
  <si>
    <t>Formue</t>
  </si>
  <si>
    <t>Årligt afkast</t>
  </si>
  <si>
    <t>Afkast i %</t>
  </si>
  <si>
    <t>Mdl. afkast</t>
  </si>
  <si>
    <t>Start indskud</t>
  </si>
  <si>
    <t>Månedligt indskud</t>
  </si>
  <si>
    <t>Tidshorisont (år)</t>
  </si>
  <si>
    <t>Resultat 💰</t>
  </si>
  <si>
    <t>Indskud</t>
  </si>
  <si>
    <t>Afkast</t>
  </si>
  <si>
    <t>Totalt</t>
  </si>
  <si>
    <t>Info:</t>
  </si>
  <si>
    <t>- Månedlig rentetilskrivning</t>
  </si>
  <si>
    <t>Links:</t>
  </si>
  <si>
    <t>https://www.thecalculatorsite.com/articles/finance/compound-interest-formula.php</t>
  </si>
  <si>
    <t>Compound interest formula (with regular contributions)</t>
  </si>
  <si>
    <t>https://financer.dk/beregn/rentes-rente/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</si>
</sst>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[$ kr.]"/>
    <numFmt numFmtId="165" formatCode="0.0%"/>
  </numFmts>
  <fonts count="15">
    <font>
      <sz val="10"/>
      <color rgb="FF000000"/>
      <name val="Arial"/>
    </font>
    <font>
      <sz val="10"/>
      <color theme="1"/>
      <name val="Arial"/>
      <family val="2"/>
    </font>
    <font>
      <sz val="10"/>
      <color rgb="FFF0942D"/>
      <name val="Raleway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Calibri"/>
    </font>
    <font>
      <sz val="10"/>
      <color theme="1"/>
      <name val="Calibri"/>
    </font>
    <font>
      <b/>
      <sz val="20"/>
      <color theme="1"/>
      <name val="Calibri"/>
    </font>
    <font>
      <b/>
      <sz val="10"/>
      <color theme="1"/>
      <name val="Calibri"/>
    </font>
    <font>
      <sz val="10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2"/>
      <color theme="1"/>
      <name val="Calibri"/>
    </font>
    <font>
      <sz val="10"/>
      <color rgb="FFF0942D"/>
      <name val="Calibri"/>
    </font>
    <font>
      <u/>
      <sz val="10"/>
      <color rgb="FF1155CC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6" fillId="0" borderId="4" xfId="0" applyFont="1" applyBorder="1"/>
    <xf numFmtId="164" fontId="6" fillId="2" borderId="5" xfId="0" applyNumberFormat="1" applyFont="1" applyFill="1" applyBorder="1"/>
    <xf numFmtId="0" fontId="6" fillId="0" borderId="0" xfId="0" applyFont="1"/>
    <xf numFmtId="1" fontId="6" fillId="0" borderId="4" xfId="0" applyNumberFormat="1" applyFont="1" applyBorder="1" applyAlignment="1">
      <alignment horizontal="center"/>
    </xf>
    <xf numFmtId="164" fontId="10" fillId="0" borderId="6" xfId="0" applyNumberFormat="1" applyFont="1" applyBorder="1"/>
    <xf numFmtId="164" fontId="11" fillId="0" borderId="4" xfId="0" applyNumberFormat="1" applyFont="1" applyBorder="1"/>
    <xf numFmtId="165" fontId="6" fillId="0" borderId="7" xfId="0" applyNumberFormat="1" applyFont="1" applyBorder="1"/>
    <xf numFmtId="164" fontId="11" fillId="0" borderId="8" xfId="0" applyNumberFormat="1" applyFont="1" applyBorder="1"/>
    <xf numFmtId="165" fontId="6" fillId="0" borderId="6" xfId="0" applyNumberFormat="1" applyFont="1" applyBorder="1"/>
    <xf numFmtId="9" fontId="6" fillId="2" borderId="5" xfId="0" applyNumberFormat="1" applyFont="1" applyFill="1" applyBorder="1"/>
    <xf numFmtId="0" fontId="6" fillId="0" borderId="9" xfId="0" applyFont="1" applyBorder="1"/>
    <xf numFmtId="0" fontId="6" fillId="2" borderId="10" xfId="0" applyFont="1" applyFill="1" applyBorder="1"/>
    <xf numFmtId="164" fontId="6" fillId="0" borderId="5" xfId="0" applyNumberFormat="1" applyFont="1" applyBorder="1"/>
    <xf numFmtId="164" fontId="12" fillId="0" borderId="10" xfId="0" applyNumberFormat="1" applyFont="1" applyBorder="1"/>
    <xf numFmtId="1" fontId="6" fillId="0" borderId="0" xfId="0" applyNumberFormat="1" applyFont="1"/>
    <xf numFmtId="0" fontId="13" fillId="0" borderId="0" xfId="0" applyFont="1" applyAlignment="1">
      <alignment horizontal="left"/>
    </xf>
    <xf numFmtId="0" fontId="14" fillId="0" borderId="0" xfId="0" applyFont="1"/>
    <xf numFmtId="164" fontId="10" fillId="0" borderId="0" xfId="0" applyNumberFormat="1" applyFont="1"/>
    <xf numFmtId="1" fontId="6" fillId="0" borderId="9" xfId="0" applyNumberFormat="1" applyFont="1" applyBorder="1" applyAlignment="1">
      <alignment horizontal="center"/>
    </xf>
    <xf numFmtId="164" fontId="10" fillId="0" borderId="11" xfId="0" applyNumberFormat="1" applyFont="1" applyBorder="1"/>
    <xf numFmtId="164" fontId="11" fillId="0" borderId="9" xfId="0" applyNumberFormat="1" applyFont="1" applyBorder="1"/>
    <xf numFmtId="165" fontId="6" fillId="0" borderId="12" xfId="0" applyNumberFormat="1" applyFont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1" xfId="0" applyFont="1" applyBorder="1" applyAlignment="1">
      <alignment horizontal="center"/>
    </xf>
    <xf numFmtId="0" fontId="5" fillId="0" borderId="0" xfId="0" applyFont="1" applyAlignment="1"/>
    <xf numFmtId="0" fontId="9" fillId="0" borderId="2" xfId="0" applyFont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Beregner!$B$12:$B$14</c:f>
              <c:strCache>
                <c:ptCount val="3"/>
                <c:pt idx="0">
                  <c:v>Indskud</c:v>
                </c:pt>
                <c:pt idx="1">
                  <c:v>Afkast</c:v>
                </c:pt>
                <c:pt idx="2">
                  <c:v>Totalt</c:v>
                </c:pt>
              </c:strCache>
            </c:strRef>
          </c:cat>
          <c:val>
            <c:numRef>
              <c:f>Beregner!$C$12:$C$14</c:f>
              <c:numCache>
                <c:formatCode>#,##0[$ kr.]</c:formatCode>
                <c:ptCount val="3"/>
                <c:pt idx="0">
                  <c:v>126000</c:v>
                </c:pt>
                <c:pt idx="1">
                  <c:v>159488.53773705638</c:v>
                </c:pt>
                <c:pt idx="2">
                  <c:v>285488.53773705638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C4C-47DC-BBFF-F24AEE5F3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347211"/>
        <c:axId val="673559316"/>
      </c:barChart>
      <c:catAx>
        <c:axId val="1143347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3559316"/>
        <c:crosses val="autoZero"/>
        <c:auto val="1"/>
        <c:lblAlgn val="ctr"/>
        <c:lblOffset val="100"/>
        <c:noMultiLvlLbl val="1"/>
      </c:catAx>
      <c:valAx>
        <c:axId val="673559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a-DK"/>
              </a:p>
            </c:rich>
          </c:tx>
          <c:overlay val="0"/>
        </c:title>
        <c:numFmt formatCode="#,##0[$ kr.]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33472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da-DK" b="1">
                <a:solidFill>
                  <a:srgbClr val="000000"/>
                </a:solidFill>
                <a:latin typeface="+mn-lt"/>
              </a:rPr>
              <a:t>Sådan vil din formue vokse over 40 år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numRef>
              <c:f>Beregner!$E$6:$E$46</c:f>
              <c:numCache>
                <c:formatCode>0</c:formatCode>
                <c:ptCount val="41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  <c:pt idx="29">
                  <c:v>2051</c:v>
                </c:pt>
                <c:pt idx="30">
                  <c:v>2052</c:v>
                </c:pt>
                <c:pt idx="31">
                  <c:v>2053</c:v>
                </c:pt>
                <c:pt idx="32">
                  <c:v>2054</c:v>
                </c:pt>
                <c:pt idx="33">
                  <c:v>2055</c:v>
                </c:pt>
                <c:pt idx="34">
                  <c:v>2056</c:v>
                </c:pt>
                <c:pt idx="35">
                  <c:v>2057</c:v>
                </c:pt>
                <c:pt idx="36">
                  <c:v>2058</c:v>
                </c:pt>
                <c:pt idx="37">
                  <c:v>2059</c:v>
                </c:pt>
                <c:pt idx="38">
                  <c:v>2060</c:v>
                </c:pt>
                <c:pt idx="39">
                  <c:v>2061</c:v>
                </c:pt>
                <c:pt idx="40">
                  <c:v>2062</c:v>
                </c:pt>
              </c:numCache>
            </c:numRef>
          </c:cat>
          <c:val>
            <c:numRef>
              <c:f>Beregner!$F$6:$F$46</c:f>
              <c:numCache>
                <c:formatCode>#,##0[$ kr.]</c:formatCode>
                <c:ptCount val="41"/>
                <c:pt idx="0">
                  <c:v>6196.2926448202188</c:v>
                </c:pt>
                <c:pt idx="1">
                  <c:v>12840.515785943397</c:v>
                </c:pt>
                <c:pt idx="2">
                  <c:v>19965.05035516524</c:v>
                </c:pt>
                <c:pt idx="3">
                  <c:v>27604.618104459172</c:v>
                </c:pt>
                <c:pt idx="4">
                  <c:v>35796.450824056265</c:v>
                </c:pt>
                <c:pt idx="5">
                  <c:v>44580.471793313787</c:v>
                </c:pt>
                <c:pt idx="6">
                  <c:v>53999.490348681793</c:v>
                </c:pt>
                <c:pt idx="7">
                  <c:v>64099.410517003744</c:v>
                </c:pt>
                <c:pt idx="8">
                  <c:v>74929.45473093522</c:v>
                </c:pt>
                <c:pt idx="9">
                  <c:v>86542.4037167684</c:v>
                </c:pt>
                <c:pt idx="10">
                  <c:v>98994.85372376685</c:v>
                </c:pt>
                <c:pt idx="11">
                  <c:v>112347.49234862941</c:v>
                </c:pt>
                <c:pt idx="12">
                  <c:v>126665.3942993274</c:v>
                </c:pt>
                <c:pt idx="13">
                  <c:v>142018.338539733</c:v>
                </c:pt>
                <c:pt idx="14">
                  <c:v>158481.14836065882</c:v>
                </c:pt>
                <c:pt idx="15">
                  <c:v>176134.05603466017</c:v>
                </c:pt>
                <c:pt idx="16">
                  <c:v>195063.09383176273</c:v>
                </c:pt>
                <c:pt idx="17">
                  <c:v>215360.51330174864</c:v>
                </c:pt>
                <c:pt idx="18">
                  <c:v>237125.23486639274</c:v>
                </c:pt>
                <c:pt idx="19">
                  <c:v>260463.3299127584</c:v>
                </c:pt>
                <c:pt idx="20">
                  <c:v>285488.53773705638</c:v>
                </c:pt>
                <c:pt idx="21">
                  <c:v>312322.81985841697</c:v>
                </c:pt>
                <c:pt idx="22">
                  <c:v>341096.95440404979</c:v>
                </c:pt>
                <c:pt idx="23">
                  <c:v>371951.17346255452</c:v>
                </c:pt>
                <c:pt idx="24">
                  <c:v>405035.84651155461</c:v>
                </c:pt>
                <c:pt idx="25">
                  <c:v>440512.21325036907</c:v>
                </c:pt>
                <c:pt idx="26">
                  <c:v>478553.1694092179</c:v>
                </c:pt>
                <c:pt idx="27">
                  <c:v>519344.1093646384</c:v>
                </c:pt>
                <c:pt idx="28">
                  <c:v>563083.82966763829</c:v>
                </c:pt>
                <c:pt idx="29">
                  <c:v>609985.497887971</c:v>
                </c:pt>
                <c:pt idx="30">
                  <c:v>660277.69149624393</c:v>
                </c:pt>
                <c:pt idx="31">
                  <c:v>714205.51184689638</c:v>
                </c:pt>
                <c:pt idx="32">
                  <c:v>772031.77869109809</c:v>
                </c:pt>
                <c:pt idx="33">
                  <c:v>834038.31104108144</c:v>
                </c:pt>
                <c:pt idx="34">
                  <c:v>900527.30062825989</c:v>
                </c:pt>
                <c:pt idx="35">
                  <c:v>971822.78464874486</c:v>
                </c:pt>
                <c:pt idx="36">
                  <c:v>1048272.2249737551</c:v>
                </c:pt>
                <c:pt idx="37">
                  <c:v>1130248.2015212744</c:v>
                </c:pt>
                <c:pt idx="38">
                  <c:v>1218150.2280416829</c:v>
                </c:pt>
                <c:pt idx="39">
                  <c:v>1312406.6991666784</c:v>
                </c:pt>
                <c:pt idx="40">
                  <c:v>1413476.9782105237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D-4A39-967B-42525D989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732778"/>
        <c:axId val="898135334"/>
      </c:lineChart>
      <c:catAx>
        <c:axId val="324732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da-DK" b="0">
                    <a:solidFill>
                      <a:srgbClr val="000000"/>
                    </a:solidFill>
                    <a:latin typeface="+mn-lt"/>
                  </a:rPr>
                  <a:t>År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8135334"/>
        <c:crosses val="autoZero"/>
        <c:auto val="1"/>
        <c:lblAlgn val="ctr"/>
        <c:lblOffset val="100"/>
        <c:noMultiLvlLbl val="1"/>
      </c:catAx>
      <c:valAx>
        <c:axId val="898135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da-DK" b="0">
                    <a:solidFill>
                      <a:srgbClr val="000000"/>
                    </a:solidFill>
                    <a:latin typeface="+mn-lt"/>
                  </a:rPr>
                  <a:t>Formue</a:t>
                </a:r>
              </a:p>
            </c:rich>
          </c:tx>
          <c:overlay val="0"/>
        </c:title>
        <c:numFmt formatCode="#,##0[$ kr.]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47327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514350</xdr:colOff>
      <xdr:row>4</xdr:row>
      <xdr:rowOff>9525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491938</xdr:colOff>
      <xdr:row>23</xdr:row>
      <xdr:rowOff>142875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financer.dk/beregn/rentes-rente/" TargetMode="External"/><Relationship Id="rId1" Type="http://schemas.openxmlformats.org/officeDocument/2006/relationships/hyperlink" Target="https://www.thecalculatorsite.com/articles/finance/compound-interest-formula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K1003"/>
  <sheetViews>
    <sheetView showGridLines="0" tabSelected="1" zoomScaleNormal="100" workbookViewId="0">
      <selection activeCell="C16" sqref="C16"/>
    </sheetView>
  </sheetViews>
  <sheetFormatPr defaultColWidth="14.42578125" defaultRowHeight="15.75" customHeight="1"/>
  <cols>
    <col min="1" max="1" width="7.28515625" style="6" customWidth="1"/>
    <col min="2" max="2" width="18.5703125" style="6" customWidth="1"/>
    <col min="3" max="3" width="19.28515625" style="6" customWidth="1"/>
    <col min="4" max="4" width="8.140625" style="6" customWidth="1"/>
    <col min="5" max="5" width="9.42578125" style="6" customWidth="1"/>
    <col min="6" max="6" width="22.42578125" style="6" customWidth="1"/>
    <col min="7" max="7" width="16.28515625" style="6" customWidth="1"/>
    <col min="8" max="8" width="11" style="6" customWidth="1"/>
    <col min="9" max="10" width="13.85546875" style="6" customWidth="1"/>
    <col min="11" max="16384" width="14.42578125" style="6"/>
  </cols>
  <sheetData>
    <row r="1" spans="2:11" ht="12.75">
      <c r="E1" s="7"/>
    </row>
    <row r="2" spans="2:11" ht="26.25">
      <c r="D2" s="34" t="s">
        <v>0</v>
      </c>
      <c r="E2" s="37"/>
      <c r="F2" s="37"/>
      <c r="G2" s="37"/>
      <c r="H2" s="37"/>
      <c r="I2" s="37"/>
      <c r="J2" s="37"/>
      <c r="K2" s="37"/>
    </row>
    <row r="3" spans="2:11" ht="12.75">
      <c r="D3" s="35" t="s">
        <v>1</v>
      </c>
      <c r="E3" s="37"/>
      <c r="F3" s="37"/>
      <c r="G3" s="37"/>
      <c r="H3" s="8">
        <f ca="1">YEAR(NOW())</f>
        <v>2022</v>
      </c>
      <c r="I3" s="8"/>
      <c r="J3" s="8"/>
      <c r="K3" s="8"/>
    </row>
    <row r="4" spans="2:11" ht="12.75">
      <c r="E4" s="7"/>
    </row>
    <row r="5" spans="2:11" ht="12.75">
      <c r="B5" s="36" t="s">
        <v>2</v>
      </c>
      <c r="C5" s="38"/>
      <c r="D5" s="7"/>
      <c r="E5" s="10" t="s">
        <v>3</v>
      </c>
      <c r="F5" s="9" t="s">
        <v>4</v>
      </c>
      <c r="G5" s="10" t="s">
        <v>5</v>
      </c>
      <c r="H5" s="10" t="s">
        <v>6</v>
      </c>
      <c r="I5" s="11" t="s">
        <v>7</v>
      </c>
    </row>
    <row r="6" spans="2:11" ht="15">
      <c r="B6" s="12" t="s">
        <v>8</v>
      </c>
      <c r="C6" s="13">
        <v>0</v>
      </c>
      <c r="D6" s="14"/>
      <c r="E6" s="15">
        <f ca="1">YEAR(NOW())</f>
        <v>2022</v>
      </c>
      <c r="F6" s="16">
        <f>($C$6*(1+$C$8/12)^(12*1))+($C$7*(((1+$C$8/12)^(12*1)-1)/($C$8/12)))</f>
        <v>6196.2926448202188</v>
      </c>
      <c r="G6" s="17">
        <f>F6-(C$6+$C$7*12)</f>
        <v>196.29264482021881</v>
      </c>
      <c r="H6" s="18">
        <f>G6/(C6+C7*12)</f>
        <v>3.27154408033698E-2</v>
      </c>
      <c r="I6" s="19">
        <f t="shared" ref="I6:I46" si="0">G6/12</f>
        <v>16.357720401684901</v>
      </c>
    </row>
    <row r="7" spans="2:11" ht="15">
      <c r="B7" s="12" t="s">
        <v>9</v>
      </c>
      <c r="C7" s="13">
        <f>6000/12</f>
        <v>500</v>
      </c>
      <c r="D7" s="14"/>
      <c r="E7" s="15">
        <f ca="1">YEAR(NOW())+1</f>
        <v>2023</v>
      </c>
      <c r="F7" s="16">
        <f>($C$6*(1+$C$8/12)^(12*2))+($C$7*(((1+$C$8/12)^(12*2)-1)/($C$8/12)))</f>
        <v>12840.515785943397</v>
      </c>
      <c r="G7" s="17">
        <f t="shared" ref="G7:G46" si="1">F7-F6-($C$7*12)</f>
        <v>644.22314112317781</v>
      </c>
      <c r="H7" s="20">
        <f>G7/($C$6+$C$7*12*2)</f>
        <v>5.3685261760264814E-2</v>
      </c>
      <c r="I7" s="17">
        <f t="shared" si="0"/>
        <v>53.685261760264815</v>
      </c>
    </row>
    <row r="8" spans="2:11" ht="15">
      <c r="B8" s="12" t="s">
        <v>5</v>
      </c>
      <c r="C8" s="21">
        <v>7.0000000000000007E-2</v>
      </c>
      <c r="D8" s="14"/>
      <c r="E8" s="15">
        <f ca="1">YEAR(NOW())+2</f>
        <v>2024</v>
      </c>
      <c r="F8" s="16">
        <f>($C$6*(1+$C$8/12)^(12*3))+($C$7*(((1+$C$8/12)^(12*3)-1)/($C$8/12)))</f>
        <v>19965.05035516524</v>
      </c>
      <c r="G8" s="17">
        <f t="shared" si="1"/>
        <v>1124.5345692218434</v>
      </c>
      <c r="H8" s="20">
        <f>G8/($C$6+$C$7*12*3)</f>
        <v>6.2474142734546857E-2</v>
      </c>
      <c r="I8" s="17">
        <f t="shared" si="0"/>
        <v>93.711214101820289</v>
      </c>
    </row>
    <row r="9" spans="2:11" ht="15">
      <c r="B9" s="22" t="s">
        <v>10</v>
      </c>
      <c r="C9" s="23">
        <v>21</v>
      </c>
      <c r="D9" s="14"/>
      <c r="E9" s="15">
        <f ca="1">YEAR(NOW())+3</f>
        <v>2025</v>
      </c>
      <c r="F9" s="16">
        <f>($C$6*(1+$C$8/12)^(12*4))+($C$7*(((1+$C$8/12)^(12*4)-1)/($C$8/12)))</f>
        <v>27604.618104459172</v>
      </c>
      <c r="G9" s="17">
        <f t="shared" si="1"/>
        <v>1639.5677492939321</v>
      </c>
      <c r="H9" s="20">
        <f>G9/($C$6+$C$7*12*4)</f>
        <v>6.8315322887247176E-2</v>
      </c>
      <c r="I9" s="17">
        <f t="shared" si="0"/>
        <v>136.63064577449435</v>
      </c>
    </row>
    <row r="10" spans="2:11" ht="15">
      <c r="D10" s="14"/>
      <c r="E10" s="15">
        <f ca="1">YEAR(NOW())+4</f>
        <v>2026</v>
      </c>
      <c r="F10" s="16">
        <f>($C$6*(1+$C$8/12)^(12*5))+($C$7*(((1+$C$8/12)^(12*5)-1)/($C$8/12)))</f>
        <v>35796.450824056265</v>
      </c>
      <c r="G10" s="17">
        <f t="shared" si="1"/>
        <v>2191.8327195970924</v>
      </c>
      <c r="H10" s="20">
        <f>G10/($C$6+$C$7*12*5)</f>
        <v>7.3061090653236418E-2</v>
      </c>
      <c r="I10" s="17">
        <f t="shared" si="0"/>
        <v>182.65272663309102</v>
      </c>
    </row>
    <row r="11" spans="2:11" ht="15">
      <c r="B11" s="36" t="s">
        <v>11</v>
      </c>
      <c r="C11" s="38"/>
      <c r="D11" s="14"/>
      <c r="E11" s="15">
        <f ca="1">YEAR(NOW())+5</f>
        <v>2027</v>
      </c>
      <c r="F11" s="16">
        <f>($C$6*(1+$C$8/12)^(12*6))+($C$7*(((1+$C$8/12)^(12*6)-1)/($C$8/12)))</f>
        <v>44580.471793313787</v>
      </c>
      <c r="G11" s="17">
        <f t="shared" si="1"/>
        <v>2784.0209692575227</v>
      </c>
      <c r="H11" s="20">
        <f>G11/($C$6+$C$7*12*6)</f>
        <v>7.7333915812708959E-2</v>
      </c>
      <c r="I11" s="17">
        <f t="shared" si="0"/>
        <v>232.0017474381269</v>
      </c>
    </row>
    <row r="12" spans="2:11" ht="15">
      <c r="B12" s="12" t="s">
        <v>12</v>
      </c>
      <c r="C12" s="24">
        <f>C6+(C7*12)*C9</f>
        <v>126000</v>
      </c>
      <c r="D12" s="14"/>
      <c r="E12" s="15">
        <f ca="1">YEAR(NOW())+6</f>
        <v>2028</v>
      </c>
      <c r="F12" s="16">
        <f>($C$6*(1+$C$8/12)^(12*7))+($C$7*(((1+$C$8/12)^(12*7)-1)/($C$8/12)))</f>
        <v>53999.490348681793</v>
      </c>
      <c r="G12" s="17">
        <f t="shared" si="1"/>
        <v>3419.0185553680058</v>
      </c>
      <c r="H12" s="20">
        <f>G12/($C$6+$C$7*12*7)</f>
        <v>8.1405203699238232E-2</v>
      </c>
      <c r="I12" s="17">
        <f t="shared" si="0"/>
        <v>284.91821294733381</v>
      </c>
    </row>
    <row r="13" spans="2:11" ht="15">
      <c r="B13" s="12" t="s">
        <v>13</v>
      </c>
      <c r="C13" s="24">
        <f>C14-C12</f>
        <v>159488.53773705638</v>
      </c>
      <c r="D13" s="14"/>
      <c r="E13" s="15">
        <f ca="1">YEAR(NOW())+7</f>
        <v>2029</v>
      </c>
      <c r="F13" s="16">
        <f>($C$6*(1+$C$8/12)^(12*8))+($C$7*(((1+$C$8/12)^(12*8)-1)/($C$8/12)))</f>
        <v>64099.410517003744</v>
      </c>
      <c r="G13" s="17">
        <f t="shared" si="1"/>
        <v>4099.9201683219508</v>
      </c>
      <c r="H13" s="20">
        <f>G13/($C$6+$C$7*12*8)</f>
        <v>8.5415003506707304E-2</v>
      </c>
      <c r="I13" s="17">
        <f t="shared" si="0"/>
        <v>341.66001402682923</v>
      </c>
    </row>
    <row r="14" spans="2:11" ht="15.75" customHeight="1">
      <c r="B14" s="22" t="s">
        <v>14</v>
      </c>
      <c r="C14" s="25">
        <f>(C6*(1+C8/12)^(12*C9))+(C7*(((1+C8/12)^(12*C9)-1)/(C8/12)))</f>
        <v>285488.53773705638</v>
      </c>
      <c r="D14" s="14"/>
      <c r="E14" s="15">
        <f ca="1">YEAR(NOW())+8</f>
        <v>2030</v>
      </c>
      <c r="F14" s="16">
        <f>($C$6*(1+$C$8/12)^(12*9))+($C$7*(((1+$C$8/12)^(12*9)-1)/($C$8/12)))</f>
        <v>74929.45473093522</v>
      </c>
      <c r="G14" s="17">
        <f t="shared" si="1"/>
        <v>4830.0442139314764</v>
      </c>
      <c r="H14" s="20">
        <f>G14/($C$6+$C$7*12*9)</f>
        <v>8.9445263220953267E-2</v>
      </c>
      <c r="I14" s="17">
        <f t="shared" si="0"/>
        <v>402.5036844942897</v>
      </c>
    </row>
    <row r="15" spans="2:11" ht="15">
      <c r="D15" s="14"/>
      <c r="E15" s="15">
        <f ca="1">YEAR(NOW())+9</f>
        <v>2031</v>
      </c>
      <c r="F15" s="16">
        <f>($C$6*(1+$C$8/12)^(12*10))+($C$7*(((1+$C$8/12)^(12*10)-1)/($C$8/12)))</f>
        <v>86542.4037167684</v>
      </c>
      <c r="G15" s="17">
        <f t="shared" si="1"/>
        <v>5612.9489858331799</v>
      </c>
      <c r="H15" s="20">
        <f>G15/($C$6+$C$7*12*10)</f>
        <v>9.3549149763886327E-2</v>
      </c>
      <c r="I15" s="17">
        <f t="shared" si="0"/>
        <v>467.74574881943164</v>
      </c>
    </row>
    <row r="16" spans="2:11" ht="15">
      <c r="D16" s="14"/>
      <c r="E16" s="15">
        <f ca="1">YEAR(NOW())+10</f>
        <v>2032</v>
      </c>
      <c r="F16" s="16">
        <f>($C$6*(1+$C$8/12)^(12*11))+($C$7*(((1+$C$8/12)^(12*11)-1)/($C$8/12)))</f>
        <v>98994.85372376685</v>
      </c>
      <c r="G16" s="17">
        <f t="shared" si="1"/>
        <v>6452.4500069984497</v>
      </c>
      <c r="H16" s="20">
        <f>G16/($C$6+$C$7*12*11)</f>
        <v>9.7764394045431052E-2</v>
      </c>
      <c r="I16" s="17">
        <f t="shared" si="0"/>
        <v>537.70416724987081</v>
      </c>
    </row>
    <row r="17" spans="2:10" ht="15">
      <c r="C17" s="26"/>
      <c r="D17" s="14"/>
      <c r="E17" s="15">
        <f ca="1">YEAR(NOW())+11</f>
        <v>2033</v>
      </c>
      <c r="F17" s="16">
        <f>($C$6*(1+$C$8/12)^(12*12))+($C$7*(((1+$C$8/12)^(12*12)-1)/($C$8/12)))</f>
        <v>112347.49234862941</v>
      </c>
      <c r="G17" s="17">
        <f t="shared" si="1"/>
        <v>7352.638624862564</v>
      </c>
      <c r="H17" s="20">
        <f>G17/($C$6+$C$7*12*12)</f>
        <v>0.10211998090086895</v>
      </c>
      <c r="I17" s="17">
        <f t="shared" si="0"/>
        <v>612.71988540521363</v>
      </c>
    </row>
    <row r="18" spans="2:10" ht="15">
      <c r="C18" s="26"/>
      <c r="D18" s="14"/>
      <c r="E18" s="15">
        <f ca="1">YEAR(NOW())+12</f>
        <v>2034</v>
      </c>
      <c r="F18" s="16">
        <f>($C$6*(1+$C$8/12)^(12*13))+($C$7*(((1+$C$8/12)^(12*13)-1)/($C$8/12)))</f>
        <v>126665.3942993274</v>
      </c>
      <c r="G18" s="17">
        <f t="shared" si="1"/>
        <v>8317.9019506979821</v>
      </c>
      <c r="H18" s="20">
        <f>G18/($C$6+$C$7*12*13)</f>
        <v>0.10663976859869208</v>
      </c>
      <c r="I18" s="17">
        <f t="shared" si="0"/>
        <v>693.15849589149855</v>
      </c>
    </row>
    <row r="19" spans="2:10" ht="15">
      <c r="D19" s="14"/>
      <c r="E19" s="15">
        <f ca="1">YEAR(NOW())+13</f>
        <v>2035</v>
      </c>
      <c r="F19" s="16">
        <f>($C$6*(1+$C$8/12)^(12*14))+($C$7*(((1+$C$8/12)^(12*14)-1)/($C$8/12)))</f>
        <v>142018.338539733</v>
      </c>
      <c r="G19" s="17">
        <f t="shared" si="1"/>
        <v>9352.9442404056026</v>
      </c>
      <c r="H19" s="20">
        <f>G19/($C$6+$C$7*12*14)</f>
        <v>0.11134457429054288</v>
      </c>
      <c r="I19" s="17">
        <f t="shared" si="0"/>
        <v>779.41202003380022</v>
      </c>
    </row>
    <row r="20" spans="2:10" ht="15">
      <c r="D20" s="14"/>
      <c r="E20" s="15">
        <f ca="1">YEAR(NOW())+14</f>
        <v>2036</v>
      </c>
      <c r="F20" s="16">
        <f>($C$6*(1+$C$8/12)^(12*15))+($C$7*(((1+$C$8/12)^(12*15)-1)/($C$8/12)))</f>
        <v>158481.14836065882</v>
      </c>
      <c r="G20" s="17">
        <f t="shared" si="1"/>
        <v>10462.809820925817</v>
      </c>
      <c r="H20" s="20">
        <f>G20/($C$6+$C$7*12*15)</f>
        <v>0.11625344245473129</v>
      </c>
      <c r="I20" s="17">
        <f t="shared" si="0"/>
        <v>871.9008184104847</v>
      </c>
    </row>
    <row r="21" spans="2:10" ht="15">
      <c r="D21" s="14"/>
      <c r="E21" s="15">
        <f ca="1">YEAR(NOW())+15</f>
        <v>2037</v>
      </c>
      <c r="F21" s="16">
        <f>($C$6*(1+$C$8/12)^(12*16))+($C$7*(((1+$C$8/12)^(12*16)-1)/($C$8/12)))</f>
        <v>176134.05603466017</v>
      </c>
      <c r="G21" s="17">
        <f t="shared" si="1"/>
        <v>11652.907674001355</v>
      </c>
      <c r="H21" s="20">
        <f>G21/($C$6+$C$7*12*16)</f>
        <v>0.12138445493751411</v>
      </c>
      <c r="I21" s="17">
        <f t="shared" si="0"/>
        <v>971.07563950011297</v>
      </c>
    </row>
    <row r="22" spans="2:10" ht="15">
      <c r="D22" s="14"/>
      <c r="E22" s="15">
        <f ca="1">YEAR(NOW())+16</f>
        <v>2038</v>
      </c>
      <c r="F22" s="16">
        <f>($C$6*(1+$C$8/12)^(12*17))+($C$7*(((1+$C$8/12)^(12*17)-1)/($C$8/12)))</f>
        <v>195063.09383176273</v>
      </c>
      <c r="G22" s="17">
        <f t="shared" si="1"/>
        <v>12929.037797102559</v>
      </c>
      <c r="H22" s="20">
        <f>G22/($C$6+$C$7*12*17)</f>
        <v>0.12675527252061333</v>
      </c>
      <c r="I22" s="17">
        <f t="shared" si="0"/>
        <v>1077.4198164252132</v>
      </c>
    </row>
    <row r="23" spans="2:10" ht="15">
      <c r="D23" s="14"/>
      <c r="E23" s="15">
        <f ca="1">YEAR(NOW())+17</f>
        <v>2039</v>
      </c>
      <c r="F23" s="16">
        <f>($C$6*(1+$C$8/12)^(12*18))+($C$7*(((1+$C$8/12)^(12*18)-1)/($C$8/12)))</f>
        <v>215360.51330174864</v>
      </c>
      <c r="G23" s="17">
        <f t="shared" si="1"/>
        <v>14297.419469985907</v>
      </c>
      <c r="H23" s="20">
        <f>G23/($C$6+$C$7*12*18)</f>
        <v>0.13238351361098064</v>
      </c>
      <c r="I23" s="17">
        <f t="shared" si="0"/>
        <v>1191.4516224988256</v>
      </c>
    </row>
    <row r="24" spans="2:10" ht="15">
      <c r="D24" s="14"/>
      <c r="E24" s="15">
        <f ca="1">YEAR(NOW())+18</f>
        <v>2040</v>
      </c>
      <c r="F24" s="16">
        <f>($C$6*(1+$C$8/12)^(12*19))+($C$7*(((1+$C$8/12)^(12*19)-1)/($C$8/12)))</f>
        <v>237125.23486639274</v>
      </c>
      <c r="G24" s="17">
        <f t="shared" si="1"/>
        <v>15764.721564644104</v>
      </c>
      <c r="H24" s="20">
        <f>G24/($C$6+$C$7*12*19)</f>
        <v>0.13828703126880793</v>
      </c>
      <c r="I24" s="17">
        <f t="shared" si="0"/>
        <v>1313.7267970536752</v>
      </c>
      <c r="J24" s="27"/>
    </row>
    <row r="25" spans="2:10" ht="15">
      <c r="B25" s="28"/>
      <c r="D25" s="14"/>
      <c r="E25" s="15">
        <f ca="1">YEAR(NOW())+19</f>
        <v>2041</v>
      </c>
      <c r="F25" s="16">
        <f>($C$6*(1+$C$8/12)^(12*20))+($C$7*(((1+$C$8/12)^(12*20)-1)/($C$8/12)))</f>
        <v>260463.3299127584</v>
      </c>
      <c r="G25" s="17">
        <f t="shared" si="1"/>
        <v>17338.095046365663</v>
      </c>
      <c r="H25" s="20">
        <f>G25/($C$6+$C$7*12*20)</f>
        <v>0.14448412538638053</v>
      </c>
      <c r="I25" s="17">
        <f t="shared" si="0"/>
        <v>1444.8412538638052</v>
      </c>
    </row>
    <row r="26" spans="2:10" ht="15">
      <c r="D26" s="14"/>
      <c r="E26" s="15">
        <f ca="1">YEAR(NOW())+20</f>
        <v>2042</v>
      </c>
      <c r="F26" s="16">
        <f>($C$6*(1+$C$8/12)^(12*21))+($C$7*(((1+$C$8/12)^(12*21)-1)/($C$8/12)))</f>
        <v>285488.53773705638</v>
      </c>
      <c r="G26" s="17">
        <f t="shared" si="1"/>
        <v>19025.207824297977</v>
      </c>
      <c r="H26" s="20">
        <f>G26/($C$6+$C$7*12*21)</f>
        <v>0.1509937128912538</v>
      </c>
      <c r="I26" s="17">
        <f t="shared" si="0"/>
        <v>1585.4339853581648</v>
      </c>
    </row>
    <row r="27" spans="2:10" ht="15">
      <c r="D27" s="14"/>
      <c r="E27" s="15">
        <f ca="1">YEAR(NOW())+21</f>
        <v>2043</v>
      </c>
      <c r="F27" s="16">
        <f>($C$6*(1+$C$8/12)^(12*22))+($C$7*(((1+$C$8/12)^(12*22)-1)/($C$8/12)))</f>
        <v>312322.81985841697</v>
      </c>
      <c r="G27" s="17">
        <f t="shared" si="1"/>
        <v>20834.282121360593</v>
      </c>
      <c r="H27" s="20">
        <f>G27/($C$6+$C$7*12*22)</f>
        <v>0.15783547061636813</v>
      </c>
      <c r="I27" s="17">
        <f t="shared" si="0"/>
        <v>1736.1901767800493</v>
      </c>
    </row>
    <row r="28" spans="2:10" ht="15">
      <c r="D28" s="14"/>
      <c r="E28" s="15">
        <f ca="1">YEAR(NOW())+22</f>
        <v>2044</v>
      </c>
      <c r="F28" s="16">
        <f>($C$6*(1+$C$8/12)^(12*23))+($C$7*(((1+$C$8/12)^(12*23)-1)/($C$8/12)))</f>
        <v>341096.95440404979</v>
      </c>
      <c r="G28" s="17">
        <f t="shared" si="1"/>
        <v>22774.134545632813</v>
      </c>
      <c r="H28" s="20">
        <f>G28/($C$6+$C$7*12*23)</f>
        <v>0.16502996047560009</v>
      </c>
      <c r="I28" s="17">
        <f t="shared" si="0"/>
        <v>1897.8445454694011</v>
      </c>
    </row>
    <row r="29" spans="2:10" ht="15">
      <c r="D29" s="14"/>
      <c r="E29" s="15">
        <f ca="1">YEAR(NOW())+23</f>
        <v>2045</v>
      </c>
      <c r="F29" s="16">
        <f>($C$6*(1+$C$8/12)^(12*24))+($C$7*(((1+$C$8/12)^(12*24)-1)/($C$8/12)))</f>
        <v>371951.17346255452</v>
      </c>
      <c r="G29" s="17">
        <f t="shared" si="1"/>
        <v>24854.219058504736</v>
      </c>
      <c r="H29" s="20">
        <f>G29/($C$6+$C$7*12*24)</f>
        <v>0.17259874346183846</v>
      </c>
      <c r="I29" s="17">
        <f t="shared" si="0"/>
        <v>2071.1849215420611</v>
      </c>
    </row>
    <row r="30" spans="2:10" ht="15">
      <c r="D30" s="14"/>
      <c r="E30" s="15">
        <f ca="1">YEAR(NOW())+24</f>
        <v>2046</v>
      </c>
      <c r="F30" s="16">
        <f>($C$6*(1+$C$8/12)^(12*25))+($C$7*(((1+$C$8/12)^(12*25)-1)/($C$8/12)))</f>
        <v>405035.84651155461</v>
      </c>
      <c r="G30" s="17">
        <f t="shared" si="1"/>
        <v>27084.673049000092</v>
      </c>
      <c r="H30" s="20">
        <f>G30/($C$6+$C$7*12*25)</f>
        <v>0.18056448699333394</v>
      </c>
      <c r="I30" s="17">
        <f t="shared" si="0"/>
        <v>2257.0560874166745</v>
      </c>
    </row>
    <row r="31" spans="2:10" ht="15">
      <c r="D31" s="14"/>
      <c r="E31" s="15">
        <f ca="1">YEAR(NOW())+25</f>
        <v>2047</v>
      </c>
      <c r="F31" s="16">
        <f>($C$6*(1+$C$8/12)^(12*26))+($C$7*(((1+$C$8/12)^(12*26)-1)/($C$8/12)))</f>
        <v>440512.21325036907</v>
      </c>
      <c r="G31" s="17">
        <f t="shared" si="1"/>
        <v>29476.366738814453</v>
      </c>
      <c r="H31" s="20">
        <f>G31/($C$6+$C$7*12*26)</f>
        <v>0.1889510688385542</v>
      </c>
      <c r="I31" s="17">
        <f t="shared" si="0"/>
        <v>2456.3638949012043</v>
      </c>
    </row>
    <row r="32" spans="2:10" ht="15">
      <c r="D32" s="14"/>
      <c r="E32" s="15">
        <f ca="1">YEAR(NOW())+26</f>
        <v>2048</v>
      </c>
      <c r="F32" s="16">
        <f>($C$6*(1+$C$8/12)^(12*27))+($C$7*(((1+$C$8/12)^(12*27)-1)/($C$8/12)))</f>
        <v>478553.1694092179</v>
      </c>
      <c r="G32" s="17">
        <f t="shared" si="1"/>
        <v>32040.956158848829</v>
      </c>
      <c r="H32" s="20">
        <f>G32/($C$6+$C$7*12*27)</f>
        <v>0.19778367999289401</v>
      </c>
      <c r="I32" s="17">
        <f t="shared" si="0"/>
        <v>2670.0796799040691</v>
      </c>
    </row>
    <row r="33" spans="4:9" ht="15">
      <c r="D33" s="14"/>
      <c r="E33" s="15">
        <f ca="1">YEAR(NOW())+27</f>
        <v>2049</v>
      </c>
      <c r="F33" s="16">
        <f>($C$6*(1+$C$8/12)^(12*28))+($C$7*(((1+$C$8/12)^(12*28)-1)/($C$8/12)))</f>
        <v>519344.1093646384</v>
      </c>
      <c r="G33" s="17">
        <f t="shared" si="1"/>
        <v>34790.939955420501</v>
      </c>
      <c r="H33" s="20">
        <f>G33/($C$6+$C$7*12*28)</f>
        <v>0.20708892830607442</v>
      </c>
      <c r="I33" s="17">
        <f t="shared" si="0"/>
        <v>2899.2449962850419</v>
      </c>
    </row>
    <row r="34" spans="4:9" ht="15">
      <c r="D34" s="14"/>
      <c r="E34" s="15">
        <f ca="1">YEAR(NOW())+28</f>
        <v>2050</v>
      </c>
      <c r="F34" s="16">
        <f>($C$6*(1+$C$8/12)^(12*29))+($C$7*(((1+$C$8/12)^(12*29)-1)/($C$8/12)))</f>
        <v>563083.82966763829</v>
      </c>
      <c r="G34" s="17">
        <f t="shared" si="1"/>
        <v>37739.720302999893</v>
      </c>
      <c r="H34" s="20">
        <f>G34/($C$6+$C$7*12*29)</f>
        <v>0.21689494427011433</v>
      </c>
      <c r="I34" s="17">
        <f t="shared" si="0"/>
        <v>3144.9766919166577</v>
      </c>
    </row>
    <row r="35" spans="4:9" ht="15">
      <c r="D35" s="14"/>
      <c r="E35" s="15">
        <f ca="1">YEAR(NOW())+29</f>
        <v>2051</v>
      </c>
      <c r="F35" s="16">
        <f>($C$6*(1+$C$8/12)^(12*30))+($C$7*(((1+$C$8/12)^(12*30)-1)/($C$8/12)))</f>
        <v>609985.497887971</v>
      </c>
      <c r="G35" s="17">
        <f t="shared" si="1"/>
        <v>40901.668220332707</v>
      </c>
      <c r="H35" s="20">
        <f>G35/($C$6+$C$7*12*30)</f>
        <v>0.22723149011295948</v>
      </c>
      <c r="I35" s="17">
        <f t="shared" si="0"/>
        <v>3408.4723516943923</v>
      </c>
    </row>
    <row r="36" spans="4:9" ht="15">
      <c r="D36" s="14"/>
      <c r="E36" s="15">
        <f ca="1">YEAR(NOW())+30</f>
        <v>2052</v>
      </c>
      <c r="F36" s="16">
        <f>($C$6*(1+$C$8/12)^(12*31))+($C$7*(((1+$C$8/12)^(12*31)-1)/($C$8/12)))</f>
        <v>660277.69149624393</v>
      </c>
      <c r="G36" s="17">
        <f t="shared" si="1"/>
        <v>44292.193608272937</v>
      </c>
      <c r="H36" s="20">
        <f>G36/($C$6+$C$7*12*31)</f>
        <v>0.23813007316275772</v>
      </c>
      <c r="I36" s="17">
        <f t="shared" si="0"/>
        <v>3691.0161340227446</v>
      </c>
    </row>
    <row r="37" spans="4:9" ht="15">
      <c r="D37" s="14"/>
      <c r="E37" s="15">
        <f ca="1">YEAR(NOW())+31</f>
        <v>2053</v>
      </c>
      <c r="F37" s="16">
        <f>($C$6*(1+$C$8/12)^(12*32))+($C$7*(((1+$C$8/12)^(12*32)-1)/($C$8/12)))</f>
        <v>714205.51184689638</v>
      </c>
      <c r="G37" s="17">
        <f t="shared" si="1"/>
        <v>47927.820350652444</v>
      </c>
      <c r="H37" s="20">
        <f>G37/($C$6+$C$7*12*32)</f>
        <v>0.24962406432631482</v>
      </c>
      <c r="I37" s="17">
        <f t="shared" si="0"/>
        <v>3993.9850292210372</v>
      </c>
    </row>
    <row r="38" spans="4:9" ht="15">
      <c r="D38" s="14"/>
      <c r="E38" s="15">
        <f ca="1">YEAR(NOW())+32</f>
        <v>2054</v>
      </c>
      <c r="F38" s="16">
        <f>($C$6*(1+$C$8/12)^(12*33))+($C$7*(((1+$C$8/12)^(12*33)-1)/($C$8/12)))</f>
        <v>772031.77869109809</v>
      </c>
      <c r="G38" s="17">
        <f t="shared" si="1"/>
        <v>51826.266844201717</v>
      </c>
      <c r="H38" s="20">
        <f>G38/($C$6+$C$7*12*33)</f>
        <v>0.26174882244546321</v>
      </c>
      <c r="I38" s="17">
        <f t="shared" si="0"/>
        <v>4318.8555703501434</v>
      </c>
    </row>
    <row r="39" spans="4:9" ht="15">
      <c r="D39" s="14"/>
      <c r="E39" s="15">
        <f ca="1">YEAR(NOW())+33</f>
        <v>2055</v>
      </c>
      <c r="F39" s="16">
        <f>($C$6*(1+$C$8/12)^(12*34))+($C$7*(((1+$C$8/12)^(12*34)-1)/($C$8/12)))</f>
        <v>834038.31104108144</v>
      </c>
      <c r="G39" s="17">
        <f t="shared" si="1"/>
        <v>56006.532349983347</v>
      </c>
      <c r="H39" s="20">
        <f>G39/($C$6+$C$7*12*34)</f>
        <v>0.27454182524501641</v>
      </c>
      <c r="I39" s="17">
        <f t="shared" si="0"/>
        <v>4667.2110291652789</v>
      </c>
    </row>
    <row r="40" spans="4:9" ht="15">
      <c r="D40" s="14"/>
      <c r="E40" s="15">
        <f ca="1">YEAR(NOW())+34</f>
        <v>2056</v>
      </c>
      <c r="F40" s="16">
        <f>($C$6*(1+$C$8/12)^(12*35))+($C$7*(((1+$C$8/12)^(12*35)-1)/($C$8/12)))</f>
        <v>900527.30062825989</v>
      </c>
      <c r="G40" s="17">
        <f t="shared" si="1"/>
        <v>60488.989587178454</v>
      </c>
      <c r="H40" s="20">
        <f>G40/($C$6+$C$7*12*35)</f>
        <v>0.28804280755799266</v>
      </c>
      <c r="I40" s="17">
        <f t="shared" si="0"/>
        <v>5040.7491322648712</v>
      </c>
    </row>
    <row r="41" spans="4:9" ht="15">
      <c r="D41" s="14"/>
      <c r="E41" s="15">
        <f ca="1">YEAR(NOW())+35</f>
        <v>2057</v>
      </c>
      <c r="F41" s="16">
        <f>($C$6*(1+$C$8/12)^(12*36))+($C$7*(((1+$C$8/12)^(12*36)-1)/($C$8/12)))</f>
        <v>971822.78464874486</v>
      </c>
      <c r="G41" s="17">
        <f t="shared" si="1"/>
        <v>65295.484020484961</v>
      </c>
      <c r="H41" s="20">
        <f>G41/($C$6+$C$7*12*36)</f>
        <v>0.30229390750224516</v>
      </c>
      <c r="I41" s="17">
        <f t="shared" si="0"/>
        <v>5441.2903350404131</v>
      </c>
    </row>
    <row r="42" spans="4:9" ht="15">
      <c r="D42" s="14"/>
      <c r="E42" s="15">
        <f ca="1">YEAR(NOW())+36</f>
        <v>2058</v>
      </c>
      <c r="F42" s="16">
        <f>($C$6*(1+$C$8/12)^(12*37))+($C$7*(((1+$C$8/12)^(12*37)-1)/($C$8/12)))</f>
        <v>1048272.2249737551</v>
      </c>
      <c r="G42" s="17">
        <f t="shared" si="1"/>
        <v>70449.440325010219</v>
      </c>
      <c r="H42" s="20">
        <f t="shared" ref="H42:H43" si="2">G42/($C$6+$C$7*12*37)</f>
        <v>0.31733982128382981</v>
      </c>
      <c r="I42" s="17">
        <f t="shared" si="0"/>
        <v>5870.7866937508516</v>
      </c>
    </row>
    <row r="43" spans="4:9" ht="15">
      <c r="D43" s="14"/>
      <c r="E43" s="15">
        <f ca="1">YEAR(NOW())+37</f>
        <v>2059</v>
      </c>
      <c r="F43" s="16">
        <f>($C$6*(1+$C$8/12)^(12*38))+($C$7*(((1+$C$8/12)^(12*38)-1)/($C$8/12)))</f>
        <v>1130248.2015212744</v>
      </c>
      <c r="G43" s="17">
        <f t="shared" si="1"/>
        <v>75975.976547519327</v>
      </c>
      <c r="H43" s="20">
        <f t="shared" si="2"/>
        <v>0.34223412859242941</v>
      </c>
      <c r="I43" s="17">
        <f t="shared" si="0"/>
        <v>6331.3313789599442</v>
      </c>
    </row>
    <row r="44" spans="4:9" ht="15">
      <c r="D44" s="14"/>
      <c r="E44" s="15">
        <f ca="1">YEAR(NOW())+38</f>
        <v>2060</v>
      </c>
      <c r="F44" s="16">
        <f>($C$6*(1+$C$8/12)^(12*39))+($C$7*(((1+$C$8/12)^(12*39)-1)/($C$8/12)))</f>
        <v>1218150.2280416829</v>
      </c>
      <c r="G44" s="17">
        <f t="shared" si="1"/>
        <v>81902.026520408457</v>
      </c>
      <c r="H44" s="20">
        <f>G44/($C$6+$C$7*12*38)</f>
        <v>0.35921941456319501</v>
      </c>
      <c r="I44" s="17">
        <f t="shared" si="0"/>
        <v>6825.1688767007045</v>
      </c>
    </row>
    <row r="45" spans="4:9" ht="15">
      <c r="D45" s="14"/>
      <c r="E45" s="15">
        <f ca="1">YEAR(NOW())+39</f>
        <v>2061</v>
      </c>
      <c r="F45" s="29">
        <f>($C$6*(1+$C$8/12)^(12*40))+($C$7*(((1+$C$8/12)^(12*40)-1)/($C$8/12)))</f>
        <v>1312406.6991666784</v>
      </c>
      <c r="G45" s="17">
        <f t="shared" si="1"/>
        <v>88256.4711249955</v>
      </c>
      <c r="H45" s="20">
        <f>G45/($C$6+$C$7*12*39)</f>
        <v>0.37716440651707478</v>
      </c>
      <c r="I45" s="17">
        <f t="shared" si="0"/>
        <v>7354.7059270829586</v>
      </c>
    </row>
    <row r="46" spans="4:9" ht="15">
      <c r="E46" s="30">
        <f ca="1">YEAR(NOW())+40</f>
        <v>2062</v>
      </c>
      <c r="F46" s="31">
        <f>($C$6*(1+$C$8/12)^(12*41))+($C$7*(((1+$C$8/12)^(12*41)-1)/($C$8/12)))</f>
        <v>1413476.9782105237</v>
      </c>
      <c r="G46" s="32">
        <f t="shared" si="1"/>
        <v>95070.279043845367</v>
      </c>
      <c r="H46" s="33">
        <f>G46/($C$6+$C$7*12*40)</f>
        <v>0.39612616268268902</v>
      </c>
      <c r="I46" s="32">
        <f t="shared" si="0"/>
        <v>7922.5232536537806</v>
      </c>
    </row>
    <row r="47" spans="4:9" ht="12.75">
      <c r="E47" s="7"/>
    </row>
    <row r="48" spans="4:9" ht="12.75">
      <c r="E48" s="7"/>
    </row>
    <row r="49" spans="5:5" ht="12.75">
      <c r="E49" s="7"/>
    </row>
    <row r="50" spans="5:5" ht="12.75">
      <c r="E50" s="7"/>
    </row>
    <row r="51" spans="5:5" ht="12.75">
      <c r="E51" s="7"/>
    </row>
    <row r="52" spans="5:5" ht="12.75">
      <c r="E52" s="7"/>
    </row>
    <row r="53" spans="5:5" ht="12.75">
      <c r="E53" s="7"/>
    </row>
    <row r="54" spans="5:5" ht="12.75">
      <c r="E54" s="7"/>
    </row>
    <row r="55" spans="5:5" ht="12.75">
      <c r="E55" s="7"/>
    </row>
    <row r="56" spans="5:5" ht="12.75">
      <c r="E56" s="7"/>
    </row>
    <row r="57" spans="5:5" ht="12.75">
      <c r="E57" s="7"/>
    </row>
    <row r="58" spans="5:5" ht="12.75">
      <c r="E58" s="7"/>
    </row>
    <row r="59" spans="5:5" ht="12.75">
      <c r="E59" s="7"/>
    </row>
    <row r="60" spans="5:5" ht="12.75">
      <c r="E60" s="7"/>
    </row>
    <row r="61" spans="5:5" ht="12.75">
      <c r="E61" s="7"/>
    </row>
    <row r="62" spans="5:5" ht="12.75">
      <c r="E62" s="7"/>
    </row>
    <row r="63" spans="5:5" ht="12.75">
      <c r="E63" s="7"/>
    </row>
    <row r="64" spans="5:5" ht="12.75">
      <c r="E64" s="7"/>
    </row>
    <row r="65" spans="5:5" ht="12.75">
      <c r="E65" s="7"/>
    </row>
    <row r="66" spans="5:5" ht="12.75">
      <c r="E66" s="7"/>
    </row>
    <row r="67" spans="5:5" ht="12.75">
      <c r="E67" s="7"/>
    </row>
    <row r="68" spans="5:5" ht="12.75">
      <c r="E68" s="7"/>
    </row>
    <row r="69" spans="5:5" ht="12.75">
      <c r="E69" s="7"/>
    </row>
    <row r="70" spans="5:5" ht="12.75">
      <c r="E70" s="7"/>
    </row>
    <row r="71" spans="5:5" ht="12.75">
      <c r="E71" s="7"/>
    </row>
    <row r="72" spans="5:5" ht="12.75">
      <c r="E72" s="7"/>
    </row>
    <row r="73" spans="5:5" ht="12.75">
      <c r="E73" s="7"/>
    </row>
    <row r="74" spans="5:5" ht="12.75">
      <c r="E74" s="7"/>
    </row>
    <row r="75" spans="5:5" ht="12.75">
      <c r="E75" s="7"/>
    </row>
    <row r="76" spans="5:5" ht="12.75">
      <c r="E76" s="7"/>
    </row>
    <row r="77" spans="5:5" ht="12.75">
      <c r="E77" s="7"/>
    </row>
    <row r="78" spans="5:5" ht="12.75">
      <c r="E78" s="7"/>
    </row>
    <row r="79" spans="5:5" ht="12.75">
      <c r="E79" s="7"/>
    </row>
    <row r="80" spans="5:5" ht="12.75">
      <c r="E80" s="7"/>
    </row>
    <row r="81" spans="5:5" ht="12.75">
      <c r="E81" s="7"/>
    </row>
    <row r="82" spans="5:5" ht="12.75">
      <c r="E82" s="7"/>
    </row>
    <row r="83" spans="5:5" ht="12.75">
      <c r="E83" s="7"/>
    </row>
    <row r="84" spans="5:5" ht="12.75">
      <c r="E84" s="7"/>
    </row>
    <row r="85" spans="5:5" ht="12.75">
      <c r="E85" s="7"/>
    </row>
    <row r="86" spans="5:5" ht="12.75">
      <c r="E86" s="7"/>
    </row>
    <row r="87" spans="5:5" ht="12.75">
      <c r="E87" s="7"/>
    </row>
    <row r="88" spans="5:5" ht="12.75">
      <c r="E88" s="7"/>
    </row>
    <row r="89" spans="5:5" ht="12.75">
      <c r="E89" s="7"/>
    </row>
    <row r="90" spans="5:5" ht="12.75">
      <c r="E90" s="7"/>
    </row>
    <row r="91" spans="5:5" ht="12.75">
      <c r="E91" s="7"/>
    </row>
    <row r="92" spans="5:5" ht="12.75">
      <c r="E92" s="7"/>
    </row>
    <row r="93" spans="5:5" ht="12.75">
      <c r="E93" s="7"/>
    </row>
    <row r="94" spans="5:5" ht="12.75">
      <c r="E94" s="7"/>
    </row>
    <row r="95" spans="5:5" ht="12.75">
      <c r="E95" s="7"/>
    </row>
    <row r="96" spans="5:5" ht="12.75">
      <c r="E96" s="7"/>
    </row>
    <row r="97" spans="5:5" ht="12.75">
      <c r="E97" s="7"/>
    </row>
    <row r="98" spans="5:5" ht="12.75">
      <c r="E98" s="7"/>
    </row>
    <row r="99" spans="5:5" ht="12.75">
      <c r="E99" s="7"/>
    </row>
    <row r="100" spans="5:5" ht="12.75">
      <c r="E100" s="7"/>
    </row>
    <row r="101" spans="5:5" ht="12.75">
      <c r="E101" s="7"/>
    </row>
    <row r="102" spans="5:5" ht="12.75">
      <c r="E102" s="7"/>
    </row>
    <row r="103" spans="5:5" ht="12.75">
      <c r="E103" s="7"/>
    </row>
    <row r="104" spans="5:5" ht="12.75">
      <c r="E104" s="7"/>
    </row>
    <row r="105" spans="5:5" ht="12.75">
      <c r="E105" s="7"/>
    </row>
    <row r="106" spans="5:5" ht="12.75">
      <c r="E106" s="7"/>
    </row>
    <row r="107" spans="5:5" ht="12.75">
      <c r="E107" s="7"/>
    </row>
    <row r="108" spans="5:5" ht="12.75">
      <c r="E108" s="7"/>
    </row>
    <row r="109" spans="5:5" ht="12.75">
      <c r="E109" s="7"/>
    </row>
    <row r="110" spans="5:5" ht="12.75">
      <c r="E110" s="7"/>
    </row>
    <row r="111" spans="5:5" ht="12.75">
      <c r="E111" s="7"/>
    </row>
    <row r="112" spans="5:5" ht="12.75">
      <c r="E112" s="7"/>
    </row>
    <row r="113" spans="5:5" ht="12.75">
      <c r="E113" s="7"/>
    </row>
    <row r="114" spans="5:5" ht="12.75">
      <c r="E114" s="7"/>
    </row>
    <row r="115" spans="5:5" ht="12.75">
      <c r="E115" s="7"/>
    </row>
    <row r="116" spans="5:5" ht="12.75">
      <c r="E116" s="7"/>
    </row>
    <row r="117" spans="5:5" ht="12.75">
      <c r="E117" s="7"/>
    </row>
    <row r="118" spans="5:5" ht="12.75">
      <c r="E118" s="7"/>
    </row>
    <row r="119" spans="5:5" ht="12.75">
      <c r="E119" s="7"/>
    </row>
    <row r="120" spans="5:5" ht="12.75">
      <c r="E120" s="7"/>
    </row>
    <row r="121" spans="5:5" ht="12.75">
      <c r="E121" s="7"/>
    </row>
    <row r="122" spans="5:5" ht="12.75">
      <c r="E122" s="7"/>
    </row>
    <row r="123" spans="5:5" ht="12.75">
      <c r="E123" s="7"/>
    </row>
    <row r="124" spans="5:5" ht="12.75">
      <c r="E124" s="7"/>
    </row>
    <row r="125" spans="5:5" ht="12.75">
      <c r="E125" s="7"/>
    </row>
    <row r="126" spans="5:5" ht="12.75">
      <c r="E126" s="7"/>
    </row>
    <row r="127" spans="5:5" ht="12.75">
      <c r="E127" s="7"/>
    </row>
    <row r="128" spans="5:5" ht="12.75">
      <c r="E128" s="7"/>
    </row>
    <row r="129" spans="5:5" ht="12.75">
      <c r="E129" s="7"/>
    </row>
    <row r="130" spans="5:5" ht="12.75">
      <c r="E130" s="7"/>
    </row>
    <row r="131" spans="5:5" ht="12.75">
      <c r="E131" s="7"/>
    </row>
    <row r="132" spans="5:5" ht="12.75">
      <c r="E132" s="7"/>
    </row>
    <row r="133" spans="5:5" ht="12.75">
      <c r="E133" s="7"/>
    </row>
    <row r="134" spans="5:5" ht="12.75">
      <c r="E134" s="7"/>
    </row>
    <row r="135" spans="5:5" ht="12.75">
      <c r="E135" s="7"/>
    </row>
    <row r="136" spans="5:5" ht="12.75">
      <c r="E136" s="7"/>
    </row>
    <row r="137" spans="5:5" ht="12.75">
      <c r="E137" s="7"/>
    </row>
    <row r="138" spans="5:5" ht="12.75">
      <c r="E138" s="7"/>
    </row>
    <row r="139" spans="5:5" ht="12.75">
      <c r="E139" s="7"/>
    </row>
    <row r="140" spans="5:5" ht="12.75">
      <c r="E140" s="7"/>
    </row>
    <row r="141" spans="5:5" ht="12.75">
      <c r="E141" s="7"/>
    </row>
    <row r="142" spans="5:5" ht="12.75">
      <c r="E142" s="7"/>
    </row>
    <row r="143" spans="5:5" ht="12.75">
      <c r="E143" s="7"/>
    </row>
    <row r="144" spans="5:5" ht="12.75">
      <c r="E144" s="7"/>
    </row>
    <row r="145" spans="5:5" ht="12.75">
      <c r="E145" s="7"/>
    </row>
    <row r="146" spans="5:5" ht="12.75">
      <c r="E146" s="7"/>
    </row>
    <row r="147" spans="5:5" ht="12.75">
      <c r="E147" s="7"/>
    </row>
    <row r="148" spans="5:5" ht="12.75">
      <c r="E148" s="7"/>
    </row>
    <row r="149" spans="5:5" ht="12.75">
      <c r="E149" s="7"/>
    </row>
    <row r="150" spans="5:5" ht="12.75">
      <c r="E150" s="7"/>
    </row>
    <row r="151" spans="5:5" ht="12.75">
      <c r="E151" s="7"/>
    </row>
    <row r="152" spans="5:5" ht="12.75">
      <c r="E152" s="7"/>
    </row>
    <row r="153" spans="5:5" ht="12.75">
      <c r="E153" s="7"/>
    </row>
    <row r="154" spans="5:5" ht="12.75">
      <c r="E154" s="7"/>
    </row>
    <row r="155" spans="5:5" ht="12.75">
      <c r="E155" s="7"/>
    </row>
    <row r="156" spans="5:5" ht="12.75">
      <c r="E156" s="7"/>
    </row>
    <row r="157" spans="5:5" ht="12.75">
      <c r="E157" s="7"/>
    </row>
    <row r="158" spans="5:5" ht="12.75">
      <c r="E158" s="7"/>
    </row>
    <row r="159" spans="5:5" ht="12.75">
      <c r="E159" s="7"/>
    </row>
    <row r="160" spans="5:5" ht="12.75">
      <c r="E160" s="7"/>
    </row>
    <row r="161" spans="5:5" ht="12.75">
      <c r="E161" s="7"/>
    </row>
    <row r="162" spans="5:5" ht="12.75">
      <c r="E162" s="7"/>
    </row>
    <row r="163" spans="5:5" ht="12.75">
      <c r="E163" s="7"/>
    </row>
    <row r="164" spans="5:5" ht="12.75">
      <c r="E164" s="7"/>
    </row>
    <row r="165" spans="5:5" ht="12.75">
      <c r="E165" s="7"/>
    </row>
    <row r="166" spans="5:5" ht="12.75">
      <c r="E166" s="7"/>
    </row>
    <row r="167" spans="5:5" ht="12.75">
      <c r="E167" s="7"/>
    </row>
    <row r="168" spans="5:5" ht="12.75">
      <c r="E168" s="7"/>
    </row>
    <row r="169" spans="5:5" ht="12.75">
      <c r="E169" s="7"/>
    </row>
    <row r="170" spans="5:5" ht="12.75">
      <c r="E170" s="7"/>
    </row>
    <row r="171" spans="5:5" ht="12.75">
      <c r="E171" s="7"/>
    </row>
    <row r="172" spans="5:5" ht="12.75">
      <c r="E172" s="7"/>
    </row>
    <row r="173" spans="5:5" ht="12.75">
      <c r="E173" s="7"/>
    </row>
    <row r="174" spans="5:5" ht="12.75">
      <c r="E174" s="7"/>
    </row>
    <row r="175" spans="5:5" ht="12.75">
      <c r="E175" s="7"/>
    </row>
    <row r="176" spans="5:5" ht="12.75">
      <c r="E176" s="7"/>
    </row>
    <row r="177" spans="5:5" ht="12.75">
      <c r="E177" s="7"/>
    </row>
    <row r="178" spans="5:5" ht="12.75">
      <c r="E178" s="7"/>
    </row>
    <row r="179" spans="5:5" ht="12.75">
      <c r="E179" s="7"/>
    </row>
    <row r="180" spans="5:5" ht="12.75">
      <c r="E180" s="7"/>
    </row>
    <row r="181" spans="5:5" ht="12.75">
      <c r="E181" s="7"/>
    </row>
    <row r="182" spans="5:5" ht="12.75">
      <c r="E182" s="7"/>
    </row>
    <row r="183" spans="5:5" ht="12.75">
      <c r="E183" s="7"/>
    </row>
    <row r="184" spans="5:5" ht="12.75">
      <c r="E184" s="7"/>
    </row>
    <row r="185" spans="5:5" ht="12.75">
      <c r="E185" s="7"/>
    </row>
    <row r="186" spans="5:5" ht="12.75">
      <c r="E186" s="7"/>
    </row>
    <row r="187" spans="5:5" ht="12.75">
      <c r="E187" s="7"/>
    </row>
    <row r="188" spans="5:5" ht="12.75">
      <c r="E188" s="7"/>
    </row>
    <row r="189" spans="5:5" ht="12.75">
      <c r="E189" s="7"/>
    </row>
    <row r="190" spans="5:5" ht="12.75">
      <c r="E190" s="7"/>
    </row>
    <row r="191" spans="5:5" ht="12.75">
      <c r="E191" s="7"/>
    </row>
    <row r="192" spans="5:5" ht="12.75">
      <c r="E192" s="7"/>
    </row>
    <row r="193" spans="5:5" ht="12.75">
      <c r="E193" s="7"/>
    </row>
    <row r="194" spans="5:5" ht="12.75">
      <c r="E194" s="7"/>
    </row>
    <row r="195" spans="5:5" ht="12.75">
      <c r="E195" s="7"/>
    </row>
    <row r="196" spans="5:5" ht="12.75">
      <c r="E196" s="7"/>
    </row>
    <row r="197" spans="5:5" ht="12.75">
      <c r="E197" s="7"/>
    </row>
    <row r="198" spans="5:5" ht="12.75">
      <c r="E198" s="7"/>
    </row>
    <row r="199" spans="5:5" ht="12.75">
      <c r="E199" s="7"/>
    </row>
    <row r="200" spans="5:5" ht="12.75">
      <c r="E200" s="7"/>
    </row>
    <row r="201" spans="5:5" ht="12.75">
      <c r="E201" s="7"/>
    </row>
    <row r="202" spans="5:5" ht="12.75">
      <c r="E202" s="7"/>
    </row>
    <row r="203" spans="5:5" ht="12.75">
      <c r="E203" s="7"/>
    </row>
    <row r="204" spans="5:5" ht="12.75">
      <c r="E204" s="7"/>
    </row>
    <row r="205" spans="5:5" ht="12.75">
      <c r="E205" s="7"/>
    </row>
    <row r="206" spans="5:5" ht="12.75">
      <c r="E206" s="7"/>
    </row>
    <row r="207" spans="5:5" ht="12.75">
      <c r="E207" s="7"/>
    </row>
    <row r="208" spans="5:5" ht="12.75">
      <c r="E208" s="7"/>
    </row>
    <row r="209" spans="5:5" ht="12.75">
      <c r="E209" s="7"/>
    </row>
    <row r="210" spans="5:5" ht="12.75">
      <c r="E210" s="7"/>
    </row>
    <row r="211" spans="5:5" ht="12.75">
      <c r="E211" s="7"/>
    </row>
    <row r="212" spans="5:5" ht="12.75">
      <c r="E212" s="7"/>
    </row>
    <row r="213" spans="5:5" ht="12.75">
      <c r="E213" s="7"/>
    </row>
    <row r="214" spans="5:5" ht="12.75">
      <c r="E214" s="7"/>
    </row>
    <row r="215" spans="5:5" ht="12.75">
      <c r="E215" s="7"/>
    </row>
    <row r="216" spans="5:5" ht="12.75">
      <c r="E216" s="7"/>
    </row>
    <row r="217" spans="5:5" ht="12.75">
      <c r="E217" s="7"/>
    </row>
    <row r="218" spans="5:5" ht="12.75">
      <c r="E218" s="7"/>
    </row>
    <row r="219" spans="5:5" ht="12.75">
      <c r="E219" s="7"/>
    </row>
    <row r="220" spans="5:5" ht="12.75">
      <c r="E220" s="7"/>
    </row>
    <row r="221" spans="5:5" ht="12.75">
      <c r="E221" s="7"/>
    </row>
    <row r="222" spans="5:5" ht="12.75">
      <c r="E222" s="7"/>
    </row>
    <row r="223" spans="5:5" ht="12.75">
      <c r="E223" s="7"/>
    </row>
    <row r="224" spans="5:5" ht="12.75">
      <c r="E224" s="7"/>
    </row>
    <row r="225" spans="5:5" ht="12.75">
      <c r="E225" s="7"/>
    </row>
    <row r="226" spans="5:5" ht="12.75">
      <c r="E226" s="7"/>
    </row>
    <row r="227" spans="5:5" ht="12.75">
      <c r="E227" s="7"/>
    </row>
    <row r="228" spans="5:5" ht="12.75">
      <c r="E228" s="7"/>
    </row>
    <row r="229" spans="5:5" ht="12.75">
      <c r="E229" s="7"/>
    </row>
    <row r="230" spans="5:5" ht="12.75">
      <c r="E230" s="7"/>
    </row>
    <row r="231" spans="5:5" ht="12.75">
      <c r="E231" s="7"/>
    </row>
    <row r="232" spans="5:5" ht="12.75">
      <c r="E232" s="7"/>
    </row>
    <row r="233" spans="5:5" ht="12.75">
      <c r="E233" s="7"/>
    </row>
    <row r="234" spans="5:5" ht="12.75">
      <c r="E234" s="7"/>
    </row>
    <row r="235" spans="5:5" ht="12.75">
      <c r="E235" s="7"/>
    </row>
    <row r="236" spans="5:5" ht="12.75">
      <c r="E236" s="7"/>
    </row>
    <row r="237" spans="5:5" ht="12.75">
      <c r="E237" s="7"/>
    </row>
    <row r="238" spans="5:5" ht="12.75">
      <c r="E238" s="7"/>
    </row>
    <row r="239" spans="5:5" ht="12.75">
      <c r="E239" s="7"/>
    </row>
    <row r="240" spans="5:5" ht="12.75">
      <c r="E240" s="7"/>
    </row>
    <row r="241" spans="5:5" ht="12.75">
      <c r="E241" s="7"/>
    </row>
    <row r="242" spans="5:5" ht="12.75">
      <c r="E242" s="7"/>
    </row>
    <row r="243" spans="5:5" ht="12.75">
      <c r="E243" s="7"/>
    </row>
    <row r="244" spans="5:5" ht="12.75">
      <c r="E244" s="7"/>
    </row>
    <row r="245" spans="5:5" ht="12.75">
      <c r="E245" s="7"/>
    </row>
    <row r="246" spans="5:5" ht="12.75">
      <c r="E246" s="7"/>
    </row>
    <row r="247" spans="5:5" ht="12.75">
      <c r="E247" s="7"/>
    </row>
    <row r="248" spans="5:5" ht="12.75">
      <c r="E248" s="7"/>
    </row>
    <row r="249" spans="5:5" ht="12.75">
      <c r="E249" s="7"/>
    </row>
    <row r="250" spans="5:5" ht="12.75">
      <c r="E250" s="7"/>
    </row>
    <row r="251" spans="5:5" ht="12.75">
      <c r="E251" s="7"/>
    </row>
    <row r="252" spans="5:5" ht="12.75">
      <c r="E252" s="7"/>
    </row>
    <row r="253" spans="5:5" ht="12.75">
      <c r="E253" s="7"/>
    </row>
    <row r="254" spans="5:5" ht="12.75">
      <c r="E254" s="7"/>
    </row>
    <row r="255" spans="5:5" ht="12.75">
      <c r="E255" s="7"/>
    </row>
    <row r="256" spans="5:5" ht="12.75">
      <c r="E256" s="7"/>
    </row>
    <row r="257" spans="5:5" ht="12.75">
      <c r="E257" s="7"/>
    </row>
    <row r="258" spans="5:5" ht="12.75">
      <c r="E258" s="7"/>
    </row>
    <row r="259" spans="5:5" ht="12.75">
      <c r="E259" s="7"/>
    </row>
    <row r="260" spans="5:5" ht="12.75">
      <c r="E260" s="7"/>
    </row>
    <row r="261" spans="5:5" ht="12.75">
      <c r="E261" s="7"/>
    </row>
    <row r="262" spans="5:5" ht="12.75">
      <c r="E262" s="7"/>
    </row>
    <row r="263" spans="5:5" ht="12.75">
      <c r="E263" s="7"/>
    </row>
    <row r="264" spans="5:5" ht="12.75">
      <c r="E264" s="7"/>
    </row>
    <row r="265" spans="5:5" ht="12.75">
      <c r="E265" s="7"/>
    </row>
    <row r="266" spans="5:5" ht="12.75">
      <c r="E266" s="7"/>
    </row>
    <row r="267" spans="5:5" ht="12.75">
      <c r="E267" s="7"/>
    </row>
    <row r="268" spans="5:5" ht="12.75">
      <c r="E268" s="7"/>
    </row>
    <row r="269" spans="5:5" ht="12.75">
      <c r="E269" s="7"/>
    </row>
    <row r="270" spans="5:5" ht="12.75">
      <c r="E270" s="7"/>
    </row>
    <row r="271" spans="5:5" ht="12.75">
      <c r="E271" s="7"/>
    </row>
    <row r="272" spans="5:5" ht="12.75">
      <c r="E272" s="7"/>
    </row>
    <row r="273" spans="5:5" ht="12.75">
      <c r="E273" s="7"/>
    </row>
    <row r="274" spans="5:5" ht="12.75">
      <c r="E274" s="7"/>
    </row>
    <row r="275" spans="5:5" ht="12.75">
      <c r="E275" s="7"/>
    </row>
    <row r="276" spans="5:5" ht="12.75">
      <c r="E276" s="7"/>
    </row>
    <row r="277" spans="5:5" ht="12.75">
      <c r="E277" s="7"/>
    </row>
    <row r="278" spans="5:5" ht="12.75">
      <c r="E278" s="7"/>
    </row>
    <row r="279" spans="5:5" ht="12.75">
      <c r="E279" s="7"/>
    </row>
    <row r="280" spans="5:5" ht="12.75">
      <c r="E280" s="7"/>
    </row>
    <row r="281" spans="5:5" ht="12.75">
      <c r="E281" s="7"/>
    </row>
    <row r="282" spans="5:5" ht="12.75">
      <c r="E282" s="7"/>
    </row>
    <row r="283" spans="5:5" ht="12.75">
      <c r="E283" s="7"/>
    </row>
    <row r="284" spans="5:5" ht="12.75">
      <c r="E284" s="7"/>
    </row>
    <row r="285" spans="5:5" ht="12.75">
      <c r="E285" s="7"/>
    </row>
    <row r="286" spans="5:5" ht="12.75">
      <c r="E286" s="7"/>
    </row>
    <row r="287" spans="5:5" ht="12.75">
      <c r="E287" s="7"/>
    </row>
    <row r="288" spans="5:5" ht="12.75">
      <c r="E288" s="7"/>
    </row>
    <row r="289" spans="5:5" ht="12.75">
      <c r="E289" s="7"/>
    </row>
    <row r="290" spans="5:5" ht="12.75">
      <c r="E290" s="7"/>
    </row>
    <row r="291" spans="5:5" ht="12.75">
      <c r="E291" s="7"/>
    </row>
    <row r="292" spans="5:5" ht="12.75">
      <c r="E292" s="7"/>
    </row>
    <row r="293" spans="5:5" ht="12.75">
      <c r="E293" s="7"/>
    </row>
    <row r="294" spans="5:5" ht="12.75">
      <c r="E294" s="7"/>
    </row>
    <row r="295" spans="5:5" ht="12.75">
      <c r="E295" s="7"/>
    </row>
    <row r="296" spans="5:5" ht="12.75">
      <c r="E296" s="7"/>
    </row>
    <row r="297" spans="5:5" ht="12.75">
      <c r="E297" s="7"/>
    </row>
    <row r="298" spans="5:5" ht="12.75">
      <c r="E298" s="7"/>
    </row>
    <row r="299" spans="5:5" ht="12.75">
      <c r="E299" s="7"/>
    </row>
    <row r="300" spans="5:5" ht="12.75">
      <c r="E300" s="7"/>
    </row>
    <row r="301" spans="5:5" ht="12.75">
      <c r="E301" s="7"/>
    </row>
    <row r="302" spans="5:5" ht="12.75">
      <c r="E302" s="7"/>
    </row>
    <row r="303" spans="5:5" ht="12.75">
      <c r="E303" s="7"/>
    </row>
    <row r="304" spans="5:5" ht="12.75">
      <c r="E304" s="7"/>
    </row>
    <row r="305" spans="5:5" ht="12.75">
      <c r="E305" s="7"/>
    </row>
    <row r="306" spans="5:5" ht="12.75">
      <c r="E306" s="7"/>
    </row>
    <row r="307" spans="5:5" ht="12.75">
      <c r="E307" s="7"/>
    </row>
    <row r="308" spans="5:5" ht="12.75">
      <c r="E308" s="7"/>
    </row>
    <row r="309" spans="5:5" ht="12.75">
      <c r="E309" s="7"/>
    </row>
    <row r="310" spans="5:5" ht="12.75">
      <c r="E310" s="7"/>
    </row>
    <row r="311" spans="5:5" ht="12.75">
      <c r="E311" s="7"/>
    </row>
    <row r="312" spans="5:5" ht="12.75">
      <c r="E312" s="7"/>
    </row>
    <row r="313" spans="5:5" ht="12.75">
      <c r="E313" s="7"/>
    </row>
    <row r="314" spans="5:5" ht="12.75">
      <c r="E314" s="7"/>
    </row>
    <row r="315" spans="5:5" ht="12.75">
      <c r="E315" s="7"/>
    </row>
    <row r="316" spans="5:5" ht="12.75">
      <c r="E316" s="7"/>
    </row>
    <row r="317" spans="5:5" ht="12.75">
      <c r="E317" s="7"/>
    </row>
    <row r="318" spans="5:5" ht="12.75">
      <c r="E318" s="7"/>
    </row>
    <row r="319" spans="5:5" ht="12.75">
      <c r="E319" s="7"/>
    </row>
    <row r="320" spans="5:5" ht="12.75">
      <c r="E320" s="7"/>
    </row>
    <row r="321" spans="5:5" ht="12.75">
      <c r="E321" s="7"/>
    </row>
    <row r="322" spans="5:5" ht="12.75">
      <c r="E322" s="7"/>
    </row>
    <row r="323" spans="5:5" ht="12.75">
      <c r="E323" s="7"/>
    </row>
    <row r="324" spans="5:5" ht="12.75">
      <c r="E324" s="7"/>
    </row>
    <row r="325" spans="5:5" ht="12.75">
      <c r="E325" s="7"/>
    </row>
    <row r="326" spans="5:5" ht="12.75">
      <c r="E326" s="7"/>
    </row>
    <row r="327" spans="5:5" ht="12.75">
      <c r="E327" s="7"/>
    </row>
    <row r="328" spans="5:5" ht="12.75">
      <c r="E328" s="7"/>
    </row>
    <row r="329" spans="5:5" ht="12.75">
      <c r="E329" s="7"/>
    </row>
    <row r="330" spans="5:5" ht="12.75">
      <c r="E330" s="7"/>
    </row>
    <row r="331" spans="5:5" ht="12.75">
      <c r="E331" s="7"/>
    </row>
    <row r="332" spans="5:5" ht="12.75">
      <c r="E332" s="7"/>
    </row>
    <row r="333" spans="5:5" ht="12.75">
      <c r="E333" s="7"/>
    </row>
    <row r="334" spans="5:5" ht="12.75">
      <c r="E334" s="7"/>
    </row>
    <row r="335" spans="5:5" ht="12.75">
      <c r="E335" s="7"/>
    </row>
    <row r="336" spans="5:5" ht="12.75">
      <c r="E336" s="7"/>
    </row>
    <row r="337" spans="5:5" ht="12.75">
      <c r="E337" s="7"/>
    </row>
    <row r="338" spans="5:5" ht="12.75">
      <c r="E338" s="7"/>
    </row>
    <row r="339" spans="5:5" ht="12.75">
      <c r="E339" s="7"/>
    </row>
    <row r="340" spans="5:5" ht="12.75">
      <c r="E340" s="7"/>
    </row>
    <row r="341" spans="5:5" ht="12.75">
      <c r="E341" s="7"/>
    </row>
    <row r="342" spans="5:5" ht="12.75">
      <c r="E342" s="7"/>
    </row>
    <row r="343" spans="5:5" ht="12.75">
      <c r="E343" s="7"/>
    </row>
    <row r="344" spans="5:5" ht="12.75">
      <c r="E344" s="7"/>
    </row>
    <row r="345" spans="5:5" ht="12.75">
      <c r="E345" s="7"/>
    </row>
    <row r="346" spans="5:5" ht="12.75">
      <c r="E346" s="7"/>
    </row>
    <row r="347" spans="5:5" ht="12.75">
      <c r="E347" s="7"/>
    </row>
    <row r="348" spans="5:5" ht="12.75">
      <c r="E348" s="7"/>
    </row>
    <row r="349" spans="5:5" ht="12.75">
      <c r="E349" s="7"/>
    </row>
    <row r="350" spans="5:5" ht="12.75">
      <c r="E350" s="7"/>
    </row>
    <row r="351" spans="5:5" ht="12.75">
      <c r="E351" s="7"/>
    </row>
    <row r="352" spans="5:5" ht="12.75">
      <c r="E352" s="7"/>
    </row>
    <row r="353" spans="5:5" ht="12.75">
      <c r="E353" s="7"/>
    </row>
    <row r="354" spans="5:5" ht="12.75">
      <c r="E354" s="7"/>
    </row>
    <row r="355" spans="5:5" ht="12.75">
      <c r="E355" s="7"/>
    </row>
    <row r="356" spans="5:5" ht="12.75">
      <c r="E356" s="7"/>
    </row>
    <row r="357" spans="5:5" ht="12.75">
      <c r="E357" s="7"/>
    </row>
    <row r="358" spans="5:5" ht="12.75">
      <c r="E358" s="7"/>
    </row>
    <row r="359" spans="5:5" ht="12.75">
      <c r="E359" s="7"/>
    </row>
    <row r="360" spans="5:5" ht="12.75">
      <c r="E360" s="7"/>
    </row>
    <row r="361" spans="5:5" ht="12.75">
      <c r="E361" s="7"/>
    </row>
    <row r="362" spans="5:5" ht="12.75">
      <c r="E362" s="7"/>
    </row>
    <row r="363" spans="5:5" ht="12.75">
      <c r="E363" s="7"/>
    </row>
    <row r="364" spans="5:5" ht="12.75">
      <c r="E364" s="7"/>
    </row>
    <row r="365" spans="5:5" ht="12.75">
      <c r="E365" s="7"/>
    </row>
    <row r="366" spans="5:5" ht="12.75">
      <c r="E366" s="7"/>
    </row>
    <row r="367" spans="5:5" ht="12.75">
      <c r="E367" s="7"/>
    </row>
    <row r="368" spans="5:5" ht="12.75">
      <c r="E368" s="7"/>
    </row>
    <row r="369" spans="5:5" ht="12.75">
      <c r="E369" s="7"/>
    </row>
    <row r="370" spans="5:5" ht="12.75">
      <c r="E370" s="7"/>
    </row>
    <row r="371" spans="5:5" ht="12.75">
      <c r="E371" s="7"/>
    </row>
    <row r="372" spans="5:5" ht="12.75">
      <c r="E372" s="7"/>
    </row>
    <row r="373" spans="5:5" ht="12.75">
      <c r="E373" s="7"/>
    </row>
    <row r="374" spans="5:5" ht="12.75">
      <c r="E374" s="7"/>
    </row>
    <row r="375" spans="5:5" ht="12.75">
      <c r="E375" s="7"/>
    </row>
    <row r="376" spans="5:5" ht="12.75">
      <c r="E376" s="7"/>
    </row>
    <row r="377" spans="5:5" ht="12.75">
      <c r="E377" s="7"/>
    </row>
    <row r="378" spans="5:5" ht="12.75">
      <c r="E378" s="7"/>
    </row>
    <row r="379" spans="5:5" ht="12.75">
      <c r="E379" s="7"/>
    </row>
    <row r="380" spans="5:5" ht="12.75">
      <c r="E380" s="7"/>
    </row>
    <row r="381" spans="5:5" ht="12.75">
      <c r="E381" s="7"/>
    </row>
    <row r="382" spans="5:5" ht="12.75">
      <c r="E382" s="7"/>
    </row>
    <row r="383" spans="5:5" ht="12.75">
      <c r="E383" s="7"/>
    </row>
    <row r="384" spans="5:5" ht="12.75">
      <c r="E384" s="7"/>
    </row>
    <row r="385" spans="5:5" ht="12.75">
      <c r="E385" s="7"/>
    </row>
    <row r="386" spans="5:5" ht="12.75">
      <c r="E386" s="7"/>
    </row>
    <row r="387" spans="5:5" ht="12.75">
      <c r="E387" s="7"/>
    </row>
    <row r="388" spans="5:5" ht="12.75">
      <c r="E388" s="7"/>
    </row>
    <row r="389" spans="5:5" ht="12.75">
      <c r="E389" s="7"/>
    </row>
    <row r="390" spans="5:5" ht="12.75">
      <c r="E390" s="7"/>
    </row>
    <row r="391" spans="5:5" ht="12.75">
      <c r="E391" s="7"/>
    </row>
    <row r="392" spans="5:5" ht="12.75">
      <c r="E392" s="7"/>
    </row>
    <row r="393" spans="5:5" ht="12.75">
      <c r="E393" s="7"/>
    </row>
    <row r="394" spans="5:5" ht="12.75">
      <c r="E394" s="7"/>
    </row>
    <row r="395" spans="5:5" ht="12.75">
      <c r="E395" s="7"/>
    </row>
    <row r="396" spans="5:5" ht="12.75">
      <c r="E396" s="7"/>
    </row>
    <row r="397" spans="5:5" ht="12.75">
      <c r="E397" s="7"/>
    </row>
    <row r="398" spans="5:5" ht="12.75">
      <c r="E398" s="7"/>
    </row>
    <row r="399" spans="5:5" ht="12.75">
      <c r="E399" s="7"/>
    </row>
    <row r="400" spans="5:5" ht="12.75">
      <c r="E400" s="7"/>
    </row>
    <row r="401" spans="5:5" ht="12.75">
      <c r="E401" s="7"/>
    </row>
    <row r="402" spans="5:5" ht="12.75">
      <c r="E402" s="7"/>
    </row>
    <row r="403" spans="5:5" ht="12.75">
      <c r="E403" s="7"/>
    </row>
    <row r="404" spans="5:5" ht="12.75">
      <c r="E404" s="7"/>
    </row>
    <row r="405" spans="5:5" ht="12.75">
      <c r="E405" s="7"/>
    </row>
    <row r="406" spans="5:5" ht="12.75">
      <c r="E406" s="7"/>
    </row>
    <row r="407" spans="5:5" ht="12.75">
      <c r="E407" s="7"/>
    </row>
    <row r="408" spans="5:5" ht="12.75">
      <c r="E408" s="7"/>
    </row>
    <row r="409" spans="5:5" ht="12.75">
      <c r="E409" s="7"/>
    </row>
    <row r="410" spans="5:5" ht="12.75">
      <c r="E410" s="7"/>
    </row>
    <row r="411" spans="5:5" ht="12.75">
      <c r="E411" s="7"/>
    </row>
    <row r="412" spans="5:5" ht="12.75">
      <c r="E412" s="7"/>
    </row>
    <row r="413" spans="5:5" ht="12.75">
      <c r="E413" s="7"/>
    </row>
    <row r="414" spans="5:5" ht="12.75">
      <c r="E414" s="7"/>
    </row>
    <row r="415" spans="5:5" ht="12.75">
      <c r="E415" s="7"/>
    </row>
    <row r="416" spans="5:5" ht="12.75">
      <c r="E416" s="7"/>
    </row>
    <row r="417" spans="5:5" ht="12.75">
      <c r="E417" s="7"/>
    </row>
    <row r="418" spans="5:5" ht="12.75">
      <c r="E418" s="7"/>
    </row>
    <row r="419" spans="5:5" ht="12.75">
      <c r="E419" s="7"/>
    </row>
    <row r="420" spans="5:5" ht="12.75">
      <c r="E420" s="7"/>
    </row>
    <row r="421" spans="5:5" ht="12.75">
      <c r="E421" s="7"/>
    </row>
    <row r="422" spans="5:5" ht="12.75">
      <c r="E422" s="7"/>
    </row>
    <row r="423" spans="5:5" ht="12.75">
      <c r="E423" s="7"/>
    </row>
    <row r="424" spans="5:5" ht="12.75">
      <c r="E424" s="7"/>
    </row>
    <row r="425" spans="5:5" ht="12.75">
      <c r="E425" s="7"/>
    </row>
    <row r="426" spans="5:5" ht="12.75">
      <c r="E426" s="7"/>
    </row>
    <row r="427" spans="5:5" ht="12.75">
      <c r="E427" s="7"/>
    </row>
    <row r="428" spans="5:5" ht="12.75">
      <c r="E428" s="7"/>
    </row>
    <row r="429" spans="5:5" ht="12.75">
      <c r="E429" s="7"/>
    </row>
    <row r="430" spans="5:5" ht="12.75">
      <c r="E430" s="7"/>
    </row>
    <row r="431" spans="5:5" ht="12.75">
      <c r="E431" s="7"/>
    </row>
    <row r="432" spans="5:5" ht="12.75">
      <c r="E432" s="7"/>
    </row>
    <row r="433" spans="5:5" ht="12.75">
      <c r="E433" s="7"/>
    </row>
    <row r="434" spans="5:5" ht="12.75">
      <c r="E434" s="7"/>
    </row>
    <row r="435" spans="5:5" ht="12.75">
      <c r="E435" s="7"/>
    </row>
    <row r="436" spans="5:5" ht="12.75">
      <c r="E436" s="7"/>
    </row>
    <row r="437" spans="5:5" ht="12.75">
      <c r="E437" s="7"/>
    </row>
    <row r="438" spans="5:5" ht="12.75">
      <c r="E438" s="7"/>
    </row>
    <row r="439" spans="5:5" ht="12.75">
      <c r="E439" s="7"/>
    </row>
    <row r="440" spans="5:5" ht="12.75">
      <c r="E440" s="7"/>
    </row>
    <row r="441" spans="5:5" ht="12.75">
      <c r="E441" s="7"/>
    </row>
    <row r="442" spans="5:5" ht="12.75">
      <c r="E442" s="7"/>
    </row>
    <row r="443" spans="5:5" ht="12.75">
      <c r="E443" s="7"/>
    </row>
    <row r="444" spans="5:5" ht="12.75">
      <c r="E444" s="7"/>
    </row>
    <row r="445" spans="5:5" ht="12.75">
      <c r="E445" s="7"/>
    </row>
    <row r="446" spans="5:5" ht="12.75">
      <c r="E446" s="7"/>
    </row>
    <row r="447" spans="5:5" ht="12.75">
      <c r="E447" s="7"/>
    </row>
    <row r="448" spans="5:5" ht="12.75">
      <c r="E448" s="7"/>
    </row>
    <row r="449" spans="5:5" ht="12.75">
      <c r="E449" s="7"/>
    </row>
    <row r="450" spans="5:5" ht="12.75">
      <c r="E450" s="7"/>
    </row>
    <row r="451" spans="5:5" ht="12.75">
      <c r="E451" s="7"/>
    </row>
    <row r="452" spans="5:5" ht="12.75">
      <c r="E452" s="7"/>
    </row>
    <row r="453" spans="5:5" ht="12.75">
      <c r="E453" s="7"/>
    </row>
    <row r="454" spans="5:5" ht="12.75">
      <c r="E454" s="7"/>
    </row>
    <row r="455" spans="5:5" ht="12.75">
      <c r="E455" s="7"/>
    </row>
    <row r="456" spans="5:5" ht="12.75">
      <c r="E456" s="7"/>
    </row>
    <row r="457" spans="5:5" ht="12.75">
      <c r="E457" s="7"/>
    </row>
    <row r="458" spans="5:5" ht="12.75">
      <c r="E458" s="7"/>
    </row>
    <row r="459" spans="5:5" ht="12.75">
      <c r="E459" s="7"/>
    </row>
    <row r="460" spans="5:5" ht="12.75">
      <c r="E460" s="7"/>
    </row>
    <row r="461" spans="5:5" ht="12.75">
      <c r="E461" s="7"/>
    </row>
    <row r="462" spans="5:5" ht="12.75">
      <c r="E462" s="7"/>
    </row>
    <row r="463" spans="5:5" ht="12.75">
      <c r="E463" s="7"/>
    </row>
    <row r="464" spans="5:5" ht="12.75">
      <c r="E464" s="7"/>
    </row>
    <row r="465" spans="5:5" ht="12.75">
      <c r="E465" s="7"/>
    </row>
    <row r="466" spans="5:5" ht="12.75">
      <c r="E466" s="7"/>
    </row>
    <row r="467" spans="5:5" ht="12.75">
      <c r="E467" s="7"/>
    </row>
    <row r="468" spans="5:5" ht="12.75">
      <c r="E468" s="7"/>
    </row>
    <row r="469" spans="5:5" ht="12.75">
      <c r="E469" s="7"/>
    </row>
    <row r="470" spans="5:5" ht="12.75">
      <c r="E470" s="7"/>
    </row>
    <row r="471" spans="5:5" ht="12.75">
      <c r="E471" s="7"/>
    </row>
    <row r="472" spans="5:5" ht="12.75">
      <c r="E472" s="7"/>
    </row>
    <row r="473" spans="5:5" ht="12.75">
      <c r="E473" s="7"/>
    </row>
    <row r="474" spans="5:5" ht="12.75">
      <c r="E474" s="7"/>
    </row>
    <row r="475" spans="5:5" ht="12.75">
      <c r="E475" s="7"/>
    </row>
    <row r="476" spans="5:5" ht="12.75">
      <c r="E476" s="7"/>
    </row>
    <row r="477" spans="5:5" ht="12.75">
      <c r="E477" s="7"/>
    </row>
    <row r="478" spans="5:5" ht="12.75">
      <c r="E478" s="7"/>
    </row>
    <row r="479" spans="5:5" ht="12.75">
      <c r="E479" s="7"/>
    </row>
    <row r="480" spans="5:5" ht="12.75">
      <c r="E480" s="7"/>
    </row>
    <row r="481" spans="5:5" ht="12.75">
      <c r="E481" s="7"/>
    </row>
    <row r="482" spans="5:5" ht="12.75">
      <c r="E482" s="7"/>
    </row>
    <row r="483" spans="5:5" ht="12.75">
      <c r="E483" s="7"/>
    </row>
    <row r="484" spans="5:5" ht="12.75">
      <c r="E484" s="7"/>
    </row>
    <row r="485" spans="5:5" ht="12.75">
      <c r="E485" s="7"/>
    </row>
    <row r="486" spans="5:5" ht="12.75">
      <c r="E486" s="7"/>
    </row>
    <row r="487" spans="5:5" ht="12.75">
      <c r="E487" s="7"/>
    </row>
    <row r="488" spans="5:5" ht="12.75">
      <c r="E488" s="7"/>
    </row>
    <row r="489" spans="5:5" ht="12.75">
      <c r="E489" s="7"/>
    </row>
    <row r="490" spans="5:5" ht="12.75">
      <c r="E490" s="7"/>
    </row>
    <row r="491" spans="5:5" ht="12.75">
      <c r="E491" s="7"/>
    </row>
    <row r="492" spans="5:5" ht="12.75">
      <c r="E492" s="7"/>
    </row>
    <row r="493" spans="5:5" ht="12.75">
      <c r="E493" s="7"/>
    </row>
    <row r="494" spans="5:5" ht="12.75">
      <c r="E494" s="7"/>
    </row>
    <row r="495" spans="5:5" ht="12.75">
      <c r="E495" s="7"/>
    </row>
    <row r="496" spans="5:5" ht="12.75">
      <c r="E496" s="7"/>
    </row>
    <row r="497" spans="5:5" ht="12.75">
      <c r="E497" s="7"/>
    </row>
    <row r="498" spans="5:5" ht="12.75">
      <c r="E498" s="7"/>
    </row>
    <row r="499" spans="5:5" ht="12.75">
      <c r="E499" s="7"/>
    </row>
    <row r="500" spans="5:5" ht="12.75">
      <c r="E500" s="7"/>
    </row>
    <row r="501" spans="5:5" ht="12.75">
      <c r="E501" s="7"/>
    </row>
    <row r="502" spans="5:5" ht="12.75">
      <c r="E502" s="7"/>
    </row>
    <row r="503" spans="5:5" ht="12.75">
      <c r="E503" s="7"/>
    </row>
    <row r="504" spans="5:5" ht="12.75">
      <c r="E504" s="7"/>
    </row>
    <row r="505" spans="5:5" ht="12.75">
      <c r="E505" s="7"/>
    </row>
    <row r="506" spans="5:5" ht="12.75">
      <c r="E506" s="7"/>
    </row>
    <row r="507" spans="5:5" ht="12.75">
      <c r="E507" s="7"/>
    </row>
    <row r="508" spans="5:5" ht="12.75">
      <c r="E508" s="7"/>
    </row>
    <row r="509" spans="5:5" ht="12.75">
      <c r="E509" s="7"/>
    </row>
    <row r="510" spans="5:5" ht="12.75">
      <c r="E510" s="7"/>
    </row>
    <row r="511" spans="5:5" ht="12.75">
      <c r="E511" s="7"/>
    </row>
    <row r="512" spans="5:5" ht="12.75">
      <c r="E512" s="7"/>
    </row>
    <row r="513" spans="5:5" ht="12.75">
      <c r="E513" s="7"/>
    </row>
    <row r="514" spans="5:5" ht="12.75">
      <c r="E514" s="7"/>
    </row>
    <row r="515" spans="5:5" ht="12.75">
      <c r="E515" s="7"/>
    </row>
    <row r="516" spans="5:5" ht="12.75">
      <c r="E516" s="7"/>
    </row>
    <row r="517" spans="5:5" ht="12.75">
      <c r="E517" s="7"/>
    </row>
    <row r="518" spans="5:5" ht="12.75">
      <c r="E518" s="7"/>
    </row>
    <row r="519" spans="5:5" ht="12.75">
      <c r="E519" s="7"/>
    </row>
    <row r="520" spans="5:5" ht="12.75">
      <c r="E520" s="7"/>
    </row>
    <row r="521" spans="5:5" ht="12.75">
      <c r="E521" s="7"/>
    </row>
    <row r="522" spans="5:5" ht="12.75">
      <c r="E522" s="7"/>
    </row>
    <row r="523" spans="5:5" ht="12.75">
      <c r="E523" s="7"/>
    </row>
    <row r="524" spans="5:5" ht="12.75">
      <c r="E524" s="7"/>
    </row>
    <row r="525" spans="5:5" ht="12.75">
      <c r="E525" s="7"/>
    </row>
    <row r="526" spans="5:5" ht="12.75">
      <c r="E526" s="7"/>
    </row>
    <row r="527" spans="5:5" ht="12.75">
      <c r="E527" s="7"/>
    </row>
    <row r="528" spans="5:5" ht="12.75">
      <c r="E528" s="7"/>
    </row>
    <row r="529" spans="5:5" ht="12.75">
      <c r="E529" s="7"/>
    </row>
    <row r="530" spans="5:5" ht="12.75">
      <c r="E530" s="7"/>
    </row>
    <row r="531" spans="5:5" ht="12.75">
      <c r="E531" s="7"/>
    </row>
    <row r="532" spans="5:5" ht="12.75">
      <c r="E532" s="7"/>
    </row>
    <row r="533" spans="5:5" ht="12.75">
      <c r="E533" s="7"/>
    </row>
    <row r="534" spans="5:5" ht="12.75">
      <c r="E534" s="7"/>
    </row>
    <row r="535" spans="5:5" ht="12.75">
      <c r="E535" s="7"/>
    </row>
    <row r="536" spans="5:5" ht="12.75">
      <c r="E536" s="7"/>
    </row>
    <row r="537" spans="5:5" ht="12.75">
      <c r="E537" s="7"/>
    </row>
    <row r="538" spans="5:5" ht="12.75">
      <c r="E538" s="7"/>
    </row>
    <row r="539" spans="5:5" ht="12.75">
      <c r="E539" s="7"/>
    </row>
    <row r="540" spans="5:5" ht="12.75">
      <c r="E540" s="7"/>
    </row>
    <row r="541" spans="5:5" ht="12.75">
      <c r="E541" s="7"/>
    </row>
    <row r="542" spans="5:5" ht="12.75">
      <c r="E542" s="7"/>
    </row>
    <row r="543" spans="5:5" ht="12.75">
      <c r="E543" s="7"/>
    </row>
    <row r="544" spans="5:5" ht="12.75">
      <c r="E544" s="7"/>
    </row>
    <row r="545" spans="5:5" ht="12.75">
      <c r="E545" s="7"/>
    </row>
    <row r="546" spans="5:5" ht="12.75">
      <c r="E546" s="7"/>
    </row>
    <row r="547" spans="5:5" ht="12.75">
      <c r="E547" s="7"/>
    </row>
    <row r="548" spans="5:5" ht="12.75">
      <c r="E548" s="7"/>
    </row>
    <row r="549" spans="5:5" ht="12.75">
      <c r="E549" s="7"/>
    </row>
    <row r="550" spans="5:5" ht="12.75">
      <c r="E550" s="7"/>
    </row>
    <row r="551" spans="5:5" ht="12.75">
      <c r="E551" s="7"/>
    </row>
    <row r="552" spans="5:5" ht="12.75">
      <c r="E552" s="7"/>
    </row>
    <row r="553" spans="5:5" ht="12.75">
      <c r="E553" s="7"/>
    </row>
    <row r="554" spans="5:5" ht="12.75">
      <c r="E554" s="7"/>
    </row>
    <row r="555" spans="5:5" ht="12.75">
      <c r="E555" s="7"/>
    </row>
    <row r="556" spans="5:5" ht="12.75">
      <c r="E556" s="7"/>
    </row>
    <row r="557" spans="5:5" ht="12.75">
      <c r="E557" s="7"/>
    </row>
    <row r="558" spans="5:5" ht="12.75">
      <c r="E558" s="7"/>
    </row>
    <row r="559" spans="5:5" ht="12.75">
      <c r="E559" s="7"/>
    </row>
    <row r="560" spans="5:5" ht="12.75">
      <c r="E560" s="7"/>
    </row>
    <row r="561" spans="5:5" ht="12.75">
      <c r="E561" s="7"/>
    </row>
    <row r="562" spans="5:5" ht="12.75">
      <c r="E562" s="7"/>
    </row>
    <row r="563" spans="5:5" ht="12.75">
      <c r="E563" s="7"/>
    </row>
    <row r="564" spans="5:5" ht="12.75">
      <c r="E564" s="7"/>
    </row>
    <row r="565" spans="5:5" ht="12.75">
      <c r="E565" s="7"/>
    </row>
    <row r="566" spans="5:5" ht="12.75">
      <c r="E566" s="7"/>
    </row>
    <row r="567" spans="5:5" ht="12.75">
      <c r="E567" s="7"/>
    </row>
    <row r="568" spans="5:5" ht="12.75">
      <c r="E568" s="7"/>
    </row>
    <row r="569" spans="5:5" ht="12.75">
      <c r="E569" s="7"/>
    </row>
    <row r="570" spans="5:5" ht="12.75">
      <c r="E570" s="7"/>
    </row>
    <row r="571" spans="5:5" ht="12.75">
      <c r="E571" s="7"/>
    </row>
    <row r="572" spans="5:5" ht="12.75">
      <c r="E572" s="7"/>
    </row>
    <row r="573" spans="5:5" ht="12.75">
      <c r="E573" s="7"/>
    </row>
    <row r="574" spans="5:5" ht="12.75">
      <c r="E574" s="7"/>
    </row>
    <row r="575" spans="5:5" ht="12.75">
      <c r="E575" s="7"/>
    </row>
    <row r="576" spans="5:5" ht="12.75">
      <c r="E576" s="7"/>
    </row>
    <row r="577" spans="5:5" ht="12.75">
      <c r="E577" s="7"/>
    </row>
    <row r="578" spans="5:5" ht="12.75">
      <c r="E578" s="7"/>
    </row>
    <row r="579" spans="5:5" ht="12.75">
      <c r="E579" s="7"/>
    </row>
    <row r="580" spans="5:5" ht="12.75">
      <c r="E580" s="7"/>
    </row>
    <row r="581" spans="5:5" ht="12.75">
      <c r="E581" s="7"/>
    </row>
    <row r="582" spans="5:5" ht="12.75">
      <c r="E582" s="7"/>
    </row>
    <row r="583" spans="5:5" ht="12.75">
      <c r="E583" s="7"/>
    </row>
    <row r="584" spans="5:5" ht="12.75">
      <c r="E584" s="7"/>
    </row>
    <row r="585" spans="5:5" ht="12.75">
      <c r="E585" s="7"/>
    </row>
    <row r="586" spans="5:5" ht="12.75">
      <c r="E586" s="7"/>
    </row>
    <row r="587" spans="5:5" ht="12.75">
      <c r="E587" s="7"/>
    </row>
    <row r="588" spans="5:5" ht="12.75">
      <c r="E588" s="7"/>
    </row>
    <row r="589" spans="5:5" ht="12.75">
      <c r="E589" s="7"/>
    </row>
    <row r="590" spans="5:5" ht="12.75">
      <c r="E590" s="7"/>
    </row>
    <row r="591" spans="5:5" ht="12.75">
      <c r="E591" s="7"/>
    </row>
    <row r="592" spans="5:5" ht="12.75">
      <c r="E592" s="7"/>
    </row>
    <row r="593" spans="5:5" ht="12.75">
      <c r="E593" s="7"/>
    </row>
    <row r="594" spans="5:5" ht="12.75">
      <c r="E594" s="7"/>
    </row>
    <row r="595" spans="5:5" ht="12.75">
      <c r="E595" s="7"/>
    </row>
    <row r="596" spans="5:5" ht="12.75">
      <c r="E596" s="7"/>
    </row>
    <row r="597" spans="5:5" ht="12.75">
      <c r="E597" s="7"/>
    </row>
    <row r="598" spans="5:5" ht="12.75">
      <c r="E598" s="7"/>
    </row>
    <row r="599" spans="5:5" ht="12.75">
      <c r="E599" s="7"/>
    </row>
    <row r="600" spans="5:5" ht="12.75">
      <c r="E600" s="7"/>
    </row>
    <row r="601" spans="5:5" ht="12.75">
      <c r="E601" s="7"/>
    </row>
    <row r="602" spans="5:5" ht="12.75">
      <c r="E602" s="7"/>
    </row>
    <row r="603" spans="5:5" ht="12.75">
      <c r="E603" s="7"/>
    </row>
    <row r="604" spans="5:5" ht="12.75">
      <c r="E604" s="7"/>
    </row>
    <row r="605" spans="5:5" ht="12.75">
      <c r="E605" s="7"/>
    </row>
    <row r="606" spans="5:5" ht="12.75">
      <c r="E606" s="7"/>
    </row>
    <row r="607" spans="5:5" ht="12.75">
      <c r="E607" s="7"/>
    </row>
    <row r="608" spans="5:5" ht="12.75">
      <c r="E608" s="7"/>
    </row>
    <row r="609" spans="5:5" ht="12.75">
      <c r="E609" s="7"/>
    </row>
    <row r="610" spans="5:5" ht="12.75">
      <c r="E610" s="7"/>
    </row>
    <row r="611" spans="5:5" ht="12.75">
      <c r="E611" s="7"/>
    </row>
    <row r="612" spans="5:5" ht="12.75">
      <c r="E612" s="7"/>
    </row>
    <row r="613" spans="5:5" ht="12.75">
      <c r="E613" s="7"/>
    </row>
    <row r="614" spans="5:5" ht="12.75">
      <c r="E614" s="7"/>
    </row>
    <row r="615" spans="5:5" ht="12.75">
      <c r="E615" s="7"/>
    </row>
    <row r="616" spans="5:5" ht="12.75">
      <c r="E616" s="7"/>
    </row>
    <row r="617" spans="5:5" ht="12.75">
      <c r="E617" s="7"/>
    </row>
    <row r="618" spans="5:5" ht="12.75">
      <c r="E618" s="7"/>
    </row>
    <row r="619" spans="5:5" ht="12.75">
      <c r="E619" s="7"/>
    </row>
    <row r="620" spans="5:5" ht="12.75">
      <c r="E620" s="7"/>
    </row>
    <row r="621" spans="5:5" ht="12.75">
      <c r="E621" s="7"/>
    </row>
    <row r="622" spans="5:5" ht="12.75">
      <c r="E622" s="7"/>
    </row>
    <row r="623" spans="5:5" ht="12.75">
      <c r="E623" s="7"/>
    </row>
    <row r="624" spans="5:5" ht="12.75">
      <c r="E624" s="7"/>
    </row>
    <row r="625" spans="5:5" ht="12.75">
      <c r="E625" s="7"/>
    </row>
    <row r="626" spans="5:5" ht="12.75">
      <c r="E626" s="7"/>
    </row>
    <row r="627" spans="5:5" ht="12.75">
      <c r="E627" s="7"/>
    </row>
    <row r="628" spans="5:5" ht="12.75">
      <c r="E628" s="7"/>
    </row>
    <row r="629" spans="5:5" ht="12.75">
      <c r="E629" s="7"/>
    </row>
    <row r="630" spans="5:5" ht="12.75">
      <c r="E630" s="7"/>
    </row>
    <row r="631" spans="5:5" ht="12.75">
      <c r="E631" s="7"/>
    </row>
    <row r="632" spans="5:5" ht="12.75">
      <c r="E632" s="7"/>
    </row>
    <row r="633" spans="5:5" ht="12.75">
      <c r="E633" s="7"/>
    </row>
    <row r="634" spans="5:5" ht="12.75">
      <c r="E634" s="7"/>
    </row>
    <row r="635" spans="5:5" ht="12.75">
      <c r="E635" s="7"/>
    </row>
    <row r="636" spans="5:5" ht="12.75">
      <c r="E636" s="7"/>
    </row>
    <row r="637" spans="5:5" ht="12.75">
      <c r="E637" s="7"/>
    </row>
    <row r="638" spans="5:5" ht="12.75">
      <c r="E638" s="7"/>
    </row>
    <row r="639" spans="5:5" ht="12.75">
      <c r="E639" s="7"/>
    </row>
    <row r="640" spans="5:5" ht="12.75">
      <c r="E640" s="7"/>
    </row>
    <row r="641" spans="5:5" ht="12.75">
      <c r="E641" s="7"/>
    </row>
    <row r="642" spans="5:5" ht="12.75">
      <c r="E642" s="7"/>
    </row>
    <row r="643" spans="5:5" ht="12.75">
      <c r="E643" s="7"/>
    </row>
    <row r="644" spans="5:5" ht="12.75">
      <c r="E644" s="7"/>
    </row>
    <row r="645" spans="5:5" ht="12.75">
      <c r="E645" s="7"/>
    </row>
    <row r="646" spans="5:5" ht="12.75">
      <c r="E646" s="7"/>
    </row>
    <row r="647" spans="5:5" ht="12.75">
      <c r="E647" s="7"/>
    </row>
    <row r="648" spans="5:5" ht="12.75">
      <c r="E648" s="7"/>
    </row>
    <row r="649" spans="5:5" ht="12.75">
      <c r="E649" s="7"/>
    </row>
    <row r="650" spans="5:5" ht="12.75">
      <c r="E650" s="7"/>
    </row>
    <row r="651" spans="5:5" ht="12.75">
      <c r="E651" s="7"/>
    </row>
    <row r="652" spans="5:5" ht="12.75">
      <c r="E652" s="7"/>
    </row>
    <row r="653" spans="5:5" ht="12.75">
      <c r="E653" s="7"/>
    </row>
    <row r="654" spans="5:5" ht="12.75">
      <c r="E654" s="7"/>
    </row>
    <row r="655" spans="5:5" ht="12.75">
      <c r="E655" s="7"/>
    </row>
    <row r="656" spans="5:5" ht="12.75">
      <c r="E656" s="7"/>
    </row>
    <row r="657" spans="5:5" ht="12.75">
      <c r="E657" s="7"/>
    </row>
    <row r="658" spans="5:5" ht="12.75">
      <c r="E658" s="7"/>
    </row>
    <row r="659" spans="5:5" ht="12.75">
      <c r="E659" s="7"/>
    </row>
    <row r="660" spans="5:5" ht="12.75">
      <c r="E660" s="7"/>
    </row>
    <row r="661" spans="5:5" ht="12.75">
      <c r="E661" s="7"/>
    </row>
    <row r="662" spans="5:5" ht="12.75">
      <c r="E662" s="7"/>
    </row>
    <row r="663" spans="5:5" ht="12.75">
      <c r="E663" s="7"/>
    </row>
    <row r="664" spans="5:5" ht="12.75">
      <c r="E664" s="7"/>
    </row>
    <row r="665" spans="5:5" ht="12.75">
      <c r="E665" s="7"/>
    </row>
    <row r="666" spans="5:5" ht="12.75">
      <c r="E666" s="7"/>
    </row>
    <row r="667" spans="5:5" ht="12.75">
      <c r="E667" s="7"/>
    </row>
    <row r="668" spans="5:5" ht="12.75">
      <c r="E668" s="7"/>
    </row>
    <row r="669" spans="5:5" ht="12.75">
      <c r="E669" s="7"/>
    </row>
    <row r="670" spans="5:5" ht="12.75">
      <c r="E670" s="7"/>
    </row>
    <row r="671" spans="5:5" ht="12.75">
      <c r="E671" s="7"/>
    </row>
    <row r="672" spans="5:5" ht="12.75">
      <c r="E672" s="7"/>
    </row>
    <row r="673" spans="5:5" ht="12.75">
      <c r="E673" s="7"/>
    </row>
    <row r="674" spans="5:5" ht="12.75">
      <c r="E674" s="7"/>
    </row>
    <row r="675" spans="5:5" ht="12.75">
      <c r="E675" s="7"/>
    </row>
    <row r="676" spans="5:5" ht="12.75">
      <c r="E676" s="7"/>
    </row>
    <row r="677" spans="5:5" ht="12.75">
      <c r="E677" s="7"/>
    </row>
    <row r="678" spans="5:5" ht="12.75">
      <c r="E678" s="7"/>
    </row>
    <row r="679" spans="5:5" ht="12.75">
      <c r="E679" s="7"/>
    </row>
    <row r="680" spans="5:5" ht="12.75">
      <c r="E680" s="7"/>
    </row>
    <row r="681" spans="5:5" ht="12.75">
      <c r="E681" s="7"/>
    </row>
    <row r="682" spans="5:5" ht="12.75">
      <c r="E682" s="7"/>
    </row>
    <row r="683" spans="5:5" ht="12.75">
      <c r="E683" s="7"/>
    </row>
    <row r="684" spans="5:5" ht="12.75">
      <c r="E684" s="7"/>
    </row>
    <row r="685" spans="5:5" ht="12.75">
      <c r="E685" s="7"/>
    </row>
    <row r="686" spans="5:5" ht="12.75">
      <c r="E686" s="7"/>
    </row>
    <row r="687" spans="5:5" ht="12.75">
      <c r="E687" s="7"/>
    </row>
    <row r="688" spans="5:5" ht="12.75">
      <c r="E688" s="7"/>
    </row>
    <row r="689" spans="5:5" ht="12.75">
      <c r="E689" s="7"/>
    </row>
    <row r="690" spans="5:5" ht="12.75">
      <c r="E690" s="7"/>
    </row>
    <row r="691" spans="5:5" ht="12.75">
      <c r="E691" s="7"/>
    </row>
    <row r="692" spans="5:5" ht="12.75">
      <c r="E692" s="7"/>
    </row>
    <row r="693" spans="5:5" ht="12.75">
      <c r="E693" s="7"/>
    </row>
    <row r="694" spans="5:5" ht="12.75">
      <c r="E694" s="7"/>
    </row>
    <row r="695" spans="5:5" ht="12.75">
      <c r="E695" s="7"/>
    </row>
    <row r="696" spans="5:5" ht="12.75">
      <c r="E696" s="7"/>
    </row>
    <row r="697" spans="5:5" ht="12.75">
      <c r="E697" s="7"/>
    </row>
    <row r="698" spans="5:5" ht="12.75">
      <c r="E698" s="7"/>
    </row>
    <row r="699" spans="5:5" ht="12.75">
      <c r="E699" s="7"/>
    </row>
    <row r="700" spans="5:5" ht="12.75">
      <c r="E700" s="7"/>
    </row>
    <row r="701" spans="5:5" ht="12.75">
      <c r="E701" s="7"/>
    </row>
    <row r="702" spans="5:5" ht="12.75">
      <c r="E702" s="7"/>
    </row>
    <row r="703" spans="5:5" ht="12.75">
      <c r="E703" s="7"/>
    </row>
    <row r="704" spans="5:5" ht="12.75">
      <c r="E704" s="7"/>
    </row>
    <row r="705" spans="5:5" ht="12.75">
      <c r="E705" s="7"/>
    </row>
    <row r="706" spans="5:5" ht="12.75">
      <c r="E706" s="7"/>
    </row>
    <row r="707" spans="5:5" ht="12.75">
      <c r="E707" s="7"/>
    </row>
    <row r="708" spans="5:5" ht="12.75">
      <c r="E708" s="7"/>
    </row>
    <row r="709" spans="5:5" ht="12.75">
      <c r="E709" s="7"/>
    </row>
    <row r="710" spans="5:5" ht="12.75">
      <c r="E710" s="7"/>
    </row>
    <row r="711" spans="5:5" ht="12.75">
      <c r="E711" s="7"/>
    </row>
    <row r="712" spans="5:5" ht="12.75">
      <c r="E712" s="7"/>
    </row>
    <row r="713" spans="5:5" ht="12.75">
      <c r="E713" s="7"/>
    </row>
    <row r="714" spans="5:5" ht="12.75">
      <c r="E714" s="7"/>
    </row>
    <row r="715" spans="5:5" ht="12.75">
      <c r="E715" s="7"/>
    </row>
    <row r="716" spans="5:5" ht="12.75">
      <c r="E716" s="7"/>
    </row>
    <row r="717" spans="5:5" ht="12.75">
      <c r="E717" s="7"/>
    </row>
    <row r="718" spans="5:5" ht="12.75">
      <c r="E718" s="7"/>
    </row>
    <row r="719" spans="5:5" ht="12.75">
      <c r="E719" s="7"/>
    </row>
    <row r="720" spans="5:5" ht="12.75">
      <c r="E720" s="7"/>
    </row>
    <row r="721" spans="5:5" ht="12.75">
      <c r="E721" s="7"/>
    </row>
    <row r="722" spans="5:5" ht="12.75">
      <c r="E722" s="7"/>
    </row>
    <row r="723" spans="5:5" ht="12.75">
      <c r="E723" s="7"/>
    </row>
    <row r="724" spans="5:5" ht="12.75">
      <c r="E724" s="7"/>
    </row>
    <row r="725" spans="5:5" ht="12.75">
      <c r="E725" s="7"/>
    </row>
    <row r="726" spans="5:5" ht="12.75">
      <c r="E726" s="7"/>
    </row>
    <row r="727" spans="5:5" ht="12.75">
      <c r="E727" s="7"/>
    </row>
    <row r="728" spans="5:5" ht="12.75">
      <c r="E728" s="7"/>
    </row>
    <row r="729" spans="5:5" ht="12.75">
      <c r="E729" s="7"/>
    </row>
    <row r="730" spans="5:5" ht="12.75">
      <c r="E730" s="7"/>
    </row>
    <row r="731" spans="5:5" ht="12.75">
      <c r="E731" s="7"/>
    </row>
    <row r="732" spans="5:5" ht="12.75">
      <c r="E732" s="7"/>
    </row>
    <row r="733" spans="5:5" ht="12.75">
      <c r="E733" s="7"/>
    </row>
    <row r="734" spans="5:5" ht="12.75">
      <c r="E734" s="7"/>
    </row>
    <row r="735" spans="5:5" ht="12.75">
      <c r="E735" s="7"/>
    </row>
    <row r="736" spans="5:5" ht="12.75">
      <c r="E736" s="7"/>
    </row>
    <row r="737" spans="5:5" ht="12.75">
      <c r="E737" s="7"/>
    </row>
    <row r="738" spans="5:5" ht="12.75">
      <c r="E738" s="7"/>
    </row>
    <row r="739" spans="5:5" ht="12.75">
      <c r="E739" s="7"/>
    </row>
    <row r="740" spans="5:5" ht="12.75">
      <c r="E740" s="7"/>
    </row>
    <row r="741" spans="5:5" ht="12.75">
      <c r="E741" s="7"/>
    </row>
    <row r="742" spans="5:5" ht="12.75">
      <c r="E742" s="7"/>
    </row>
    <row r="743" spans="5:5" ht="12.75">
      <c r="E743" s="7"/>
    </row>
    <row r="744" spans="5:5" ht="12.75">
      <c r="E744" s="7"/>
    </row>
    <row r="745" spans="5:5" ht="12.75">
      <c r="E745" s="7"/>
    </row>
    <row r="746" spans="5:5" ht="12.75">
      <c r="E746" s="7"/>
    </row>
    <row r="747" spans="5:5" ht="12.75">
      <c r="E747" s="7"/>
    </row>
    <row r="748" spans="5:5" ht="12.75">
      <c r="E748" s="7"/>
    </row>
    <row r="749" spans="5:5" ht="12.75">
      <c r="E749" s="7"/>
    </row>
    <row r="750" spans="5:5" ht="12.75">
      <c r="E750" s="7"/>
    </row>
    <row r="751" spans="5:5" ht="12.75">
      <c r="E751" s="7"/>
    </row>
    <row r="752" spans="5:5" ht="12.75">
      <c r="E752" s="7"/>
    </row>
    <row r="753" spans="5:5" ht="12.75">
      <c r="E753" s="7"/>
    </row>
    <row r="754" spans="5:5" ht="12.75">
      <c r="E754" s="7"/>
    </row>
    <row r="755" spans="5:5" ht="12.75">
      <c r="E755" s="7"/>
    </row>
    <row r="756" spans="5:5" ht="12.75">
      <c r="E756" s="7"/>
    </row>
    <row r="757" spans="5:5" ht="12.75">
      <c r="E757" s="7"/>
    </row>
    <row r="758" spans="5:5" ht="12.75">
      <c r="E758" s="7"/>
    </row>
    <row r="759" spans="5:5" ht="12.75">
      <c r="E759" s="7"/>
    </row>
    <row r="760" spans="5:5" ht="12.75">
      <c r="E760" s="7"/>
    </row>
    <row r="761" spans="5:5" ht="12.75">
      <c r="E761" s="7"/>
    </row>
    <row r="762" spans="5:5" ht="12.75">
      <c r="E762" s="7"/>
    </row>
    <row r="763" spans="5:5" ht="12.75">
      <c r="E763" s="7"/>
    </row>
    <row r="764" spans="5:5" ht="12.75">
      <c r="E764" s="7"/>
    </row>
    <row r="765" spans="5:5" ht="12.75">
      <c r="E765" s="7"/>
    </row>
    <row r="766" spans="5:5" ht="12.75">
      <c r="E766" s="7"/>
    </row>
    <row r="767" spans="5:5" ht="12.75">
      <c r="E767" s="7"/>
    </row>
    <row r="768" spans="5:5" ht="12.75">
      <c r="E768" s="7"/>
    </row>
    <row r="769" spans="5:5" ht="12.75">
      <c r="E769" s="7"/>
    </row>
    <row r="770" spans="5:5" ht="12.75">
      <c r="E770" s="7"/>
    </row>
    <row r="771" spans="5:5" ht="12.75">
      <c r="E771" s="7"/>
    </row>
    <row r="772" spans="5:5" ht="12.75">
      <c r="E772" s="7"/>
    </row>
    <row r="773" spans="5:5" ht="12.75">
      <c r="E773" s="7"/>
    </row>
    <row r="774" spans="5:5" ht="12.75">
      <c r="E774" s="7"/>
    </row>
    <row r="775" spans="5:5" ht="12.75">
      <c r="E775" s="7"/>
    </row>
    <row r="776" spans="5:5" ht="12.75">
      <c r="E776" s="7"/>
    </row>
    <row r="777" spans="5:5" ht="12.75">
      <c r="E777" s="7"/>
    </row>
    <row r="778" spans="5:5" ht="12.75">
      <c r="E778" s="7"/>
    </row>
    <row r="779" spans="5:5" ht="12.75">
      <c r="E779" s="7"/>
    </row>
    <row r="780" spans="5:5" ht="12.75">
      <c r="E780" s="7"/>
    </row>
    <row r="781" spans="5:5" ht="12.75">
      <c r="E781" s="7"/>
    </row>
    <row r="782" spans="5:5" ht="12.75">
      <c r="E782" s="7"/>
    </row>
    <row r="783" spans="5:5" ht="12.75">
      <c r="E783" s="7"/>
    </row>
    <row r="784" spans="5:5" ht="12.75">
      <c r="E784" s="7"/>
    </row>
    <row r="785" spans="5:5" ht="12.75">
      <c r="E785" s="7"/>
    </row>
    <row r="786" spans="5:5" ht="12.75">
      <c r="E786" s="7"/>
    </row>
    <row r="787" spans="5:5" ht="12.75">
      <c r="E787" s="7"/>
    </row>
    <row r="788" spans="5:5" ht="12.75">
      <c r="E788" s="7"/>
    </row>
    <row r="789" spans="5:5" ht="12.75">
      <c r="E789" s="7"/>
    </row>
    <row r="790" spans="5:5" ht="12.75">
      <c r="E790" s="7"/>
    </row>
    <row r="791" spans="5:5" ht="12.75">
      <c r="E791" s="7"/>
    </row>
    <row r="792" spans="5:5" ht="12.75">
      <c r="E792" s="7"/>
    </row>
    <row r="793" spans="5:5" ht="12.75">
      <c r="E793" s="7"/>
    </row>
    <row r="794" spans="5:5" ht="12.75">
      <c r="E794" s="7"/>
    </row>
    <row r="795" spans="5:5" ht="12.75">
      <c r="E795" s="7"/>
    </row>
    <row r="796" spans="5:5" ht="12.75">
      <c r="E796" s="7"/>
    </row>
    <row r="797" spans="5:5" ht="12.75">
      <c r="E797" s="7"/>
    </row>
    <row r="798" spans="5:5" ht="12.75">
      <c r="E798" s="7"/>
    </row>
    <row r="799" spans="5:5" ht="12.75">
      <c r="E799" s="7"/>
    </row>
    <row r="800" spans="5:5" ht="12.75">
      <c r="E800" s="7"/>
    </row>
    <row r="801" spans="5:5" ht="12.75">
      <c r="E801" s="7"/>
    </row>
    <row r="802" spans="5:5" ht="12.75">
      <c r="E802" s="7"/>
    </row>
    <row r="803" spans="5:5" ht="12.75">
      <c r="E803" s="7"/>
    </row>
    <row r="804" spans="5:5" ht="12.75">
      <c r="E804" s="7"/>
    </row>
    <row r="805" spans="5:5" ht="12.75">
      <c r="E805" s="7"/>
    </row>
    <row r="806" spans="5:5" ht="12.75">
      <c r="E806" s="7"/>
    </row>
    <row r="807" spans="5:5" ht="12.75">
      <c r="E807" s="7"/>
    </row>
    <row r="808" spans="5:5" ht="12.75">
      <c r="E808" s="7"/>
    </row>
    <row r="809" spans="5:5" ht="12.75">
      <c r="E809" s="7"/>
    </row>
    <row r="810" spans="5:5" ht="12.75">
      <c r="E810" s="7"/>
    </row>
    <row r="811" spans="5:5" ht="12.75">
      <c r="E811" s="7"/>
    </row>
    <row r="812" spans="5:5" ht="12.75">
      <c r="E812" s="7"/>
    </row>
    <row r="813" spans="5:5" ht="12.75">
      <c r="E813" s="7"/>
    </row>
    <row r="814" spans="5:5" ht="12.75">
      <c r="E814" s="7"/>
    </row>
    <row r="815" spans="5:5" ht="12.75">
      <c r="E815" s="7"/>
    </row>
    <row r="816" spans="5:5" ht="12.75">
      <c r="E816" s="7"/>
    </row>
    <row r="817" spans="5:5" ht="12.75">
      <c r="E817" s="7"/>
    </row>
    <row r="818" spans="5:5" ht="12.75">
      <c r="E818" s="7"/>
    </row>
    <row r="819" spans="5:5" ht="12.75">
      <c r="E819" s="7"/>
    </row>
    <row r="820" spans="5:5" ht="12.75">
      <c r="E820" s="7"/>
    </row>
    <row r="821" spans="5:5" ht="12.75">
      <c r="E821" s="7"/>
    </row>
    <row r="822" spans="5:5" ht="12.75">
      <c r="E822" s="7"/>
    </row>
    <row r="823" spans="5:5" ht="12.75">
      <c r="E823" s="7"/>
    </row>
    <row r="824" spans="5:5" ht="12.75">
      <c r="E824" s="7"/>
    </row>
    <row r="825" spans="5:5" ht="12.75">
      <c r="E825" s="7"/>
    </row>
    <row r="826" spans="5:5" ht="12.75">
      <c r="E826" s="7"/>
    </row>
    <row r="827" spans="5:5" ht="12.75">
      <c r="E827" s="7"/>
    </row>
    <row r="828" spans="5:5" ht="12.75">
      <c r="E828" s="7"/>
    </row>
    <row r="829" spans="5:5" ht="12.75">
      <c r="E829" s="7"/>
    </row>
    <row r="830" spans="5:5" ht="12.75">
      <c r="E830" s="7"/>
    </row>
    <row r="831" spans="5:5" ht="12.75">
      <c r="E831" s="7"/>
    </row>
    <row r="832" spans="5:5" ht="12.75">
      <c r="E832" s="7"/>
    </row>
    <row r="833" spans="5:5" ht="12.75">
      <c r="E833" s="7"/>
    </row>
    <row r="834" spans="5:5" ht="12.75">
      <c r="E834" s="7"/>
    </row>
    <row r="835" spans="5:5" ht="12.75">
      <c r="E835" s="7"/>
    </row>
    <row r="836" spans="5:5" ht="12.75">
      <c r="E836" s="7"/>
    </row>
    <row r="837" spans="5:5" ht="12.75">
      <c r="E837" s="7"/>
    </row>
    <row r="838" spans="5:5" ht="12.75">
      <c r="E838" s="7"/>
    </row>
    <row r="839" spans="5:5" ht="12.75">
      <c r="E839" s="7"/>
    </row>
    <row r="840" spans="5:5" ht="12.75">
      <c r="E840" s="7"/>
    </row>
    <row r="841" spans="5:5" ht="12.75">
      <c r="E841" s="7"/>
    </row>
    <row r="842" spans="5:5" ht="12.75">
      <c r="E842" s="7"/>
    </row>
    <row r="843" spans="5:5" ht="12.75">
      <c r="E843" s="7"/>
    </row>
    <row r="844" spans="5:5" ht="12.75">
      <c r="E844" s="7"/>
    </row>
    <row r="845" spans="5:5" ht="12.75">
      <c r="E845" s="7"/>
    </row>
    <row r="846" spans="5:5" ht="12.75">
      <c r="E846" s="7"/>
    </row>
    <row r="847" spans="5:5" ht="12.75">
      <c r="E847" s="7"/>
    </row>
    <row r="848" spans="5:5" ht="12.75">
      <c r="E848" s="7"/>
    </row>
    <row r="849" spans="5:5" ht="12.75">
      <c r="E849" s="7"/>
    </row>
    <row r="850" spans="5:5" ht="12.75">
      <c r="E850" s="7"/>
    </row>
    <row r="851" spans="5:5" ht="12.75">
      <c r="E851" s="7"/>
    </row>
    <row r="852" spans="5:5" ht="12.75">
      <c r="E852" s="7"/>
    </row>
    <row r="853" spans="5:5" ht="12.75">
      <c r="E853" s="7"/>
    </row>
    <row r="854" spans="5:5" ht="12.75">
      <c r="E854" s="7"/>
    </row>
    <row r="855" spans="5:5" ht="12.75">
      <c r="E855" s="7"/>
    </row>
    <row r="856" spans="5:5" ht="12.75">
      <c r="E856" s="7"/>
    </row>
    <row r="857" spans="5:5" ht="12.75">
      <c r="E857" s="7"/>
    </row>
    <row r="858" spans="5:5" ht="12.75">
      <c r="E858" s="7"/>
    </row>
    <row r="859" spans="5:5" ht="12.75">
      <c r="E859" s="7"/>
    </row>
    <row r="860" spans="5:5" ht="12.75">
      <c r="E860" s="7"/>
    </row>
    <row r="861" spans="5:5" ht="12.75">
      <c r="E861" s="7"/>
    </row>
    <row r="862" spans="5:5" ht="12.75">
      <c r="E862" s="7"/>
    </row>
    <row r="863" spans="5:5" ht="12.75">
      <c r="E863" s="7"/>
    </row>
    <row r="864" spans="5:5" ht="12.75">
      <c r="E864" s="7"/>
    </row>
    <row r="865" spans="5:5" ht="12.75">
      <c r="E865" s="7"/>
    </row>
    <row r="866" spans="5:5" ht="12.75">
      <c r="E866" s="7"/>
    </row>
    <row r="867" spans="5:5" ht="12.75">
      <c r="E867" s="7"/>
    </row>
    <row r="868" spans="5:5" ht="12.75">
      <c r="E868" s="7"/>
    </row>
    <row r="869" spans="5:5" ht="12.75">
      <c r="E869" s="7"/>
    </row>
    <row r="870" spans="5:5" ht="12.75">
      <c r="E870" s="7"/>
    </row>
    <row r="871" spans="5:5" ht="12.75">
      <c r="E871" s="7"/>
    </row>
    <row r="872" spans="5:5" ht="12.75">
      <c r="E872" s="7"/>
    </row>
    <row r="873" spans="5:5" ht="12.75">
      <c r="E873" s="7"/>
    </row>
    <row r="874" spans="5:5" ht="12.75">
      <c r="E874" s="7"/>
    </row>
    <row r="875" spans="5:5" ht="12.75">
      <c r="E875" s="7"/>
    </row>
    <row r="876" spans="5:5" ht="12.75">
      <c r="E876" s="7"/>
    </row>
    <row r="877" spans="5:5" ht="12.75">
      <c r="E877" s="7"/>
    </row>
    <row r="878" spans="5:5" ht="12.75">
      <c r="E878" s="7"/>
    </row>
    <row r="879" spans="5:5" ht="12.75">
      <c r="E879" s="7"/>
    </row>
    <row r="880" spans="5:5" ht="12.75">
      <c r="E880" s="7"/>
    </row>
    <row r="881" spans="5:5" ht="12.75">
      <c r="E881" s="7"/>
    </row>
    <row r="882" spans="5:5" ht="12.75">
      <c r="E882" s="7"/>
    </row>
    <row r="883" spans="5:5" ht="12.75">
      <c r="E883" s="7"/>
    </row>
    <row r="884" spans="5:5" ht="12.75">
      <c r="E884" s="7"/>
    </row>
    <row r="885" spans="5:5" ht="12.75">
      <c r="E885" s="7"/>
    </row>
    <row r="886" spans="5:5" ht="12.75">
      <c r="E886" s="7"/>
    </row>
    <row r="887" spans="5:5" ht="12.75">
      <c r="E887" s="7"/>
    </row>
    <row r="888" spans="5:5" ht="12.75">
      <c r="E888" s="7"/>
    </row>
    <row r="889" spans="5:5" ht="12.75">
      <c r="E889" s="7"/>
    </row>
    <row r="890" spans="5:5" ht="12.75">
      <c r="E890" s="7"/>
    </row>
    <row r="891" spans="5:5" ht="12.75">
      <c r="E891" s="7"/>
    </row>
    <row r="892" spans="5:5" ht="12.75">
      <c r="E892" s="7"/>
    </row>
    <row r="893" spans="5:5" ht="12.75">
      <c r="E893" s="7"/>
    </row>
    <row r="894" spans="5:5" ht="12.75">
      <c r="E894" s="7"/>
    </row>
    <row r="895" spans="5:5" ht="12.75">
      <c r="E895" s="7"/>
    </row>
    <row r="896" spans="5:5" ht="12.75">
      <c r="E896" s="7"/>
    </row>
    <row r="897" spans="5:5" ht="12.75">
      <c r="E897" s="7"/>
    </row>
    <row r="898" spans="5:5" ht="12.75">
      <c r="E898" s="7"/>
    </row>
    <row r="899" spans="5:5" ht="12.75">
      <c r="E899" s="7"/>
    </row>
    <row r="900" spans="5:5" ht="12.75">
      <c r="E900" s="7"/>
    </row>
    <row r="901" spans="5:5" ht="12.75">
      <c r="E901" s="7"/>
    </row>
    <row r="902" spans="5:5" ht="12.75">
      <c r="E902" s="7"/>
    </row>
    <row r="903" spans="5:5" ht="12.75">
      <c r="E903" s="7"/>
    </row>
    <row r="904" spans="5:5" ht="12.75">
      <c r="E904" s="7"/>
    </row>
    <row r="905" spans="5:5" ht="12.75">
      <c r="E905" s="7"/>
    </row>
    <row r="906" spans="5:5" ht="12.75">
      <c r="E906" s="7"/>
    </row>
    <row r="907" spans="5:5" ht="12.75">
      <c r="E907" s="7"/>
    </row>
    <row r="908" spans="5:5" ht="12.75">
      <c r="E908" s="7"/>
    </row>
    <row r="909" spans="5:5" ht="12.75">
      <c r="E909" s="7"/>
    </row>
    <row r="910" spans="5:5" ht="12.75">
      <c r="E910" s="7"/>
    </row>
    <row r="911" spans="5:5" ht="12.75">
      <c r="E911" s="7"/>
    </row>
    <row r="912" spans="5:5" ht="12.75">
      <c r="E912" s="7"/>
    </row>
    <row r="913" spans="5:5" ht="12.75">
      <c r="E913" s="7"/>
    </row>
    <row r="914" spans="5:5" ht="12.75">
      <c r="E914" s="7"/>
    </row>
    <row r="915" spans="5:5" ht="12.75">
      <c r="E915" s="7"/>
    </row>
    <row r="916" spans="5:5" ht="12.75">
      <c r="E916" s="7"/>
    </row>
    <row r="917" spans="5:5" ht="12.75">
      <c r="E917" s="7"/>
    </row>
    <row r="918" spans="5:5" ht="12.75">
      <c r="E918" s="7"/>
    </row>
    <row r="919" spans="5:5" ht="12.75">
      <c r="E919" s="7"/>
    </row>
    <row r="920" spans="5:5" ht="12.75">
      <c r="E920" s="7"/>
    </row>
    <row r="921" spans="5:5" ht="12.75">
      <c r="E921" s="7"/>
    </row>
    <row r="922" spans="5:5" ht="12.75">
      <c r="E922" s="7"/>
    </row>
    <row r="923" spans="5:5" ht="12.75">
      <c r="E923" s="7"/>
    </row>
    <row r="924" spans="5:5" ht="12.75">
      <c r="E924" s="7"/>
    </row>
    <row r="925" spans="5:5" ht="12.75">
      <c r="E925" s="7"/>
    </row>
    <row r="926" spans="5:5" ht="12.75">
      <c r="E926" s="7"/>
    </row>
    <row r="927" spans="5:5" ht="12.75">
      <c r="E927" s="7"/>
    </row>
    <row r="928" spans="5:5" ht="12.75">
      <c r="E928" s="7"/>
    </row>
    <row r="929" spans="5:5" ht="12.75">
      <c r="E929" s="7"/>
    </row>
    <row r="930" spans="5:5" ht="12.75">
      <c r="E930" s="7"/>
    </row>
    <row r="931" spans="5:5" ht="12.75">
      <c r="E931" s="7"/>
    </row>
    <row r="932" spans="5:5" ht="12.75">
      <c r="E932" s="7"/>
    </row>
    <row r="933" spans="5:5" ht="12.75">
      <c r="E933" s="7"/>
    </row>
    <row r="934" spans="5:5" ht="12.75">
      <c r="E934" s="7"/>
    </row>
    <row r="935" spans="5:5" ht="12.75">
      <c r="E935" s="7"/>
    </row>
    <row r="936" spans="5:5" ht="12.75">
      <c r="E936" s="7"/>
    </row>
    <row r="937" spans="5:5" ht="12.75">
      <c r="E937" s="7"/>
    </row>
    <row r="938" spans="5:5" ht="12.75">
      <c r="E938" s="7"/>
    </row>
    <row r="939" spans="5:5" ht="12.75">
      <c r="E939" s="7"/>
    </row>
    <row r="940" spans="5:5" ht="12.75">
      <c r="E940" s="7"/>
    </row>
    <row r="941" spans="5:5" ht="12.75">
      <c r="E941" s="7"/>
    </row>
    <row r="942" spans="5:5" ht="12.75">
      <c r="E942" s="7"/>
    </row>
    <row r="943" spans="5:5" ht="12.75">
      <c r="E943" s="7"/>
    </row>
    <row r="944" spans="5:5" ht="12.75">
      <c r="E944" s="7"/>
    </row>
    <row r="945" spans="5:5" ht="12.75">
      <c r="E945" s="7"/>
    </row>
    <row r="946" spans="5:5" ht="12.75">
      <c r="E946" s="7"/>
    </row>
    <row r="947" spans="5:5" ht="12.75">
      <c r="E947" s="7"/>
    </row>
    <row r="948" spans="5:5" ht="12.75">
      <c r="E948" s="7"/>
    </row>
    <row r="949" spans="5:5" ht="12.75">
      <c r="E949" s="7"/>
    </row>
    <row r="950" spans="5:5" ht="12.75">
      <c r="E950" s="7"/>
    </row>
    <row r="951" spans="5:5" ht="12.75">
      <c r="E951" s="7"/>
    </row>
    <row r="952" spans="5:5" ht="12.75">
      <c r="E952" s="7"/>
    </row>
    <row r="953" spans="5:5" ht="12.75">
      <c r="E953" s="7"/>
    </row>
    <row r="954" spans="5:5" ht="12.75">
      <c r="E954" s="7"/>
    </row>
    <row r="955" spans="5:5" ht="12.75">
      <c r="E955" s="7"/>
    </row>
    <row r="956" spans="5:5" ht="12.75">
      <c r="E956" s="7"/>
    </row>
    <row r="957" spans="5:5" ht="12.75">
      <c r="E957" s="7"/>
    </row>
    <row r="958" spans="5:5" ht="12.75">
      <c r="E958" s="7"/>
    </row>
    <row r="959" spans="5:5" ht="12.75">
      <c r="E959" s="7"/>
    </row>
    <row r="960" spans="5:5" ht="12.75">
      <c r="E960" s="7"/>
    </row>
    <row r="961" spans="5:5" ht="12.75">
      <c r="E961" s="7"/>
    </row>
    <row r="962" spans="5:5" ht="12.75">
      <c r="E962" s="7"/>
    </row>
    <row r="963" spans="5:5" ht="12.75">
      <c r="E963" s="7"/>
    </row>
    <row r="964" spans="5:5" ht="12.75">
      <c r="E964" s="7"/>
    </row>
    <row r="965" spans="5:5" ht="12.75">
      <c r="E965" s="7"/>
    </row>
    <row r="966" spans="5:5" ht="12.75">
      <c r="E966" s="7"/>
    </row>
    <row r="967" spans="5:5" ht="12.75">
      <c r="E967" s="7"/>
    </row>
    <row r="968" spans="5:5" ht="12.75">
      <c r="E968" s="7"/>
    </row>
    <row r="969" spans="5:5" ht="12.75">
      <c r="E969" s="7"/>
    </row>
    <row r="970" spans="5:5" ht="12.75">
      <c r="E970" s="7"/>
    </row>
    <row r="971" spans="5:5" ht="12.75">
      <c r="E971" s="7"/>
    </row>
    <row r="972" spans="5:5" ht="12.75">
      <c r="E972" s="7"/>
    </row>
    <row r="973" spans="5:5" ht="12.75">
      <c r="E973" s="7"/>
    </row>
    <row r="974" spans="5:5" ht="12.75">
      <c r="E974" s="7"/>
    </row>
    <row r="975" spans="5:5" ht="12.75">
      <c r="E975" s="7"/>
    </row>
    <row r="976" spans="5:5" ht="12.75">
      <c r="E976" s="7"/>
    </row>
    <row r="977" spans="5:5" ht="12.75">
      <c r="E977" s="7"/>
    </row>
    <row r="978" spans="5:5" ht="12.75">
      <c r="E978" s="7"/>
    </row>
    <row r="979" spans="5:5" ht="12.75">
      <c r="E979" s="7"/>
    </row>
    <row r="980" spans="5:5" ht="12.75">
      <c r="E980" s="7"/>
    </row>
    <row r="981" spans="5:5" ht="12.75">
      <c r="E981" s="7"/>
    </row>
    <row r="982" spans="5:5" ht="12.75">
      <c r="E982" s="7"/>
    </row>
    <row r="983" spans="5:5" ht="12.75">
      <c r="E983" s="7"/>
    </row>
    <row r="984" spans="5:5" ht="12.75">
      <c r="E984" s="7"/>
    </row>
    <row r="985" spans="5:5" ht="12.75">
      <c r="E985" s="7"/>
    </row>
    <row r="986" spans="5:5" ht="12.75">
      <c r="E986" s="7"/>
    </row>
    <row r="987" spans="5:5" ht="12.75">
      <c r="E987" s="7"/>
    </row>
    <row r="988" spans="5:5" ht="12.75">
      <c r="E988" s="7"/>
    </row>
    <row r="989" spans="5:5" ht="12.75">
      <c r="E989" s="7"/>
    </row>
    <row r="990" spans="5:5" ht="12.75">
      <c r="E990" s="7"/>
    </row>
    <row r="991" spans="5:5" ht="12.75">
      <c r="E991" s="7"/>
    </row>
    <row r="992" spans="5:5" ht="12.75">
      <c r="E992" s="7"/>
    </row>
    <row r="993" spans="5:5" ht="12.75">
      <c r="E993" s="7"/>
    </row>
    <row r="994" spans="5:5" ht="12.75">
      <c r="E994" s="7"/>
    </row>
    <row r="995" spans="5:5" ht="12.75">
      <c r="E995" s="7"/>
    </row>
    <row r="996" spans="5:5" ht="12.75">
      <c r="E996" s="7"/>
    </row>
    <row r="997" spans="5:5" ht="12.75">
      <c r="E997" s="7"/>
    </row>
    <row r="998" spans="5:5" ht="12.75">
      <c r="E998" s="7"/>
    </row>
    <row r="999" spans="5:5" ht="12.75">
      <c r="E999" s="7"/>
    </row>
    <row r="1000" spans="5:5" ht="12.75">
      <c r="E1000" s="7"/>
    </row>
    <row r="1001" spans="5:5" ht="12.75">
      <c r="E1001" s="7"/>
    </row>
    <row r="1002" spans="5:5" ht="12.75">
      <c r="E1002" s="7"/>
    </row>
    <row r="1003" spans="5:5" ht="12.75">
      <c r="E1003" s="7"/>
    </row>
  </sheetData>
  <mergeCells count="4">
    <mergeCell ref="D2:K2"/>
    <mergeCell ref="D3:G3"/>
    <mergeCell ref="B5:C5"/>
    <mergeCell ref="B11:C11"/>
  </mergeCells>
  <conditionalFormatting sqref="E15:F15">
    <cfRule type="expression" dxfId="0" priority="1">
      <formula>"if(c8=10)"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G9"/>
  <sheetViews>
    <sheetView workbookViewId="0"/>
  </sheetViews>
  <sheetFormatPr defaultColWidth="14.42578125" defaultRowHeight="15.75" customHeight="1"/>
  <sheetData>
    <row r="2" spans="2:7">
      <c r="B2" s="1" t="s">
        <v>15</v>
      </c>
      <c r="C2" s="2"/>
    </row>
    <row r="3" spans="2:7">
      <c r="B3" s="1" t="s">
        <v>16</v>
      </c>
    </row>
    <row r="7" spans="2:7">
      <c r="B7" s="1" t="s">
        <v>17</v>
      </c>
    </row>
    <row r="8" spans="2:7">
      <c r="B8" s="5" t="s">
        <v>18</v>
      </c>
      <c r="G8" s="3" t="s">
        <v>19</v>
      </c>
    </row>
    <row r="9" spans="2:7">
      <c r="B9" s="4" t="s">
        <v>20</v>
      </c>
    </row>
  </sheetData>
  <hyperlinks>
    <hyperlink ref="B8" r:id="rId1" xr:uid="{00000000-0004-0000-0100-000000000000}"/>
    <hyperlink ref="B9" r:id="rId2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Niklas Simonsen</cp:lastModifiedBy>
  <cp:revision/>
  <dcterms:created xsi:type="dcterms:W3CDTF">2022-07-04T09:56:58Z</dcterms:created>
  <dcterms:modified xsi:type="dcterms:W3CDTF">2022-08-07T10:33:55Z</dcterms:modified>
  <cp:category/>
  <cp:contentStatus/>
</cp:coreProperties>
</file>