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trlProps/ctrlProp4.xml" ContentType="application/vnd.ms-excel.controlpropertie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yizhao/Desktop/FMVA/Amazon Financial Analysis/"/>
    </mc:Choice>
  </mc:AlternateContent>
  <xr:revisionPtr revIDLastSave="0" documentId="13_ncr:1_{E6A5DD92-1BBC-E541-8EDF-C21B35C46F2D}" xr6:coauthVersionLast="45" xr6:coauthVersionMax="45" xr10:uidLastSave="{00000000-0000-0000-0000-000000000000}"/>
  <bookViews>
    <workbookView xWindow="0" yWindow="460" windowWidth="28800" windowHeight="16580" tabRatio="663" activeTab="1" xr2:uid="{FAB34471-1F78-4A10-8D93-E82611DECB96}"/>
  </bookViews>
  <sheets>
    <sheet name="_CIQHiddenCacheSheet" sheetId="47" state="veryHidden" r:id="rId1"/>
    <sheet name="Cover Page " sheetId="49" r:id="rId2"/>
    <sheet name="DASHBOARD" sheetId="21" r:id="rId3"/>
    <sheet name="Market Size" sheetId="7" r:id="rId4"/>
    <sheet name="Financial Model" sheetId="2" r:id="rId5"/>
    <sheet name="Scenarios" sheetId="8" r:id="rId6"/>
    <sheet name="COMPS" sheetId="17" r:id="rId7"/>
    <sheet name="Additional Info -&gt;" sheetId="25" r:id="rId8"/>
    <sheet name="WACC Analysis" sheetId="13" r:id="rId9"/>
    <sheet name="Quarterly" sheetId="19" r:id="rId10"/>
    <sheet name="Raw Data" sheetId="1" r:id="rId11"/>
    <sheet name="Share Price" sheetId="24" r:id="rId12"/>
    <sheet name="END" sheetId="48" r:id="rId13"/>
  </sheets>
  <definedNames>
    <definedName name="__FDS_HYPERLINK_TOGGLE_STATE__" hidden="1">"ON"</definedName>
    <definedName name="_xlnm._FilterDatabase" localSheetId="6" hidden="1">COMPS!#REF!</definedName>
    <definedName name="_Order1" hidden="1">0</definedName>
    <definedName name="CIQWBGuid" hidden="1">"19ce16bd-0a5e-4cca-be5a-800b10bf9dc8"</definedName>
    <definedName name="IQ_ADDIN" hidden="1">"AUTO"</definedName>
    <definedName name="IQ_AVG_PRICE_TARGET" hidden="1">"c82"</definedName>
    <definedName name="IQ_CONV_RATE" hidden="1">"c2192"</definedName>
    <definedName name="IQ_DNTM" hidden="1">700000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ST_ACT_EPS_PRIMARY" hidden="1">"c2232"</definedName>
    <definedName name="IQ_EST_EPS_SURPRISE" hidden="1">"c1635"</definedName>
    <definedName name="IQ_EST_NUM_BUY_REUT" hidden="1">"c3869"</definedName>
    <definedName name="IQ_EST_NUM_BUY_THOM" hidden="1">"c5165"</definedName>
    <definedName name="IQ_EST_NUM_HOLD_REUT" hidden="1">"c3871"</definedName>
    <definedName name="IQ_EST_NUM_HOLD_THOM" hidden="1">"c5167"</definedName>
    <definedName name="IQ_EST_NUM_OUTPERFORM_REUT" hidden="1">"c3870"</definedName>
    <definedName name="IQ_EST_NUM_OUTPERFORM_THOM" hidden="1">"c5166"</definedName>
    <definedName name="IQ_EST_NUM_SELL_REUT" hidden="1">"c3873"</definedName>
    <definedName name="IQ_EST_NUM_SELL_THOM" hidden="1">"c5169"</definedName>
    <definedName name="IQ_EST_NUM_UNDERPERFORM_REUT" hidden="1">"c3872"</definedName>
    <definedName name="IQ_EST_NUM_UNDERPERFORM_THOM" hidden="1">"c5168"</definedName>
    <definedName name="IQ_EXPENSE_CODE_" hidden="1">"test"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localSheetId="8" hidden="1">43336.5851273148</definedName>
    <definedName name="IQ_NAMES_REVISION_DATE_" hidden="1">43412.7003240741</definedName>
    <definedName name="IQ_NAV_ACT_OR_EST" hidden="1">"c2225"</definedName>
    <definedName name="IQ_OG_TOTAL_OIL_PRODUCTON" hidden="1">"c2059"</definedName>
    <definedName name="IQ_OPENED55" hidden="1">1</definedName>
    <definedName name="IQ_PRIMARY_EPS_TYPE_THOM" hidden="1">"c5297"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YTDMONTH" hidden="1">130000</definedName>
    <definedName name="IQRWACCAnalysisBB10" localSheetId="6" hidden="1">#REF!</definedName>
    <definedName name="IQRWACCAnalysisBB10" localSheetId="2" hidden="1">#REF!</definedName>
    <definedName name="IQRWACCAnalysisBB10" localSheetId="3" hidden="1">#REF!</definedName>
    <definedName name="IQRWACCAnalysisBB10" localSheetId="9" hidden="1">#REF!</definedName>
    <definedName name="IQRWACCAnalysisBB10" localSheetId="5" hidden="1">#REF!</definedName>
    <definedName name="IQRWACCAnalysisBB10" localSheetId="11" hidden="1">#REF!</definedName>
    <definedName name="IQRWACCAnalysisBB10" localSheetId="8" hidden="1">'WACC Analysis'!$AX$10:$AX$56</definedName>
    <definedName name="IQRWACCAnalysisBB10" hidden="1">#REF!</definedName>
    <definedName name="IQRWACCAnalysisBC10" localSheetId="6" hidden="1">#REF!</definedName>
    <definedName name="IQRWACCAnalysisBC10" localSheetId="2" hidden="1">#REF!</definedName>
    <definedName name="IQRWACCAnalysisBC10" localSheetId="3" hidden="1">#REF!</definedName>
    <definedName name="IQRWACCAnalysisBC10" localSheetId="9" hidden="1">#REF!</definedName>
    <definedName name="IQRWACCAnalysisBC10" localSheetId="5" hidden="1">#REF!</definedName>
    <definedName name="IQRWACCAnalysisBC10" localSheetId="11" hidden="1">#REF!</definedName>
    <definedName name="IQRWACCAnalysisBC10" localSheetId="8" hidden="1">'WACC Analysis'!$AX$10:$AX$56</definedName>
    <definedName name="IQRWACCAnalysisBC10" hidden="1">#REF!</definedName>
    <definedName name="IQRWACCAnalysisBF10" localSheetId="6" hidden="1">#REF!</definedName>
    <definedName name="IQRWACCAnalysisBF10" localSheetId="2" hidden="1">#REF!</definedName>
    <definedName name="IQRWACCAnalysisBF10" localSheetId="3" hidden="1">#REF!</definedName>
    <definedName name="IQRWACCAnalysisBF10" localSheetId="9" hidden="1">#REF!</definedName>
    <definedName name="IQRWACCAnalysisBF10" localSheetId="5" hidden="1">#REF!</definedName>
    <definedName name="IQRWACCAnalysisBF10" localSheetId="11" hidden="1">#REF!</definedName>
    <definedName name="IQRWACCAnalysisBF10" localSheetId="8" hidden="1">'WACC Analysis'!$AX$10:$AX$47</definedName>
    <definedName name="IQRWACCAnalysisBF10" hidden="1">#REF!</definedName>
    <definedName name="IQRWACCAnalysisBH10" localSheetId="6" hidden="1">#REF!</definedName>
    <definedName name="IQRWACCAnalysisBH10" localSheetId="2" hidden="1">#REF!</definedName>
    <definedName name="IQRWACCAnalysisBH10" localSheetId="3" hidden="1">#REF!</definedName>
    <definedName name="IQRWACCAnalysisBH10" localSheetId="9" hidden="1">#REF!</definedName>
    <definedName name="IQRWACCAnalysisBH10" localSheetId="5" hidden="1">#REF!</definedName>
    <definedName name="IQRWACCAnalysisBH10" localSheetId="11" hidden="1">#REF!</definedName>
    <definedName name="IQRWACCAnalysisBH10" localSheetId="8" hidden="1">'WACC Analysis'!$AX$10:$AX$56</definedName>
    <definedName name="IQRWACCAnalysisBH10" hidden="1">#REF!</definedName>
    <definedName name="IQRWACCAnalysisBJ10" localSheetId="6" hidden="1">#REF!</definedName>
    <definedName name="IQRWACCAnalysisBJ10" localSheetId="2" hidden="1">#REF!</definedName>
    <definedName name="IQRWACCAnalysisBJ10" localSheetId="3" hidden="1">#REF!</definedName>
    <definedName name="IQRWACCAnalysisBJ10" localSheetId="9" hidden="1">#REF!</definedName>
    <definedName name="IQRWACCAnalysisBJ10" localSheetId="5" hidden="1">#REF!</definedName>
    <definedName name="IQRWACCAnalysisBJ10" localSheetId="11" hidden="1">#REF!</definedName>
    <definedName name="IQRWACCAnalysisBJ10" localSheetId="8" hidden="1">'WACC Analysis'!$BF$10:$BF$74</definedName>
    <definedName name="IQRWACCAnalysisBJ10" hidden="1">#REF!</definedName>
    <definedName name="IQRWACCAnalysisBK10" localSheetId="6" hidden="1">#REF!</definedName>
    <definedName name="IQRWACCAnalysisBK10" localSheetId="2" hidden="1">#REF!</definedName>
    <definedName name="IQRWACCAnalysisBK10" localSheetId="3" hidden="1">#REF!</definedName>
    <definedName name="IQRWACCAnalysisBK10" localSheetId="9" hidden="1">#REF!</definedName>
    <definedName name="IQRWACCAnalysisBK10" localSheetId="5" hidden="1">#REF!</definedName>
    <definedName name="IQRWACCAnalysisBK10" localSheetId="11" hidden="1">#REF!</definedName>
    <definedName name="IQRWACCAnalysisBK10" localSheetId="8" hidden="1">'WACC Analysis'!$BF$10:$BF$74</definedName>
    <definedName name="IQRWACCAnalysisBK10" hidden="1">#REF!</definedName>
    <definedName name="IQRWACCAnalysisBL10" localSheetId="6" hidden="1">#REF!</definedName>
    <definedName name="IQRWACCAnalysisBL10" localSheetId="2" hidden="1">#REF!</definedName>
    <definedName name="IQRWACCAnalysisBL10" localSheetId="3" hidden="1">#REF!</definedName>
    <definedName name="IQRWACCAnalysisBL10" localSheetId="9" hidden="1">#REF!</definedName>
    <definedName name="IQRWACCAnalysisBL10" localSheetId="5" hidden="1">#REF!</definedName>
    <definedName name="IQRWACCAnalysisBL10" localSheetId="11" hidden="1">#REF!</definedName>
    <definedName name="IQRWACCAnalysisBL10" localSheetId="8" hidden="1">'WACC Analysis'!$AX$10:$AX$56</definedName>
    <definedName name="IQRWACCAnalysisBL10" hidden="1">#REF!</definedName>
    <definedName name="IQRWACCAnalysisBM10" localSheetId="6" hidden="1">#REF!</definedName>
    <definedName name="IQRWACCAnalysisBM10" localSheetId="2" hidden="1">#REF!</definedName>
    <definedName name="IQRWACCAnalysisBM10" localSheetId="3" hidden="1">#REF!</definedName>
    <definedName name="IQRWACCAnalysisBM10" localSheetId="9" hidden="1">#REF!</definedName>
    <definedName name="IQRWACCAnalysisBM10" localSheetId="5" hidden="1">#REF!</definedName>
    <definedName name="IQRWACCAnalysisBM10" localSheetId="11" hidden="1">#REF!</definedName>
    <definedName name="IQRWACCAnalysisBM10" localSheetId="8" hidden="1">'WACC Analysis'!$AX$10:$AX$56</definedName>
    <definedName name="IQRWACCAnalysisBM10" hidden="1">#REF!</definedName>
    <definedName name="IQRWACCAnalysisBN10" localSheetId="6" hidden="1">#REF!</definedName>
    <definedName name="IQRWACCAnalysisBN10" localSheetId="2" hidden="1">#REF!</definedName>
    <definedName name="IQRWACCAnalysisBN10" localSheetId="3" hidden="1">#REF!</definedName>
    <definedName name="IQRWACCAnalysisBN10" localSheetId="9" hidden="1">#REF!</definedName>
    <definedName name="IQRWACCAnalysisBN10" localSheetId="5" hidden="1">#REF!</definedName>
    <definedName name="IQRWACCAnalysisBN10" localSheetId="11" hidden="1">#REF!</definedName>
    <definedName name="IQRWACCAnalysisBN10" localSheetId="8" hidden="1">'WACC Analysis'!$BF$10:$BF$48</definedName>
    <definedName name="IQRWACCAnalysisBN10" hidden="1">#REF!</definedName>
    <definedName name="IQRWACCAnalysisBO10" localSheetId="6" hidden="1">#REF!</definedName>
    <definedName name="IQRWACCAnalysisBO10" localSheetId="2" hidden="1">#REF!</definedName>
    <definedName name="IQRWACCAnalysisBO10" localSheetId="3" hidden="1">#REF!</definedName>
    <definedName name="IQRWACCAnalysisBO10" localSheetId="9" hidden="1">#REF!</definedName>
    <definedName name="IQRWACCAnalysisBO10" localSheetId="5" hidden="1">#REF!</definedName>
    <definedName name="IQRWACCAnalysisBO10" localSheetId="11" hidden="1">#REF!</definedName>
    <definedName name="IQRWACCAnalysisBO10" localSheetId="8" hidden="1">'WACC Analysis'!$AX$10:$AX$56</definedName>
    <definedName name="IQRWACCAnalysisBO10" hidden="1">#REF!</definedName>
    <definedName name="IQRWACCAnalysisBP10" localSheetId="6" hidden="1">#REF!</definedName>
    <definedName name="IQRWACCAnalysisBP10" localSheetId="2" hidden="1">#REF!</definedName>
    <definedName name="IQRWACCAnalysisBP10" localSheetId="3" hidden="1">#REF!</definedName>
    <definedName name="IQRWACCAnalysisBP10" localSheetId="9" hidden="1">#REF!</definedName>
    <definedName name="IQRWACCAnalysisBP10" localSheetId="5" hidden="1">#REF!</definedName>
    <definedName name="IQRWACCAnalysisBP10" localSheetId="11" hidden="1">#REF!</definedName>
    <definedName name="IQRWACCAnalysisBP10" localSheetId="8" hidden="1">'WACC Analysis'!$BF$10:$BF$74</definedName>
    <definedName name="IQRWACCAnalysisBP10" hidden="1">#REF!</definedName>
    <definedName name="IQRWACCAnalysisBQ10" localSheetId="6" hidden="1">#REF!</definedName>
    <definedName name="IQRWACCAnalysisBQ10" localSheetId="2" hidden="1">#REF!</definedName>
    <definedName name="IQRWACCAnalysisBQ10" localSheetId="3" hidden="1">#REF!</definedName>
    <definedName name="IQRWACCAnalysisBQ10" localSheetId="9" hidden="1">#REF!</definedName>
    <definedName name="IQRWACCAnalysisBQ10" localSheetId="5" hidden="1">#REF!</definedName>
    <definedName name="IQRWACCAnalysisBQ10" localSheetId="11" hidden="1">#REF!</definedName>
    <definedName name="IQRWACCAnalysisBQ10" localSheetId="8" hidden="1">'WACC Analysis'!$AX$10:$AX$56</definedName>
    <definedName name="IQRWACCAnalysisBQ10" hidden="1">#REF!</definedName>
    <definedName name="IQRWACCAnalysisBR10" localSheetId="6" hidden="1">#REF!</definedName>
    <definedName name="IQRWACCAnalysisBR10" localSheetId="2" hidden="1">#REF!</definedName>
    <definedName name="IQRWACCAnalysisBR10" localSheetId="3" hidden="1">#REF!</definedName>
    <definedName name="IQRWACCAnalysisBR10" localSheetId="9" hidden="1">#REF!</definedName>
    <definedName name="IQRWACCAnalysisBR10" localSheetId="5" hidden="1">#REF!</definedName>
    <definedName name="IQRWACCAnalysisBR10" localSheetId="11" hidden="1">#REF!</definedName>
    <definedName name="IQRWACCAnalysisBR10" localSheetId="8" hidden="1">'WACC Analysis'!$AX$10:$AX$56</definedName>
    <definedName name="IQRWACCAnalysisBR10" hidden="1">#REF!</definedName>
    <definedName name="IQRWACCAnalysisBS10" localSheetId="6" hidden="1">#REF!</definedName>
    <definedName name="IQRWACCAnalysisBS10" localSheetId="2" hidden="1">#REF!</definedName>
    <definedName name="IQRWACCAnalysisBS10" localSheetId="3" hidden="1">#REF!</definedName>
    <definedName name="IQRWACCAnalysisBS10" localSheetId="9" hidden="1">#REF!</definedName>
    <definedName name="IQRWACCAnalysisBS10" localSheetId="5" hidden="1">#REF!</definedName>
    <definedName name="IQRWACCAnalysisBS10" localSheetId="11" hidden="1">#REF!</definedName>
    <definedName name="IQRWACCAnalysisBS10" localSheetId="8" hidden="1">'WACC Analysis'!$AX$10:$AX$56</definedName>
    <definedName name="IQRWACCAnalysisBS10" hidden="1">#REF!</definedName>
    <definedName name="IQRWACCAnalysisBT10" localSheetId="6" hidden="1">#REF!</definedName>
    <definedName name="IQRWACCAnalysisBT10" localSheetId="2" hidden="1">#REF!</definedName>
    <definedName name="IQRWACCAnalysisBT10" localSheetId="3" hidden="1">#REF!</definedName>
    <definedName name="IQRWACCAnalysisBT10" localSheetId="9" hidden="1">#REF!</definedName>
    <definedName name="IQRWACCAnalysisBT10" localSheetId="5" hidden="1">#REF!</definedName>
    <definedName name="IQRWACCAnalysisBT10" localSheetId="11" hidden="1">#REF!</definedName>
    <definedName name="IQRWACCAnalysisBT10" localSheetId="8" hidden="1">'WACC Analysis'!$BF$10:$BF$74</definedName>
    <definedName name="IQRWACCAnalysisBT10" hidden="1">#REF!</definedName>
    <definedName name="IQRWACCAnalysisBU10" localSheetId="6" hidden="1">#REF!</definedName>
    <definedName name="IQRWACCAnalysisBU10" localSheetId="2" hidden="1">#REF!</definedName>
    <definedName name="IQRWACCAnalysisBU10" localSheetId="3" hidden="1">#REF!</definedName>
    <definedName name="IQRWACCAnalysisBU10" localSheetId="9" hidden="1">#REF!</definedName>
    <definedName name="IQRWACCAnalysisBU10" localSheetId="5" hidden="1">#REF!</definedName>
    <definedName name="IQRWACCAnalysisBU10" localSheetId="11" hidden="1">#REF!</definedName>
    <definedName name="IQRWACCAnalysisBU10" localSheetId="8" hidden="1">'WACC Analysis'!$BF$10:$BF$74</definedName>
    <definedName name="IQRWACCAnalysisBU10" hidden="1">#REF!</definedName>
    <definedName name="IQRWACCAnalysisBV10" localSheetId="6" hidden="1">#REF!</definedName>
    <definedName name="IQRWACCAnalysisBV10" localSheetId="2" hidden="1">#REF!</definedName>
    <definedName name="IQRWACCAnalysisBV10" localSheetId="3" hidden="1">#REF!</definedName>
    <definedName name="IQRWACCAnalysisBV10" localSheetId="9" hidden="1">#REF!</definedName>
    <definedName name="IQRWACCAnalysisBV10" localSheetId="5" hidden="1">#REF!</definedName>
    <definedName name="IQRWACCAnalysisBV10" localSheetId="11" hidden="1">#REF!</definedName>
    <definedName name="IQRWACCAnalysisBV10" localSheetId="8" hidden="1">'WACC Analysis'!$BF$10:$BF$74</definedName>
    <definedName name="IQRWACCAnalysisBV10" hidden="1">#REF!</definedName>
    <definedName name="IQRWACCAnalysisBW10" localSheetId="6" hidden="1">#REF!</definedName>
    <definedName name="IQRWACCAnalysisBW10" localSheetId="2" hidden="1">#REF!</definedName>
    <definedName name="IQRWACCAnalysisBW10" localSheetId="3" hidden="1">#REF!</definedName>
    <definedName name="IQRWACCAnalysisBW10" localSheetId="9" hidden="1">#REF!</definedName>
    <definedName name="IQRWACCAnalysisBW10" localSheetId="5" hidden="1">#REF!</definedName>
    <definedName name="IQRWACCAnalysisBW10" localSheetId="11" hidden="1">#REF!</definedName>
    <definedName name="IQRWACCAnalysisBW10" localSheetId="8" hidden="1">'WACC Analysis'!$BF$10:$BF$74</definedName>
    <definedName name="IQRWACCAnalysisBW10" hidden="1">#REF!</definedName>
    <definedName name="IQRWACCAnalysisBX10" localSheetId="6" hidden="1">#REF!</definedName>
    <definedName name="IQRWACCAnalysisBX10" localSheetId="2" hidden="1">#REF!</definedName>
    <definedName name="IQRWACCAnalysisBX10" localSheetId="3" hidden="1">#REF!</definedName>
    <definedName name="IQRWACCAnalysisBX10" localSheetId="9" hidden="1">#REF!</definedName>
    <definedName name="IQRWACCAnalysisBX10" localSheetId="5" hidden="1">#REF!</definedName>
    <definedName name="IQRWACCAnalysisBX10" localSheetId="11" hidden="1">#REF!</definedName>
    <definedName name="IQRWACCAnalysisBX10" localSheetId="8" hidden="1">'WACC Analysis'!$BF$10:$BF$74</definedName>
    <definedName name="IQRWACCAnalysisBX10" hidden="1">#REF!</definedName>
    <definedName name="IQRWACCAnalysisBY10" localSheetId="6" hidden="1">#REF!</definedName>
    <definedName name="IQRWACCAnalysisBY10" localSheetId="2" hidden="1">#REF!</definedName>
    <definedName name="IQRWACCAnalysisBY10" localSheetId="3" hidden="1">#REF!</definedName>
    <definedName name="IQRWACCAnalysisBY10" localSheetId="9" hidden="1">#REF!</definedName>
    <definedName name="IQRWACCAnalysisBY10" localSheetId="5" hidden="1">#REF!</definedName>
    <definedName name="IQRWACCAnalysisBY10" localSheetId="11" hidden="1">#REF!</definedName>
    <definedName name="IQRWACCAnalysisBY10" localSheetId="8" hidden="1">'WACC Analysis'!$BF$10:$BF$74</definedName>
    <definedName name="IQRWACCAnalysisBY10" hidden="1">#REF!</definedName>
    <definedName name="IQRWACCAnalysisBZ10" localSheetId="6" hidden="1">#REF!</definedName>
    <definedName name="IQRWACCAnalysisBZ10" localSheetId="2" hidden="1">#REF!</definedName>
    <definedName name="IQRWACCAnalysisBZ10" localSheetId="3" hidden="1">#REF!</definedName>
    <definedName name="IQRWACCAnalysisBZ10" localSheetId="9" hidden="1">#REF!</definedName>
    <definedName name="IQRWACCAnalysisBZ10" localSheetId="5" hidden="1">#REF!</definedName>
    <definedName name="IQRWACCAnalysisBZ10" localSheetId="11" hidden="1">#REF!</definedName>
    <definedName name="IQRWACCAnalysisBZ10" localSheetId="8" hidden="1">'WACC Analysis'!$BF$10:$BF$74</definedName>
    <definedName name="IQRWACCAnalysisBZ10" hidden="1">#REF!</definedName>
    <definedName name="IQRWACCAnalysisCA10" localSheetId="6" hidden="1">#REF!</definedName>
    <definedName name="IQRWACCAnalysisCA10" localSheetId="2" hidden="1">#REF!</definedName>
    <definedName name="IQRWACCAnalysisCA10" localSheetId="3" hidden="1">#REF!</definedName>
    <definedName name="IQRWACCAnalysisCA10" localSheetId="9" hidden="1">#REF!</definedName>
    <definedName name="IQRWACCAnalysisCA10" localSheetId="5" hidden="1">#REF!</definedName>
    <definedName name="IQRWACCAnalysisCA10" localSheetId="11" hidden="1">#REF!</definedName>
    <definedName name="IQRWACCAnalysisCA10" localSheetId="8" hidden="1">'WACC Analysis'!$BF$10:$BF$74</definedName>
    <definedName name="IQRWACCAnalysisCA10" hidden="1">#REF!</definedName>
    <definedName name="IQRWACCAnalysisCB10" localSheetId="6" hidden="1">#REF!</definedName>
    <definedName name="IQRWACCAnalysisCB10" localSheetId="2" hidden="1">#REF!</definedName>
    <definedName name="IQRWACCAnalysisCB10" localSheetId="3" hidden="1">#REF!</definedName>
    <definedName name="IQRWACCAnalysisCB10" localSheetId="9" hidden="1">#REF!</definedName>
    <definedName name="IQRWACCAnalysisCB10" localSheetId="5" hidden="1">#REF!</definedName>
    <definedName name="IQRWACCAnalysisCB10" localSheetId="11" hidden="1">#REF!</definedName>
    <definedName name="IQRWACCAnalysisCB10" localSheetId="8" hidden="1">'WACC Analysis'!$BF$10:$BF$74</definedName>
    <definedName name="IQRWACCAnalysisCB10" hidden="1">#REF!</definedName>
    <definedName name="IQRWACCAnalysisCC10" localSheetId="6" hidden="1">#REF!</definedName>
    <definedName name="IQRWACCAnalysisCC10" localSheetId="2" hidden="1">#REF!</definedName>
    <definedName name="IQRWACCAnalysisCC10" localSheetId="3" hidden="1">#REF!</definedName>
    <definedName name="IQRWACCAnalysisCC10" localSheetId="9" hidden="1">#REF!</definedName>
    <definedName name="IQRWACCAnalysisCC10" localSheetId="5" hidden="1">#REF!</definedName>
    <definedName name="IQRWACCAnalysisCC10" localSheetId="11" hidden="1">#REF!</definedName>
    <definedName name="IQRWACCAnalysisCC10" localSheetId="8" hidden="1">'WACC Analysis'!$BF$10:$BF$74</definedName>
    <definedName name="IQRWACCAnalysisCC10" hidden="1">#REF!</definedName>
    <definedName name="IQRWACCAnalysisCD10" localSheetId="6" hidden="1">#REF!</definedName>
    <definedName name="IQRWACCAnalysisCD10" localSheetId="2" hidden="1">#REF!</definedName>
    <definedName name="IQRWACCAnalysisCD10" localSheetId="3" hidden="1">#REF!</definedName>
    <definedName name="IQRWACCAnalysisCD10" localSheetId="9" hidden="1">#REF!</definedName>
    <definedName name="IQRWACCAnalysisCD10" localSheetId="5" hidden="1">#REF!</definedName>
    <definedName name="IQRWACCAnalysisCD10" localSheetId="11" hidden="1">#REF!</definedName>
    <definedName name="IQRWACCAnalysisCD10" localSheetId="8" hidden="1">'WACC Analysis'!$BF$10:$BF$74</definedName>
    <definedName name="IQRWACCAnalysisCD10" hidden="1">#REF!</definedName>
    <definedName name="IQRWACCAnalysisformulas2BF10" localSheetId="8" hidden="1">'WACC Analysis'!$AX$10:$AX$47</definedName>
    <definedName name="IQRWACCAnalysisformulas2BF10" hidden="1">#REF!</definedName>
    <definedName name="IQRWACCAnalysisformulas2BN10" localSheetId="8" hidden="1">'WACC Analysis'!$BF$10:$BF$48</definedName>
    <definedName name="IQRWACCAnalysisformulas2BN10" hidden="1">#REF!</definedName>
    <definedName name="IQRWACCAnalysisformulasBF10" localSheetId="6" hidden="1">#REF!</definedName>
    <definedName name="IQRWACCAnalysisformulasBF10" localSheetId="2" hidden="1">#REF!</definedName>
    <definedName name="IQRWACCAnalysisformulasBF10" localSheetId="3" hidden="1">#REF!</definedName>
    <definedName name="IQRWACCAnalysisformulasBF10" localSheetId="9" hidden="1">#REF!</definedName>
    <definedName name="IQRWACCAnalysisformulasBF10" localSheetId="5" hidden="1">#REF!</definedName>
    <definedName name="IQRWACCAnalysisformulasBF10" localSheetId="11" hidden="1">#REF!</definedName>
    <definedName name="IQRWACCAnalysisformulasBF10" localSheetId="8" hidden="1">#REF!</definedName>
    <definedName name="IQRWACCAnalysisformulasBF10" hidden="1">#REF!</definedName>
    <definedName name="IQRWACCAnalysisformulasBN10" localSheetId="6" hidden="1">#REF!</definedName>
    <definedName name="IQRWACCAnalysisformulasBN10" localSheetId="2" hidden="1">#REF!</definedName>
    <definedName name="IQRWACCAnalysisformulasBN10" localSheetId="3" hidden="1">#REF!</definedName>
    <definedName name="IQRWACCAnalysisformulasBN10" localSheetId="9" hidden="1">#REF!</definedName>
    <definedName name="IQRWACCAnalysisformulasBN10" localSheetId="5" hidden="1">#REF!</definedName>
    <definedName name="IQRWACCAnalysisformulasBN10" localSheetId="11" hidden="1">#REF!</definedName>
    <definedName name="IQRWACCAnalysisformulasBN10" localSheetId="8" hidden="1">#REF!</definedName>
    <definedName name="IQRWACCAnalysisformulasBN10" hidden="1">#REF!</definedName>
    <definedName name="IQRWACCAnalysishardcodeBF10" localSheetId="8" hidden="1">'WACC Analysis'!$AX$10:$AX$47</definedName>
    <definedName name="IQRWACCAnalysishardcodeBF10" hidden="1">#REF!</definedName>
    <definedName name="IQRWACCAnalysishardcodeBN10" localSheetId="8" hidden="1">'WACC Analysis'!$BF$10:$BF$48</definedName>
    <definedName name="IQRWACCAnalysishardcodeBN10" hidden="1">#REF!</definedName>
    <definedName name="IQRWACCformulasBF10" localSheetId="6" hidden="1">#REF!</definedName>
    <definedName name="IQRWACCformulasBF10" localSheetId="2" hidden="1">#REF!</definedName>
    <definedName name="IQRWACCformulasBF10" localSheetId="3" hidden="1">#REF!</definedName>
    <definedName name="IQRWACCformulasBF10" localSheetId="9" hidden="1">#REF!</definedName>
    <definedName name="IQRWACCformulasBF10" localSheetId="5" hidden="1">#REF!</definedName>
    <definedName name="IQRWACCformulasBF10" localSheetId="11" hidden="1">#REF!</definedName>
    <definedName name="IQRWACCformulasBF10" localSheetId="8" hidden="1">#REF!</definedName>
    <definedName name="IQRWACCformulasBF10" hidden="1">#REF!</definedName>
    <definedName name="IQRWACCformulasBN10" localSheetId="6" hidden="1">#REF!</definedName>
    <definedName name="IQRWACCformulasBN10" localSheetId="2" hidden="1">#REF!</definedName>
    <definedName name="IQRWACCformulasBN10" localSheetId="3" hidden="1">#REF!</definedName>
    <definedName name="IQRWACCformulasBN10" localSheetId="9" hidden="1">#REF!</definedName>
    <definedName name="IQRWACCformulasBN10" localSheetId="5" hidden="1">#REF!</definedName>
    <definedName name="IQRWACCformulasBN10" localSheetId="11" hidden="1">#REF!</definedName>
    <definedName name="IQRWACCformulasBN10" localSheetId="8" hidden="1">#REF!</definedName>
    <definedName name="IQRWACCformulasBN10" hidden="1">#REF!</definedName>
    <definedName name="IQRWACChardcodeBF10" localSheetId="8" hidden="1">'WACC Analysis'!$AX$10:$AX$47</definedName>
    <definedName name="IQRWACChardcodeBF10" hidden="1">#REF!</definedName>
    <definedName name="IQRWACChardcodeBF9" localSheetId="8" hidden="1">'WACC Analysis'!$AX$10:$AX$47</definedName>
    <definedName name="IQRWACChardcodeBF9" hidden="1">#REF!</definedName>
    <definedName name="IQRWACChardcodeBN10" localSheetId="8" hidden="1">'WACC Analysis'!$BF$10:$BF$48</definedName>
    <definedName name="IQRWACChardcodeBN10" hidden="1">#REF!</definedName>
    <definedName name="IQRWACChardcodeBN9" localSheetId="8" hidden="1">'WACC Analysis'!$BF$10:$BF$48</definedName>
    <definedName name="IQRWACChardcodeBN9" hidden="1">#REF!</definedName>
    <definedName name="ListOffset" hidden="1">1</definedName>
    <definedName name="o" localSheetId="6" hidden="1">{#N/A,#N/A,FALSE,"New Depr Sch-150% DB";#N/A,#N/A,FALSE,"Cash Flows RLP";#N/A,#N/A,FALSE,"IRR";#N/A,#N/A,FALSE,"Proforma IS";#N/A,#N/A,FALSE,"Assumptions"}</definedName>
    <definedName name="o" localSheetId="2" hidden="1">{#N/A,#N/A,FALSE,"New Depr Sch-150% DB";#N/A,#N/A,FALSE,"Cash Flows RLP";#N/A,#N/A,FALSE,"IRR";#N/A,#N/A,FALSE,"Proforma IS";#N/A,#N/A,FALSE,"Assumptions"}</definedName>
    <definedName name="o" localSheetId="3" hidden="1">{#N/A,#N/A,FALSE,"New Depr Sch-150% DB";#N/A,#N/A,FALSE,"Cash Flows RLP";#N/A,#N/A,FALSE,"IRR";#N/A,#N/A,FALSE,"Proforma IS";#N/A,#N/A,FALSE,"Assumptions"}</definedName>
    <definedName name="o" localSheetId="9" hidden="1">{#N/A,#N/A,FALSE,"New Depr Sch-150% DB";#N/A,#N/A,FALSE,"Cash Flows RLP";#N/A,#N/A,FALSE,"IRR";#N/A,#N/A,FALSE,"Proforma IS";#N/A,#N/A,FALSE,"Assumptions"}</definedName>
    <definedName name="o" localSheetId="11" hidden="1">{#N/A,#N/A,FALSE,"New Depr Sch-150% DB";#N/A,#N/A,FALSE,"Cash Flows RLP";#N/A,#N/A,FALSE,"IRR";#N/A,#N/A,FALSE,"Proforma IS";#N/A,#N/A,FALSE,"Assumptions"}</definedName>
    <definedName name="o" localSheetId="8" hidden="1">{#N/A,#N/A,FALSE,"New Depr Sch-150% DB";#N/A,#N/A,FALSE,"Cash Flows RLP";#N/A,#N/A,FALSE,"IRR";#N/A,#N/A,FALSE,"Proforma IS";#N/A,#N/A,FALSE,"Assumptions"}</definedName>
    <definedName name="o" hidden="1">{#N/A,#N/A,FALSE,"New Depr Sch-150% DB";#N/A,#N/A,FALSE,"Cash Flows RLP";#N/A,#N/A,FALSE,"IRR";#N/A,#N/A,FALSE,"Proforma IS";#N/A,#N/A,FALSE,"Assumptions"}</definedName>
    <definedName name="wrn.Basic._.Report." localSheetId="6" hidden="1">{#N/A,#N/A,FALSE,"New Depr Sch-150% DB";#N/A,#N/A,FALSE,"Cash Flows RLP";#N/A,#N/A,FALSE,"IRR";#N/A,#N/A,FALSE,"Proforma IS";#N/A,#N/A,FALSE,"Assumptions"}</definedName>
    <definedName name="wrn.Basic._.Report." localSheetId="2" hidden="1">{#N/A,#N/A,FALSE,"New Depr Sch-150% DB";#N/A,#N/A,FALSE,"Cash Flows RLP";#N/A,#N/A,FALSE,"IRR";#N/A,#N/A,FALSE,"Proforma IS";#N/A,#N/A,FALSE,"Assumptions"}</definedName>
    <definedName name="wrn.Basic._.Report." localSheetId="3" hidden="1">{#N/A,#N/A,FALSE,"New Depr Sch-150% DB";#N/A,#N/A,FALSE,"Cash Flows RLP";#N/A,#N/A,FALSE,"IRR";#N/A,#N/A,FALSE,"Proforma IS";#N/A,#N/A,FALSE,"Assumptions"}</definedName>
    <definedName name="wrn.Basic._.Report." localSheetId="9" hidden="1">{#N/A,#N/A,FALSE,"New Depr Sch-150% DB";#N/A,#N/A,FALSE,"Cash Flows RLP";#N/A,#N/A,FALSE,"IRR";#N/A,#N/A,FALSE,"Proforma IS";#N/A,#N/A,FALSE,"Assumptions"}</definedName>
    <definedName name="wrn.Basic._.Report." localSheetId="11" hidden="1">{#N/A,#N/A,FALSE,"New Depr Sch-150% DB";#N/A,#N/A,FALSE,"Cash Flows RLP";#N/A,#N/A,FALSE,"IRR";#N/A,#N/A,FALSE,"Proforma IS";#N/A,#N/A,FALSE,"Assumptions"}</definedName>
    <definedName name="wrn.Basic._.Report." localSheetId="8" hidden="1">{#N/A,#N/A,FALSE,"New Depr Sch-150% DB";#N/A,#N/A,FALSE,"Cash Flows RLP";#N/A,#N/A,FALSE,"IRR";#N/A,#N/A,FALSE,"Proforma IS";#N/A,#N/A,FALSE,"Assumptions"}</definedName>
    <definedName name="wrn.Basic._.Report." hidden="1">{#N/A,#N/A,FALSE,"New Depr Sch-150% DB";#N/A,#N/A,FALSE,"Cash Flows RLP";#N/A,#N/A,FALSE,"IRR";#N/A,#N/A,FALSE,"Proforma IS";#N/A,#N/A,FALSE,"Assumptions"}</definedName>
    <definedName name="wrn.clientcopy." localSheetId="6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9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1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8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localSheetId="6" hidden="1">{#N/A,#N/A,FALSE,"Assumptions";#N/A,#N/A,FALSE,"Proforma IS";#N/A,#N/A,FALSE,"Cash Flows RLP";#N/A,#N/A,FALSE,"IRR";#N/A,#N/A,FALSE,"New Depr Sch-150% DB";#N/A,#N/A,FALSE,"Comments"}</definedName>
    <definedName name="wrn.Complete._.Report." localSheetId="2" hidden="1">{#N/A,#N/A,FALSE,"Assumptions";#N/A,#N/A,FALSE,"Proforma IS";#N/A,#N/A,FALSE,"Cash Flows RLP";#N/A,#N/A,FALSE,"IRR";#N/A,#N/A,FALSE,"New Depr Sch-150% DB";#N/A,#N/A,FALSE,"Comments"}</definedName>
    <definedName name="wrn.Complete._.Report." localSheetId="3" hidden="1">{#N/A,#N/A,FALSE,"Assumptions";#N/A,#N/A,FALSE,"Proforma IS";#N/A,#N/A,FALSE,"Cash Flows RLP";#N/A,#N/A,FALSE,"IRR";#N/A,#N/A,FALSE,"New Depr Sch-150% DB";#N/A,#N/A,FALSE,"Comments"}</definedName>
    <definedName name="wrn.Complete._.Report." localSheetId="9" hidden="1">{#N/A,#N/A,FALSE,"Assumptions";#N/A,#N/A,FALSE,"Proforma IS";#N/A,#N/A,FALSE,"Cash Flows RLP";#N/A,#N/A,FALSE,"IRR";#N/A,#N/A,FALSE,"New Depr Sch-150% DB";#N/A,#N/A,FALSE,"Comments"}</definedName>
    <definedName name="wrn.Complete._.Report." localSheetId="11" hidden="1">{#N/A,#N/A,FALSE,"Assumptions";#N/A,#N/A,FALSE,"Proforma IS";#N/A,#N/A,FALSE,"Cash Flows RLP";#N/A,#N/A,FALSE,"IRR";#N/A,#N/A,FALSE,"New Depr Sch-150% DB";#N/A,#N/A,FALSE,"Comments"}</definedName>
    <definedName name="wrn.Complete._.Report." localSheetId="8" hidden="1">{#N/A,#N/A,FALSE,"Assumptions";#N/A,#N/A,FALSE,"Proforma IS";#N/A,#N/A,FALSE,"Cash Flows RLP";#N/A,#N/A,FALSE,"IRR";#N/A,#N/A,FALSE,"New Depr Sch-150% DB";#N/A,#N/A,FALSE,"Comments"}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filecopy." localSheetId="6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9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1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8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 localSheetId="6" hidden="1">{#N/A,#N/A,FALSE,"Japan 2003";#N/A,#N/A,FALSE,"Sheet2"}</definedName>
    <definedName name="wrn.print." localSheetId="2" hidden="1">{#N/A,#N/A,FALSE,"Japan 2003";#N/A,#N/A,FALSE,"Sheet2"}</definedName>
    <definedName name="wrn.print." localSheetId="3" hidden="1">{#N/A,#N/A,FALSE,"Japan 2003";#N/A,#N/A,FALSE,"Sheet2"}</definedName>
    <definedName name="wrn.print." localSheetId="9" hidden="1">{#N/A,#N/A,FALSE,"Japan 2003";#N/A,#N/A,FALSE,"Sheet2"}</definedName>
    <definedName name="wrn.print." localSheetId="11" hidden="1">{#N/A,#N/A,FALSE,"Japan 2003";#N/A,#N/A,FALSE,"Sheet2"}</definedName>
    <definedName name="wrn.print." localSheetId="8" hidden="1">{#N/A,#N/A,FALSE,"Japan 2003";#N/A,#N/A,FALSE,"Sheet2"}</definedName>
    <definedName name="wrn.print." hidden="1">{#N/A,#N/A,FALSE,"Japan 2003";#N/A,#N/A,FALSE,"Sheet2"}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9" i="13" l="1"/>
  <c r="H42" i="13"/>
  <c r="H35" i="13"/>
  <c r="H36" i="13"/>
  <c r="A4" i="13" l="1"/>
  <c r="Y17" i="21" l="1"/>
  <c r="Y16" i="21"/>
  <c r="Y15" i="21"/>
  <c r="Y14" i="21"/>
  <c r="W15" i="21"/>
  <c r="W16" i="21"/>
  <c r="W17" i="21"/>
  <c r="W14" i="21"/>
  <c r="S5" i="24"/>
  <c r="X5" i="24"/>
  <c r="S6" i="24"/>
  <c r="Q10" i="21" s="1"/>
  <c r="X18" i="21" s="1"/>
  <c r="Y18" i="21" s="1"/>
  <c r="X6" i="24"/>
  <c r="C1269" i="24"/>
  <c r="D1269" i="24" s="1"/>
  <c r="E1269" i="24" s="1"/>
  <c r="C6" i="19"/>
  <c r="D6" i="19" s="1"/>
  <c r="E6" i="19" s="1"/>
  <c r="F6" i="19" s="1"/>
  <c r="G6" i="19" s="1"/>
  <c r="H6" i="19" s="1"/>
  <c r="I6" i="19" s="1"/>
  <c r="C7" i="19"/>
  <c r="B8" i="19"/>
  <c r="N13" i="19"/>
  <c r="N14" i="19"/>
  <c r="N15" i="19"/>
  <c r="H27" i="17" s="1"/>
  <c r="N16" i="19"/>
  <c r="H55" i="17" s="1"/>
  <c r="N17" i="19"/>
  <c r="H49" i="17" s="1"/>
  <c r="N18" i="19"/>
  <c r="H37" i="17" s="1"/>
  <c r="B19" i="19"/>
  <c r="C19" i="19"/>
  <c r="D19" i="19"/>
  <c r="E19" i="19"/>
  <c r="F19" i="19"/>
  <c r="G19" i="19"/>
  <c r="H19" i="19"/>
  <c r="I19" i="19"/>
  <c r="J19" i="19"/>
  <c r="K19" i="19"/>
  <c r="L19" i="19"/>
  <c r="N23" i="19"/>
  <c r="N24" i="19"/>
  <c r="B25" i="19"/>
  <c r="C25" i="19"/>
  <c r="D25" i="19"/>
  <c r="E25" i="19"/>
  <c r="F25" i="19"/>
  <c r="G25" i="19"/>
  <c r="H25" i="19"/>
  <c r="I25" i="19"/>
  <c r="J25" i="19"/>
  <c r="K25" i="19"/>
  <c r="L25" i="19"/>
  <c r="N27" i="19"/>
  <c r="N28" i="19"/>
  <c r="N29" i="19"/>
  <c r="N30" i="19"/>
  <c r="N31" i="19"/>
  <c r="N32" i="19"/>
  <c r="B33" i="19"/>
  <c r="C33" i="19"/>
  <c r="D33" i="19"/>
  <c r="E33" i="19"/>
  <c r="F33" i="19"/>
  <c r="G33" i="19"/>
  <c r="H33" i="19"/>
  <c r="I33" i="19"/>
  <c r="J33" i="19"/>
  <c r="K33" i="19"/>
  <c r="L33" i="19"/>
  <c r="N35" i="19"/>
  <c r="N36" i="19"/>
  <c r="N37" i="19"/>
  <c r="B38" i="19"/>
  <c r="C38" i="19"/>
  <c r="D38" i="19"/>
  <c r="E38" i="19"/>
  <c r="F38" i="19"/>
  <c r="G38" i="19"/>
  <c r="H38" i="19"/>
  <c r="I38" i="19"/>
  <c r="J38" i="19"/>
  <c r="K38" i="19"/>
  <c r="L38" i="19"/>
  <c r="N40" i="19"/>
  <c r="N41" i="19"/>
  <c r="N53" i="19"/>
  <c r="N54" i="19"/>
  <c r="N55" i="19"/>
  <c r="N56" i="19"/>
  <c r="B57" i="19"/>
  <c r="B61" i="19" s="1"/>
  <c r="C57" i="19"/>
  <c r="C61" i="19" s="1"/>
  <c r="D57" i="19"/>
  <c r="D61" i="19" s="1"/>
  <c r="E57" i="19"/>
  <c r="E61" i="19" s="1"/>
  <c r="F57" i="19"/>
  <c r="F61" i="19" s="1"/>
  <c r="G57" i="19"/>
  <c r="G61" i="19" s="1"/>
  <c r="H57" i="19"/>
  <c r="H61" i="19" s="1"/>
  <c r="I57" i="19"/>
  <c r="I61" i="19" s="1"/>
  <c r="J57" i="19"/>
  <c r="J61" i="19" s="1"/>
  <c r="K57" i="19"/>
  <c r="K61" i="19" s="1"/>
  <c r="L57" i="19"/>
  <c r="L61" i="19" s="1"/>
  <c r="N58" i="19"/>
  <c r="N59" i="19"/>
  <c r="N60" i="19"/>
  <c r="N65" i="19"/>
  <c r="N66" i="19"/>
  <c r="N67" i="19"/>
  <c r="B68" i="19"/>
  <c r="B71" i="19" s="1"/>
  <c r="C68" i="19"/>
  <c r="C71" i="19" s="1"/>
  <c r="D68" i="19"/>
  <c r="D71" i="19" s="1"/>
  <c r="E68" i="19"/>
  <c r="E71" i="19" s="1"/>
  <c r="F68" i="19"/>
  <c r="F71" i="19" s="1"/>
  <c r="G68" i="19"/>
  <c r="G71" i="19" s="1"/>
  <c r="H68" i="19"/>
  <c r="H71" i="19" s="1"/>
  <c r="I68" i="19"/>
  <c r="I71" i="19" s="1"/>
  <c r="J68" i="19"/>
  <c r="J71" i="19" s="1"/>
  <c r="K68" i="19"/>
  <c r="K71" i="19" s="1"/>
  <c r="L68" i="19"/>
  <c r="L71" i="19" s="1"/>
  <c r="N69" i="19"/>
  <c r="N70" i="19"/>
  <c r="N73" i="19"/>
  <c r="N74" i="19"/>
  <c r="N75" i="19"/>
  <c r="N76" i="19"/>
  <c r="N77" i="19"/>
  <c r="B78" i="19"/>
  <c r="C78" i="19"/>
  <c r="D78" i="19"/>
  <c r="E78" i="19"/>
  <c r="F78" i="19"/>
  <c r="G78" i="19"/>
  <c r="H78" i="19"/>
  <c r="I78" i="19"/>
  <c r="J78" i="19"/>
  <c r="K78" i="19"/>
  <c r="L78" i="19"/>
  <c r="N85" i="19"/>
  <c r="N90" i="19"/>
  <c r="N91" i="19"/>
  <c r="N92" i="19"/>
  <c r="N94" i="19"/>
  <c r="N95" i="19"/>
  <c r="N96" i="19"/>
  <c r="N97" i="19"/>
  <c r="N98" i="19"/>
  <c r="N102" i="19"/>
  <c r="N103" i="19"/>
  <c r="N104" i="19"/>
  <c r="N105" i="19"/>
  <c r="B106" i="19"/>
  <c r="C106" i="19"/>
  <c r="D106" i="19"/>
  <c r="E106" i="19"/>
  <c r="F106" i="19"/>
  <c r="G106" i="19"/>
  <c r="H106" i="19"/>
  <c r="I106" i="19"/>
  <c r="J106" i="19"/>
  <c r="K106" i="19"/>
  <c r="L106" i="19"/>
  <c r="B109" i="19"/>
  <c r="B114" i="19" s="1"/>
  <c r="D109" i="19"/>
  <c r="D114" i="19" s="1"/>
  <c r="N109" i="19"/>
  <c r="N110" i="19"/>
  <c r="N111" i="19"/>
  <c r="N112" i="19"/>
  <c r="N113" i="19"/>
  <c r="C114" i="19"/>
  <c r="E114" i="19"/>
  <c r="F114" i="19"/>
  <c r="G114" i="19"/>
  <c r="H114" i="19"/>
  <c r="I114" i="19"/>
  <c r="J114" i="19"/>
  <c r="K114" i="19"/>
  <c r="L114" i="19"/>
  <c r="N116" i="19"/>
  <c r="N122" i="19"/>
  <c r="N123" i="19"/>
  <c r="N124" i="19"/>
  <c r="N125" i="19"/>
  <c r="N126" i="19"/>
  <c r="B129" i="19"/>
  <c r="C129" i="19"/>
  <c r="D129" i="19"/>
  <c r="E129" i="19"/>
  <c r="F129" i="19"/>
  <c r="G129" i="19"/>
  <c r="H129" i="19"/>
  <c r="I129" i="19"/>
  <c r="J129" i="19"/>
  <c r="K129" i="19"/>
  <c r="L129" i="19"/>
  <c r="N129" i="19" s="1"/>
  <c r="B130" i="19"/>
  <c r="C130" i="19"/>
  <c r="D130" i="19"/>
  <c r="E130" i="19"/>
  <c r="F130" i="19"/>
  <c r="G130" i="19"/>
  <c r="H130" i="19"/>
  <c r="I130" i="19"/>
  <c r="J130" i="19"/>
  <c r="K130" i="19"/>
  <c r="L130" i="19"/>
  <c r="N130" i="19" s="1"/>
  <c r="H1" i="13"/>
  <c r="AH34" i="13" s="1"/>
  <c r="AH35" i="13" s="1"/>
  <c r="AP7" i="13"/>
  <c r="AQ7" i="13"/>
  <c r="Q9" i="13"/>
  <c r="R9" i="13"/>
  <c r="A10" i="13"/>
  <c r="Q10" i="13"/>
  <c r="R10" i="13"/>
  <c r="T10" i="13"/>
  <c r="T11" i="13" s="1"/>
  <c r="T12" i="13" s="1"/>
  <c r="T13" i="13" s="1"/>
  <c r="T14" i="13" s="1"/>
  <c r="Q11" i="13"/>
  <c r="R11" i="13"/>
  <c r="BA11" i="13"/>
  <c r="BA12" i="13" s="1"/>
  <c r="BA13" i="13" s="1"/>
  <c r="BA14" i="13" s="1"/>
  <c r="BE11" i="13"/>
  <c r="BE12" i="13" s="1"/>
  <c r="BE13" i="13" s="1"/>
  <c r="BE14" i="13" s="1"/>
  <c r="BE15" i="13" s="1"/>
  <c r="BE16" i="13" s="1"/>
  <c r="BE17" i="13" s="1"/>
  <c r="BE18" i="13" s="1"/>
  <c r="BE19" i="13" s="1"/>
  <c r="BE20" i="13" s="1"/>
  <c r="BE21" i="13" s="1"/>
  <c r="BE22" i="13" s="1"/>
  <c r="BE23" i="13" s="1"/>
  <c r="BE24" i="13" s="1"/>
  <c r="BE25" i="13" s="1"/>
  <c r="BE26" i="13" s="1"/>
  <c r="BE27" i="13" s="1"/>
  <c r="BE28" i="13" s="1"/>
  <c r="BE29" i="13" s="1"/>
  <c r="BE30" i="13" s="1"/>
  <c r="BE31" i="13" s="1"/>
  <c r="BE32" i="13" s="1"/>
  <c r="BE33" i="13" s="1"/>
  <c r="BE34" i="13" s="1"/>
  <c r="BE35" i="13" s="1"/>
  <c r="BE36" i="13" s="1"/>
  <c r="BE37" i="13" s="1"/>
  <c r="BE38" i="13" s="1"/>
  <c r="BE39" i="13" s="1"/>
  <c r="BE40" i="13" s="1"/>
  <c r="BE41" i="13" s="1"/>
  <c r="BE42" i="13" s="1"/>
  <c r="BE43" i="13" s="1"/>
  <c r="BE44" i="13" s="1"/>
  <c r="BE45" i="13" s="1"/>
  <c r="BE46" i="13" s="1"/>
  <c r="BE47" i="13" s="1"/>
  <c r="BE48" i="13" s="1"/>
  <c r="BE49" i="13" s="1"/>
  <c r="BE50" i="13" s="1"/>
  <c r="BE51" i="13" s="1"/>
  <c r="BE52" i="13" s="1"/>
  <c r="BE53" i="13" s="1"/>
  <c r="BE54" i="13" s="1"/>
  <c r="BE55" i="13" s="1"/>
  <c r="BE56" i="13" s="1"/>
  <c r="BE57" i="13" s="1"/>
  <c r="BE58" i="13" s="1"/>
  <c r="BE59" i="13" s="1"/>
  <c r="BE60" i="13" s="1"/>
  <c r="BE61" i="13" s="1"/>
  <c r="BE62" i="13" s="1"/>
  <c r="BE63" i="13" s="1"/>
  <c r="BE64" i="13" s="1"/>
  <c r="BE65" i="13" s="1"/>
  <c r="BE66" i="13" s="1"/>
  <c r="BE67" i="13" s="1"/>
  <c r="BE68" i="13" s="1"/>
  <c r="BE69" i="13" s="1"/>
  <c r="BE70" i="13" s="1"/>
  <c r="BE71" i="13" s="1"/>
  <c r="BE72" i="13" s="1"/>
  <c r="BE73" i="13" s="1"/>
  <c r="BE74" i="13" s="1"/>
  <c r="BE75" i="13" s="1"/>
  <c r="BE76" i="13" s="1"/>
  <c r="BE77" i="13" s="1"/>
  <c r="BE78" i="13" s="1"/>
  <c r="BE79" i="13" s="1"/>
  <c r="BE80" i="13" s="1"/>
  <c r="BE81" i="13" s="1"/>
  <c r="BE82" i="13" s="1"/>
  <c r="BE83" i="13" s="1"/>
  <c r="BE84" i="13" s="1"/>
  <c r="BE85" i="13" s="1"/>
  <c r="BE86" i="13" s="1"/>
  <c r="BE87" i="13" s="1"/>
  <c r="BE88" i="13" s="1"/>
  <c r="BE89" i="13" s="1"/>
  <c r="BE90" i="13" s="1"/>
  <c r="BE91" i="13" s="1"/>
  <c r="BE92" i="13" s="1"/>
  <c r="BE93" i="13" s="1"/>
  <c r="BE94" i="13" s="1"/>
  <c r="BE95" i="13" s="1"/>
  <c r="BE96" i="13" s="1"/>
  <c r="BE97" i="13" s="1"/>
  <c r="BE98" i="13" s="1"/>
  <c r="BE99" i="13" s="1"/>
  <c r="BE100" i="13" s="1"/>
  <c r="BE101" i="13" s="1"/>
  <c r="BE102" i="13" s="1"/>
  <c r="BE103" i="13" s="1"/>
  <c r="BE104" i="13" s="1"/>
  <c r="BE105" i="13" s="1"/>
  <c r="BE106" i="13" s="1"/>
  <c r="BE107" i="13" s="1"/>
  <c r="BE108" i="13" s="1"/>
  <c r="BE109" i="13" s="1"/>
  <c r="BE110" i="13" s="1"/>
  <c r="BE111" i="13" s="1"/>
  <c r="BE112" i="13" s="1"/>
  <c r="BE113" i="13" s="1"/>
  <c r="BE114" i="13" s="1"/>
  <c r="BE115" i="13" s="1"/>
  <c r="BE116" i="13" s="1"/>
  <c r="BE117" i="13" s="1"/>
  <c r="BE118" i="13" s="1"/>
  <c r="BE119" i="13" s="1"/>
  <c r="BE120" i="13" s="1"/>
  <c r="BE121" i="13" s="1"/>
  <c r="BE122" i="13" s="1"/>
  <c r="BE123" i="13" s="1"/>
  <c r="BE124" i="13" s="1"/>
  <c r="BE125" i="13" s="1"/>
  <c r="BE126" i="13" s="1"/>
  <c r="BE127" i="13" s="1"/>
  <c r="BE128" i="13" s="1"/>
  <c r="BE129" i="13" s="1"/>
  <c r="BE130" i="13" s="1"/>
  <c r="BE131" i="13" s="1"/>
  <c r="BE132" i="13" s="1"/>
  <c r="BE133" i="13" s="1"/>
  <c r="BE134" i="13" s="1"/>
  <c r="BE135" i="13" s="1"/>
  <c r="BE136" i="13" s="1"/>
  <c r="BE137" i="13" s="1"/>
  <c r="BE138" i="13" s="1"/>
  <c r="BE139" i="13" s="1"/>
  <c r="BE140" i="13" s="1"/>
  <c r="BE141" i="13" s="1"/>
  <c r="BE142" i="13" s="1"/>
  <c r="BE143" i="13" s="1"/>
  <c r="BE144" i="13" s="1"/>
  <c r="BE145" i="13" s="1"/>
  <c r="BE146" i="13" s="1"/>
  <c r="BE147" i="13" s="1"/>
  <c r="BE148" i="13" s="1"/>
  <c r="BE149" i="13" s="1"/>
  <c r="BE150" i="13" s="1"/>
  <c r="BE151" i="13" s="1"/>
  <c r="BE152" i="13" s="1"/>
  <c r="BE153" i="13" s="1"/>
  <c r="BE154" i="13" s="1"/>
  <c r="BE155" i="13" s="1"/>
  <c r="BE156" i="13" s="1"/>
  <c r="BE157" i="13" s="1"/>
  <c r="BE158" i="13" s="1"/>
  <c r="BE159" i="13" s="1"/>
  <c r="BE160" i="13" s="1"/>
  <c r="BE161" i="13" s="1"/>
  <c r="BE162" i="13" s="1"/>
  <c r="BE163" i="13" s="1"/>
  <c r="BE164" i="13" s="1"/>
  <c r="BE165" i="13" s="1"/>
  <c r="BE166" i="13" s="1"/>
  <c r="BE167" i="13" s="1"/>
  <c r="BE168" i="13" s="1"/>
  <c r="BE169" i="13" s="1"/>
  <c r="BE170" i="13" s="1"/>
  <c r="BE171" i="13" s="1"/>
  <c r="BE172" i="13" s="1"/>
  <c r="BE173" i="13" s="1"/>
  <c r="BE174" i="13" s="1"/>
  <c r="BE175" i="13" s="1"/>
  <c r="BE176" i="13" s="1"/>
  <c r="BE177" i="13" s="1"/>
  <c r="BE178" i="13" s="1"/>
  <c r="BE179" i="13" s="1"/>
  <c r="BE180" i="13" s="1"/>
  <c r="BE181" i="13" s="1"/>
  <c r="BE182" i="13" s="1"/>
  <c r="BE183" i="13" s="1"/>
  <c r="BE184" i="13" s="1"/>
  <c r="BE185" i="13" s="1"/>
  <c r="BE186" i="13" s="1"/>
  <c r="BE187" i="13" s="1"/>
  <c r="BE188" i="13" s="1"/>
  <c r="BE189" i="13" s="1"/>
  <c r="BE190" i="13" s="1"/>
  <c r="BE191" i="13" s="1"/>
  <c r="BE192" i="13" s="1"/>
  <c r="BE193" i="13" s="1"/>
  <c r="BE194" i="13" s="1"/>
  <c r="BE195" i="13" s="1"/>
  <c r="BE196" i="13" s="1"/>
  <c r="BE197" i="13" s="1"/>
  <c r="BE198" i="13" s="1"/>
  <c r="BE199" i="13" s="1"/>
  <c r="BE200" i="13" s="1"/>
  <c r="BE201" i="13" s="1"/>
  <c r="BE202" i="13" s="1"/>
  <c r="BE203" i="13" s="1"/>
  <c r="BE204" i="13" s="1"/>
  <c r="BE205" i="13" s="1"/>
  <c r="BE206" i="13" s="1"/>
  <c r="BE207" i="13" s="1"/>
  <c r="BE208" i="13" s="1"/>
  <c r="BE209" i="13" s="1"/>
  <c r="BE210" i="13" s="1"/>
  <c r="BE211" i="13" s="1"/>
  <c r="BE212" i="13" s="1"/>
  <c r="BE213" i="13" s="1"/>
  <c r="BE214" i="13" s="1"/>
  <c r="BE215" i="13" s="1"/>
  <c r="BE216" i="13" s="1"/>
  <c r="BE217" i="13" s="1"/>
  <c r="BE218" i="13" s="1"/>
  <c r="BE219" i="13" s="1"/>
  <c r="BE220" i="13" s="1"/>
  <c r="BE221" i="13" s="1"/>
  <c r="BE222" i="13" s="1"/>
  <c r="BE223" i="13" s="1"/>
  <c r="BE224" i="13" s="1"/>
  <c r="BE225" i="13" s="1"/>
  <c r="BE226" i="13" s="1"/>
  <c r="BE227" i="13" s="1"/>
  <c r="BE228" i="13" s="1"/>
  <c r="BE229" i="13" s="1"/>
  <c r="BE230" i="13" s="1"/>
  <c r="BE231" i="13" s="1"/>
  <c r="BE232" i="13" s="1"/>
  <c r="BE233" i="13" s="1"/>
  <c r="BE234" i="13" s="1"/>
  <c r="BE235" i="13" s="1"/>
  <c r="BE236" i="13" s="1"/>
  <c r="BE237" i="13" s="1"/>
  <c r="BE238" i="13" s="1"/>
  <c r="BE239" i="13" s="1"/>
  <c r="BE240" i="13" s="1"/>
  <c r="BE241" i="13" s="1"/>
  <c r="BE242" i="13" s="1"/>
  <c r="BE243" i="13" s="1"/>
  <c r="BE244" i="13" s="1"/>
  <c r="BE245" i="13" s="1"/>
  <c r="BE246" i="13" s="1"/>
  <c r="BE247" i="13" s="1"/>
  <c r="BE248" i="13" s="1"/>
  <c r="BE249" i="13" s="1"/>
  <c r="BE250" i="13" s="1"/>
  <c r="BE251" i="13" s="1"/>
  <c r="BE252" i="13" s="1"/>
  <c r="BE253" i="13" s="1"/>
  <c r="BE254" i="13" s="1"/>
  <c r="BE255" i="13" s="1"/>
  <c r="BE256" i="13" s="1"/>
  <c r="BE257" i="13" s="1"/>
  <c r="BE258" i="13" s="1"/>
  <c r="BE259" i="13" s="1"/>
  <c r="BE260" i="13" s="1"/>
  <c r="BE261" i="13" s="1"/>
  <c r="BE262" i="13" s="1"/>
  <c r="BE263" i="13" s="1"/>
  <c r="BE264" i="13" s="1"/>
  <c r="BE265" i="13" s="1"/>
  <c r="BE266" i="13" s="1"/>
  <c r="BE267" i="13" s="1"/>
  <c r="BE268" i="13" s="1"/>
  <c r="BE269" i="13" s="1"/>
  <c r="BE270" i="13" s="1"/>
  <c r="BE271" i="13" s="1"/>
  <c r="BE272" i="13" s="1"/>
  <c r="BE273" i="13" s="1"/>
  <c r="BE274" i="13" s="1"/>
  <c r="BE275" i="13" s="1"/>
  <c r="BE276" i="13" s="1"/>
  <c r="BE277" i="13" s="1"/>
  <c r="BE278" i="13" s="1"/>
  <c r="BE279" i="13" s="1"/>
  <c r="BE280" i="13" s="1"/>
  <c r="BE281" i="13" s="1"/>
  <c r="BE282" i="13" s="1"/>
  <c r="BE283" i="13" s="1"/>
  <c r="BE284" i="13" s="1"/>
  <c r="BE285" i="13" s="1"/>
  <c r="BE286" i="13" s="1"/>
  <c r="BE287" i="13" s="1"/>
  <c r="BE288" i="13" s="1"/>
  <c r="BE289" i="13" s="1"/>
  <c r="BE290" i="13" s="1"/>
  <c r="BE291" i="13" s="1"/>
  <c r="BE292" i="13" s="1"/>
  <c r="BE293" i="13" s="1"/>
  <c r="BE294" i="13" s="1"/>
  <c r="BE295" i="13" s="1"/>
  <c r="BE296" i="13" s="1"/>
  <c r="BE297" i="13" s="1"/>
  <c r="BE298" i="13" s="1"/>
  <c r="BE299" i="13" s="1"/>
  <c r="BE300" i="13" s="1"/>
  <c r="BE301" i="13" s="1"/>
  <c r="BE302" i="13" s="1"/>
  <c r="BE303" i="13" s="1"/>
  <c r="BE304" i="13" s="1"/>
  <c r="BE305" i="13" s="1"/>
  <c r="BE306" i="13" s="1"/>
  <c r="BE307" i="13" s="1"/>
  <c r="BE308" i="13" s="1"/>
  <c r="BE309" i="13" s="1"/>
  <c r="BE310" i="13" s="1"/>
  <c r="BE311" i="13" s="1"/>
  <c r="BE312" i="13" s="1"/>
  <c r="BE313" i="13" s="1"/>
  <c r="BE314" i="13" s="1"/>
  <c r="BE315" i="13" s="1"/>
  <c r="BE316" i="13" s="1"/>
  <c r="BE317" i="13" s="1"/>
  <c r="BE318" i="13" s="1"/>
  <c r="BE319" i="13" s="1"/>
  <c r="BE320" i="13" s="1"/>
  <c r="BE321" i="13" s="1"/>
  <c r="BE322" i="13" s="1"/>
  <c r="BE323" i="13" s="1"/>
  <c r="BE324" i="13" s="1"/>
  <c r="BE325" i="13" s="1"/>
  <c r="BE326" i="13" s="1"/>
  <c r="BE327" i="13" s="1"/>
  <c r="BE328" i="13" s="1"/>
  <c r="BE329" i="13" s="1"/>
  <c r="BE330" i="13" s="1"/>
  <c r="BE331" i="13" s="1"/>
  <c r="BE332" i="13" s="1"/>
  <c r="BE333" i="13" s="1"/>
  <c r="BE334" i="13" s="1"/>
  <c r="BE335" i="13" s="1"/>
  <c r="BE336" i="13" s="1"/>
  <c r="BE337" i="13" s="1"/>
  <c r="BE338" i="13" s="1"/>
  <c r="BE339" i="13" s="1"/>
  <c r="BE340" i="13" s="1"/>
  <c r="BE341" i="13" s="1"/>
  <c r="BE342" i="13" s="1"/>
  <c r="BE343" i="13" s="1"/>
  <c r="BE344" i="13" s="1"/>
  <c r="BE345" i="13" s="1"/>
  <c r="BE346" i="13" s="1"/>
  <c r="BE347" i="13" s="1"/>
  <c r="BE348" i="13" s="1"/>
  <c r="BE349" i="13" s="1"/>
  <c r="BE350" i="13" s="1"/>
  <c r="BE351" i="13" s="1"/>
  <c r="BE352" i="13" s="1"/>
  <c r="BE353" i="13" s="1"/>
  <c r="BE354" i="13" s="1"/>
  <c r="BE355" i="13" s="1"/>
  <c r="BE356" i="13" s="1"/>
  <c r="BE357" i="13" s="1"/>
  <c r="BE358" i="13" s="1"/>
  <c r="BE359" i="13" s="1"/>
  <c r="BE360" i="13" s="1"/>
  <c r="BE361" i="13" s="1"/>
  <c r="BE362" i="13" s="1"/>
  <c r="BE363" i="13" s="1"/>
  <c r="BE364" i="13" s="1"/>
  <c r="BE365" i="13" s="1"/>
  <c r="BE366" i="13" s="1"/>
  <c r="BE367" i="13" s="1"/>
  <c r="BE368" i="13" s="1"/>
  <c r="BE369" i="13" s="1"/>
  <c r="BE370" i="13" s="1"/>
  <c r="BE371" i="13" s="1"/>
  <c r="BE372" i="13" s="1"/>
  <c r="BE373" i="13" s="1"/>
  <c r="BE374" i="13" s="1"/>
  <c r="BE375" i="13" s="1"/>
  <c r="BE376" i="13" s="1"/>
  <c r="BE377" i="13" s="1"/>
  <c r="BE378" i="13" s="1"/>
  <c r="BE379" i="13" s="1"/>
  <c r="BE380" i="13" s="1"/>
  <c r="BE381" i="13" s="1"/>
  <c r="BE382" i="13" s="1"/>
  <c r="BE383" i="13" s="1"/>
  <c r="BE384" i="13" s="1"/>
  <c r="BE385" i="13" s="1"/>
  <c r="BE386" i="13" s="1"/>
  <c r="BE387" i="13" s="1"/>
  <c r="BE388" i="13" s="1"/>
  <c r="BE389" i="13" s="1"/>
  <c r="BE390" i="13" s="1"/>
  <c r="BE391" i="13" s="1"/>
  <c r="BE392" i="13" s="1"/>
  <c r="BE393" i="13" s="1"/>
  <c r="BE394" i="13" s="1"/>
  <c r="BE395" i="13" s="1"/>
  <c r="BE396" i="13" s="1"/>
  <c r="BE397" i="13" s="1"/>
  <c r="BE398" i="13" s="1"/>
  <c r="BE399" i="13" s="1"/>
  <c r="BE400" i="13" s="1"/>
  <c r="BE401" i="13" s="1"/>
  <c r="BE402" i="13" s="1"/>
  <c r="BE403" i="13" s="1"/>
  <c r="BE404" i="13" s="1"/>
  <c r="BE405" i="13" s="1"/>
  <c r="BE406" i="13" s="1"/>
  <c r="BE407" i="13" s="1"/>
  <c r="BE408" i="13" s="1"/>
  <c r="BE409" i="13" s="1"/>
  <c r="BE410" i="13" s="1"/>
  <c r="BE411" i="13" s="1"/>
  <c r="BE412" i="13" s="1"/>
  <c r="BE413" i="13" s="1"/>
  <c r="BE414" i="13" s="1"/>
  <c r="BE415" i="13" s="1"/>
  <c r="BE416" i="13" s="1"/>
  <c r="BE417" i="13" s="1"/>
  <c r="BE418" i="13" s="1"/>
  <c r="BE419" i="13" s="1"/>
  <c r="BE420" i="13" s="1"/>
  <c r="BE421" i="13" s="1"/>
  <c r="BE422" i="13" s="1"/>
  <c r="BE423" i="13" s="1"/>
  <c r="BE424" i="13" s="1"/>
  <c r="BE425" i="13" s="1"/>
  <c r="BE426" i="13" s="1"/>
  <c r="BE427" i="13" s="1"/>
  <c r="BE428" i="13" s="1"/>
  <c r="BE429" i="13" s="1"/>
  <c r="BE430" i="13" s="1"/>
  <c r="BE431" i="13" s="1"/>
  <c r="BE432" i="13" s="1"/>
  <c r="BE433" i="13" s="1"/>
  <c r="BE434" i="13" s="1"/>
  <c r="BE435" i="13" s="1"/>
  <c r="BE436" i="13" s="1"/>
  <c r="BE437" i="13" s="1"/>
  <c r="BE438" i="13" s="1"/>
  <c r="BE439" i="13" s="1"/>
  <c r="BE440" i="13" s="1"/>
  <c r="BE441" i="13" s="1"/>
  <c r="BE442" i="13" s="1"/>
  <c r="BE443" i="13" s="1"/>
  <c r="BE444" i="13" s="1"/>
  <c r="BE445" i="13" s="1"/>
  <c r="BE446" i="13" s="1"/>
  <c r="BE447" i="13" s="1"/>
  <c r="BE448" i="13" s="1"/>
  <c r="BE449" i="13" s="1"/>
  <c r="BE450" i="13" s="1"/>
  <c r="BE451" i="13" s="1"/>
  <c r="BE452" i="13" s="1"/>
  <c r="BE453" i="13" s="1"/>
  <c r="BE454" i="13" s="1"/>
  <c r="BE455" i="13" s="1"/>
  <c r="BE456" i="13" s="1"/>
  <c r="BE457" i="13" s="1"/>
  <c r="BE458" i="13" s="1"/>
  <c r="BE459" i="13" s="1"/>
  <c r="BE460" i="13" s="1"/>
  <c r="BE461" i="13" s="1"/>
  <c r="BE462" i="13" s="1"/>
  <c r="BE463" i="13" s="1"/>
  <c r="BE464" i="13" s="1"/>
  <c r="BE465" i="13" s="1"/>
  <c r="BE466" i="13" s="1"/>
  <c r="BE467" i="13" s="1"/>
  <c r="BE468" i="13" s="1"/>
  <c r="BE469" i="13" s="1"/>
  <c r="BE470" i="13" s="1"/>
  <c r="BE471" i="13" s="1"/>
  <c r="BE472" i="13" s="1"/>
  <c r="BE473" i="13" s="1"/>
  <c r="BE474" i="13" s="1"/>
  <c r="BE475" i="13" s="1"/>
  <c r="BE476" i="13" s="1"/>
  <c r="BE477" i="13" s="1"/>
  <c r="BE478" i="13" s="1"/>
  <c r="BE479" i="13" s="1"/>
  <c r="BE480" i="13" s="1"/>
  <c r="BE481" i="13" s="1"/>
  <c r="BE482" i="13" s="1"/>
  <c r="BE483" i="13" s="1"/>
  <c r="BE484" i="13" s="1"/>
  <c r="BE485" i="13" s="1"/>
  <c r="BE486" i="13" s="1"/>
  <c r="BE487" i="13" s="1"/>
  <c r="BE488" i="13" s="1"/>
  <c r="BE489" i="13" s="1"/>
  <c r="BE490" i="13" s="1"/>
  <c r="BE491" i="13" s="1"/>
  <c r="BE492" i="13" s="1"/>
  <c r="BE493" i="13" s="1"/>
  <c r="BE494" i="13" s="1"/>
  <c r="BE495" i="13" s="1"/>
  <c r="BE496" i="13" s="1"/>
  <c r="BE497" i="13" s="1"/>
  <c r="BE498" i="13" s="1"/>
  <c r="BE499" i="13" s="1"/>
  <c r="BE500" i="13" s="1"/>
  <c r="BE501" i="13" s="1"/>
  <c r="BE502" i="13" s="1"/>
  <c r="BE503" i="13" s="1"/>
  <c r="BE504" i="13" s="1"/>
  <c r="BE505" i="13" s="1"/>
  <c r="BE506" i="13" s="1"/>
  <c r="BE507" i="13" s="1"/>
  <c r="BE508" i="13" s="1"/>
  <c r="BE509" i="13" s="1"/>
  <c r="A12" i="13"/>
  <c r="H12" i="13"/>
  <c r="Q12" i="13"/>
  <c r="R12" i="13"/>
  <c r="AK12" i="13"/>
  <c r="AK13" i="13" s="1"/>
  <c r="AK14" i="13" s="1"/>
  <c r="AK15" i="13" s="1"/>
  <c r="AK16" i="13" s="1"/>
  <c r="AK17" i="13" s="1"/>
  <c r="AK18" i="13" s="1"/>
  <c r="AK19" i="13" s="1"/>
  <c r="AK20" i="13" s="1"/>
  <c r="AK21" i="13" s="1"/>
  <c r="AK22" i="13" s="1"/>
  <c r="AK23" i="13" s="1"/>
  <c r="AK24" i="13" s="1"/>
  <c r="AK25" i="13" s="1"/>
  <c r="AK26" i="13" s="1"/>
  <c r="AK27" i="13" s="1"/>
  <c r="AK28" i="13" s="1"/>
  <c r="AK29" i="13" s="1"/>
  <c r="A13" i="13"/>
  <c r="J19" i="13" s="1"/>
  <c r="H13" i="13"/>
  <c r="S19" i="13" s="1"/>
  <c r="Q13" i="13"/>
  <c r="R13" i="13"/>
  <c r="A14" i="13"/>
  <c r="J20" i="13" s="1"/>
  <c r="H14" i="13"/>
  <c r="S20" i="13" s="1"/>
  <c r="Q14" i="13"/>
  <c r="R14" i="13"/>
  <c r="A16" i="13"/>
  <c r="A39" i="13" s="1"/>
  <c r="M16" i="13"/>
  <c r="A18" i="13"/>
  <c r="A45" i="13" s="1"/>
  <c r="AB20" i="13"/>
  <c r="A52" i="13" s="1"/>
  <c r="J21" i="13"/>
  <c r="S21" i="13"/>
  <c r="AB21" i="13"/>
  <c r="J22" i="13"/>
  <c r="AH23" i="13"/>
  <c r="AI26" i="13"/>
  <c r="L28" i="13"/>
  <c r="M28" i="13" s="1"/>
  <c r="N28" i="13" s="1"/>
  <c r="O28" i="13" s="1"/>
  <c r="P28" i="13" s="1"/>
  <c r="Q28" i="13" s="1"/>
  <c r="R28" i="13" s="1"/>
  <c r="S28" i="13" s="1"/>
  <c r="H30" i="13"/>
  <c r="A31" i="13"/>
  <c r="J31" i="13"/>
  <c r="J30" i="13" s="1"/>
  <c r="J29" i="13" s="1"/>
  <c r="H33" i="13"/>
  <c r="J33" i="13"/>
  <c r="J34" i="13" s="1"/>
  <c r="J35" i="13" s="1"/>
  <c r="H34" i="13"/>
  <c r="A36" i="13"/>
  <c r="A40" i="13"/>
  <c r="H40" i="13"/>
  <c r="H41" i="13" s="1"/>
  <c r="N41" i="13"/>
  <c r="M41" i="13" s="1"/>
  <c r="L41" i="13" s="1"/>
  <c r="K41" i="13" s="1"/>
  <c r="P41" i="13"/>
  <c r="Q41" i="13" s="1"/>
  <c r="R41" i="13" s="1"/>
  <c r="S41" i="13" s="1"/>
  <c r="A42" i="13"/>
  <c r="J44" i="13"/>
  <c r="J43" i="13" s="1"/>
  <c r="J42" i="13" s="1"/>
  <c r="H45" i="13"/>
  <c r="A46" i="13"/>
  <c r="H46" i="13"/>
  <c r="J46" i="13"/>
  <c r="J47" i="13" s="1"/>
  <c r="J48" i="13" s="1"/>
  <c r="AY48" i="13"/>
  <c r="AZ48" i="13"/>
  <c r="AY49" i="13"/>
  <c r="AZ49" i="13"/>
  <c r="BG49" i="13"/>
  <c r="BH49" i="13"/>
  <c r="BJ49" i="13"/>
  <c r="BK49" i="13" s="1"/>
  <c r="AY50" i="13"/>
  <c r="AZ50" i="13"/>
  <c r="BG50" i="13"/>
  <c r="BH50" i="13"/>
  <c r="BJ50" i="13"/>
  <c r="BK50" i="13" s="1"/>
  <c r="AY51" i="13"/>
  <c r="AZ51" i="13"/>
  <c r="BG51" i="13"/>
  <c r="BH51" i="13"/>
  <c r="BJ51" i="13"/>
  <c r="BK51" i="13" s="1"/>
  <c r="AY52" i="13"/>
  <c r="AZ52" i="13"/>
  <c r="BG52" i="13"/>
  <c r="BH52" i="13"/>
  <c r="AY53" i="13"/>
  <c r="AZ53" i="13"/>
  <c r="BG53" i="13"/>
  <c r="BH53" i="13"/>
  <c r="BJ53" i="13"/>
  <c r="BK53" i="13" s="1"/>
  <c r="AY54" i="13"/>
  <c r="AZ54" i="13"/>
  <c r="BG54" i="13"/>
  <c r="BH54" i="13"/>
  <c r="BJ54" i="13"/>
  <c r="BK54" i="13" s="1"/>
  <c r="AY55" i="13"/>
  <c r="AZ55" i="13"/>
  <c r="BG55" i="13"/>
  <c r="BH55" i="13"/>
  <c r="BJ55" i="13"/>
  <c r="BK55" i="13" s="1"/>
  <c r="AY56" i="13"/>
  <c r="AZ56" i="13"/>
  <c r="BG56" i="13"/>
  <c r="BH56" i="13"/>
  <c r="BJ56" i="13"/>
  <c r="BK56" i="13" s="1"/>
  <c r="AY57" i="13"/>
  <c r="AZ57" i="13"/>
  <c r="BG57" i="13"/>
  <c r="BH57" i="13"/>
  <c r="BJ57" i="13"/>
  <c r="BK57" i="13" s="1"/>
  <c r="AY58" i="13"/>
  <c r="AZ58" i="13"/>
  <c r="BG58" i="13"/>
  <c r="BH58" i="13"/>
  <c r="BJ58" i="13"/>
  <c r="BK58" i="13" s="1"/>
  <c r="AY59" i="13"/>
  <c r="AZ59" i="13"/>
  <c r="BG59" i="13"/>
  <c r="BH59" i="13"/>
  <c r="BJ59" i="13"/>
  <c r="BK59" i="13" s="1"/>
  <c r="AY60" i="13"/>
  <c r="AZ60" i="13"/>
  <c r="BG60" i="13"/>
  <c r="BH60" i="13"/>
  <c r="BJ60" i="13"/>
  <c r="BK60" i="13" s="1"/>
  <c r="AY61" i="13"/>
  <c r="AZ61" i="13"/>
  <c r="BG61" i="13"/>
  <c r="BH61" i="13"/>
  <c r="BJ61" i="13"/>
  <c r="BK61" i="13" s="1"/>
  <c r="AY62" i="13"/>
  <c r="AZ62" i="13"/>
  <c r="BG62" i="13"/>
  <c r="BH62" i="13"/>
  <c r="BJ62" i="13"/>
  <c r="BK62" i="13" s="1"/>
  <c r="AY63" i="13"/>
  <c r="AZ63" i="13"/>
  <c r="BG63" i="13"/>
  <c r="BH63" i="13"/>
  <c r="BJ63" i="13"/>
  <c r="BK63" i="13" s="1"/>
  <c r="AY64" i="13"/>
  <c r="AZ64" i="13"/>
  <c r="BG64" i="13"/>
  <c r="BH64" i="13"/>
  <c r="BJ64" i="13"/>
  <c r="BK64" i="13" s="1"/>
  <c r="AY65" i="13"/>
  <c r="AZ65" i="13"/>
  <c r="BG65" i="13"/>
  <c r="BH65" i="13"/>
  <c r="BJ65" i="13"/>
  <c r="BK65" i="13" s="1"/>
  <c r="AY66" i="13"/>
  <c r="AZ66" i="13"/>
  <c r="BG66" i="13"/>
  <c r="BH66" i="13"/>
  <c r="BJ66" i="13"/>
  <c r="BK66" i="13" s="1"/>
  <c r="AY67" i="13"/>
  <c r="AZ67" i="13"/>
  <c r="BG67" i="13"/>
  <c r="BH67" i="13"/>
  <c r="BJ67" i="13"/>
  <c r="BK67" i="13" s="1"/>
  <c r="AY68" i="13"/>
  <c r="AZ68" i="13"/>
  <c r="BG68" i="13"/>
  <c r="BH68" i="13"/>
  <c r="BJ68" i="13"/>
  <c r="BK68" i="13" s="1"/>
  <c r="AY69" i="13"/>
  <c r="AZ69" i="13"/>
  <c r="BG69" i="13"/>
  <c r="BH69" i="13"/>
  <c r="BJ69" i="13"/>
  <c r="BK69" i="13" s="1"/>
  <c r="AY70" i="13"/>
  <c r="AZ70" i="13"/>
  <c r="BG70" i="13"/>
  <c r="BH70" i="13"/>
  <c r="BJ70" i="13"/>
  <c r="BK70" i="13" s="1"/>
  <c r="AY71" i="13"/>
  <c r="AZ71" i="13"/>
  <c r="BG71" i="13"/>
  <c r="BH71" i="13"/>
  <c r="BJ71" i="13"/>
  <c r="BK71" i="13" s="1"/>
  <c r="AY72" i="13"/>
  <c r="AZ72" i="13"/>
  <c r="BG72" i="13"/>
  <c r="BH72" i="13"/>
  <c r="BJ72" i="13"/>
  <c r="BK72" i="13" s="1"/>
  <c r="AY73" i="13"/>
  <c r="AZ73" i="13"/>
  <c r="BG73" i="13"/>
  <c r="BH73" i="13"/>
  <c r="BJ73" i="13"/>
  <c r="BK73" i="13" s="1"/>
  <c r="AY74" i="13"/>
  <c r="AZ74" i="13"/>
  <c r="BG74" i="13"/>
  <c r="BH74" i="13"/>
  <c r="BJ74" i="13"/>
  <c r="BK74" i="13" s="1"/>
  <c r="AY75" i="13"/>
  <c r="AZ75" i="13"/>
  <c r="BG75" i="13"/>
  <c r="BH75" i="13"/>
  <c r="BJ75" i="13"/>
  <c r="BK75" i="13" s="1"/>
  <c r="AY76" i="13"/>
  <c r="AZ76" i="13"/>
  <c r="BG76" i="13"/>
  <c r="BH76" i="13"/>
  <c r="BJ76" i="13"/>
  <c r="BK76" i="13" s="1"/>
  <c r="AY77" i="13"/>
  <c r="AZ77" i="13"/>
  <c r="BG77" i="13"/>
  <c r="BH77" i="13"/>
  <c r="BJ77" i="13"/>
  <c r="BK77" i="13" s="1"/>
  <c r="AY78" i="13"/>
  <c r="AZ78" i="13"/>
  <c r="BG78" i="13"/>
  <c r="BH78" i="13"/>
  <c r="BJ78" i="13"/>
  <c r="BK78" i="13" s="1"/>
  <c r="AY79" i="13"/>
  <c r="AZ79" i="13"/>
  <c r="BG79" i="13"/>
  <c r="BH79" i="13"/>
  <c r="BJ79" i="13"/>
  <c r="BK79" i="13" s="1"/>
  <c r="AY80" i="13"/>
  <c r="AZ80" i="13"/>
  <c r="BG80" i="13"/>
  <c r="BH80" i="13"/>
  <c r="BJ80" i="13"/>
  <c r="BK80" i="13" s="1"/>
  <c r="AY81" i="13"/>
  <c r="AZ81" i="13"/>
  <c r="BG81" i="13"/>
  <c r="BH81" i="13"/>
  <c r="BJ81" i="13"/>
  <c r="BK81" i="13" s="1"/>
  <c r="AY82" i="13"/>
  <c r="AZ82" i="13"/>
  <c r="BG82" i="13"/>
  <c r="BH82" i="13"/>
  <c r="BJ82" i="13"/>
  <c r="BK82" i="13" s="1"/>
  <c r="AY83" i="13"/>
  <c r="AZ83" i="13"/>
  <c r="BG83" i="13"/>
  <c r="BH83" i="13"/>
  <c r="BJ83" i="13"/>
  <c r="BK83" i="13" s="1"/>
  <c r="AY84" i="13"/>
  <c r="AZ84" i="13"/>
  <c r="BG84" i="13"/>
  <c r="BH84" i="13"/>
  <c r="BJ84" i="13"/>
  <c r="BK84" i="13" s="1"/>
  <c r="AY85" i="13"/>
  <c r="AZ85" i="13"/>
  <c r="BG85" i="13"/>
  <c r="BH85" i="13"/>
  <c r="BJ85" i="13"/>
  <c r="BK85" i="13" s="1"/>
  <c r="AY86" i="13"/>
  <c r="AZ86" i="13"/>
  <c r="BG86" i="13"/>
  <c r="BH86" i="13"/>
  <c r="BJ86" i="13"/>
  <c r="BK86" i="13" s="1"/>
  <c r="AY87" i="13"/>
  <c r="AZ87" i="13"/>
  <c r="BG87" i="13"/>
  <c r="BH87" i="13"/>
  <c r="BJ87" i="13"/>
  <c r="BK87" i="13" s="1"/>
  <c r="AY88" i="13"/>
  <c r="AZ88" i="13"/>
  <c r="BG88" i="13"/>
  <c r="BH88" i="13"/>
  <c r="BJ88" i="13"/>
  <c r="BK88" i="13" s="1"/>
  <c r="AY89" i="13"/>
  <c r="AZ89" i="13"/>
  <c r="BG89" i="13"/>
  <c r="BH89" i="13"/>
  <c r="BJ89" i="13"/>
  <c r="BK89" i="13" s="1"/>
  <c r="AY90" i="13"/>
  <c r="AZ90" i="13"/>
  <c r="BG90" i="13"/>
  <c r="BH90" i="13"/>
  <c r="BJ90" i="13"/>
  <c r="BK90" i="13" s="1"/>
  <c r="AY91" i="13"/>
  <c r="AZ91" i="13"/>
  <c r="BG91" i="13"/>
  <c r="BH91" i="13"/>
  <c r="BJ91" i="13"/>
  <c r="BK91" i="13" s="1"/>
  <c r="AY92" i="13"/>
  <c r="AZ92" i="13"/>
  <c r="BG92" i="13"/>
  <c r="BH92" i="13"/>
  <c r="BJ92" i="13"/>
  <c r="BK92" i="13" s="1"/>
  <c r="AY93" i="13"/>
  <c r="AZ93" i="13"/>
  <c r="BG93" i="13"/>
  <c r="BH93" i="13"/>
  <c r="BJ93" i="13"/>
  <c r="BK93" i="13" s="1"/>
  <c r="AY94" i="13"/>
  <c r="AZ94" i="13"/>
  <c r="BG94" i="13"/>
  <c r="BH94" i="13"/>
  <c r="BJ94" i="13"/>
  <c r="BK94" i="13" s="1"/>
  <c r="AY95" i="13"/>
  <c r="AZ95" i="13"/>
  <c r="BG95" i="13"/>
  <c r="BH95" i="13"/>
  <c r="BJ95" i="13"/>
  <c r="BK95" i="13" s="1"/>
  <c r="AY96" i="13"/>
  <c r="AZ96" i="13"/>
  <c r="BG96" i="13"/>
  <c r="BH96" i="13"/>
  <c r="BJ96" i="13"/>
  <c r="BK96" i="13" s="1"/>
  <c r="AY97" i="13"/>
  <c r="AZ97" i="13"/>
  <c r="BG97" i="13"/>
  <c r="BH97" i="13"/>
  <c r="BJ97" i="13"/>
  <c r="BK97" i="13" s="1"/>
  <c r="AY98" i="13"/>
  <c r="AZ98" i="13"/>
  <c r="BG98" i="13"/>
  <c r="BH98" i="13"/>
  <c r="BJ98" i="13"/>
  <c r="BK98" i="13" s="1"/>
  <c r="AY99" i="13"/>
  <c r="AZ99" i="13"/>
  <c r="BG99" i="13"/>
  <c r="BH99" i="13"/>
  <c r="BJ99" i="13"/>
  <c r="BK99" i="13" s="1"/>
  <c r="AY100" i="13"/>
  <c r="AZ100" i="13"/>
  <c r="BG100" i="13"/>
  <c r="BH100" i="13"/>
  <c r="BJ100" i="13"/>
  <c r="BK100" i="13" s="1"/>
  <c r="AY101" i="13"/>
  <c r="AZ101" i="13"/>
  <c r="BG101" i="13"/>
  <c r="BH101" i="13"/>
  <c r="BJ101" i="13"/>
  <c r="BK101" i="13" s="1"/>
  <c r="AY102" i="13"/>
  <c r="AZ102" i="13"/>
  <c r="BG102" i="13"/>
  <c r="BH102" i="13"/>
  <c r="BJ102" i="13"/>
  <c r="BK102" i="13" s="1"/>
  <c r="AY103" i="13"/>
  <c r="AZ103" i="13"/>
  <c r="BG103" i="13"/>
  <c r="BH103" i="13"/>
  <c r="BJ103" i="13"/>
  <c r="BK103" i="13" s="1"/>
  <c r="AY104" i="13"/>
  <c r="AZ104" i="13"/>
  <c r="BG104" i="13"/>
  <c r="BH104" i="13"/>
  <c r="BJ104" i="13"/>
  <c r="BK104" i="13" s="1"/>
  <c r="AY105" i="13"/>
  <c r="AZ105" i="13"/>
  <c r="BG105" i="13"/>
  <c r="BH105" i="13"/>
  <c r="BJ105" i="13"/>
  <c r="BK105" i="13" s="1"/>
  <c r="AY106" i="13"/>
  <c r="AZ106" i="13"/>
  <c r="BG106" i="13"/>
  <c r="BH106" i="13"/>
  <c r="BJ106" i="13"/>
  <c r="BK106" i="13" s="1"/>
  <c r="AY107" i="13"/>
  <c r="AZ107" i="13"/>
  <c r="BG107" i="13"/>
  <c r="BH107" i="13"/>
  <c r="BJ107" i="13"/>
  <c r="BK107" i="13" s="1"/>
  <c r="AY108" i="13"/>
  <c r="AZ108" i="13"/>
  <c r="BG108" i="13"/>
  <c r="BH108" i="13"/>
  <c r="BJ108" i="13"/>
  <c r="BK108" i="13" s="1"/>
  <c r="AY109" i="13"/>
  <c r="AZ109" i="13"/>
  <c r="BG109" i="13"/>
  <c r="BH109" i="13"/>
  <c r="BJ109" i="13"/>
  <c r="BK109" i="13" s="1"/>
  <c r="AY110" i="13"/>
  <c r="AZ110" i="13"/>
  <c r="BG110" i="13"/>
  <c r="BH110" i="13"/>
  <c r="BJ110" i="13"/>
  <c r="BK110" i="13" s="1"/>
  <c r="AY111" i="13"/>
  <c r="AZ111" i="13"/>
  <c r="BG111" i="13"/>
  <c r="BH111" i="13"/>
  <c r="BJ111" i="13"/>
  <c r="BK111" i="13" s="1"/>
  <c r="AY112" i="13"/>
  <c r="AZ112" i="13"/>
  <c r="BG112" i="13"/>
  <c r="BH112" i="13"/>
  <c r="BJ112" i="13"/>
  <c r="BK112" i="13" s="1"/>
  <c r="AY113" i="13"/>
  <c r="AZ113" i="13"/>
  <c r="BG113" i="13"/>
  <c r="BH113" i="13"/>
  <c r="BJ113" i="13"/>
  <c r="BK113" i="13" s="1"/>
  <c r="AY114" i="13"/>
  <c r="AZ114" i="13"/>
  <c r="BG114" i="13"/>
  <c r="BH114" i="13"/>
  <c r="BJ114" i="13"/>
  <c r="BK114" i="13" s="1"/>
  <c r="AY115" i="13"/>
  <c r="AZ115" i="13"/>
  <c r="BG115" i="13"/>
  <c r="BH115" i="13"/>
  <c r="BJ115" i="13"/>
  <c r="BK115" i="13" s="1"/>
  <c r="AY116" i="13"/>
  <c r="AZ116" i="13"/>
  <c r="BG116" i="13"/>
  <c r="BH116" i="13"/>
  <c r="BJ116" i="13"/>
  <c r="BK116" i="13" s="1"/>
  <c r="AY117" i="13"/>
  <c r="AZ117" i="13"/>
  <c r="BG117" i="13"/>
  <c r="BH117" i="13"/>
  <c r="BJ117" i="13"/>
  <c r="BK117" i="13" s="1"/>
  <c r="AY118" i="13"/>
  <c r="AZ118" i="13"/>
  <c r="BG118" i="13"/>
  <c r="BH118" i="13"/>
  <c r="BJ118" i="13"/>
  <c r="BK118" i="13" s="1"/>
  <c r="AY119" i="13"/>
  <c r="AZ119" i="13"/>
  <c r="BG119" i="13"/>
  <c r="BH119" i="13"/>
  <c r="BJ119" i="13"/>
  <c r="BK119" i="13" s="1"/>
  <c r="AY120" i="13"/>
  <c r="AZ120" i="13"/>
  <c r="BG120" i="13"/>
  <c r="BH120" i="13"/>
  <c r="BJ120" i="13"/>
  <c r="BK120" i="13" s="1"/>
  <c r="AY121" i="13"/>
  <c r="AZ121" i="13"/>
  <c r="BG121" i="13"/>
  <c r="BH121" i="13"/>
  <c r="BJ121" i="13"/>
  <c r="BK121" i="13" s="1"/>
  <c r="AY122" i="13"/>
  <c r="AZ122" i="13"/>
  <c r="BG122" i="13"/>
  <c r="BH122" i="13"/>
  <c r="BJ122" i="13"/>
  <c r="BK122" i="13" s="1"/>
  <c r="BG123" i="13"/>
  <c r="BH123" i="13"/>
  <c r="BJ123" i="13"/>
  <c r="BK123" i="13" s="1"/>
  <c r="AY124" i="13"/>
  <c r="AZ124" i="13"/>
  <c r="BG124" i="13"/>
  <c r="BH124" i="13"/>
  <c r="BJ124" i="13"/>
  <c r="BK124" i="13" s="1"/>
  <c r="AY125" i="13"/>
  <c r="AZ125" i="13"/>
  <c r="BG125" i="13"/>
  <c r="BH125" i="13"/>
  <c r="BJ125" i="13"/>
  <c r="BK125" i="13" s="1"/>
  <c r="AY126" i="13"/>
  <c r="AZ126" i="13"/>
  <c r="BG126" i="13"/>
  <c r="BH126" i="13"/>
  <c r="BJ126" i="13"/>
  <c r="BK126" i="13" s="1"/>
  <c r="AY127" i="13"/>
  <c r="AZ127" i="13"/>
  <c r="BG127" i="13"/>
  <c r="BH127" i="13"/>
  <c r="BJ127" i="13"/>
  <c r="BK127" i="13" s="1"/>
  <c r="AY128" i="13"/>
  <c r="AZ128" i="13"/>
  <c r="BG128" i="13"/>
  <c r="BH128" i="13"/>
  <c r="BJ128" i="13"/>
  <c r="BK128" i="13" s="1"/>
  <c r="AY129" i="13"/>
  <c r="AZ129" i="13"/>
  <c r="BG129" i="13"/>
  <c r="BH129" i="13"/>
  <c r="BJ129" i="13"/>
  <c r="BK129" i="13" s="1"/>
  <c r="AY130" i="13"/>
  <c r="AZ130" i="13"/>
  <c r="BG130" i="13"/>
  <c r="BH130" i="13"/>
  <c r="BJ130" i="13"/>
  <c r="BK130" i="13" s="1"/>
  <c r="AY131" i="13"/>
  <c r="AZ131" i="13"/>
  <c r="BG131" i="13"/>
  <c r="BH131" i="13"/>
  <c r="BJ131" i="13"/>
  <c r="BK131" i="13" s="1"/>
  <c r="AY132" i="13"/>
  <c r="AZ132" i="13"/>
  <c r="BG132" i="13"/>
  <c r="BH132" i="13"/>
  <c r="BJ132" i="13"/>
  <c r="BK132" i="13" s="1"/>
  <c r="AY133" i="13"/>
  <c r="AZ133" i="13"/>
  <c r="BG133" i="13"/>
  <c r="BH133" i="13"/>
  <c r="BJ133" i="13"/>
  <c r="BK133" i="13" s="1"/>
  <c r="AY134" i="13"/>
  <c r="AZ134" i="13"/>
  <c r="BG134" i="13"/>
  <c r="BH134" i="13"/>
  <c r="BJ134" i="13"/>
  <c r="BK134" i="13" s="1"/>
  <c r="AY135" i="13"/>
  <c r="AZ135" i="13"/>
  <c r="BG135" i="13"/>
  <c r="BH135" i="13"/>
  <c r="BJ135" i="13"/>
  <c r="BK135" i="13" s="1"/>
  <c r="AY136" i="13"/>
  <c r="AZ136" i="13"/>
  <c r="BG136" i="13"/>
  <c r="BH136" i="13"/>
  <c r="BJ136" i="13"/>
  <c r="BK136" i="13" s="1"/>
  <c r="AY137" i="13"/>
  <c r="AZ137" i="13"/>
  <c r="BG137" i="13"/>
  <c r="BH137" i="13"/>
  <c r="BJ137" i="13"/>
  <c r="BK137" i="13" s="1"/>
  <c r="AY138" i="13"/>
  <c r="AZ138" i="13"/>
  <c r="BG138" i="13"/>
  <c r="BH138" i="13"/>
  <c r="BJ138" i="13"/>
  <c r="BK138" i="13" s="1"/>
  <c r="AY139" i="13"/>
  <c r="AZ139" i="13"/>
  <c r="BG139" i="13"/>
  <c r="BH139" i="13"/>
  <c r="BJ139" i="13"/>
  <c r="BK139" i="13" s="1"/>
  <c r="AY140" i="13"/>
  <c r="AZ140" i="13"/>
  <c r="BG140" i="13"/>
  <c r="BH140" i="13"/>
  <c r="BJ140" i="13"/>
  <c r="BK140" i="13" s="1"/>
  <c r="AY141" i="13"/>
  <c r="AZ141" i="13"/>
  <c r="BG141" i="13"/>
  <c r="BH141" i="13"/>
  <c r="BJ141" i="13"/>
  <c r="BK141" i="13" s="1"/>
  <c r="AY142" i="13"/>
  <c r="AZ142" i="13"/>
  <c r="BG142" i="13"/>
  <c r="BH142" i="13"/>
  <c r="BJ142" i="13"/>
  <c r="BK142" i="13" s="1"/>
  <c r="AY143" i="13"/>
  <c r="AZ143" i="13"/>
  <c r="BG143" i="13"/>
  <c r="BH143" i="13"/>
  <c r="BJ143" i="13"/>
  <c r="BK143" i="13" s="1"/>
  <c r="AY144" i="13"/>
  <c r="AZ144" i="13"/>
  <c r="BG144" i="13"/>
  <c r="BH144" i="13"/>
  <c r="BJ144" i="13"/>
  <c r="BK144" i="13" s="1"/>
  <c r="AY145" i="13"/>
  <c r="AZ145" i="13"/>
  <c r="BG145" i="13"/>
  <c r="BH145" i="13"/>
  <c r="BJ145" i="13"/>
  <c r="BK145" i="13" s="1"/>
  <c r="AY146" i="13"/>
  <c r="AZ146" i="13"/>
  <c r="BG146" i="13"/>
  <c r="BH146" i="13"/>
  <c r="BJ146" i="13"/>
  <c r="BK146" i="13" s="1"/>
  <c r="AY147" i="13"/>
  <c r="AZ147" i="13"/>
  <c r="BG147" i="13"/>
  <c r="BH147" i="13"/>
  <c r="BJ147" i="13"/>
  <c r="BK147" i="13" s="1"/>
  <c r="AY148" i="13"/>
  <c r="AZ148" i="13"/>
  <c r="BG148" i="13"/>
  <c r="BH148" i="13"/>
  <c r="BJ148" i="13"/>
  <c r="BK148" i="13" s="1"/>
  <c r="AY149" i="13"/>
  <c r="AZ149" i="13"/>
  <c r="BG149" i="13"/>
  <c r="BH149" i="13"/>
  <c r="BJ149" i="13"/>
  <c r="BK149" i="13" s="1"/>
  <c r="AY150" i="13"/>
  <c r="AZ150" i="13"/>
  <c r="BG150" i="13"/>
  <c r="BH150" i="13"/>
  <c r="BJ150" i="13"/>
  <c r="BK150" i="13" s="1"/>
  <c r="AY151" i="13"/>
  <c r="AZ151" i="13"/>
  <c r="BG151" i="13"/>
  <c r="BH151" i="13"/>
  <c r="BJ151" i="13"/>
  <c r="BK151" i="13" s="1"/>
  <c r="AY152" i="13"/>
  <c r="AZ152" i="13"/>
  <c r="BG152" i="13"/>
  <c r="BH152" i="13"/>
  <c r="BJ152" i="13"/>
  <c r="BK152" i="13" s="1"/>
  <c r="AY153" i="13"/>
  <c r="AZ153" i="13"/>
  <c r="BG153" i="13"/>
  <c r="BH153" i="13"/>
  <c r="BJ153" i="13"/>
  <c r="BK153" i="13" s="1"/>
  <c r="AY154" i="13"/>
  <c r="AZ154" i="13"/>
  <c r="BG154" i="13"/>
  <c r="BH154" i="13"/>
  <c r="BJ154" i="13"/>
  <c r="BK154" i="13" s="1"/>
  <c r="AY155" i="13"/>
  <c r="AZ155" i="13"/>
  <c r="BG155" i="13"/>
  <c r="BH155" i="13"/>
  <c r="BJ155" i="13"/>
  <c r="BK155" i="13" s="1"/>
  <c r="AY156" i="13"/>
  <c r="AZ156" i="13"/>
  <c r="BG156" i="13"/>
  <c r="BH156" i="13"/>
  <c r="BJ156" i="13"/>
  <c r="BK156" i="13" s="1"/>
  <c r="AY157" i="13"/>
  <c r="AZ157" i="13"/>
  <c r="BG157" i="13"/>
  <c r="BH157" i="13"/>
  <c r="BJ157" i="13"/>
  <c r="BK157" i="13" s="1"/>
  <c r="AY158" i="13"/>
  <c r="AZ158" i="13"/>
  <c r="BG158" i="13"/>
  <c r="BH158" i="13"/>
  <c r="BJ158" i="13"/>
  <c r="BK158" i="13" s="1"/>
  <c r="AY159" i="13"/>
  <c r="AZ159" i="13"/>
  <c r="BG159" i="13"/>
  <c r="BH159" i="13"/>
  <c r="BJ159" i="13"/>
  <c r="BK159" i="13" s="1"/>
  <c r="AY160" i="13"/>
  <c r="AZ160" i="13"/>
  <c r="BG160" i="13"/>
  <c r="BH160" i="13"/>
  <c r="BJ160" i="13"/>
  <c r="BK160" i="13" s="1"/>
  <c r="AY161" i="13"/>
  <c r="AZ161" i="13"/>
  <c r="BG161" i="13"/>
  <c r="BH161" i="13"/>
  <c r="BJ161" i="13"/>
  <c r="BK161" i="13" s="1"/>
  <c r="AY162" i="13"/>
  <c r="AZ162" i="13"/>
  <c r="BG162" i="13"/>
  <c r="BH162" i="13"/>
  <c r="BJ162" i="13"/>
  <c r="BK162" i="13" s="1"/>
  <c r="AY163" i="13"/>
  <c r="AZ163" i="13"/>
  <c r="BG163" i="13"/>
  <c r="BH163" i="13"/>
  <c r="BJ163" i="13"/>
  <c r="BK163" i="13" s="1"/>
  <c r="AY164" i="13"/>
  <c r="AZ164" i="13"/>
  <c r="BG164" i="13"/>
  <c r="BH164" i="13"/>
  <c r="BJ164" i="13"/>
  <c r="BK164" i="13" s="1"/>
  <c r="AY165" i="13"/>
  <c r="AZ165" i="13"/>
  <c r="BG165" i="13"/>
  <c r="BH165" i="13"/>
  <c r="BJ165" i="13"/>
  <c r="BK165" i="13" s="1"/>
  <c r="AY166" i="13"/>
  <c r="AZ166" i="13"/>
  <c r="BG166" i="13"/>
  <c r="BH166" i="13"/>
  <c r="BJ166" i="13"/>
  <c r="BK166" i="13" s="1"/>
  <c r="AY167" i="13"/>
  <c r="AZ167" i="13"/>
  <c r="BG167" i="13"/>
  <c r="BH167" i="13"/>
  <c r="BJ167" i="13"/>
  <c r="BK167" i="13" s="1"/>
  <c r="AY168" i="13"/>
  <c r="AZ168" i="13"/>
  <c r="BG168" i="13"/>
  <c r="BH168" i="13"/>
  <c r="BJ168" i="13"/>
  <c r="BK168" i="13" s="1"/>
  <c r="AY169" i="13"/>
  <c r="AZ169" i="13"/>
  <c r="BG169" i="13"/>
  <c r="BH169" i="13"/>
  <c r="BJ169" i="13"/>
  <c r="BK169" i="13" s="1"/>
  <c r="AY170" i="13"/>
  <c r="AZ170" i="13"/>
  <c r="BG170" i="13"/>
  <c r="BH170" i="13"/>
  <c r="BJ170" i="13"/>
  <c r="BK170" i="13" s="1"/>
  <c r="AY171" i="13"/>
  <c r="AZ171" i="13"/>
  <c r="BG171" i="13"/>
  <c r="BH171" i="13"/>
  <c r="BJ171" i="13"/>
  <c r="BK171" i="13" s="1"/>
  <c r="AY172" i="13"/>
  <c r="AZ172" i="13"/>
  <c r="BG172" i="13"/>
  <c r="BH172" i="13"/>
  <c r="BJ172" i="13"/>
  <c r="BK172" i="13" s="1"/>
  <c r="AY173" i="13"/>
  <c r="AZ173" i="13"/>
  <c r="BG173" i="13"/>
  <c r="BH173" i="13"/>
  <c r="BJ173" i="13"/>
  <c r="BK173" i="13" s="1"/>
  <c r="AY174" i="13"/>
  <c r="AZ174" i="13"/>
  <c r="BG174" i="13"/>
  <c r="BH174" i="13"/>
  <c r="BJ174" i="13"/>
  <c r="BK174" i="13" s="1"/>
  <c r="AY175" i="13"/>
  <c r="AZ175" i="13"/>
  <c r="BG175" i="13"/>
  <c r="BH175" i="13"/>
  <c r="BJ175" i="13"/>
  <c r="BK175" i="13" s="1"/>
  <c r="AY176" i="13"/>
  <c r="AZ176" i="13"/>
  <c r="BG176" i="13"/>
  <c r="BH176" i="13"/>
  <c r="BJ176" i="13"/>
  <c r="BK176" i="13" s="1"/>
  <c r="AY177" i="13"/>
  <c r="AZ177" i="13"/>
  <c r="BG177" i="13"/>
  <c r="BH177" i="13"/>
  <c r="BJ177" i="13"/>
  <c r="BK177" i="13" s="1"/>
  <c r="AY178" i="13"/>
  <c r="AZ178" i="13"/>
  <c r="BG178" i="13"/>
  <c r="BH178" i="13"/>
  <c r="BJ178" i="13"/>
  <c r="BK178" i="13" s="1"/>
  <c r="AY179" i="13"/>
  <c r="AZ179" i="13"/>
  <c r="BG179" i="13"/>
  <c r="BH179" i="13"/>
  <c r="BJ179" i="13"/>
  <c r="BK179" i="13" s="1"/>
  <c r="AY180" i="13"/>
  <c r="AZ180" i="13"/>
  <c r="BG180" i="13"/>
  <c r="BH180" i="13"/>
  <c r="BJ180" i="13"/>
  <c r="BK180" i="13" s="1"/>
  <c r="AY181" i="13"/>
  <c r="AZ181" i="13"/>
  <c r="BG181" i="13"/>
  <c r="BH181" i="13"/>
  <c r="BJ181" i="13"/>
  <c r="BK181" i="13" s="1"/>
  <c r="AY182" i="13"/>
  <c r="AZ182" i="13"/>
  <c r="BG182" i="13"/>
  <c r="BH182" i="13"/>
  <c r="BJ182" i="13"/>
  <c r="BK182" i="13" s="1"/>
  <c r="AY183" i="13"/>
  <c r="AZ183" i="13"/>
  <c r="BG183" i="13"/>
  <c r="BH183" i="13"/>
  <c r="BJ183" i="13"/>
  <c r="BK183" i="13" s="1"/>
  <c r="AY184" i="13"/>
  <c r="AZ184" i="13"/>
  <c r="BG184" i="13"/>
  <c r="BH184" i="13"/>
  <c r="BJ184" i="13"/>
  <c r="BK184" i="13" s="1"/>
  <c r="AY185" i="13"/>
  <c r="AZ185" i="13"/>
  <c r="BG185" i="13"/>
  <c r="BH185" i="13"/>
  <c r="BJ185" i="13"/>
  <c r="BK185" i="13" s="1"/>
  <c r="AY186" i="13"/>
  <c r="AZ186" i="13"/>
  <c r="BG186" i="13"/>
  <c r="BH186" i="13"/>
  <c r="BJ186" i="13"/>
  <c r="BK186" i="13" s="1"/>
  <c r="AY187" i="13"/>
  <c r="AZ187" i="13"/>
  <c r="BG187" i="13"/>
  <c r="BH187" i="13"/>
  <c r="BJ187" i="13"/>
  <c r="BK187" i="13" s="1"/>
  <c r="AY188" i="13"/>
  <c r="AZ188" i="13"/>
  <c r="BG188" i="13"/>
  <c r="BH188" i="13"/>
  <c r="BJ188" i="13"/>
  <c r="BK188" i="13" s="1"/>
  <c r="AY189" i="13"/>
  <c r="AZ189" i="13"/>
  <c r="BG189" i="13"/>
  <c r="BH189" i="13"/>
  <c r="BJ189" i="13"/>
  <c r="BK189" i="13" s="1"/>
  <c r="AY190" i="13"/>
  <c r="AZ190" i="13"/>
  <c r="BG190" i="13"/>
  <c r="BH190" i="13"/>
  <c r="BJ190" i="13"/>
  <c r="BK190" i="13" s="1"/>
  <c r="AY191" i="13"/>
  <c r="AZ191" i="13"/>
  <c r="BG191" i="13"/>
  <c r="BH191" i="13"/>
  <c r="BJ191" i="13"/>
  <c r="BK191" i="13" s="1"/>
  <c r="AY192" i="13"/>
  <c r="AZ192" i="13"/>
  <c r="BG192" i="13"/>
  <c r="BH192" i="13"/>
  <c r="BJ192" i="13"/>
  <c r="BK192" i="13" s="1"/>
  <c r="AY193" i="13"/>
  <c r="AZ193" i="13"/>
  <c r="BG193" i="13"/>
  <c r="BH193" i="13"/>
  <c r="BJ193" i="13"/>
  <c r="BK193" i="13" s="1"/>
  <c r="AY194" i="13"/>
  <c r="AZ194" i="13"/>
  <c r="BG194" i="13"/>
  <c r="BH194" i="13"/>
  <c r="BJ194" i="13"/>
  <c r="BK194" i="13" s="1"/>
  <c r="AY195" i="13"/>
  <c r="AZ195" i="13"/>
  <c r="BG195" i="13"/>
  <c r="BH195" i="13"/>
  <c r="BJ195" i="13"/>
  <c r="BK195" i="13" s="1"/>
  <c r="AY196" i="13"/>
  <c r="AZ196" i="13"/>
  <c r="BG196" i="13"/>
  <c r="BH196" i="13"/>
  <c r="BJ196" i="13"/>
  <c r="BK196" i="13" s="1"/>
  <c r="AY197" i="13"/>
  <c r="AZ197" i="13"/>
  <c r="BG197" i="13"/>
  <c r="BH197" i="13"/>
  <c r="BJ197" i="13"/>
  <c r="BK197" i="13" s="1"/>
  <c r="AY198" i="13"/>
  <c r="AZ198" i="13"/>
  <c r="BG198" i="13"/>
  <c r="BH198" i="13"/>
  <c r="BJ198" i="13"/>
  <c r="BK198" i="13" s="1"/>
  <c r="AY199" i="13"/>
  <c r="AZ199" i="13"/>
  <c r="BG199" i="13"/>
  <c r="BH199" i="13"/>
  <c r="BJ199" i="13"/>
  <c r="BK199" i="13" s="1"/>
  <c r="AY200" i="13"/>
  <c r="AZ200" i="13"/>
  <c r="BG200" i="13"/>
  <c r="BH200" i="13"/>
  <c r="BJ200" i="13"/>
  <c r="BK200" i="13" s="1"/>
  <c r="AY201" i="13"/>
  <c r="AZ201" i="13"/>
  <c r="BG201" i="13"/>
  <c r="BH201" i="13"/>
  <c r="BJ201" i="13"/>
  <c r="BK201" i="13" s="1"/>
  <c r="AY202" i="13"/>
  <c r="AZ202" i="13"/>
  <c r="BG202" i="13"/>
  <c r="BH202" i="13"/>
  <c r="BJ202" i="13"/>
  <c r="BK202" i="13" s="1"/>
  <c r="AY203" i="13"/>
  <c r="AZ203" i="13"/>
  <c r="BG203" i="13"/>
  <c r="BH203" i="13"/>
  <c r="BJ203" i="13"/>
  <c r="BK203" i="13" s="1"/>
  <c r="AY204" i="13"/>
  <c r="AZ204" i="13"/>
  <c r="BG204" i="13"/>
  <c r="BH204" i="13"/>
  <c r="BJ204" i="13"/>
  <c r="BK204" i="13" s="1"/>
  <c r="AY205" i="13"/>
  <c r="AZ205" i="13"/>
  <c r="BG205" i="13"/>
  <c r="BH205" i="13"/>
  <c r="BJ205" i="13"/>
  <c r="BK205" i="13" s="1"/>
  <c r="AY206" i="13"/>
  <c r="AZ206" i="13"/>
  <c r="BG206" i="13"/>
  <c r="BH206" i="13"/>
  <c r="BJ206" i="13"/>
  <c r="BK206" i="13" s="1"/>
  <c r="AY207" i="13"/>
  <c r="AZ207" i="13"/>
  <c r="BG207" i="13"/>
  <c r="BH207" i="13"/>
  <c r="BJ207" i="13"/>
  <c r="BK207" i="13" s="1"/>
  <c r="AY208" i="13"/>
  <c r="AZ208" i="13"/>
  <c r="BG208" i="13"/>
  <c r="BH208" i="13"/>
  <c r="BJ208" i="13"/>
  <c r="BK208" i="13" s="1"/>
  <c r="AY209" i="13"/>
  <c r="AZ209" i="13"/>
  <c r="BG209" i="13"/>
  <c r="BH209" i="13"/>
  <c r="BJ209" i="13"/>
  <c r="BK209" i="13" s="1"/>
  <c r="AY210" i="13"/>
  <c r="AZ210" i="13"/>
  <c r="BG210" i="13"/>
  <c r="BH210" i="13"/>
  <c r="BJ210" i="13"/>
  <c r="BK210" i="13" s="1"/>
  <c r="AY211" i="13"/>
  <c r="AZ211" i="13"/>
  <c r="BG211" i="13"/>
  <c r="BH211" i="13"/>
  <c r="BJ211" i="13"/>
  <c r="BK211" i="13" s="1"/>
  <c r="AY212" i="13"/>
  <c r="AZ212" i="13"/>
  <c r="BG212" i="13"/>
  <c r="BH212" i="13"/>
  <c r="BJ212" i="13"/>
  <c r="BK212" i="13" s="1"/>
  <c r="AY213" i="13"/>
  <c r="AZ213" i="13"/>
  <c r="BG213" i="13"/>
  <c r="BH213" i="13"/>
  <c r="BJ213" i="13"/>
  <c r="BK213" i="13" s="1"/>
  <c r="AY214" i="13"/>
  <c r="AZ214" i="13"/>
  <c r="BG214" i="13"/>
  <c r="BH214" i="13"/>
  <c r="BJ214" i="13"/>
  <c r="BK214" i="13" s="1"/>
  <c r="AY215" i="13"/>
  <c r="AZ215" i="13"/>
  <c r="BG215" i="13"/>
  <c r="BH215" i="13"/>
  <c r="BJ215" i="13"/>
  <c r="BK215" i="13" s="1"/>
  <c r="AY216" i="13"/>
  <c r="AZ216" i="13"/>
  <c r="BG216" i="13"/>
  <c r="BH216" i="13"/>
  <c r="BJ216" i="13"/>
  <c r="BK216" i="13" s="1"/>
  <c r="AY217" i="13"/>
  <c r="AZ217" i="13"/>
  <c r="BG217" i="13"/>
  <c r="BH217" i="13"/>
  <c r="BJ217" i="13"/>
  <c r="BK217" i="13" s="1"/>
  <c r="AY218" i="13"/>
  <c r="AZ218" i="13"/>
  <c r="BG218" i="13"/>
  <c r="BH218" i="13"/>
  <c r="BJ218" i="13"/>
  <c r="BK218" i="13" s="1"/>
  <c r="AY219" i="13"/>
  <c r="AZ219" i="13"/>
  <c r="BG219" i="13"/>
  <c r="BH219" i="13"/>
  <c r="BJ219" i="13"/>
  <c r="BK219" i="13" s="1"/>
  <c r="AY220" i="13"/>
  <c r="AZ220" i="13"/>
  <c r="BG220" i="13"/>
  <c r="BH220" i="13"/>
  <c r="BJ220" i="13"/>
  <c r="BK220" i="13" s="1"/>
  <c r="AY221" i="13"/>
  <c r="AZ221" i="13"/>
  <c r="BG221" i="13"/>
  <c r="BH221" i="13"/>
  <c r="BJ221" i="13"/>
  <c r="BK221" i="13" s="1"/>
  <c r="AY222" i="13"/>
  <c r="AZ222" i="13"/>
  <c r="BG222" i="13"/>
  <c r="BH222" i="13"/>
  <c r="BJ222" i="13"/>
  <c r="BK222" i="13" s="1"/>
  <c r="AY223" i="13"/>
  <c r="AZ223" i="13"/>
  <c r="BG223" i="13"/>
  <c r="BH223" i="13"/>
  <c r="BJ223" i="13"/>
  <c r="BK223" i="13" s="1"/>
  <c r="AY224" i="13"/>
  <c r="AZ224" i="13"/>
  <c r="BG224" i="13"/>
  <c r="BH224" i="13"/>
  <c r="BJ224" i="13"/>
  <c r="BK224" i="13" s="1"/>
  <c r="AY225" i="13"/>
  <c r="AZ225" i="13"/>
  <c r="BG225" i="13"/>
  <c r="BH225" i="13"/>
  <c r="BJ225" i="13"/>
  <c r="BK225" i="13" s="1"/>
  <c r="AY226" i="13"/>
  <c r="AZ226" i="13"/>
  <c r="BG226" i="13"/>
  <c r="BH226" i="13"/>
  <c r="BJ226" i="13"/>
  <c r="BK226" i="13" s="1"/>
  <c r="AY227" i="13"/>
  <c r="AZ227" i="13"/>
  <c r="BG227" i="13"/>
  <c r="BH227" i="13"/>
  <c r="BJ227" i="13"/>
  <c r="BK227" i="13" s="1"/>
  <c r="AY228" i="13"/>
  <c r="AZ228" i="13"/>
  <c r="BG228" i="13"/>
  <c r="BH228" i="13"/>
  <c r="BJ228" i="13"/>
  <c r="BK228" i="13" s="1"/>
  <c r="AY229" i="13"/>
  <c r="AZ229" i="13"/>
  <c r="BG229" i="13"/>
  <c r="BH229" i="13"/>
  <c r="BJ229" i="13"/>
  <c r="BK229" i="13" s="1"/>
  <c r="AY230" i="13"/>
  <c r="AZ230" i="13"/>
  <c r="BG230" i="13"/>
  <c r="BH230" i="13"/>
  <c r="BJ230" i="13"/>
  <c r="BK230" i="13" s="1"/>
  <c r="AY231" i="13"/>
  <c r="AZ231" i="13"/>
  <c r="BG231" i="13"/>
  <c r="BH231" i="13"/>
  <c r="BJ231" i="13"/>
  <c r="BK231" i="13" s="1"/>
  <c r="AY232" i="13"/>
  <c r="AZ232" i="13"/>
  <c r="BG232" i="13"/>
  <c r="BH232" i="13"/>
  <c r="BJ232" i="13"/>
  <c r="BK232" i="13" s="1"/>
  <c r="AY233" i="13"/>
  <c r="AZ233" i="13"/>
  <c r="BG233" i="13"/>
  <c r="BH233" i="13"/>
  <c r="BJ233" i="13"/>
  <c r="BK233" i="13" s="1"/>
  <c r="AY234" i="13"/>
  <c r="AZ234" i="13"/>
  <c r="BG234" i="13"/>
  <c r="BH234" i="13"/>
  <c r="BJ234" i="13"/>
  <c r="BK234" i="13" s="1"/>
  <c r="AY235" i="13"/>
  <c r="AZ235" i="13"/>
  <c r="BG235" i="13"/>
  <c r="BH235" i="13"/>
  <c r="BJ235" i="13"/>
  <c r="BK235" i="13" s="1"/>
  <c r="AY236" i="13"/>
  <c r="AZ236" i="13"/>
  <c r="BG236" i="13"/>
  <c r="BH236" i="13"/>
  <c r="BJ236" i="13"/>
  <c r="BK236" i="13" s="1"/>
  <c r="AY237" i="13"/>
  <c r="AZ237" i="13"/>
  <c r="BG237" i="13"/>
  <c r="BH237" i="13"/>
  <c r="BJ237" i="13"/>
  <c r="BK237" i="13" s="1"/>
  <c r="AY238" i="13"/>
  <c r="AZ238" i="13"/>
  <c r="BG238" i="13"/>
  <c r="BH238" i="13"/>
  <c r="BJ238" i="13"/>
  <c r="BK238" i="13" s="1"/>
  <c r="AY239" i="13"/>
  <c r="AZ239" i="13"/>
  <c r="BG239" i="13"/>
  <c r="BH239" i="13"/>
  <c r="BJ239" i="13"/>
  <c r="BK239" i="13" s="1"/>
  <c r="AY240" i="13"/>
  <c r="AZ240" i="13"/>
  <c r="BG240" i="13"/>
  <c r="BH240" i="13"/>
  <c r="BJ240" i="13"/>
  <c r="BK240" i="13" s="1"/>
  <c r="AY241" i="13"/>
  <c r="AZ241" i="13"/>
  <c r="BG241" i="13"/>
  <c r="BH241" i="13"/>
  <c r="BJ241" i="13"/>
  <c r="BK241" i="13" s="1"/>
  <c r="AY242" i="13"/>
  <c r="AZ242" i="13"/>
  <c r="BG242" i="13"/>
  <c r="BH242" i="13"/>
  <c r="BJ242" i="13"/>
  <c r="BK242" i="13" s="1"/>
  <c r="AY243" i="13"/>
  <c r="AZ243" i="13"/>
  <c r="BG243" i="13"/>
  <c r="BH243" i="13"/>
  <c r="BJ243" i="13"/>
  <c r="BK243" i="13" s="1"/>
  <c r="AY244" i="13"/>
  <c r="AZ244" i="13"/>
  <c r="BG244" i="13"/>
  <c r="BH244" i="13"/>
  <c r="BJ244" i="13"/>
  <c r="BK244" i="13" s="1"/>
  <c r="AY245" i="13"/>
  <c r="AZ245" i="13"/>
  <c r="BG245" i="13"/>
  <c r="BH245" i="13"/>
  <c r="BJ245" i="13"/>
  <c r="BK245" i="13" s="1"/>
  <c r="AY246" i="13"/>
  <c r="AZ246" i="13"/>
  <c r="BG246" i="13"/>
  <c r="BH246" i="13"/>
  <c r="BJ246" i="13"/>
  <c r="BK246" i="13" s="1"/>
  <c r="AY247" i="13"/>
  <c r="AZ247" i="13"/>
  <c r="BG247" i="13"/>
  <c r="BH247" i="13"/>
  <c r="BJ247" i="13"/>
  <c r="BK247" i="13" s="1"/>
  <c r="AY248" i="13"/>
  <c r="AZ248" i="13"/>
  <c r="BG248" i="13"/>
  <c r="BH248" i="13"/>
  <c r="BJ248" i="13"/>
  <c r="BK248" i="13" s="1"/>
  <c r="AY249" i="13"/>
  <c r="AZ249" i="13"/>
  <c r="BG249" i="13"/>
  <c r="BH249" i="13"/>
  <c r="BJ249" i="13"/>
  <c r="BK249" i="13" s="1"/>
  <c r="AY250" i="13"/>
  <c r="AZ250" i="13"/>
  <c r="BG250" i="13"/>
  <c r="BH250" i="13"/>
  <c r="BJ250" i="13"/>
  <c r="BK250" i="13" s="1"/>
  <c r="AY251" i="13"/>
  <c r="AZ251" i="13"/>
  <c r="BG251" i="13"/>
  <c r="BH251" i="13"/>
  <c r="BJ251" i="13"/>
  <c r="BK251" i="13" s="1"/>
  <c r="AY252" i="13"/>
  <c r="AZ252" i="13"/>
  <c r="BG252" i="13"/>
  <c r="BH252" i="13"/>
  <c r="BJ252" i="13"/>
  <c r="BK252" i="13" s="1"/>
  <c r="AY253" i="13"/>
  <c r="AZ253" i="13"/>
  <c r="BG253" i="13"/>
  <c r="BH253" i="13"/>
  <c r="BJ253" i="13"/>
  <c r="BK253" i="13" s="1"/>
  <c r="AY254" i="13"/>
  <c r="AZ254" i="13"/>
  <c r="BG254" i="13"/>
  <c r="BH254" i="13"/>
  <c r="BJ254" i="13"/>
  <c r="BK254" i="13" s="1"/>
  <c r="AY255" i="13"/>
  <c r="AZ255" i="13"/>
  <c r="BG255" i="13"/>
  <c r="BH255" i="13"/>
  <c r="BJ255" i="13"/>
  <c r="BK255" i="13" s="1"/>
  <c r="AY256" i="13"/>
  <c r="AZ256" i="13"/>
  <c r="BG256" i="13"/>
  <c r="BH256" i="13"/>
  <c r="BJ256" i="13"/>
  <c r="BK256" i="13" s="1"/>
  <c r="AY257" i="13"/>
  <c r="AZ257" i="13"/>
  <c r="BG257" i="13"/>
  <c r="BH257" i="13"/>
  <c r="BJ257" i="13"/>
  <c r="BK257" i="13" s="1"/>
  <c r="AY258" i="13"/>
  <c r="AZ258" i="13"/>
  <c r="BG258" i="13"/>
  <c r="BH258" i="13"/>
  <c r="BJ258" i="13"/>
  <c r="BK258" i="13" s="1"/>
  <c r="AY259" i="13"/>
  <c r="AZ259" i="13"/>
  <c r="BG259" i="13"/>
  <c r="BH259" i="13"/>
  <c r="BJ259" i="13"/>
  <c r="BK259" i="13" s="1"/>
  <c r="AY260" i="13"/>
  <c r="AZ260" i="13"/>
  <c r="BG260" i="13"/>
  <c r="BH260" i="13"/>
  <c r="BJ260" i="13"/>
  <c r="BK260" i="13" s="1"/>
  <c r="AY261" i="13"/>
  <c r="AZ261" i="13"/>
  <c r="BG261" i="13"/>
  <c r="BH261" i="13"/>
  <c r="BJ261" i="13"/>
  <c r="BK261" i="13" s="1"/>
  <c r="AY262" i="13"/>
  <c r="AZ262" i="13"/>
  <c r="BG262" i="13"/>
  <c r="BH262" i="13"/>
  <c r="BJ262" i="13"/>
  <c r="BK262" i="13" s="1"/>
  <c r="AY263" i="13"/>
  <c r="AZ263" i="13"/>
  <c r="BG263" i="13"/>
  <c r="BH263" i="13"/>
  <c r="BJ263" i="13"/>
  <c r="BK263" i="13" s="1"/>
  <c r="AY264" i="13"/>
  <c r="AZ264" i="13"/>
  <c r="BG264" i="13"/>
  <c r="BH264" i="13"/>
  <c r="BJ264" i="13"/>
  <c r="BK264" i="13" s="1"/>
  <c r="AY265" i="13"/>
  <c r="AZ265" i="13"/>
  <c r="BG265" i="13"/>
  <c r="BH265" i="13"/>
  <c r="BJ265" i="13"/>
  <c r="BK265" i="13" s="1"/>
  <c r="AY266" i="13"/>
  <c r="AZ266" i="13"/>
  <c r="BG266" i="13"/>
  <c r="BH266" i="13"/>
  <c r="BJ266" i="13"/>
  <c r="BK266" i="13" s="1"/>
  <c r="AY267" i="13"/>
  <c r="AZ267" i="13"/>
  <c r="BG267" i="13"/>
  <c r="BH267" i="13"/>
  <c r="BJ267" i="13"/>
  <c r="BK267" i="13" s="1"/>
  <c r="AY268" i="13"/>
  <c r="AZ268" i="13"/>
  <c r="BG268" i="13"/>
  <c r="BH268" i="13"/>
  <c r="BJ268" i="13"/>
  <c r="BK268" i="13" s="1"/>
  <c r="AY269" i="13"/>
  <c r="AZ269" i="13"/>
  <c r="BG269" i="13"/>
  <c r="BH269" i="13"/>
  <c r="BJ269" i="13"/>
  <c r="BK269" i="13" s="1"/>
  <c r="AY270" i="13"/>
  <c r="AZ270" i="13"/>
  <c r="BG270" i="13"/>
  <c r="BH270" i="13"/>
  <c r="BJ270" i="13"/>
  <c r="BK270" i="13" s="1"/>
  <c r="AY271" i="13"/>
  <c r="AZ271" i="13"/>
  <c r="BG271" i="13"/>
  <c r="BH271" i="13"/>
  <c r="BJ271" i="13"/>
  <c r="BK271" i="13" s="1"/>
  <c r="AY272" i="13"/>
  <c r="AZ272" i="13"/>
  <c r="BG272" i="13"/>
  <c r="BH272" i="13"/>
  <c r="BJ272" i="13"/>
  <c r="BK272" i="13" s="1"/>
  <c r="AY273" i="13"/>
  <c r="AZ273" i="13"/>
  <c r="BG273" i="13"/>
  <c r="BH273" i="13"/>
  <c r="BJ273" i="13"/>
  <c r="BK273" i="13" s="1"/>
  <c r="AY274" i="13"/>
  <c r="AZ274" i="13"/>
  <c r="BG274" i="13"/>
  <c r="BH274" i="13"/>
  <c r="BJ274" i="13"/>
  <c r="BK274" i="13" s="1"/>
  <c r="AY275" i="13"/>
  <c r="AZ275" i="13"/>
  <c r="BG275" i="13"/>
  <c r="BH275" i="13"/>
  <c r="BJ275" i="13"/>
  <c r="BK275" i="13" s="1"/>
  <c r="AY276" i="13"/>
  <c r="AZ276" i="13"/>
  <c r="BG276" i="13"/>
  <c r="BH276" i="13"/>
  <c r="BJ276" i="13"/>
  <c r="BK276" i="13" s="1"/>
  <c r="AY277" i="13"/>
  <c r="AZ277" i="13"/>
  <c r="BG277" i="13"/>
  <c r="BH277" i="13"/>
  <c r="BJ277" i="13"/>
  <c r="BK277" i="13" s="1"/>
  <c r="AY278" i="13"/>
  <c r="AZ278" i="13"/>
  <c r="BG278" i="13"/>
  <c r="BH278" i="13"/>
  <c r="BJ278" i="13"/>
  <c r="BK278" i="13" s="1"/>
  <c r="AY279" i="13"/>
  <c r="AZ279" i="13"/>
  <c r="BG279" i="13"/>
  <c r="BH279" i="13"/>
  <c r="BJ279" i="13"/>
  <c r="BK279" i="13" s="1"/>
  <c r="AY280" i="13"/>
  <c r="AZ280" i="13"/>
  <c r="BG280" i="13"/>
  <c r="BH280" i="13"/>
  <c r="BJ280" i="13"/>
  <c r="BK280" i="13" s="1"/>
  <c r="AY281" i="13"/>
  <c r="AZ281" i="13"/>
  <c r="BG281" i="13"/>
  <c r="BH281" i="13"/>
  <c r="BJ281" i="13"/>
  <c r="BK281" i="13" s="1"/>
  <c r="AY282" i="13"/>
  <c r="AZ282" i="13"/>
  <c r="BG282" i="13"/>
  <c r="BH282" i="13"/>
  <c r="BJ282" i="13"/>
  <c r="BK282" i="13" s="1"/>
  <c r="AY283" i="13"/>
  <c r="AZ283" i="13"/>
  <c r="BG283" i="13"/>
  <c r="BH283" i="13"/>
  <c r="BJ283" i="13"/>
  <c r="BK283" i="13" s="1"/>
  <c r="AY284" i="13"/>
  <c r="AZ284" i="13"/>
  <c r="BG284" i="13"/>
  <c r="BH284" i="13"/>
  <c r="BJ284" i="13"/>
  <c r="BK284" i="13" s="1"/>
  <c r="AY285" i="13"/>
  <c r="AZ285" i="13"/>
  <c r="BG285" i="13"/>
  <c r="BH285" i="13"/>
  <c r="BJ285" i="13"/>
  <c r="BK285" i="13" s="1"/>
  <c r="AY286" i="13"/>
  <c r="AZ286" i="13"/>
  <c r="BG286" i="13"/>
  <c r="BH286" i="13"/>
  <c r="BJ286" i="13"/>
  <c r="BK286" i="13" s="1"/>
  <c r="AY287" i="13"/>
  <c r="AZ287" i="13"/>
  <c r="BG287" i="13"/>
  <c r="BH287" i="13"/>
  <c r="BJ287" i="13"/>
  <c r="BK287" i="13" s="1"/>
  <c r="AY288" i="13"/>
  <c r="AZ288" i="13"/>
  <c r="BG288" i="13"/>
  <c r="BH288" i="13"/>
  <c r="BJ288" i="13"/>
  <c r="BK288" i="13" s="1"/>
  <c r="AY289" i="13"/>
  <c r="AZ289" i="13"/>
  <c r="BG289" i="13"/>
  <c r="BH289" i="13"/>
  <c r="BJ289" i="13"/>
  <c r="BK289" i="13" s="1"/>
  <c r="AY290" i="13"/>
  <c r="AZ290" i="13"/>
  <c r="BG290" i="13"/>
  <c r="BH290" i="13"/>
  <c r="BJ290" i="13"/>
  <c r="BK290" i="13" s="1"/>
  <c r="AY291" i="13"/>
  <c r="AZ291" i="13"/>
  <c r="BG291" i="13"/>
  <c r="BH291" i="13"/>
  <c r="BJ291" i="13"/>
  <c r="BK291" i="13" s="1"/>
  <c r="AY292" i="13"/>
  <c r="AZ292" i="13"/>
  <c r="BG292" i="13"/>
  <c r="BH292" i="13"/>
  <c r="BJ292" i="13"/>
  <c r="BK292" i="13" s="1"/>
  <c r="AY293" i="13"/>
  <c r="AZ293" i="13"/>
  <c r="BG293" i="13"/>
  <c r="BH293" i="13"/>
  <c r="BJ293" i="13"/>
  <c r="BK293" i="13" s="1"/>
  <c r="AY294" i="13"/>
  <c r="AZ294" i="13"/>
  <c r="BG294" i="13"/>
  <c r="BH294" i="13"/>
  <c r="BJ294" i="13"/>
  <c r="BK294" i="13" s="1"/>
  <c r="AY295" i="13"/>
  <c r="AZ295" i="13"/>
  <c r="BG295" i="13"/>
  <c r="BH295" i="13"/>
  <c r="BJ295" i="13"/>
  <c r="BK295" i="13" s="1"/>
  <c r="AY296" i="13"/>
  <c r="AZ296" i="13"/>
  <c r="BG296" i="13"/>
  <c r="BH296" i="13"/>
  <c r="BJ296" i="13"/>
  <c r="BK296" i="13" s="1"/>
  <c r="AY297" i="13"/>
  <c r="AZ297" i="13"/>
  <c r="BG297" i="13"/>
  <c r="BH297" i="13"/>
  <c r="BJ297" i="13"/>
  <c r="BK297" i="13" s="1"/>
  <c r="AY298" i="13"/>
  <c r="AZ298" i="13"/>
  <c r="BG298" i="13"/>
  <c r="BH298" i="13"/>
  <c r="BJ298" i="13"/>
  <c r="BK298" i="13" s="1"/>
  <c r="AY299" i="13"/>
  <c r="AZ299" i="13"/>
  <c r="BG299" i="13"/>
  <c r="BH299" i="13"/>
  <c r="BJ299" i="13"/>
  <c r="BK299" i="13" s="1"/>
  <c r="AY300" i="13"/>
  <c r="AZ300" i="13"/>
  <c r="BG300" i="13"/>
  <c r="BH300" i="13"/>
  <c r="BJ300" i="13"/>
  <c r="BK300" i="13" s="1"/>
  <c r="AY301" i="13"/>
  <c r="AZ301" i="13"/>
  <c r="BG301" i="13"/>
  <c r="BH301" i="13"/>
  <c r="BJ301" i="13"/>
  <c r="BK301" i="13" s="1"/>
  <c r="AY302" i="13"/>
  <c r="AZ302" i="13"/>
  <c r="BG302" i="13"/>
  <c r="BH302" i="13"/>
  <c r="BJ302" i="13"/>
  <c r="BK302" i="13" s="1"/>
  <c r="AY303" i="13"/>
  <c r="AZ303" i="13"/>
  <c r="BG303" i="13"/>
  <c r="BH303" i="13"/>
  <c r="BJ303" i="13"/>
  <c r="BK303" i="13" s="1"/>
  <c r="AY304" i="13"/>
  <c r="AZ304" i="13"/>
  <c r="BG304" i="13"/>
  <c r="BH304" i="13"/>
  <c r="BJ304" i="13"/>
  <c r="BK304" i="13" s="1"/>
  <c r="AY305" i="13"/>
  <c r="AZ305" i="13"/>
  <c r="BG305" i="13"/>
  <c r="BH305" i="13"/>
  <c r="BJ305" i="13"/>
  <c r="BK305" i="13" s="1"/>
  <c r="AY306" i="13"/>
  <c r="AZ306" i="13"/>
  <c r="BG306" i="13"/>
  <c r="BH306" i="13"/>
  <c r="BJ306" i="13"/>
  <c r="BK306" i="13" s="1"/>
  <c r="AY307" i="13"/>
  <c r="AZ307" i="13"/>
  <c r="BG307" i="13"/>
  <c r="BH307" i="13"/>
  <c r="BJ307" i="13"/>
  <c r="BK307" i="13" s="1"/>
  <c r="AY308" i="13"/>
  <c r="AZ308" i="13"/>
  <c r="BG308" i="13"/>
  <c r="BH308" i="13"/>
  <c r="BJ308" i="13"/>
  <c r="BK308" i="13" s="1"/>
  <c r="AY309" i="13"/>
  <c r="AZ309" i="13"/>
  <c r="BG309" i="13"/>
  <c r="BH309" i="13"/>
  <c r="BJ309" i="13"/>
  <c r="BK309" i="13" s="1"/>
  <c r="AY310" i="13"/>
  <c r="AZ310" i="13"/>
  <c r="BG310" i="13"/>
  <c r="BH310" i="13"/>
  <c r="BJ310" i="13"/>
  <c r="BK310" i="13" s="1"/>
  <c r="AY311" i="13"/>
  <c r="AZ311" i="13"/>
  <c r="BG311" i="13"/>
  <c r="BH311" i="13"/>
  <c r="BJ311" i="13"/>
  <c r="BK311" i="13" s="1"/>
  <c r="AY312" i="13"/>
  <c r="AZ312" i="13"/>
  <c r="BG312" i="13"/>
  <c r="BH312" i="13"/>
  <c r="BJ312" i="13"/>
  <c r="BK312" i="13" s="1"/>
  <c r="AY313" i="13"/>
  <c r="AZ313" i="13"/>
  <c r="BG313" i="13"/>
  <c r="BH313" i="13"/>
  <c r="BJ313" i="13"/>
  <c r="BK313" i="13" s="1"/>
  <c r="AY314" i="13"/>
  <c r="AZ314" i="13"/>
  <c r="BG314" i="13"/>
  <c r="BH314" i="13"/>
  <c r="BJ314" i="13"/>
  <c r="BK314" i="13" s="1"/>
  <c r="AY315" i="13"/>
  <c r="AZ315" i="13"/>
  <c r="BG315" i="13"/>
  <c r="BH315" i="13"/>
  <c r="BJ315" i="13"/>
  <c r="BK315" i="13" s="1"/>
  <c r="AY316" i="13"/>
  <c r="AZ316" i="13"/>
  <c r="BG316" i="13"/>
  <c r="BH316" i="13"/>
  <c r="BJ316" i="13"/>
  <c r="BK316" i="13" s="1"/>
  <c r="AY317" i="13"/>
  <c r="AZ317" i="13"/>
  <c r="BG317" i="13"/>
  <c r="BH317" i="13"/>
  <c r="BJ317" i="13"/>
  <c r="BK317" i="13" s="1"/>
  <c r="AY318" i="13"/>
  <c r="AZ318" i="13"/>
  <c r="BG318" i="13"/>
  <c r="BH318" i="13"/>
  <c r="BJ318" i="13"/>
  <c r="BK318" i="13" s="1"/>
  <c r="AY319" i="13"/>
  <c r="AZ319" i="13"/>
  <c r="BG319" i="13"/>
  <c r="BH319" i="13"/>
  <c r="BJ319" i="13"/>
  <c r="BK319" i="13" s="1"/>
  <c r="AY320" i="13"/>
  <c r="AZ320" i="13"/>
  <c r="BG320" i="13"/>
  <c r="BH320" i="13"/>
  <c r="BJ320" i="13"/>
  <c r="BK320" i="13" s="1"/>
  <c r="AY321" i="13"/>
  <c r="AZ321" i="13"/>
  <c r="BG321" i="13"/>
  <c r="BH321" i="13"/>
  <c r="BJ321" i="13"/>
  <c r="BK321" i="13" s="1"/>
  <c r="AY322" i="13"/>
  <c r="AZ322" i="13"/>
  <c r="BG322" i="13"/>
  <c r="BH322" i="13"/>
  <c r="BJ322" i="13"/>
  <c r="BK322" i="13" s="1"/>
  <c r="AY323" i="13"/>
  <c r="AZ323" i="13"/>
  <c r="BG323" i="13"/>
  <c r="BH323" i="13"/>
  <c r="BJ323" i="13"/>
  <c r="BK323" i="13" s="1"/>
  <c r="AY324" i="13"/>
  <c r="AZ324" i="13"/>
  <c r="BG324" i="13"/>
  <c r="BH324" i="13"/>
  <c r="BJ324" i="13"/>
  <c r="BK324" i="13" s="1"/>
  <c r="AY325" i="13"/>
  <c r="AZ325" i="13"/>
  <c r="BG325" i="13"/>
  <c r="BH325" i="13"/>
  <c r="BJ325" i="13"/>
  <c r="BK325" i="13" s="1"/>
  <c r="AY326" i="13"/>
  <c r="AZ326" i="13"/>
  <c r="BG326" i="13"/>
  <c r="BH326" i="13"/>
  <c r="BJ326" i="13"/>
  <c r="BK326" i="13" s="1"/>
  <c r="AY327" i="13"/>
  <c r="AZ327" i="13"/>
  <c r="BG327" i="13"/>
  <c r="BH327" i="13"/>
  <c r="BJ327" i="13"/>
  <c r="BK327" i="13" s="1"/>
  <c r="AY328" i="13"/>
  <c r="AZ328" i="13"/>
  <c r="BG328" i="13"/>
  <c r="BH328" i="13"/>
  <c r="BJ328" i="13"/>
  <c r="BK328" i="13" s="1"/>
  <c r="AY329" i="13"/>
  <c r="AZ329" i="13"/>
  <c r="BG329" i="13"/>
  <c r="BH329" i="13"/>
  <c r="BJ329" i="13"/>
  <c r="BK329" i="13" s="1"/>
  <c r="AY330" i="13"/>
  <c r="AZ330" i="13"/>
  <c r="BG330" i="13"/>
  <c r="BH330" i="13"/>
  <c r="BJ330" i="13"/>
  <c r="BK330" i="13" s="1"/>
  <c r="AY331" i="13"/>
  <c r="AZ331" i="13"/>
  <c r="BG331" i="13"/>
  <c r="BH331" i="13"/>
  <c r="BJ331" i="13"/>
  <c r="BK331" i="13" s="1"/>
  <c r="AY332" i="13"/>
  <c r="AZ332" i="13"/>
  <c r="BG332" i="13"/>
  <c r="BH332" i="13"/>
  <c r="BJ332" i="13"/>
  <c r="BK332" i="13" s="1"/>
  <c r="AY333" i="13"/>
  <c r="AZ333" i="13"/>
  <c r="BG333" i="13"/>
  <c r="BH333" i="13"/>
  <c r="BJ333" i="13"/>
  <c r="BK333" i="13" s="1"/>
  <c r="AY334" i="13"/>
  <c r="AZ334" i="13"/>
  <c r="BG334" i="13"/>
  <c r="BH334" i="13"/>
  <c r="BJ334" i="13"/>
  <c r="BK334" i="13" s="1"/>
  <c r="AY335" i="13"/>
  <c r="AZ335" i="13"/>
  <c r="BG335" i="13"/>
  <c r="BH335" i="13"/>
  <c r="BJ335" i="13"/>
  <c r="BK335" i="13" s="1"/>
  <c r="AY336" i="13"/>
  <c r="AZ336" i="13"/>
  <c r="BG336" i="13"/>
  <c r="BH336" i="13"/>
  <c r="BJ336" i="13"/>
  <c r="BK336" i="13" s="1"/>
  <c r="AY337" i="13"/>
  <c r="AZ337" i="13"/>
  <c r="BG337" i="13"/>
  <c r="BH337" i="13"/>
  <c r="BJ337" i="13"/>
  <c r="BK337" i="13" s="1"/>
  <c r="AY338" i="13"/>
  <c r="AZ338" i="13"/>
  <c r="BG338" i="13"/>
  <c r="BH338" i="13"/>
  <c r="BJ338" i="13"/>
  <c r="BK338" i="13" s="1"/>
  <c r="AY339" i="13"/>
  <c r="AZ339" i="13"/>
  <c r="BG339" i="13"/>
  <c r="BH339" i="13"/>
  <c r="BJ339" i="13"/>
  <c r="BK339" i="13" s="1"/>
  <c r="AY340" i="13"/>
  <c r="AZ340" i="13"/>
  <c r="BG340" i="13"/>
  <c r="BH340" i="13"/>
  <c r="BJ340" i="13"/>
  <c r="BK340" i="13" s="1"/>
  <c r="AY341" i="13"/>
  <c r="AZ341" i="13"/>
  <c r="BG341" i="13"/>
  <c r="BH341" i="13"/>
  <c r="BJ341" i="13"/>
  <c r="BK341" i="13" s="1"/>
  <c r="AY342" i="13"/>
  <c r="AZ342" i="13"/>
  <c r="BG342" i="13"/>
  <c r="BH342" i="13"/>
  <c r="BJ342" i="13"/>
  <c r="BK342" i="13" s="1"/>
  <c r="AY343" i="13"/>
  <c r="AZ343" i="13"/>
  <c r="BG343" i="13"/>
  <c r="BH343" i="13"/>
  <c r="BJ343" i="13"/>
  <c r="BK343" i="13" s="1"/>
  <c r="AY344" i="13"/>
  <c r="AZ344" i="13"/>
  <c r="BG344" i="13"/>
  <c r="BH344" i="13"/>
  <c r="BJ344" i="13"/>
  <c r="BK344" i="13" s="1"/>
  <c r="AY345" i="13"/>
  <c r="AZ345" i="13"/>
  <c r="BG345" i="13"/>
  <c r="BH345" i="13"/>
  <c r="BJ345" i="13"/>
  <c r="BK345" i="13" s="1"/>
  <c r="AY346" i="13"/>
  <c r="AZ346" i="13"/>
  <c r="BG346" i="13"/>
  <c r="BH346" i="13"/>
  <c r="BJ346" i="13"/>
  <c r="BK346" i="13" s="1"/>
  <c r="AY347" i="13"/>
  <c r="AZ347" i="13"/>
  <c r="BG347" i="13"/>
  <c r="BH347" i="13"/>
  <c r="BJ347" i="13"/>
  <c r="BK347" i="13" s="1"/>
  <c r="AY348" i="13"/>
  <c r="AZ348" i="13"/>
  <c r="BG348" i="13"/>
  <c r="BH348" i="13"/>
  <c r="BJ348" i="13"/>
  <c r="BK348" i="13" s="1"/>
  <c r="AY349" i="13"/>
  <c r="AZ349" i="13"/>
  <c r="BG349" i="13"/>
  <c r="BH349" i="13"/>
  <c r="BJ349" i="13"/>
  <c r="BK349" i="13" s="1"/>
  <c r="AY350" i="13"/>
  <c r="AZ350" i="13"/>
  <c r="BG350" i="13"/>
  <c r="BH350" i="13"/>
  <c r="BJ350" i="13"/>
  <c r="BK350" i="13" s="1"/>
  <c r="AY351" i="13"/>
  <c r="AZ351" i="13"/>
  <c r="BG351" i="13"/>
  <c r="BH351" i="13"/>
  <c r="BJ351" i="13"/>
  <c r="BK351" i="13" s="1"/>
  <c r="AY352" i="13"/>
  <c r="AZ352" i="13"/>
  <c r="BG352" i="13"/>
  <c r="BH352" i="13"/>
  <c r="BJ352" i="13"/>
  <c r="BK352" i="13" s="1"/>
  <c r="AY353" i="13"/>
  <c r="AZ353" i="13"/>
  <c r="BG353" i="13"/>
  <c r="BH353" i="13"/>
  <c r="BJ353" i="13"/>
  <c r="BK353" i="13" s="1"/>
  <c r="AY354" i="13"/>
  <c r="AZ354" i="13"/>
  <c r="BG354" i="13"/>
  <c r="BH354" i="13"/>
  <c r="BJ354" i="13"/>
  <c r="BK354" i="13" s="1"/>
  <c r="AY355" i="13"/>
  <c r="AZ355" i="13"/>
  <c r="BG355" i="13"/>
  <c r="BH355" i="13"/>
  <c r="BJ355" i="13"/>
  <c r="BK355" i="13" s="1"/>
  <c r="AY356" i="13"/>
  <c r="AZ356" i="13"/>
  <c r="BG356" i="13"/>
  <c r="BH356" i="13"/>
  <c r="BJ356" i="13"/>
  <c r="BK356" i="13" s="1"/>
  <c r="AY357" i="13"/>
  <c r="AZ357" i="13"/>
  <c r="BG357" i="13"/>
  <c r="BH357" i="13"/>
  <c r="BJ357" i="13"/>
  <c r="BK357" i="13" s="1"/>
  <c r="AY358" i="13"/>
  <c r="AZ358" i="13"/>
  <c r="BG358" i="13"/>
  <c r="BH358" i="13"/>
  <c r="BJ358" i="13"/>
  <c r="BK358" i="13" s="1"/>
  <c r="AY359" i="13"/>
  <c r="AZ359" i="13"/>
  <c r="BG359" i="13"/>
  <c r="BH359" i="13"/>
  <c r="BJ359" i="13"/>
  <c r="BK359" i="13" s="1"/>
  <c r="AY360" i="13"/>
  <c r="AZ360" i="13"/>
  <c r="BG360" i="13"/>
  <c r="BH360" i="13"/>
  <c r="BJ360" i="13"/>
  <c r="BK360" i="13" s="1"/>
  <c r="AY361" i="13"/>
  <c r="AZ361" i="13"/>
  <c r="BG361" i="13"/>
  <c r="BH361" i="13"/>
  <c r="BJ361" i="13"/>
  <c r="BK361" i="13" s="1"/>
  <c r="AY362" i="13"/>
  <c r="AZ362" i="13"/>
  <c r="BG362" i="13"/>
  <c r="BH362" i="13"/>
  <c r="BJ362" i="13"/>
  <c r="BK362" i="13" s="1"/>
  <c r="AY363" i="13"/>
  <c r="AZ363" i="13"/>
  <c r="BG363" i="13"/>
  <c r="BH363" i="13"/>
  <c r="BJ363" i="13"/>
  <c r="BK363" i="13" s="1"/>
  <c r="AY364" i="13"/>
  <c r="AZ364" i="13"/>
  <c r="BG364" i="13"/>
  <c r="BH364" i="13"/>
  <c r="BJ364" i="13"/>
  <c r="BK364" i="13" s="1"/>
  <c r="AY365" i="13"/>
  <c r="AZ365" i="13"/>
  <c r="BG365" i="13"/>
  <c r="BH365" i="13"/>
  <c r="BJ365" i="13"/>
  <c r="BK365" i="13" s="1"/>
  <c r="AY366" i="13"/>
  <c r="AZ366" i="13"/>
  <c r="BG366" i="13"/>
  <c r="BH366" i="13"/>
  <c r="BJ366" i="13"/>
  <c r="BK366" i="13" s="1"/>
  <c r="AY367" i="13"/>
  <c r="AZ367" i="13"/>
  <c r="BG367" i="13"/>
  <c r="BH367" i="13"/>
  <c r="BJ367" i="13"/>
  <c r="BK367" i="13" s="1"/>
  <c r="AY368" i="13"/>
  <c r="AZ368" i="13"/>
  <c r="BG368" i="13"/>
  <c r="BH368" i="13"/>
  <c r="BJ368" i="13"/>
  <c r="BK368" i="13" s="1"/>
  <c r="AY369" i="13"/>
  <c r="AZ369" i="13"/>
  <c r="BG369" i="13"/>
  <c r="BH369" i="13"/>
  <c r="BJ369" i="13"/>
  <c r="BK369" i="13" s="1"/>
  <c r="AY370" i="13"/>
  <c r="AZ370" i="13"/>
  <c r="BG370" i="13"/>
  <c r="BH370" i="13"/>
  <c r="BJ370" i="13"/>
  <c r="BK370" i="13" s="1"/>
  <c r="AY371" i="13"/>
  <c r="AZ371" i="13"/>
  <c r="BG371" i="13"/>
  <c r="BH371" i="13"/>
  <c r="BJ371" i="13"/>
  <c r="BK371" i="13" s="1"/>
  <c r="AY372" i="13"/>
  <c r="AZ372" i="13"/>
  <c r="BG372" i="13"/>
  <c r="BH372" i="13"/>
  <c r="BJ372" i="13"/>
  <c r="BK372" i="13" s="1"/>
  <c r="AY373" i="13"/>
  <c r="AZ373" i="13"/>
  <c r="BG373" i="13"/>
  <c r="BH373" i="13"/>
  <c r="BJ373" i="13"/>
  <c r="BK373" i="13" s="1"/>
  <c r="AY374" i="13"/>
  <c r="AZ374" i="13"/>
  <c r="BG374" i="13"/>
  <c r="BH374" i="13"/>
  <c r="BJ374" i="13"/>
  <c r="BK374" i="13" s="1"/>
  <c r="AY375" i="13"/>
  <c r="AZ375" i="13"/>
  <c r="BG375" i="13"/>
  <c r="BH375" i="13"/>
  <c r="BJ375" i="13"/>
  <c r="BK375" i="13" s="1"/>
  <c r="AY376" i="13"/>
  <c r="AZ376" i="13"/>
  <c r="BG376" i="13"/>
  <c r="BH376" i="13"/>
  <c r="BJ376" i="13"/>
  <c r="BK376" i="13" s="1"/>
  <c r="AY377" i="13"/>
  <c r="AZ377" i="13"/>
  <c r="BG377" i="13"/>
  <c r="BH377" i="13"/>
  <c r="BJ377" i="13"/>
  <c r="BK377" i="13" s="1"/>
  <c r="AY378" i="13"/>
  <c r="AZ378" i="13"/>
  <c r="BG378" i="13"/>
  <c r="BH378" i="13"/>
  <c r="BJ378" i="13"/>
  <c r="BK378" i="13" s="1"/>
  <c r="AY379" i="13"/>
  <c r="AZ379" i="13"/>
  <c r="BG379" i="13"/>
  <c r="BH379" i="13"/>
  <c r="BJ379" i="13"/>
  <c r="BK379" i="13" s="1"/>
  <c r="AY380" i="13"/>
  <c r="AZ380" i="13"/>
  <c r="BG380" i="13"/>
  <c r="BH380" i="13"/>
  <c r="BJ380" i="13"/>
  <c r="BK380" i="13" s="1"/>
  <c r="AY381" i="13"/>
  <c r="AZ381" i="13"/>
  <c r="BG381" i="13"/>
  <c r="BH381" i="13"/>
  <c r="BJ381" i="13"/>
  <c r="BK381" i="13" s="1"/>
  <c r="AY382" i="13"/>
  <c r="AZ382" i="13"/>
  <c r="BG382" i="13"/>
  <c r="BH382" i="13"/>
  <c r="BJ382" i="13"/>
  <c r="BK382" i="13" s="1"/>
  <c r="AY383" i="13"/>
  <c r="AZ383" i="13"/>
  <c r="BG383" i="13"/>
  <c r="BH383" i="13"/>
  <c r="BJ383" i="13"/>
  <c r="BK383" i="13" s="1"/>
  <c r="AY384" i="13"/>
  <c r="AZ384" i="13"/>
  <c r="BG384" i="13"/>
  <c r="BH384" i="13"/>
  <c r="BJ384" i="13"/>
  <c r="BK384" i="13" s="1"/>
  <c r="AY385" i="13"/>
  <c r="AZ385" i="13"/>
  <c r="BG385" i="13"/>
  <c r="BH385" i="13"/>
  <c r="BJ385" i="13"/>
  <c r="BK385" i="13" s="1"/>
  <c r="AY386" i="13"/>
  <c r="AZ386" i="13"/>
  <c r="BG386" i="13"/>
  <c r="BH386" i="13"/>
  <c r="BJ386" i="13"/>
  <c r="BK386" i="13" s="1"/>
  <c r="AY387" i="13"/>
  <c r="AZ387" i="13"/>
  <c r="BG387" i="13"/>
  <c r="BH387" i="13"/>
  <c r="BJ387" i="13"/>
  <c r="BK387" i="13" s="1"/>
  <c r="AY388" i="13"/>
  <c r="AZ388" i="13"/>
  <c r="BG388" i="13"/>
  <c r="BH388" i="13"/>
  <c r="BJ388" i="13"/>
  <c r="BK388" i="13" s="1"/>
  <c r="AY389" i="13"/>
  <c r="AZ389" i="13"/>
  <c r="BG389" i="13"/>
  <c r="BH389" i="13"/>
  <c r="BJ389" i="13"/>
  <c r="BK389" i="13" s="1"/>
  <c r="AY390" i="13"/>
  <c r="AZ390" i="13"/>
  <c r="BG390" i="13"/>
  <c r="BH390" i="13"/>
  <c r="BJ390" i="13"/>
  <c r="BK390" i="13" s="1"/>
  <c r="AY391" i="13"/>
  <c r="AZ391" i="13"/>
  <c r="BG391" i="13"/>
  <c r="BH391" i="13"/>
  <c r="BJ391" i="13"/>
  <c r="BK391" i="13" s="1"/>
  <c r="AY392" i="13"/>
  <c r="AZ392" i="13"/>
  <c r="BG392" i="13"/>
  <c r="BH392" i="13"/>
  <c r="BJ392" i="13"/>
  <c r="BK392" i="13" s="1"/>
  <c r="AY393" i="13"/>
  <c r="AZ393" i="13"/>
  <c r="BG393" i="13"/>
  <c r="BH393" i="13"/>
  <c r="BJ393" i="13"/>
  <c r="BK393" i="13" s="1"/>
  <c r="AY394" i="13"/>
  <c r="AZ394" i="13"/>
  <c r="BG394" i="13"/>
  <c r="BH394" i="13"/>
  <c r="BJ394" i="13"/>
  <c r="BK394" i="13" s="1"/>
  <c r="AY395" i="13"/>
  <c r="AZ395" i="13"/>
  <c r="BG395" i="13"/>
  <c r="BH395" i="13"/>
  <c r="BJ395" i="13"/>
  <c r="BK395" i="13" s="1"/>
  <c r="AY396" i="13"/>
  <c r="AZ396" i="13"/>
  <c r="BG396" i="13"/>
  <c r="BH396" i="13"/>
  <c r="BJ396" i="13"/>
  <c r="BK396" i="13" s="1"/>
  <c r="AY397" i="13"/>
  <c r="AZ397" i="13"/>
  <c r="BG397" i="13"/>
  <c r="BH397" i="13"/>
  <c r="BJ397" i="13"/>
  <c r="BK397" i="13" s="1"/>
  <c r="AY398" i="13"/>
  <c r="AZ398" i="13"/>
  <c r="BG398" i="13"/>
  <c r="BH398" i="13"/>
  <c r="BJ398" i="13"/>
  <c r="BK398" i="13" s="1"/>
  <c r="AY399" i="13"/>
  <c r="AZ399" i="13"/>
  <c r="BG399" i="13"/>
  <c r="BH399" i="13"/>
  <c r="BJ399" i="13"/>
  <c r="BK399" i="13" s="1"/>
  <c r="AY400" i="13"/>
  <c r="AZ400" i="13"/>
  <c r="BG400" i="13"/>
  <c r="BH400" i="13"/>
  <c r="BJ400" i="13"/>
  <c r="BK400" i="13" s="1"/>
  <c r="AY401" i="13"/>
  <c r="AZ401" i="13"/>
  <c r="BG401" i="13"/>
  <c r="BH401" i="13"/>
  <c r="BJ401" i="13"/>
  <c r="BK401" i="13" s="1"/>
  <c r="AY402" i="13"/>
  <c r="AZ402" i="13"/>
  <c r="BG402" i="13"/>
  <c r="BH402" i="13"/>
  <c r="BJ402" i="13"/>
  <c r="BK402" i="13" s="1"/>
  <c r="AY403" i="13"/>
  <c r="AZ403" i="13"/>
  <c r="BG403" i="13"/>
  <c r="BH403" i="13"/>
  <c r="BJ403" i="13"/>
  <c r="BK403" i="13" s="1"/>
  <c r="AY404" i="13"/>
  <c r="AZ404" i="13"/>
  <c r="BG404" i="13"/>
  <c r="BH404" i="13"/>
  <c r="BJ404" i="13"/>
  <c r="BK404" i="13" s="1"/>
  <c r="AY405" i="13"/>
  <c r="AZ405" i="13"/>
  <c r="BG405" i="13"/>
  <c r="BH405" i="13"/>
  <c r="BJ405" i="13"/>
  <c r="BK405" i="13" s="1"/>
  <c r="AY406" i="13"/>
  <c r="AZ406" i="13"/>
  <c r="BG406" i="13"/>
  <c r="BH406" i="13"/>
  <c r="BJ406" i="13"/>
  <c r="BK406" i="13" s="1"/>
  <c r="AY407" i="13"/>
  <c r="AZ407" i="13"/>
  <c r="BG407" i="13"/>
  <c r="BH407" i="13"/>
  <c r="BJ407" i="13"/>
  <c r="BK407" i="13" s="1"/>
  <c r="AY408" i="13"/>
  <c r="AZ408" i="13"/>
  <c r="BG408" i="13"/>
  <c r="BH408" i="13"/>
  <c r="BJ408" i="13"/>
  <c r="BK408" i="13" s="1"/>
  <c r="AY409" i="13"/>
  <c r="AZ409" i="13"/>
  <c r="BG409" i="13"/>
  <c r="BH409" i="13"/>
  <c r="BJ409" i="13"/>
  <c r="BK409" i="13" s="1"/>
  <c r="AY410" i="13"/>
  <c r="AZ410" i="13"/>
  <c r="BG410" i="13"/>
  <c r="BH410" i="13"/>
  <c r="BJ410" i="13"/>
  <c r="BK410" i="13" s="1"/>
  <c r="AY411" i="13"/>
  <c r="AZ411" i="13"/>
  <c r="BG411" i="13"/>
  <c r="BH411" i="13"/>
  <c r="BJ411" i="13"/>
  <c r="BK411" i="13" s="1"/>
  <c r="AY412" i="13"/>
  <c r="AZ412" i="13"/>
  <c r="BG412" i="13"/>
  <c r="BH412" i="13"/>
  <c r="BJ412" i="13"/>
  <c r="BK412" i="13" s="1"/>
  <c r="AY413" i="13"/>
  <c r="AZ413" i="13"/>
  <c r="BG413" i="13"/>
  <c r="BH413" i="13"/>
  <c r="BJ413" i="13"/>
  <c r="BK413" i="13" s="1"/>
  <c r="AY414" i="13"/>
  <c r="AZ414" i="13"/>
  <c r="BG414" i="13"/>
  <c r="BH414" i="13"/>
  <c r="BJ414" i="13"/>
  <c r="BK414" i="13" s="1"/>
  <c r="AY415" i="13"/>
  <c r="AZ415" i="13"/>
  <c r="BG415" i="13"/>
  <c r="BH415" i="13"/>
  <c r="BJ415" i="13"/>
  <c r="BK415" i="13" s="1"/>
  <c r="AY416" i="13"/>
  <c r="AZ416" i="13"/>
  <c r="BG416" i="13"/>
  <c r="BH416" i="13"/>
  <c r="BJ416" i="13"/>
  <c r="BK416" i="13" s="1"/>
  <c r="AY417" i="13"/>
  <c r="AZ417" i="13"/>
  <c r="BG417" i="13"/>
  <c r="BH417" i="13"/>
  <c r="BJ417" i="13"/>
  <c r="BK417" i="13" s="1"/>
  <c r="AY418" i="13"/>
  <c r="AZ418" i="13"/>
  <c r="BG418" i="13"/>
  <c r="BH418" i="13"/>
  <c r="BJ418" i="13"/>
  <c r="BK418" i="13" s="1"/>
  <c r="AY419" i="13"/>
  <c r="AZ419" i="13"/>
  <c r="BG419" i="13"/>
  <c r="BH419" i="13"/>
  <c r="BJ419" i="13"/>
  <c r="BK419" i="13" s="1"/>
  <c r="AY420" i="13"/>
  <c r="AZ420" i="13"/>
  <c r="BG420" i="13"/>
  <c r="BH420" i="13"/>
  <c r="BJ420" i="13"/>
  <c r="BK420" i="13" s="1"/>
  <c r="AY421" i="13"/>
  <c r="AZ421" i="13"/>
  <c r="BG421" i="13"/>
  <c r="BH421" i="13"/>
  <c r="BJ421" i="13"/>
  <c r="BK421" i="13" s="1"/>
  <c r="AY422" i="13"/>
  <c r="AZ422" i="13"/>
  <c r="BG422" i="13"/>
  <c r="BH422" i="13"/>
  <c r="BJ422" i="13"/>
  <c r="BK422" i="13" s="1"/>
  <c r="AY423" i="13"/>
  <c r="AZ423" i="13"/>
  <c r="BG423" i="13"/>
  <c r="BH423" i="13"/>
  <c r="BJ423" i="13"/>
  <c r="BK423" i="13" s="1"/>
  <c r="AY424" i="13"/>
  <c r="AZ424" i="13"/>
  <c r="BG424" i="13"/>
  <c r="BH424" i="13"/>
  <c r="BJ424" i="13"/>
  <c r="BK424" i="13" s="1"/>
  <c r="AY425" i="13"/>
  <c r="AZ425" i="13"/>
  <c r="BG425" i="13"/>
  <c r="BH425" i="13"/>
  <c r="BJ425" i="13"/>
  <c r="BK425" i="13" s="1"/>
  <c r="AY426" i="13"/>
  <c r="AZ426" i="13"/>
  <c r="BG426" i="13"/>
  <c r="BH426" i="13"/>
  <c r="BJ426" i="13"/>
  <c r="BK426" i="13" s="1"/>
  <c r="AY427" i="13"/>
  <c r="AZ427" i="13"/>
  <c r="BG427" i="13"/>
  <c r="BH427" i="13"/>
  <c r="BJ427" i="13"/>
  <c r="BK427" i="13" s="1"/>
  <c r="AY428" i="13"/>
  <c r="AZ428" i="13"/>
  <c r="BG428" i="13"/>
  <c r="BH428" i="13"/>
  <c r="BJ428" i="13"/>
  <c r="BK428" i="13" s="1"/>
  <c r="AY429" i="13"/>
  <c r="AZ429" i="13"/>
  <c r="BG429" i="13"/>
  <c r="BH429" i="13"/>
  <c r="BJ429" i="13"/>
  <c r="BK429" i="13" s="1"/>
  <c r="AY430" i="13"/>
  <c r="AZ430" i="13"/>
  <c r="BG430" i="13"/>
  <c r="BH430" i="13"/>
  <c r="BJ430" i="13"/>
  <c r="BK430" i="13" s="1"/>
  <c r="AY431" i="13"/>
  <c r="AZ431" i="13"/>
  <c r="BG431" i="13"/>
  <c r="BH431" i="13"/>
  <c r="BJ431" i="13"/>
  <c r="BK431" i="13" s="1"/>
  <c r="AY432" i="13"/>
  <c r="AZ432" i="13"/>
  <c r="BG432" i="13"/>
  <c r="BH432" i="13"/>
  <c r="BJ432" i="13"/>
  <c r="BK432" i="13" s="1"/>
  <c r="AY433" i="13"/>
  <c r="AZ433" i="13"/>
  <c r="BG433" i="13"/>
  <c r="BH433" i="13"/>
  <c r="BJ433" i="13"/>
  <c r="BK433" i="13" s="1"/>
  <c r="AY434" i="13"/>
  <c r="AZ434" i="13"/>
  <c r="BG434" i="13"/>
  <c r="BH434" i="13"/>
  <c r="BJ434" i="13"/>
  <c r="BK434" i="13" s="1"/>
  <c r="AY435" i="13"/>
  <c r="AZ435" i="13"/>
  <c r="BG435" i="13"/>
  <c r="BH435" i="13"/>
  <c r="BJ435" i="13"/>
  <c r="BK435" i="13" s="1"/>
  <c r="AY436" i="13"/>
  <c r="AZ436" i="13"/>
  <c r="BG436" i="13"/>
  <c r="BH436" i="13"/>
  <c r="BJ436" i="13"/>
  <c r="BK436" i="13" s="1"/>
  <c r="AY437" i="13"/>
  <c r="AZ437" i="13"/>
  <c r="BG437" i="13"/>
  <c r="BH437" i="13"/>
  <c r="BJ437" i="13"/>
  <c r="BK437" i="13" s="1"/>
  <c r="AY438" i="13"/>
  <c r="AZ438" i="13"/>
  <c r="BG438" i="13"/>
  <c r="BH438" i="13"/>
  <c r="BJ438" i="13"/>
  <c r="BK438" i="13" s="1"/>
  <c r="AY439" i="13"/>
  <c r="AZ439" i="13"/>
  <c r="BG439" i="13"/>
  <c r="BH439" i="13"/>
  <c r="BJ439" i="13"/>
  <c r="BK439" i="13" s="1"/>
  <c r="AY440" i="13"/>
  <c r="AZ440" i="13"/>
  <c r="BG440" i="13"/>
  <c r="BH440" i="13"/>
  <c r="BJ440" i="13"/>
  <c r="BK440" i="13" s="1"/>
  <c r="AY441" i="13"/>
  <c r="AZ441" i="13"/>
  <c r="BG441" i="13"/>
  <c r="BH441" i="13"/>
  <c r="BJ441" i="13"/>
  <c r="BK441" i="13" s="1"/>
  <c r="AY442" i="13"/>
  <c r="AZ442" i="13"/>
  <c r="BG442" i="13"/>
  <c r="BH442" i="13"/>
  <c r="BJ442" i="13"/>
  <c r="BK442" i="13" s="1"/>
  <c r="AY443" i="13"/>
  <c r="AZ443" i="13"/>
  <c r="BG443" i="13"/>
  <c r="BH443" i="13"/>
  <c r="BJ443" i="13"/>
  <c r="BK443" i="13" s="1"/>
  <c r="AY444" i="13"/>
  <c r="AZ444" i="13"/>
  <c r="BG444" i="13"/>
  <c r="BH444" i="13"/>
  <c r="BJ444" i="13"/>
  <c r="BK444" i="13" s="1"/>
  <c r="AY445" i="13"/>
  <c r="AZ445" i="13"/>
  <c r="BG445" i="13"/>
  <c r="BH445" i="13"/>
  <c r="BJ445" i="13"/>
  <c r="BK445" i="13" s="1"/>
  <c r="AY446" i="13"/>
  <c r="AZ446" i="13"/>
  <c r="BG446" i="13"/>
  <c r="BH446" i="13"/>
  <c r="BJ446" i="13"/>
  <c r="BK446" i="13" s="1"/>
  <c r="AY447" i="13"/>
  <c r="AZ447" i="13"/>
  <c r="BG447" i="13"/>
  <c r="BH447" i="13"/>
  <c r="BJ447" i="13"/>
  <c r="BK447" i="13" s="1"/>
  <c r="AY448" i="13"/>
  <c r="AZ448" i="13"/>
  <c r="BG448" i="13"/>
  <c r="BH448" i="13"/>
  <c r="BJ448" i="13"/>
  <c r="BK448" i="13" s="1"/>
  <c r="AY449" i="13"/>
  <c r="AZ449" i="13"/>
  <c r="BG449" i="13"/>
  <c r="BH449" i="13"/>
  <c r="BJ449" i="13"/>
  <c r="BK449" i="13" s="1"/>
  <c r="AY450" i="13"/>
  <c r="AZ450" i="13"/>
  <c r="BG450" i="13"/>
  <c r="BH450" i="13"/>
  <c r="BJ450" i="13"/>
  <c r="BK450" i="13" s="1"/>
  <c r="AY451" i="13"/>
  <c r="AZ451" i="13"/>
  <c r="BG451" i="13"/>
  <c r="BH451" i="13"/>
  <c r="BJ451" i="13"/>
  <c r="BK451" i="13" s="1"/>
  <c r="AY452" i="13"/>
  <c r="AZ452" i="13"/>
  <c r="BG452" i="13"/>
  <c r="BH452" i="13"/>
  <c r="BJ452" i="13"/>
  <c r="BK452" i="13" s="1"/>
  <c r="AY453" i="13"/>
  <c r="AZ453" i="13"/>
  <c r="BG453" i="13"/>
  <c r="BH453" i="13"/>
  <c r="BJ453" i="13"/>
  <c r="BK453" i="13" s="1"/>
  <c r="AY454" i="13"/>
  <c r="AZ454" i="13"/>
  <c r="BG454" i="13"/>
  <c r="BH454" i="13"/>
  <c r="BJ454" i="13"/>
  <c r="BK454" i="13" s="1"/>
  <c r="AY455" i="13"/>
  <c r="AZ455" i="13"/>
  <c r="BG455" i="13"/>
  <c r="BH455" i="13"/>
  <c r="BJ455" i="13"/>
  <c r="BK455" i="13" s="1"/>
  <c r="AY456" i="13"/>
  <c r="AZ456" i="13"/>
  <c r="BG456" i="13"/>
  <c r="BH456" i="13"/>
  <c r="BJ456" i="13"/>
  <c r="BK456" i="13" s="1"/>
  <c r="AY457" i="13"/>
  <c r="AZ457" i="13"/>
  <c r="BG457" i="13"/>
  <c r="BH457" i="13"/>
  <c r="BJ457" i="13"/>
  <c r="BK457" i="13" s="1"/>
  <c r="AY458" i="13"/>
  <c r="AZ458" i="13"/>
  <c r="BG458" i="13"/>
  <c r="BH458" i="13"/>
  <c r="BJ458" i="13"/>
  <c r="BK458" i="13" s="1"/>
  <c r="AY459" i="13"/>
  <c r="AZ459" i="13"/>
  <c r="BG459" i="13"/>
  <c r="BH459" i="13"/>
  <c r="BJ459" i="13"/>
  <c r="BK459" i="13" s="1"/>
  <c r="AY460" i="13"/>
  <c r="AZ460" i="13"/>
  <c r="BG460" i="13"/>
  <c r="BH460" i="13"/>
  <c r="BJ460" i="13"/>
  <c r="BK460" i="13" s="1"/>
  <c r="AY461" i="13"/>
  <c r="AZ461" i="13"/>
  <c r="BG461" i="13"/>
  <c r="BH461" i="13"/>
  <c r="BJ461" i="13"/>
  <c r="BK461" i="13" s="1"/>
  <c r="AY462" i="13"/>
  <c r="AZ462" i="13"/>
  <c r="BG462" i="13"/>
  <c r="BH462" i="13"/>
  <c r="BJ462" i="13"/>
  <c r="BK462" i="13" s="1"/>
  <c r="AY463" i="13"/>
  <c r="AZ463" i="13"/>
  <c r="BG463" i="13"/>
  <c r="BH463" i="13"/>
  <c r="BJ463" i="13"/>
  <c r="BK463" i="13" s="1"/>
  <c r="AY464" i="13"/>
  <c r="AZ464" i="13"/>
  <c r="BG464" i="13"/>
  <c r="BH464" i="13"/>
  <c r="BJ464" i="13"/>
  <c r="BK464" i="13" s="1"/>
  <c r="AY465" i="13"/>
  <c r="AZ465" i="13"/>
  <c r="BG465" i="13"/>
  <c r="BH465" i="13"/>
  <c r="BJ465" i="13"/>
  <c r="BK465" i="13" s="1"/>
  <c r="AY466" i="13"/>
  <c r="AZ466" i="13"/>
  <c r="BG466" i="13"/>
  <c r="BH466" i="13"/>
  <c r="BJ466" i="13"/>
  <c r="BK466" i="13" s="1"/>
  <c r="AY467" i="13"/>
  <c r="AZ467" i="13"/>
  <c r="BG467" i="13"/>
  <c r="BH467" i="13"/>
  <c r="BJ467" i="13"/>
  <c r="BK467" i="13" s="1"/>
  <c r="AY468" i="13"/>
  <c r="AZ468" i="13"/>
  <c r="BG468" i="13"/>
  <c r="BH468" i="13"/>
  <c r="BJ468" i="13"/>
  <c r="BK468" i="13" s="1"/>
  <c r="AY469" i="13"/>
  <c r="AZ469" i="13"/>
  <c r="BG469" i="13"/>
  <c r="BH469" i="13"/>
  <c r="BJ469" i="13"/>
  <c r="BK469" i="13" s="1"/>
  <c r="AY470" i="13"/>
  <c r="AZ470" i="13"/>
  <c r="BG470" i="13"/>
  <c r="BH470" i="13"/>
  <c r="BJ470" i="13"/>
  <c r="BK470" i="13" s="1"/>
  <c r="AY471" i="13"/>
  <c r="AZ471" i="13"/>
  <c r="BG471" i="13"/>
  <c r="BH471" i="13"/>
  <c r="BJ471" i="13"/>
  <c r="BK471" i="13" s="1"/>
  <c r="AY472" i="13"/>
  <c r="AZ472" i="13"/>
  <c r="BG472" i="13"/>
  <c r="BH472" i="13"/>
  <c r="BJ472" i="13"/>
  <c r="BK472" i="13" s="1"/>
  <c r="AY473" i="13"/>
  <c r="AZ473" i="13"/>
  <c r="BG473" i="13"/>
  <c r="BH473" i="13"/>
  <c r="BJ473" i="13"/>
  <c r="BK473" i="13" s="1"/>
  <c r="AY474" i="13"/>
  <c r="AZ474" i="13"/>
  <c r="BG474" i="13"/>
  <c r="BH474" i="13"/>
  <c r="BJ474" i="13"/>
  <c r="BK474" i="13" s="1"/>
  <c r="AY475" i="13"/>
  <c r="AZ475" i="13"/>
  <c r="BG475" i="13"/>
  <c r="BH475" i="13"/>
  <c r="BJ475" i="13"/>
  <c r="BK475" i="13" s="1"/>
  <c r="AY476" i="13"/>
  <c r="AZ476" i="13"/>
  <c r="BG476" i="13"/>
  <c r="BH476" i="13"/>
  <c r="BJ476" i="13"/>
  <c r="BK476" i="13" s="1"/>
  <c r="AY477" i="13"/>
  <c r="AZ477" i="13"/>
  <c r="BG477" i="13"/>
  <c r="BH477" i="13"/>
  <c r="BJ477" i="13"/>
  <c r="BK477" i="13" s="1"/>
  <c r="AY478" i="13"/>
  <c r="AZ478" i="13"/>
  <c r="BG478" i="13"/>
  <c r="BH478" i="13"/>
  <c r="BJ478" i="13"/>
  <c r="BK478" i="13" s="1"/>
  <c r="AY479" i="13"/>
  <c r="AZ479" i="13"/>
  <c r="BG479" i="13"/>
  <c r="BH479" i="13"/>
  <c r="BJ479" i="13"/>
  <c r="BK479" i="13" s="1"/>
  <c r="AY480" i="13"/>
  <c r="AZ480" i="13"/>
  <c r="BG480" i="13"/>
  <c r="BH480" i="13"/>
  <c r="BJ480" i="13"/>
  <c r="BK480" i="13" s="1"/>
  <c r="AY481" i="13"/>
  <c r="AZ481" i="13"/>
  <c r="BG481" i="13"/>
  <c r="BH481" i="13"/>
  <c r="BJ481" i="13"/>
  <c r="BK481" i="13" s="1"/>
  <c r="AY482" i="13"/>
  <c r="AZ482" i="13"/>
  <c r="BG482" i="13"/>
  <c r="BH482" i="13"/>
  <c r="BJ482" i="13"/>
  <c r="BK482" i="13" s="1"/>
  <c r="AY483" i="13"/>
  <c r="AZ483" i="13"/>
  <c r="BG483" i="13"/>
  <c r="BH483" i="13"/>
  <c r="BJ483" i="13"/>
  <c r="BK483" i="13" s="1"/>
  <c r="AY484" i="13"/>
  <c r="AZ484" i="13"/>
  <c r="BG484" i="13"/>
  <c r="BH484" i="13"/>
  <c r="BJ484" i="13"/>
  <c r="BK484" i="13" s="1"/>
  <c r="AY485" i="13"/>
  <c r="AZ485" i="13"/>
  <c r="BG485" i="13"/>
  <c r="BH485" i="13"/>
  <c r="BJ485" i="13"/>
  <c r="BK485" i="13" s="1"/>
  <c r="AY486" i="13"/>
  <c r="AZ486" i="13"/>
  <c r="BG486" i="13"/>
  <c r="BH486" i="13"/>
  <c r="BJ486" i="13"/>
  <c r="BK486" i="13" s="1"/>
  <c r="AY487" i="13"/>
  <c r="AZ487" i="13"/>
  <c r="BG487" i="13"/>
  <c r="BH487" i="13"/>
  <c r="BJ487" i="13"/>
  <c r="BK487" i="13" s="1"/>
  <c r="AY488" i="13"/>
  <c r="AZ488" i="13"/>
  <c r="BG488" i="13"/>
  <c r="BH488" i="13"/>
  <c r="BJ488" i="13"/>
  <c r="BK488" i="13" s="1"/>
  <c r="AY489" i="13"/>
  <c r="AZ489" i="13"/>
  <c r="BG489" i="13"/>
  <c r="BH489" i="13"/>
  <c r="BJ489" i="13"/>
  <c r="BK489" i="13" s="1"/>
  <c r="AY490" i="13"/>
  <c r="AZ490" i="13"/>
  <c r="BG490" i="13"/>
  <c r="BH490" i="13"/>
  <c r="BJ490" i="13"/>
  <c r="BK490" i="13" s="1"/>
  <c r="AY491" i="13"/>
  <c r="AZ491" i="13"/>
  <c r="BG491" i="13"/>
  <c r="BH491" i="13"/>
  <c r="BJ491" i="13"/>
  <c r="BK491" i="13" s="1"/>
  <c r="AY492" i="13"/>
  <c r="AZ492" i="13"/>
  <c r="BG492" i="13"/>
  <c r="BH492" i="13"/>
  <c r="BJ492" i="13"/>
  <c r="BK492" i="13" s="1"/>
  <c r="AY493" i="13"/>
  <c r="AZ493" i="13"/>
  <c r="BG493" i="13"/>
  <c r="BH493" i="13"/>
  <c r="BJ493" i="13"/>
  <c r="BK493" i="13" s="1"/>
  <c r="AY494" i="13"/>
  <c r="AZ494" i="13"/>
  <c r="BG494" i="13"/>
  <c r="BH494" i="13"/>
  <c r="BJ494" i="13"/>
  <c r="BK494" i="13" s="1"/>
  <c r="AY495" i="13"/>
  <c r="AZ495" i="13"/>
  <c r="BG495" i="13"/>
  <c r="BH495" i="13"/>
  <c r="BJ495" i="13"/>
  <c r="BK495" i="13" s="1"/>
  <c r="AY496" i="13"/>
  <c r="AZ496" i="13"/>
  <c r="BG496" i="13"/>
  <c r="BH496" i="13"/>
  <c r="BJ496" i="13"/>
  <c r="BK496" i="13" s="1"/>
  <c r="AY497" i="13"/>
  <c r="AZ497" i="13"/>
  <c r="BG497" i="13"/>
  <c r="BH497" i="13"/>
  <c r="BJ497" i="13"/>
  <c r="BK497" i="13" s="1"/>
  <c r="AY498" i="13"/>
  <c r="AZ498" i="13"/>
  <c r="BG498" i="13"/>
  <c r="BH498" i="13"/>
  <c r="BJ498" i="13"/>
  <c r="BK498" i="13" s="1"/>
  <c r="AY499" i="13"/>
  <c r="AZ499" i="13"/>
  <c r="BG499" i="13"/>
  <c r="BH499" i="13"/>
  <c r="BJ499" i="13"/>
  <c r="BK499" i="13" s="1"/>
  <c r="AY500" i="13"/>
  <c r="AZ500" i="13"/>
  <c r="BG500" i="13"/>
  <c r="BH500" i="13"/>
  <c r="BJ500" i="13"/>
  <c r="BK500" i="13" s="1"/>
  <c r="AY501" i="13"/>
  <c r="AZ501" i="13"/>
  <c r="BG501" i="13"/>
  <c r="BH501" i="13"/>
  <c r="BJ501" i="13"/>
  <c r="BK501" i="13" s="1"/>
  <c r="AY502" i="13"/>
  <c r="AZ502" i="13"/>
  <c r="BG502" i="13"/>
  <c r="BH502" i="13"/>
  <c r="BJ502" i="13"/>
  <c r="BK502" i="13" s="1"/>
  <c r="AY503" i="13"/>
  <c r="AZ503" i="13"/>
  <c r="BG503" i="13"/>
  <c r="BH503" i="13"/>
  <c r="BJ503" i="13"/>
  <c r="BK503" i="13" s="1"/>
  <c r="AY504" i="13"/>
  <c r="AZ504" i="13"/>
  <c r="BG504" i="13"/>
  <c r="BH504" i="13"/>
  <c r="BJ504" i="13"/>
  <c r="BK504" i="13" s="1"/>
  <c r="AY505" i="13"/>
  <c r="AZ505" i="13"/>
  <c r="BG505" i="13"/>
  <c r="BH505" i="13"/>
  <c r="BJ505" i="13"/>
  <c r="BK505" i="13" s="1"/>
  <c r="AY506" i="13"/>
  <c r="AZ506" i="13"/>
  <c r="BG506" i="13"/>
  <c r="BH506" i="13"/>
  <c r="BJ506" i="13"/>
  <c r="BK506" i="13" s="1"/>
  <c r="AY507" i="13"/>
  <c r="AZ507" i="13"/>
  <c r="BG507" i="13"/>
  <c r="BH507" i="13"/>
  <c r="BJ507" i="13"/>
  <c r="BK507" i="13" s="1"/>
  <c r="AY508" i="13"/>
  <c r="AZ508" i="13"/>
  <c r="BG508" i="13"/>
  <c r="BH508" i="13"/>
  <c r="BJ508" i="13"/>
  <c r="BK508" i="13" s="1"/>
  <c r="AY509" i="13"/>
  <c r="AZ509" i="13"/>
  <c r="BG509" i="13"/>
  <c r="BH509" i="13"/>
  <c r="BJ509" i="13"/>
  <c r="BK509" i="13" s="1"/>
  <c r="AY510" i="13"/>
  <c r="AZ510" i="13"/>
  <c r="BJ510" i="13"/>
  <c r="BK510" i="13" s="1"/>
  <c r="BJ511" i="13"/>
  <c r="BK511" i="13" s="1"/>
  <c r="G9" i="17"/>
  <c r="P9" i="17" s="1"/>
  <c r="L9" i="17"/>
  <c r="M9" i="17"/>
  <c r="N9" i="17"/>
  <c r="G10" i="17"/>
  <c r="P10" i="17" s="1"/>
  <c r="L10" i="17"/>
  <c r="M10" i="17"/>
  <c r="N10" i="17"/>
  <c r="G11" i="17"/>
  <c r="P11" i="17" s="1"/>
  <c r="L11" i="17"/>
  <c r="M11" i="17"/>
  <c r="N11" i="17"/>
  <c r="G12" i="17"/>
  <c r="P12" i="17" s="1"/>
  <c r="L12" i="17"/>
  <c r="M12" i="17"/>
  <c r="N12" i="17"/>
  <c r="G13" i="17"/>
  <c r="P13" i="17" s="1"/>
  <c r="L13" i="17"/>
  <c r="M13" i="17"/>
  <c r="N13" i="17"/>
  <c r="G14" i="17"/>
  <c r="P14" i="17" s="1"/>
  <c r="L14" i="17"/>
  <c r="M14" i="17"/>
  <c r="N14" i="17"/>
  <c r="D15" i="17"/>
  <c r="E15" i="17"/>
  <c r="F15" i="17"/>
  <c r="H15" i="17"/>
  <c r="I15" i="17"/>
  <c r="J15" i="17"/>
  <c r="K15" i="17"/>
  <c r="D16" i="17"/>
  <c r="E16" i="17"/>
  <c r="F16" i="17"/>
  <c r="H16" i="17"/>
  <c r="I16" i="17"/>
  <c r="J16" i="17"/>
  <c r="K16" i="17"/>
  <c r="G22" i="17"/>
  <c r="Q22" i="17" s="1"/>
  <c r="L22" i="17"/>
  <c r="M22" i="17"/>
  <c r="N22" i="17"/>
  <c r="G23" i="17"/>
  <c r="Q23" i="17" s="1"/>
  <c r="L23" i="17"/>
  <c r="M23" i="17"/>
  <c r="N23" i="17"/>
  <c r="G24" i="17"/>
  <c r="Q24" i="17" s="1"/>
  <c r="L24" i="17"/>
  <c r="M24" i="17"/>
  <c r="N24" i="17"/>
  <c r="D25" i="17"/>
  <c r="E25" i="17"/>
  <c r="F25" i="17"/>
  <c r="H25" i="17"/>
  <c r="I25" i="17"/>
  <c r="J25" i="17"/>
  <c r="K25" i="17"/>
  <c r="D26" i="17"/>
  <c r="E26" i="17"/>
  <c r="F26" i="17"/>
  <c r="H26" i="17"/>
  <c r="I26" i="17"/>
  <c r="J26" i="17"/>
  <c r="K26" i="17"/>
  <c r="G32" i="17"/>
  <c r="Q32" i="17" s="1"/>
  <c r="L32" i="17"/>
  <c r="M32" i="17"/>
  <c r="N32" i="17"/>
  <c r="G33" i="17"/>
  <c r="O33" i="17" s="1"/>
  <c r="L33" i="17"/>
  <c r="M33" i="17"/>
  <c r="N33" i="17"/>
  <c r="G34" i="17"/>
  <c r="L34" i="17"/>
  <c r="M34" i="17"/>
  <c r="N34" i="17"/>
  <c r="D35" i="17"/>
  <c r="E35" i="17"/>
  <c r="F35" i="17"/>
  <c r="H35" i="17"/>
  <c r="I35" i="17"/>
  <c r="J35" i="17"/>
  <c r="K35" i="17"/>
  <c r="D36" i="17"/>
  <c r="E36" i="17"/>
  <c r="F36" i="17"/>
  <c r="H36" i="17"/>
  <c r="I36" i="17"/>
  <c r="J36" i="17"/>
  <c r="K36" i="17"/>
  <c r="G42" i="17"/>
  <c r="P42" i="17" s="1"/>
  <c r="L42" i="17"/>
  <c r="M42" i="17"/>
  <c r="N42" i="17"/>
  <c r="G43" i="17"/>
  <c r="L43" i="17"/>
  <c r="M43" i="17"/>
  <c r="N43" i="17"/>
  <c r="G44" i="17"/>
  <c r="L44" i="17"/>
  <c r="M44" i="17"/>
  <c r="N44" i="17"/>
  <c r="G45" i="17"/>
  <c r="Q45" i="17" s="1"/>
  <c r="L45" i="17"/>
  <c r="M45" i="17"/>
  <c r="N45" i="17"/>
  <c r="G46" i="17"/>
  <c r="P46" i="17" s="1"/>
  <c r="L46" i="17"/>
  <c r="M46" i="17"/>
  <c r="N46" i="17"/>
  <c r="D47" i="17"/>
  <c r="E47" i="17"/>
  <c r="F47" i="17"/>
  <c r="H47" i="17"/>
  <c r="I47" i="17"/>
  <c r="J47" i="17"/>
  <c r="K47" i="17"/>
  <c r="D48" i="17"/>
  <c r="E48" i="17"/>
  <c r="F48" i="17"/>
  <c r="H48" i="17"/>
  <c r="I48" i="17"/>
  <c r="J48" i="17"/>
  <c r="K48" i="17"/>
  <c r="F62" i="17"/>
  <c r="F63" i="17"/>
  <c r="G3" i="8"/>
  <c r="H3" i="8" s="1"/>
  <c r="I3" i="8" s="1"/>
  <c r="J3" i="8" s="1"/>
  <c r="K3" i="8" s="1"/>
  <c r="L3" i="8" s="1"/>
  <c r="M3" i="8" s="1"/>
  <c r="N3" i="8" s="1"/>
  <c r="O3" i="8" s="1"/>
  <c r="P3" i="8" s="1"/>
  <c r="Q3" i="8" s="1"/>
  <c r="C7" i="8"/>
  <c r="C8" i="8"/>
  <c r="D8" i="8" s="1"/>
  <c r="E8" i="8" s="1"/>
  <c r="F8" i="8" s="1"/>
  <c r="G8" i="8" s="1"/>
  <c r="B9" i="8"/>
  <c r="G21" i="8"/>
  <c r="G12" i="2" s="1"/>
  <c r="G67" i="2" s="1"/>
  <c r="G17" i="7" s="1"/>
  <c r="H21" i="8"/>
  <c r="H12" i="2" s="1"/>
  <c r="I21" i="8"/>
  <c r="I12" i="2" s="1"/>
  <c r="J21" i="8"/>
  <c r="J12" i="2" s="1"/>
  <c r="K21" i="8"/>
  <c r="K12" i="2" s="1"/>
  <c r="L21" i="8"/>
  <c r="L12" i="2" s="1"/>
  <c r="M21" i="8"/>
  <c r="M12" i="2" s="1"/>
  <c r="N21" i="8"/>
  <c r="N12" i="2" s="1"/>
  <c r="O21" i="8"/>
  <c r="O12" i="2" s="1"/>
  <c r="P21" i="8"/>
  <c r="P12" i="2" s="1"/>
  <c r="Q21" i="8"/>
  <c r="Q12" i="2" s="1"/>
  <c r="G22" i="8"/>
  <c r="G13" i="2" s="1"/>
  <c r="G68" i="2" s="1"/>
  <c r="H22" i="8"/>
  <c r="H13" i="2" s="1"/>
  <c r="I22" i="8"/>
  <c r="I13" i="2" s="1"/>
  <c r="J22" i="8"/>
  <c r="J13" i="2" s="1"/>
  <c r="K22" i="8"/>
  <c r="K13" i="2" s="1"/>
  <c r="L22" i="8"/>
  <c r="L13" i="2" s="1"/>
  <c r="M22" i="8"/>
  <c r="M13" i="2" s="1"/>
  <c r="N22" i="8"/>
  <c r="N13" i="2" s="1"/>
  <c r="O22" i="8"/>
  <c r="O13" i="2" s="1"/>
  <c r="P22" i="8"/>
  <c r="P13" i="2" s="1"/>
  <c r="Q22" i="8"/>
  <c r="Q13" i="2" s="1"/>
  <c r="G23" i="8"/>
  <c r="G14" i="2" s="1"/>
  <c r="G69" i="2" s="1"/>
  <c r="G19" i="7" s="1"/>
  <c r="G21" i="7" s="1"/>
  <c r="H23" i="8"/>
  <c r="H14" i="2" s="1"/>
  <c r="I23" i="8"/>
  <c r="I14" i="2" s="1"/>
  <c r="J23" i="8"/>
  <c r="J14" i="2" s="1"/>
  <c r="K23" i="8"/>
  <c r="K14" i="2" s="1"/>
  <c r="L23" i="8"/>
  <c r="L14" i="2" s="1"/>
  <c r="M23" i="8"/>
  <c r="M14" i="2" s="1"/>
  <c r="N23" i="8"/>
  <c r="N14" i="2" s="1"/>
  <c r="O23" i="8"/>
  <c r="O14" i="2" s="1"/>
  <c r="P23" i="8"/>
  <c r="P14" i="2" s="1"/>
  <c r="Q23" i="8"/>
  <c r="Q14" i="2" s="1"/>
  <c r="G24" i="8"/>
  <c r="G15" i="2" s="1"/>
  <c r="G70" i="2" s="1"/>
  <c r="H24" i="8"/>
  <c r="H15" i="2" s="1"/>
  <c r="I24" i="8"/>
  <c r="I15" i="2" s="1"/>
  <c r="J24" i="8"/>
  <c r="J15" i="2" s="1"/>
  <c r="K24" i="8"/>
  <c r="K15" i="2" s="1"/>
  <c r="L24" i="8"/>
  <c r="L15" i="2" s="1"/>
  <c r="M24" i="8"/>
  <c r="M15" i="2" s="1"/>
  <c r="N24" i="8"/>
  <c r="N15" i="2" s="1"/>
  <c r="O24" i="8"/>
  <c r="O15" i="2" s="1"/>
  <c r="P24" i="8"/>
  <c r="P15" i="2" s="1"/>
  <c r="Q24" i="8"/>
  <c r="Q15" i="2" s="1"/>
  <c r="G25" i="8"/>
  <c r="G16" i="2" s="1"/>
  <c r="G71" i="2" s="1"/>
  <c r="G24" i="7" s="1"/>
  <c r="G29" i="7" s="1"/>
  <c r="F17" i="21" s="1"/>
  <c r="H25" i="8"/>
  <c r="H16" i="2" s="1"/>
  <c r="I25" i="8"/>
  <c r="I16" i="2" s="1"/>
  <c r="J25" i="8"/>
  <c r="J16" i="2" s="1"/>
  <c r="K25" i="8"/>
  <c r="K16" i="2" s="1"/>
  <c r="L25" i="8"/>
  <c r="L16" i="2" s="1"/>
  <c r="M25" i="8"/>
  <c r="M16" i="2" s="1"/>
  <c r="N25" i="8"/>
  <c r="N16" i="2" s="1"/>
  <c r="O25" i="8"/>
  <c r="O16" i="2" s="1"/>
  <c r="P25" i="8"/>
  <c r="P16" i="2" s="1"/>
  <c r="Q25" i="8"/>
  <c r="Q16" i="2" s="1"/>
  <c r="G26" i="8"/>
  <c r="G17" i="2" s="1"/>
  <c r="G72" i="2" s="1"/>
  <c r="H26" i="8"/>
  <c r="H17" i="2" s="1"/>
  <c r="I26" i="8"/>
  <c r="I17" i="2" s="1"/>
  <c r="J26" i="8"/>
  <c r="J17" i="2" s="1"/>
  <c r="K26" i="8"/>
  <c r="K17" i="2" s="1"/>
  <c r="L26" i="8"/>
  <c r="L17" i="2" s="1"/>
  <c r="M26" i="8"/>
  <c r="M17" i="2" s="1"/>
  <c r="N26" i="8"/>
  <c r="N17" i="2" s="1"/>
  <c r="O26" i="8"/>
  <c r="O17" i="2" s="1"/>
  <c r="P26" i="8"/>
  <c r="P17" i="2" s="1"/>
  <c r="Q26" i="8"/>
  <c r="Q17" i="2" s="1"/>
  <c r="G30" i="8"/>
  <c r="G21" i="2" s="1"/>
  <c r="H30" i="8"/>
  <c r="H21" i="2" s="1"/>
  <c r="I30" i="8"/>
  <c r="I21" i="2" s="1"/>
  <c r="J30" i="8"/>
  <c r="J21" i="2" s="1"/>
  <c r="K30" i="8"/>
  <c r="L30" i="8"/>
  <c r="L21" i="2" s="1"/>
  <c r="M30" i="8"/>
  <c r="M21" i="2" s="1"/>
  <c r="N30" i="8"/>
  <c r="N21" i="2" s="1"/>
  <c r="O30" i="8"/>
  <c r="O21" i="2" s="1"/>
  <c r="P30" i="8"/>
  <c r="P21" i="2" s="1"/>
  <c r="Q30" i="8"/>
  <c r="Q21" i="2" s="1"/>
  <c r="G31" i="8"/>
  <c r="G22" i="2" s="1"/>
  <c r="H31" i="8"/>
  <c r="H22" i="2" s="1"/>
  <c r="I31" i="8"/>
  <c r="J31" i="8"/>
  <c r="J22" i="2" s="1"/>
  <c r="K31" i="8"/>
  <c r="K22" i="2" s="1"/>
  <c r="L31" i="8"/>
  <c r="L22" i="2" s="1"/>
  <c r="M31" i="8"/>
  <c r="N31" i="8"/>
  <c r="O31" i="8"/>
  <c r="O22" i="2" s="1"/>
  <c r="P31" i="8"/>
  <c r="P22" i="2" s="1"/>
  <c r="Q31" i="8"/>
  <c r="Q22" i="2" s="1"/>
  <c r="G32" i="8"/>
  <c r="G23" i="2" s="1"/>
  <c r="H32" i="8"/>
  <c r="H23" i="2" s="1"/>
  <c r="I32" i="8"/>
  <c r="I23" i="2" s="1"/>
  <c r="J32" i="8"/>
  <c r="J23" i="2" s="1"/>
  <c r="K32" i="8"/>
  <c r="K23" i="2" s="1"/>
  <c r="L32" i="8"/>
  <c r="L23" i="2" s="1"/>
  <c r="M32" i="8"/>
  <c r="M23" i="2" s="1"/>
  <c r="N32" i="8"/>
  <c r="N23" i="2" s="1"/>
  <c r="O32" i="8"/>
  <c r="O23" i="2" s="1"/>
  <c r="P32" i="8"/>
  <c r="P23" i="2" s="1"/>
  <c r="Q32" i="8"/>
  <c r="Q23" i="2" s="1"/>
  <c r="G33" i="8"/>
  <c r="G24" i="2" s="1"/>
  <c r="H33" i="8"/>
  <c r="H24" i="2" s="1"/>
  <c r="I33" i="8"/>
  <c r="I24" i="2" s="1"/>
  <c r="J33" i="8"/>
  <c r="J24" i="2" s="1"/>
  <c r="K33" i="8"/>
  <c r="K24" i="2" s="1"/>
  <c r="L33" i="8"/>
  <c r="L24" i="2" s="1"/>
  <c r="M33" i="8"/>
  <c r="M24" i="2" s="1"/>
  <c r="N33" i="8"/>
  <c r="N24" i="2" s="1"/>
  <c r="O33" i="8"/>
  <c r="O24" i="2" s="1"/>
  <c r="P33" i="8"/>
  <c r="P24" i="2" s="1"/>
  <c r="Q33" i="8"/>
  <c r="Q24" i="2" s="1"/>
  <c r="G34" i="8"/>
  <c r="H34" i="8"/>
  <c r="H25" i="2" s="1"/>
  <c r="I34" i="8"/>
  <c r="I25" i="2" s="1"/>
  <c r="J34" i="8"/>
  <c r="J25" i="2" s="1"/>
  <c r="K34" i="8"/>
  <c r="K25" i="2" s="1"/>
  <c r="L34" i="8"/>
  <c r="L25" i="2" s="1"/>
  <c r="M34" i="8"/>
  <c r="M25" i="2" s="1"/>
  <c r="N34" i="8"/>
  <c r="N25" i="2" s="1"/>
  <c r="O34" i="8"/>
  <c r="O25" i="2" s="1"/>
  <c r="P34" i="8"/>
  <c r="P25" i="2" s="1"/>
  <c r="Q34" i="8"/>
  <c r="Q25" i="2" s="1"/>
  <c r="G35" i="8"/>
  <c r="G26" i="2" s="1"/>
  <c r="H35" i="8"/>
  <c r="H26" i="2" s="1"/>
  <c r="I35" i="8"/>
  <c r="I26" i="2" s="1"/>
  <c r="J35" i="8"/>
  <c r="J26" i="2" s="1"/>
  <c r="K35" i="8"/>
  <c r="K26" i="2" s="1"/>
  <c r="L35" i="8"/>
  <c r="L26" i="2" s="1"/>
  <c r="M35" i="8"/>
  <c r="M26" i="2" s="1"/>
  <c r="N35" i="8"/>
  <c r="N26" i="2" s="1"/>
  <c r="O35" i="8"/>
  <c r="O26" i="2" s="1"/>
  <c r="P35" i="8"/>
  <c r="P26" i="2" s="1"/>
  <c r="Q35" i="8"/>
  <c r="Q26" i="2" s="1"/>
  <c r="G38" i="8"/>
  <c r="G29" i="2" s="1"/>
  <c r="H38" i="8"/>
  <c r="H29" i="2" s="1"/>
  <c r="I38" i="8"/>
  <c r="I29" i="2" s="1"/>
  <c r="J38" i="8"/>
  <c r="J29" i="2" s="1"/>
  <c r="K38" i="8"/>
  <c r="K29" i="2" s="1"/>
  <c r="L38" i="8"/>
  <c r="L29" i="2" s="1"/>
  <c r="M38" i="8"/>
  <c r="M29" i="2" s="1"/>
  <c r="N38" i="8"/>
  <c r="N29" i="2" s="1"/>
  <c r="O38" i="8"/>
  <c r="O29" i="2" s="1"/>
  <c r="P38" i="8"/>
  <c r="P29" i="2" s="1"/>
  <c r="Q38" i="8"/>
  <c r="Q29" i="2" s="1"/>
  <c r="G39" i="8"/>
  <c r="G30" i="2" s="1"/>
  <c r="H39" i="8"/>
  <c r="H30" i="2" s="1"/>
  <c r="I39" i="8"/>
  <c r="I30" i="2" s="1"/>
  <c r="J39" i="8"/>
  <c r="J30" i="2" s="1"/>
  <c r="K39" i="8"/>
  <c r="K30" i="2" s="1"/>
  <c r="L39" i="8"/>
  <c r="L30" i="2" s="1"/>
  <c r="M39" i="8"/>
  <c r="M30" i="2" s="1"/>
  <c r="N39" i="8"/>
  <c r="N30" i="2" s="1"/>
  <c r="O39" i="8"/>
  <c r="O30" i="2" s="1"/>
  <c r="P39" i="8"/>
  <c r="P30" i="2" s="1"/>
  <c r="Q39" i="8"/>
  <c r="Q30" i="2" s="1"/>
  <c r="G40" i="8"/>
  <c r="G31" i="2" s="1"/>
  <c r="H40" i="8"/>
  <c r="H31" i="2" s="1"/>
  <c r="I40" i="8"/>
  <c r="I31" i="2" s="1"/>
  <c r="J40" i="8"/>
  <c r="J31" i="2" s="1"/>
  <c r="K40" i="8"/>
  <c r="K31" i="2" s="1"/>
  <c r="L40" i="8"/>
  <c r="L31" i="2" s="1"/>
  <c r="M40" i="8"/>
  <c r="M31" i="2" s="1"/>
  <c r="N40" i="8"/>
  <c r="N31" i="2" s="1"/>
  <c r="O40" i="8"/>
  <c r="O31" i="2" s="1"/>
  <c r="P40" i="8"/>
  <c r="P31" i="2" s="1"/>
  <c r="Q40" i="8"/>
  <c r="Q31" i="2" s="1"/>
  <c r="G41" i="8"/>
  <c r="G32" i="2" s="1"/>
  <c r="G196" i="2" s="1"/>
  <c r="H41" i="8"/>
  <c r="H32" i="2" s="1"/>
  <c r="H196" i="2" s="1"/>
  <c r="I41" i="8"/>
  <c r="I32" i="2" s="1"/>
  <c r="I196" i="2" s="1"/>
  <c r="J41" i="8"/>
  <c r="J32" i="2" s="1"/>
  <c r="J196" i="2" s="1"/>
  <c r="K41" i="8"/>
  <c r="K32" i="2" s="1"/>
  <c r="K196" i="2" s="1"/>
  <c r="L41" i="8"/>
  <c r="L32" i="2" s="1"/>
  <c r="L196" i="2" s="1"/>
  <c r="M41" i="8"/>
  <c r="M32" i="2" s="1"/>
  <c r="M196" i="2" s="1"/>
  <c r="N41" i="8"/>
  <c r="N32" i="2" s="1"/>
  <c r="N196" i="2" s="1"/>
  <c r="O41" i="8"/>
  <c r="O32" i="2" s="1"/>
  <c r="O196" i="2" s="1"/>
  <c r="P41" i="8"/>
  <c r="P32" i="2" s="1"/>
  <c r="P196" i="2" s="1"/>
  <c r="Q41" i="8"/>
  <c r="Q32" i="2" s="1"/>
  <c r="Q196" i="2" s="1"/>
  <c r="G44" i="8"/>
  <c r="G35" i="2" s="1"/>
  <c r="H44" i="8"/>
  <c r="H35" i="2" s="1"/>
  <c r="I44" i="8"/>
  <c r="I35" i="2" s="1"/>
  <c r="J44" i="8"/>
  <c r="J35" i="2" s="1"/>
  <c r="K44" i="8"/>
  <c r="K35" i="2" s="1"/>
  <c r="L44" i="8"/>
  <c r="L35" i="2" s="1"/>
  <c r="M44" i="8"/>
  <c r="M35" i="2" s="1"/>
  <c r="N44" i="8"/>
  <c r="N35" i="2" s="1"/>
  <c r="O44" i="8"/>
  <c r="O35" i="2" s="1"/>
  <c r="P44" i="8"/>
  <c r="P35" i="2" s="1"/>
  <c r="Q44" i="8"/>
  <c r="Q35" i="2" s="1"/>
  <c r="G45" i="8"/>
  <c r="G36" i="2" s="1"/>
  <c r="H45" i="8"/>
  <c r="H36" i="2" s="1"/>
  <c r="I45" i="8"/>
  <c r="I36" i="2" s="1"/>
  <c r="J45" i="8"/>
  <c r="J36" i="2" s="1"/>
  <c r="K45" i="8"/>
  <c r="K36" i="2" s="1"/>
  <c r="L45" i="8"/>
  <c r="L36" i="2" s="1"/>
  <c r="M45" i="8"/>
  <c r="M36" i="2" s="1"/>
  <c r="N45" i="8"/>
  <c r="N36" i="2" s="1"/>
  <c r="O45" i="8"/>
  <c r="O36" i="2" s="1"/>
  <c r="P45" i="8"/>
  <c r="P36" i="2" s="1"/>
  <c r="Q45" i="8"/>
  <c r="Q36" i="2" s="1"/>
  <c r="G46" i="8"/>
  <c r="G37" i="2" s="1"/>
  <c r="G146" i="2" s="1"/>
  <c r="G231" i="2" s="1"/>
  <c r="H46" i="8"/>
  <c r="H37" i="2" s="1"/>
  <c r="H146" i="2" s="1"/>
  <c r="H231" i="2" s="1"/>
  <c r="I46" i="8"/>
  <c r="I37" i="2" s="1"/>
  <c r="I146" i="2" s="1"/>
  <c r="I231" i="2" s="1"/>
  <c r="J46" i="8"/>
  <c r="J37" i="2" s="1"/>
  <c r="J146" i="2" s="1"/>
  <c r="J231" i="2" s="1"/>
  <c r="K46" i="8"/>
  <c r="K37" i="2" s="1"/>
  <c r="K146" i="2" s="1"/>
  <c r="K231" i="2" s="1"/>
  <c r="L46" i="8"/>
  <c r="L37" i="2" s="1"/>
  <c r="L146" i="2" s="1"/>
  <c r="L231" i="2" s="1"/>
  <c r="M46" i="8"/>
  <c r="M37" i="2" s="1"/>
  <c r="M146" i="2" s="1"/>
  <c r="M231" i="2" s="1"/>
  <c r="N46" i="8"/>
  <c r="N37" i="2" s="1"/>
  <c r="N146" i="2" s="1"/>
  <c r="N231" i="2" s="1"/>
  <c r="O46" i="8"/>
  <c r="O37" i="2" s="1"/>
  <c r="O146" i="2" s="1"/>
  <c r="O231" i="2" s="1"/>
  <c r="P46" i="8"/>
  <c r="P37" i="2" s="1"/>
  <c r="P146" i="2" s="1"/>
  <c r="P231" i="2" s="1"/>
  <c r="Q46" i="8"/>
  <c r="Q37" i="2" s="1"/>
  <c r="Q146" i="2" s="1"/>
  <c r="Q231" i="2" s="1"/>
  <c r="G50" i="8"/>
  <c r="G41" i="2" s="1"/>
  <c r="H50" i="8"/>
  <c r="H41" i="2" s="1"/>
  <c r="I50" i="8"/>
  <c r="I41" i="2" s="1"/>
  <c r="J50" i="8"/>
  <c r="J41" i="2" s="1"/>
  <c r="K50" i="8"/>
  <c r="K41" i="2" s="1"/>
  <c r="L50" i="8"/>
  <c r="L41" i="2" s="1"/>
  <c r="M50" i="8"/>
  <c r="M41" i="2" s="1"/>
  <c r="N50" i="8"/>
  <c r="N41" i="2" s="1"/>
  <c r="O50" i="8"/>
  <c r="O41" i="2" s="1"/>
  <c r="P50" i="8"/>
  <c r="P41" i="2" s="1"/>
  <c r="Q50" i="8"/>
  <c r="Q41" i="2" s="1"/>
  <c r="G51" i="8"/>
  <c r="G42" i="2" s="1"/>
  <c r="H51" i="8"/>
  <c r="H42" i="2" s="1"/>
  <c r="I51" i="8"/>
  <c r="I42" i="2" s="1"/>
  <c r="J51" i="8"/>
  <c r="J42" i="2" s="1"/>
  <c r="K51" i="8"/>
  <c r="K42" i="2" s="1"/>
  <c r="L51" i="8"/>
  <c r="L42" i="2" s="1"/>
  <c r="M51" i="8"/>
  <c r="M42" i="2" s="1"/>
  <c r="N51" i="8"/>
  <c r="N42" i="2" s="1"/>
  <c r="O51" i="8"/>
  <c r="O42" i="2" s="1"/>
  <c r="P51" i="8"/>
  <c r="P42" i="2" s="1"/>
  <c r="Q51" i="8"/>
  <c r="Q42" i="2" s="1"/>
  <c r="G52" i="8"/>
  <c r="G43" i="2" s="1"/>
  <c r="H52" i="8"/>
  <c r="H43" i="2" s="1"/>
  <c r="I52" i="8"/>
  <c r="I43" i="2" s="1"/>
  <c r="J52" i="8"/>
  <c r="J43" i="2" s="1"/>
  <c r="K52" i="8"/>
  <c r="K43" i="2" s="1"/>
  <c r="L52" i="8"/>
  <c r="L43" i="2" s="1"/>
  <c r="M52" i="8"/>
  <c r="M43" i="2" s="1"/>
  <c r="N52" i="8"/>
  <c r="N43" i="2" s="1"/>
  <c r="O52" i="8"/>
  <c r="O43" i="2" s="1"/>
  <c r="P52" i="8"/>
  <c r="P43" i="2" s="1"/>
  <c r="Q52" i="8"/>
  <c r="Q43" i="2" s="1"/>
  <c r="G54" i="8"/>
  <c r="G45" i="2" s="1"/>
  <c r="H54" i="8"/>
  <c r="H45" i="2" s="1"/>
  <c r="I54" i="8"/>
  <c r="I45" i="2" s="1"/>
  <c r="J54" i="8"/>
  <c r="J45" i="2" s="1"/>
  <c r="K54" i="8"/>
  <c r="K45" i="2" s="1"/>
  <c r="L54" i="8"/>
  <c r="L45" i="2" s="1"/>
  <c r="M54" i="8"/>
  <c r="M45" i="2" s="1"/>
  <c r="N54" i="8"/>
  <c r="N45" i="2" s="1"/>
  <c r="O54" i="8"/>
  <c r="O45" i="2" s="1"/>
  <c r="P54" i="8"/>
  <c r="P45" i="2" s="1"/>
  <c r="Q54" i="8"/>
  <c r="Q45" i="2" s="1"/>
  <c r="G55" i="8"/>
  <c r="G46" i="2" s="1"/>
  <c r="H55" i="8"/>
  <c r="H46" i="2" s="1"/>
  <c r="I55" i="8"/>
  <c r="I46" i="2" s="1"/>
  <c r="J55" i="8"/>
  <c r="J46" i="2" s="1"/>
  <c r="K55" i="8"/>
  <c r="K46" i="2" s="1"/>
  <c r="L55" i="8"/>
  <c r="L46" i="2" s="1"/>
  <c r="M55" i="8"/>
  <c r="M46" i="2" s="1"/>
  <c r="N55" i="8"/>
  <c r="N46" i="2" s="1"/>
  <c r="O55" i="8"/>
  <c r="O46" i="2" s="1"/>
  <c r="P55" i="8"/>
  <c r="P46" i="2" s="1"/>
  <c r="Q55" i="8"/>
  <c r="Q46" i="2" s="1"/>
  <c r="G56" i="8"/>
  <c r="G47" i="2" s="1"/>
  <c r="H56" i="8"/>
  <c r="H47" i="2" s="1"/>
  <c r="I56" i="8"/>
  <c r="I47" i="2" s="1"/>
  <c r="J56" i="8"/>
  <c r="J47" i="2" s="1"/>
  <c r="K56" i="8"/>
  <c r="K47" i="2" s="1"/>
  <c r="L56" i="8"/>
  <c r="L47" i="2" s="1"/>
  <c r="M56" i="8"/>
  <c r="M47" i="2" s="1"/>
  <c r="N56" i="8"/>
  <c r="N47" i="2" s="1"/>
  <c r="O56" i="8"/>
  <c r="O47" i="2" s="1"/>
  <c r="P56" i="8"/>
  <c r="P47" i="2" s="1"/>
  <c r="Q56" i="8"/>
  <c r="Q47" i="2" s="1"/>
  <c r="G57" i="8"/>
  <c r="G48" i="2" s="1"/>
  <c r="H57" i="8"/>
  <c r="H48" i="2" s="1"/>
  <c r="I57" i="8"/>
  <c r="I48" i="2" s="1"/>
  <c r="J57" i="8"/>
  <c r="J48" i="2" s="1"/>
  <c r="K57" i="8"/>
  <c r="K48" i="2" s="1"/>
  <c r="L57" i="8"/>
  <c r="L48" i="2" s="1"/>
  <c r="M57" i="8"/>
  <c r="M48" i="2" s="1"/>
  <c r="N57" i="8"/>
  <c r="N48" i="2" s="1"/>
  <c r="O57" i="8"/>
  <c r="O48" i="2" s="1"/>
  <c r="P57" i="8"/>
  <c r="P48" i="2" s="1"/>
  <c r="Q57" i="8"/>
  <c r="Q48" i="2" s="1"/>
  <c r="G59" i="8"/>
  <c r="G50" i="2" s="1"/>
  <c r="G190" i="2" s="1"/>
  <c r="H59" i="8"/>
  <c r="H50" i="2" s="1"/>
  <c r="H190" i="2" s="1"/>
  <c r="I59" i="8"/>
  <c r="I50" i="2" s="1"/>
  <c r="I190" i="2" s="1"/>
  <c r="J59" i="8"/>
  <c r="J50" i="2" s="1"/>
  <c r="J190" i="2" s="1"/>
  <c r="K59" i="8"/>
  <c r="K50" i="2" s="1"/>
  <c r="K190" i="2" s="1"/>
  <c r="L59" i="8"/>
  <c r="L50" i="2" s="1"/>
  <c r="L190" i="2" s="1"/>
  <c r="M59" i="8"/>
  <c r="M50" i="2" s="1"/>
  <c r="M190" i="2" s="1"/>
  <c r="N59" i="8"/>
  <c r="N50" i="2" s="1"/>
  <c r="N190" i="2" s="1"/>
  <c r="O59" i="8"/>
  <c r="O50" i="2" s="1"/>
  <c r="O190" i="2" s="1"/>
  <c r="P59" i="8"/>
  <c r="P50" i="2" s="1"/>
  <c r="P190" i="2" s="1"/>
  <c r="Q59" i="8"/>
  <c r="Q50" i="2" s="1"/>
  <c r="Q190" i="2" s="1"/>
  <c r="G60" i="8"/>
  <c r="G51" i="2" s="1"/>
  <c r="G127" i="2" s="1"/>
  <c r="H60" i="8"/>
  <c r="H51" i="2" s="1"/>
  <c r="I60" i="8"/>
  <c r="I51" i="2" s="1"/>
  <c r="J60" i="8"/>
  <c r="J51" i="2" s="1"/>
  <c r="K60" i="8"/>
  <c r="K51" i="2" s="1"/>
  <c r="L60" i="8"/>
  <c r="L51" i="2" s="1"/>
  <c r="M60" i="8"/>
  <c r="M51" i="2" s="1"/>
  <c r="N60" i="8"/>
  <c r="N51" i="2" s="1"/>
  <c r="O60" i="8"/>
  <c r="O51" i="2" s="1"/>
  <c r="P60" i="8"/>
  <c r="P51" i="2" s="1"/>
  <c r="Q60" i="8"/>
  <c r="Q51" i="2" s="1"/>
  <c r="G61" i="8"/>
  <c r="G52" i="2" s="1"/>
  <c r="G128" i="2" s="1"/>
  <c r="H61" i="8"/>
  <c r="H52" i="2" s="1"/>
  <c r="I61" i="8"/>
  <c r="I52" i="2" s="1"/>
  <c r="J61" i="8"/>
  <c r="J52" i="2" s="1"/>
  <c r="K61" i="8"/>
  <c r="K52" i="2" s="1"/>
  <c r="L61" i="8"/>
  <c r="L52" i="2" s="1"/>
  <c r="M61" i="8"/>
  <c r="M52" i="2" s="1"/>
  <c r="N61" i="8"/>
  <c r="N52" i="2" s="1"/>
  <c r="O61" i="8"/>
  <c r="O52" i="2" s="1"/>
  <c r="P61" i="8"/>
  <c r="P52" i="2" s="1"/>
  <c r="Q61" i="8"/>
  <c r="Q52" i="2" s="1"/>
  <c r="G62" i="8"/>
  <c r="G53" i="2" s="1"/>
  <c r="H62" i="8"/>
  <c r="H53" i="2" s="1"/>
  <c r="I62" i="8"/>
  <c r="I53" i="2" s="1"/>
  <c r="J62" i="8"/>
  <c r="J53" i="2" s="1"/>
  <c r="K62" i="8"/>
  <c r="K53" i="2" s="1"/>
  <c r="L62" i="8"/>
  <c r="L53" i="2" s="1"/>
  <c r="M62" i="8"/>
  <c r="M53" i="2" s="1"/>
  <c r="N62" i="8"/>
  <c r="N53" i="2" s="1"/>
  <c r="O62" i="8"/>
  <c r="O53" i="2" s="1"/>
  <c r="P62" i="8"/>
  <c r="P53" i="2" s="1"/>
  <c r="Q62" i="8"/>
  <c r="Q53" i="2" s="1"/>
  <c r="G64" i="8"/>
  <c r="G55" i="2" s="1"/>
  <c r="G167" i="2" s="1"/>
  <c r="H64" i="8"/>
  <c r="H55" i="2" s="1"/>
  <c r="H167" i="2" s="1"/>
  <c r="I64" i="8"/>
  <c r="I55" i="2" s="1"/>
  <c r="I167" i="2" s="1"/>
  <c r="J64" i="8"/>
  <c r="J55" i="2" s="1"/>
  <c r="J167" i="2" s="1"/>
  <c r="K64" i="8"/>
  <c r="K55" i="2" s="1"/>
  <c r="K167" i="2" s="1"/>
  <c r="L64" i="8"/>
  <c r="L55" i="2" s="1"/>
  <c r="L167" i="2" s="1"/>
  <c r="M64" i="8"/>
  <c r="M55" i="2" s="1"/>
  <c r="M167" i="2" s="1"/>
  <c r="N64" i="8"/>
  <c r="N55" i="2" s="1"/>
  <c r="N167" i="2" s="1"/>
  <c r="O64" i="8"/>
  <c r="O55" i="2" s="1"/>
  <c r="O167" i="2" s="1"/>
  <c r="P64" i="8"/>
  <c r="P55" i="2" s="1"/>
  <c r="P167" i="2" s="1"/>
  <c r="Q64" i="8"/>
  <c r="Q55" i="2" s="1"/>
  <c r="Q167" i="2" s="1"/>
  <c r="G65" i="8"/>
  <c r="G56" i="2" s="1"/>
  <c r="H65" i="8"/>
  <c r="H56" i="2" s="1"/>
  <c r="I65" i="8"/>
  <c r="I56" i="2" s="1"/>
  <c r="J65" i="8"/>
  <c r="J56" i="2" s="1"/>
  <c r="K65" i="8"/>
  <c r="K56" i="2" s="1"/>
  <c r="L65" i="8"/>
  <c r="L56" i="2" s="1"/>
  <c r="M65" i="8"/>
  <c r="M56" i="2" s="1"/>
  <c r="N65" i="8"/>
  <c r="N56" i="2" s="1"/>
  <c r="O65" i="8"/>
  <c r="O56" i="2" s="1"/>
  <c r="P65" i="8"/>
  <c r="P56" i="2" s="1"/>
  <c r="Q65" i="8"/>
  <c r="Q56" i="2" s="1"/>
  <c r="G66" i="8"/>
  <c r="G57" i="2" s="1"/>
  <c r="H66" i="8"/>
  <c r="H57" i="2" s="1"/>
  <c r="I66" i="8"/>
  <c r="I57" i="2" s="1"/>
  <c r="J66" i="8"/>
  <c r="J57" i="2" s="1"/>
  <c r="K66" i="8"/>
  <c r="K57" i="2" s="1"/>
  <c r="L66" i="8"/>
  <c r="L57" i="2" s="1"/>
  <c r="M66" i="8"/>
  <c r="M57" i="2" s="1"/>
  <c r="N66" i="8"/>
  <c r="N57" i="2" s="1"/>
  <c r="O66" i="8"/>
  <c r="O57" i="2" s="1"/>
  <c r="P66" i="8"/>
  <c r="P57" i="2" s="1"/>
  <c r="Q66" i="8"/>
  <c r="Q57" i="2" s="1"/>
  <c r="G67" i="8"/>
  <c r="G58" i="2" s="1"/>
  <c r="H67" i="8"/>
  <c r="H58" i="2" s="1"/>
  <c r="I67" i="8"/>
  <c r="I58" i="2" s="1"/>
  <c r="J67" i="8"/>
  <c r="J58" i="2" s="1"/>
  <c r="K67" i="8"/>
  <c r="K58" i="2" s="1"/>
  <c r="L67" i="8"/>
  <c r="L58" i="2" s="1"/>
  <c r="M67" i="8"/>
  <c r="M58" i="2" s="1"/>
  <c r="N67" i="8"/>
  <c r="N58" i="2" s="1"/>
  <c r="O67" i="8"/>
  <c r="O58" i="2" s="1"/>
  <c r="P67" i="8"/>
  <c r="P58" i="2" s="1"/>
  <c r="Q67" i="8"/>
  <c r="Q58" i="2" s="1"/>
  <c r="G69" i="8"/>
  <c r="G60" i="2" s="1"/>
  <c r="G100" i="2" s="1"/>
  <c r="H69" i="8"/>
  <c r="H60" i="2" s="1"/>
  <c r="I69" i="8"/>
  <c r="I60" i="2" s="1"/>
  <c r="J69" i="8"/>
  <c r="J60" i="2" s="1"/>
  <c r="K69" i="8"/>
  <c r="K60" i="2" s="1"/>
  <c r="L69" i="8"/>
  <c r="L60" i="2" s="1"/>
  <c r="M69" i="8"/>
  <c r="M60" i="2" s="1"/>
  <c r="N69" i="8"/>
  <c r="N60" i="2" s="1"/>
  <c r="O69" i="8"/>
  <c r="O60" i="2" s="1"/>
  <c r="P69" i="8"/>
  <c r="P60" i="2" s="1"/>
  <c r="Q69" i="8"/>
  <c r="Q60" i="2" s="1"/>
  <c r="G70" i="8"/>
  <c r="G61" i="2" s="1"/>
  <c r="G101" i="2" s="1"/>
  <c r="H70" i="8"/>
  <c r="H61" i="2" s="1"/>
  <c r="I70" i="8"/>
  <c r="I61" i="2" s="1"/>
  <c r="J70" i="8"/>
  <c r="J61" i="2" s="1"/>
  <c r="K70" i="8"/>
  <c r="K61" i="2" s="1"/>
  <c r="L70" i="8"/>
  <c r="L61" i="2" s="1"/>
  <c r="M70" i="8"/>
  <c r="M61" i="2" s="1"/>
  <c r="N70" i="8"/>
  <c r="N61" i="2" s="1"/>
  <c r="O70" i="8"/>
  <c r="O61" i="2" s="1"/>
  <c r="P70" i="8"/>
  <c r="P61" i="2" s="1"/>
  <c r="Q70" i="8"/>
  <c r="Q61" i="2" s="1"/>
  <c r="G91" i="8"/>
  <c r="H91" i="8"/>
  <c r="I91" i="8"/>
  <c r="J91" i="8"/>
  <c r="K91" i="8"/>
  <c r="L91" i="8"/>
  <c r="M91" i="8"/>
  <c r="N91" i="8"/>
  <c r="O91" i="8"/>
  <c r="P91" i="8"/>
  <c r="Q91" i="8"/>
  <c r="G47" i="8"/>
  <c r="G38" i="2" s="1"/>
  <c r="G114" i="2" s="1"/>
  <c r="H47" i="8"/>
  <c r="H38" i="2" s="1"/>
  <c r="I47" i="8"/>
  <c r="I38" i="2" s="1"/>
  <c r="J47" i="8"/>
  <c r="J38" i="2" s="1"/>
  <c r="K47" i="8"/>
  <c r="K38" i="2" s="1"/>
  <c r="L47" i="8"/>
  <c r="L38" i="2" s="1"/>
  <c r="M47" i="8"/>
  <c r="M38" i="2" s="1"/>
  <c r="N47" i="8"/>
  <c r="N38" i="2" s="1"/>
  <c r="O47" i="8"/>
  <c r="O38" i="2" s="1"/>
  <c r="P47" i="8"/>
  <c r="P38" i="2" s="1"/>
  <c r="Q47" i="8"/>
  <c r="Q38" i="2" s="1"/>
  <c r="G48" i="8"/>
  <c r="G39" i="2" s="1"/>
  <c r="H48" i="8"/>
  <c r="H39" i="2" s="1"/>
  <c r="I48" i="8"/>
  <c r="I39" i="2" s="1"/>
  <c r="J48" i="8"/>
  <c r="J39" i="2" s="1"/>
  <c r="K48" i="8"/>
  <c r="K39" i="2" s="1"/>
  <c r="L48" i="8"/>
  <c r="L39" i="2" s="1"/>
  <c r="M48" i="8"/>
  <c r="M39" i="2" s="1"/>
  <c r="N48" i="8"/>
  <c r="N39" i="2" s="1"/>
  <c r="O48" i="8"/>
  <c r="O39" i="2" s="1"/>
  <c r="P48" i="8"/>
  <c r="P39" i="2" s="1"/>
  <c r="Q48" i="8"/>
  <c r="Q39" i="2" s="1"/>
  <c r="G145" i="8"/>
  <c r="H145" i="8"/>
  <c r="I145" i="8"/>
  <c r="J145" i="8"/>
  <c r="K145" i="8"/>
  <c r="L145" i="8"/>
  <c r="M145" i="8"/>
  <c r="N145" i="8"/>
  <c r="O145" i="8"/>
  <c r="P145" i="8"/>
  <c r="Q145" i="8"/>
  <c r="G199" i="8"/>
  <c r="H199" i="8"/>
  <c r="I199" i="8"/>
  <c r="J199" i="8"/>
  <c r="K199" i="8"/>
  <c r="L199" i="8"/>
  <c r="M199" i="8"/>
  <c r="N199" i="8"/>
  <c r="O199" i="8"/>
  <c r="P199" i="8"/>
  <c r="Q199" i="8"/>
  <c r="G253" i="8"/>
  <c r="H253" i="8"/>
  <c r="I253" i="8"/>
  <c r="J253" i="8"/>
  <c r="K253" i="8"/>
  <c r="L253" i="8"/>
  <c r="M253" i="8"/>
  <c r="N253" i="8"/>
  <c r="O253" i="8"/>
  <c r="P253" i="8"/>
  <c r="Q253" i="8"/>
  <c r="G3" i="2"/>
  <c r="H3" i="2" s="1"/>
  <c r="I3" i="2" s="1"/>
  <c r="J3" i="2" s="1"/>
  <c r="K3" i="2" s="1"/>
  <c r="L3" i="2" s="1"/>
  <c r="M3" i="2" s="1"/>
  <c r="N3" i="2" s="1"/>
  <c r="O3" i="2" s="1"/>
  <c r="P3" i="2" s="1"/>
  <c r="Q3" i="2" s="1"/>
  <c r="P13" i="21" s="1"/>
  <c r="C7" i="2"/>
  <c r="C8" i="2"/>
  <c r="D8" i="2" s="1"/>
  <c r="E8" i="2" s="1"/>
  <c r="B9" i="2"/>
  <c r="B35" i="2" s="1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B29" i="2"/>
  <c r="C29" i="2"/>
  <c r="D29" i="2"/>
  <c r="E29" i="2"/>
  <c r="F29" i="2"/>
  <c r="B31" i="2"/>
  <c r="C31" i="2"/>
  <c r="D31" i="2"/>
  <c r="E31" i="2"/>
  <c r="F31" i="2"/>
  <c r="C32" i="2"/>
  <c r="D32" i="2"/>
  <c r="E32" i="2"/>
  <c r="F32" i="2"/>
  <c r="C37" i="2"/>
  <c r="D37" i="2"/>
  <c r="E37" i="2"/>
  <c r="F37" i="2"/>
  <c r="C38" i="2"/>
  <c r="D38" i="2"/>
  <c r="E38" i="2"/>
  <c r="F38" i="2"/>
  <c r="C39" i="2"/>
  <c r="D39" i="2"/>
  <c r="E39" i="2"/>
  <c r="F39" i="2"/>
  <c r="C47" i="2"/>
  <c r="D47" i="2"/>
  <c r="E47" i="2"/>
  <c r="F47" i="2"/>
  <c r="C50" i="2"/>
  <c r="D50" i="2"/>
  <c r="E50" i="2"/>
  <c r="F50" i="2"/>
  <c r="C51" i="2"/>
  <c r="D51" i="2"/>
  <c r="E51" i="2"/>
  <c r="F51" i="2"/>
  <c r="C52" i="2"/>
  <c r="D52" i="2"/>
  <c r="E52" i="2"/>
  <c r="F52" i="2"/>
  <c r="C53" i="2"/>
  <c r="D53" i="2"/>
  <c r="E53" i="2"/>
  <c r="F53" i="2"/>
  <c r="C60" i="2"/>
  <c r="D60" i="2"/>
  <c r="E60" i="2"/>
  <c r="F60" i="2"/>
  <c r="C61" i="2"/>
  <c r="D61" i="2"/>
  <c r="E61" i="2"/>
  <c r="F61" i="2"/>
  <c r="D73" i="2"/>
  <c r="E73" i="2"/>
  <c r="F73" i="2"/>
  <c r="B79" i="2"/>
  <c r="C79" i="2"/>
  <c r="D79" i="2"/>
  <c r="D42" i="2" s="1"/>
  <c r="E79" i="2"/>
  <c r="E43" i="2" s="1"/>
  <c r="F79" i="2"/>
  <c r="F42" i="2" s="1"/>
  <c r="B87" i="2"/>
  <c r="C87" i="2"/>
  <c r="D87" i="2"/>
  <c r="E87" i="2"/>
  <c r="F87" i="2"/>
  <c r="B92" i="2"/>
  <c r="C92" i="2"/>
  <c r="D92" i="2"/>
  <c r="E92" i="2"/>
  <c r="F92" i="2"/>
  <c r="B111" i="2"/>
  <c r="B115" i="2" s="1"/>
  <c r="C111" i="2"/>
  <c r="C115" i="2" s="1"/>
  <c r="D111" i="2"/>
  <c r="D115" i="2" s="1"/>
  <c r="E111" i="2"/>
  <c r="E115" i="2" s="1"/>
  <c r="F111" i="2"/>
  <c r="F115" i="2" s="1"/>
  <c r="B122" i="2"/>
  <c r="B125" i="2" s="1"/>
  <c r="C122" i="2"/>
  <c r="C125" i="2" s="1"/>
  <c r="D122" i="2"/>
  <c r="D125" i="2" s="1"/>
  <c r="E122" i="2"/>
  <c r="E125" i="2" s="1"/>
  <c r="F122" i="2"/>
  <c r="F125" i="2" s="1"/>
  <c r="G130" i="2"/>
  <c r="H130" i="2" s="1"/>
  <c r="I130" i="2" s="1"/>
  <c r="J130" i="2" s="1"/>
  <c r="K130" i="2" s="1"/>
  <c r="L130" i="2" s="1"/>
  <c r="M130" i="2" s="1"/>
  <c r="N130" i="2" s="1"/>
  <c r="O130" i="2" s="1"/>
  <c r="P130" i="2" s="1"/>
  <c r="Q130" i="2" s="1"/>
  <c r="B132" i="2"/>
  <c r="C132" i="2"/>
  <c r="D132" i="2"/>
  <c r="E132" i="2"/>
  <c r="F132" i="2"/>
  <c r="B160" i="2"/>
  <c r="C160" i="2"/>
  <c r="D160" i="2"/>
  <c r="E160" i="2"/>
  <c r="F160" i="2"/>
  <c r="B168" i="2"/>
  <c r="C168" i="2"/>
  <c r="D168" i="2"/>
  <c r="E168" i="2"/>
  <c r="F168" i="2"/>
  <c r="C180" i="2"/>
  <c r="D180" i="2"/>
  <c r="E180" i="2"/>
  <c r="F180" i="2"/>
  <c r="C181" i="2"/>
  <c r="D181" i="2"/>
  <c r="E181" i="2"/>
  <c r="F181" i="2"/>
  <c r="C182" i="2"/>
  <c r="D182" i="2"/>
  <c r="E182" i="2"/>
  <c r="F182" i="2"/>
  <c r="B186" i="2"/>
  <c r="B184" i="2" s="1"/>
  <c r="C179" i="2" s="1"/>
  <c r="C186" i="2"/>
  <c r="D186" i="2"/>
  <c r="E186" i="2"/>
  <c r="F186" i="2"/>
  <c r="B193" i="2"/>
  <c r="B191" i="2" s="1"/>
  <c r="C193" i="2"/>
  <c r="D193" i="2"/>
  <c r="E193" i="2"/>
  <c r="F193" i="2"/>
  <c r="B195" i="2"/>
  <c r="C195" i="2"/>
  <c r="D195" i="2"/>
  <c r="E195" i="2"/>
  <c r="F195" i="2"/>
  <c r="B199" i="2"/>
  <c r="B200" i="2"/>
  <c r="C200" i="2"/>
  <c r="D200" i="2"/>
  <c r="E200" i="2"/>
  <c r="F200" i="2"/>
  <c r="B204" i="2"/>
  <c r="C204" i="2"/>
  <c r="D204" i="2"/>
  <c r="E204" i="2"/>
  <c r="F204" i="2"/>
  <c r="B212" i="2"/>
  <c r="B232" i="2" s="1"/>
  <c r="C212" i="2"/>
  <c r="C232" i="2" s="1"/>
  <c r="D212" i="2"/>
  <c r="D232" i="2" s="1"/>
  <c r="E212" i="2"/>
  <c r="E232" i="2" s="1"/>
  <c r="F212" i="2"/>
  <c r="F232" i="2" s="1"/>
  <c r="B215" i="2"/>
  <c r="C215" i="2"/>
  <c r="D215" i="2"/>
  <c r="E215" i="2"/>
  <c r="F215" i="2"/>
  <c r="B219" i="2"/>
  <c r="C219" i="2"/>
  <c r="D219" i="2"/>
  <c r="E219" i="2"/>
  <c r="F219" i="2"/>
  <c r="B222" i="2"/>
  <c r="C222" i="2"/>
  <c r="D222" i="2"/>
  <c r="E222" i="2"/>
  <c r="F222" i="2"/>
  <c r="B229" i="2"/>
  <c r="C229" i="2"/>
  <c r="D229" i="2"/>
  <c r="E229" i="2"/>
  <c r="F229" i="2"/>
  <c r="B230" i="2"/>
  <c r="C230" i="2"/>
  <c r="D230" i="2"/>
  <c r="E230" i="2"/>
  <c r="F230" i="2"/>
  <c r="B231" i="2"/>
  <c r="C231" i="2"/>
  <c r="D231" i="2"/>
  <c r="E231" i="2"/>
  <c r="F231" i="2"/>
  <c r="B233" i="2"/>
  <c r="C233" i="2"/>
  <c r="D233" i="2"/>
  <c r="E233" i="2"/>
  <c r="F233" i="2"/>
  <c r="B236" i="2"/>
  <c r="C236" i="2"/>
  <c r="D236" i="2"/>
  <c r="E236" i="2"/>
  <c r="F236" i="2"/>
  <c r="F248" i="2"/>
  <c r="F255" i="2"/>
  <c r="F256" i="2"/>
  <c r="F259" i="2"/>
  <c r="G259" i="2" s="1"/>
  <c r="F263" i="2"/>
  <c r="F269" i="2"/>
  <c r="G269" i="2" s="1"/>
  <c r="H269" i="2" s="1"/>
  <c r="I269" i="2" s="1"/>
  <c r="N269" i="2"/>
  <c r="O269" i="2" s="1"/>
  <c r="P269" i="2" s="1"/>
  <c r="Q269" i="2" s="1"/>
  <c r="D271" i="2"/>
  <c r="D272" i="2" s="1"/>
  <c r="D273" i="2" s="1"/>
  <c r="D274" i="2" s="1"/>
  <c r="L271" i="2"/>
  <c r="L272" i="2" s="1"/>
  <c r="L273" i="2" s="1"/>
  <c r="L274" i="2" s="1"/>
  <c r="G3" i="7"/>
  <c r="H3" i="7" s="1"/>
  <c r="I3" i="7" s="1"/>
  <c r="J3" i="7" s="1"/>
  <c r="K3" i="7" s="1"/>
  <c r="L3" i="7" s="1"/>
  <c r="M3" i="7" s="1"/>
  <c r="N3" i="7" s="1"/>
  <c r="O3" i="7" s="1"/>
  <c r="P3" i="7" s="1"/>
  <c r="Q3" i="7" s="1"/>
  <c r="K6" i="7"/>
  <c r="L6" i="7" s="1"/>
  <c r="M6" i="7" s="1"/>
  <c r="N6" i="7" s="1"/>
  <c r="O6" i="7" s="1"/>
  <c r="P6" i="7" s="1"/>
  <c r="Q6" i="7" s="1"/>
  <c r="K7" i="7"/>
  <c r="L7" i="7" s="1"/>
  <c r="M7" i="7" s="1"/>
  <c r="N7" i="7" s="1"/>
  <c r="O7" i="7" s="1"/>
  <c r="P7" i="7" s="1"/>
  <c r="Q7" i="7" s="1"/>
  <c r="K8" i="7"/>
  <c r="L8" i="7" s="1"/>
  <c r="M8" i="7" s="1"/>
  <c r="N8" i="7" s="1"/>
  <c r="B11" i="7"/>
  <c r="C11" i="7"/>
  <c r="D11" i="7"/>
  <c r="E11" i="7"/>
  <c r="F11" i="7"/>
  <c r="G11" i="7"/>
  <c r="H11" i="7"/>
  <c r="I11" i="7"/>
  <c r="J11" i="7"/>
  <c r="B12" i="7"/>
  <c r="C12" i="7"/>
  <c r="D12" i="7"/>
  <c r="E12" i="7"/>
  <c r="F12" i="7"/>
  <c r="G12" i="7"/>
  <c r="H12" i="7"/>
  <c r="I12" i="7"/>
  <c r="J12" i="7"/>
  <c r="B13" i="7"/>
  <c r="C13" i="7"/>
  <c r="D13" i="7"/>
  <c r="E13" i="7"/>
  <c r="F13" i="7"/>
  <c r="G13" i="7"/>
  <c r="H13" i="7"/>
  <c r="I13" i="7"/>
  <c r="J13" i="7"/>
  <c r="B16" i="7"/>
  <c r="B17" i="7"/>
  <c r="C17" i="7"/>
  <c r="D17" i="7"/>
  <c r="E17" i="7"/>
  <c r="F17" i="7"/>
  <c r="B19" i="7"/>
  <c r="B21" i="7" s="1"/>
  <c r="C19" i="7"/>
  <c r="C21" i="7" s="1"/>
  <c r="D19" i="7"/>
  <c r="D21" i="7" s="1"/>
  <c r="E19" i="7"/>
  <c r="E21" i="7" s="1"/>
  <c r="F19" i="7"/>
  <c r="F21" i="7" s="1"/>
  <c r="B23" i="7"/>
  <c r="B28" i="7" s="1"/>
  <c r="C23" i="7"/>
  <c r="C28" i="7" s="1"/>
  <c r="D23" i="7"/>
  <c r="D28" i="7" s="1"/>
  <c r="E23" i="7"/>
  <c r="E28" i="7" s="1"/>
  <c r="F23" i="7"/>
  <c r="F28" i="7" s="1"/>
  <c r="B24" i="7"/>
  <c r="B29" i="7" s="1"/>
  <c r="C24" i="7"/>
  <c r="C29" i="7" s="1"/>
  <c r="D24" i="7"/>
  <c r="D29" i="7" s="1"/>
  <c r="E24" i="7"/>
  <c r="E29" i="7" s="1"/>
  <c r="F24" i="7"/>
  <c r="F29" i="7" s="1"/>
  <c r="Q7" i="21"/>
  <c r="W8" i="21" s="1"/>
  <c r="X8" i="21" s="1"/>
  <c r="Y8" i="21" s="1"/>
  <c r="E8" i="21"/>
  <c r="W7" i="21" s="1"/>
  <c r="P10" i="21"/>
  <c r="V18" i="21" s="1"/>
  <c r="W18" i="21" s="1"/>
  <c r="W10" i="21"/>
  <c r="X10" i="21" s="1"/>
  <c r="Y10" i="21" s="1"/>
  <c r="AX14" i="13"/>
  <c r="AE34" i="13"/>
  <c r="BF12" i="13"/>
  <c r="AX13" i="13"/>
  <c r="BF10" i="13"/>
  <c r="BF19" i="13"/>
  <c r="BF27" i="13"/>
  <c r="BF37" i="13"/>
  <c r="AX34" i="13"/>
  <c r="AX29" i="13"/>
  <c r="AX28" i="13"/>
  <c r="BF17" i="13"/>
  <c r="BF38" i="13"/>
  <c r="BF31" i="13"/>
  <c r="AX44" i="13"/>
  <c r="AX15" i="13"/>
  <c r="BF23" i="13"/>
  <c r="AX35" i="13"/>
  <c r="BF48" i="13"/>
  <c r="BF32" i="13"/>
  <c r="BF36" i="13"/>
  <c r="AX37" i="13"/>
  <c r="AD21" i="13"/>
  <c r="BF34" i="13"/>
  <c r="AX31" i="13"/>
  <c r="BF25" i="13"/>
  <c r="BF40" i="13"/>
  <c r="AX16" i="13"/>
  <c r="BF44" i="13"/>
  <c r="AX10" i="13"/>
  <c r="BF45" i="13"/>
  <c r="BF13" i="13"/>
  <c r="AX30" i="13"/>
  <c r="AX21" i="13"/>
  <c r="BF18" i="13"/>
  <c r="BF33" i="13"/>
  <c r="AX27" i="13"/>
  <c r="BF24" i="13"/>
  <c r="AX33" i="13"/>
  <c r="AX47" i="13"/>
  <c r="BF26" i="13"/>
  <c r="AX18" i="13"/>
  <c r="BF11" i="13"/>
  <c r="BF16" i="13"/>
  <c r="BF21" i="13"/>
  <c r="BF43" i="13"/>
  <c r="AX40" i="13"/>
  <c r="AX17" i="13"/>
  <c r="AX20" i="13"/>
  <c r="BF22" i="13"/>
  <c r="BF14" i="13"/>
  <c r="AX41" i="13"/>
  <c r="AX11" i="13"/>
  <c r="BF15" i="13"/>
  <c r="BF41" i="13"/>
  <c r="AX38" i="13"/>
  <c r="AB1" i="13"/>
  <c r="BF20" i="13"/>
  <c r="AX39" i="13"/>
  <c r="AX22" i="13"/>
  <c r="AX42" i="13"/>
  <c r="AX32" i="13"/>
  <c r="AX46" i="13"/>
  <c r="AX45" i="13"/>
  <c r="BF39" i="13"/>
  <c r="AX25" i="13"/>
  <c r="AX23" i="13"/>
  <c r="AX26" i="13"/>
  <c r="AX24" i="13"/>
  <c r="BF35" i="13"/>
  <c r="AX36" i="13"/>
  <c r="AX19" i="13"/>
  <c r="AC24" i="13"/>
  <c r="BF30" i="13"/>
  <c r="BF47" i="13"/>
  <c r="BF42" i="13"/>
  <c r="BF28" i="13"/>
  <c r="AX12" i="13"/>
  <c r="BF46" i="13"/>
  <c r="BF29" i="13"/>
  <c r="AX43" i="13"/>
  <c r="F34" i="19" l="1"/>
  <c r="F39" i="19" s="1"/>
  <c r="F42" i="19" s="1"/>
  <c r="F88" i="19" s="1"/>
  <c r="F99" i="19" s="1"/>
  <c r="F117" i="19" s="1"/>
  <c r="F119" i="19" s="1"/>
  <c r="H79" i="19"/>
  <c r="H81" i="19" s="1"/>
  <c r="M35" i="17"/>
  <c r="S13" i="13"/>
  <c r="O13" i="17"/>
  <c r="O22" i="17"/>
  <c r="H43" i="13"/>
  <c r="G79" i="19"/>
  <c r="G81" i="19" s="1"/>
  <c r="C46" i="2"/>
  <c r="H34" i="19"/>
  <c r="H39" i="19" s="1"/>
  <c r="H42" i="19" s="1"/>
  <c r="H44" i="19" s="1"/>
  <c r="H68" i="2"/>
  <c r="I68" i="2" s="1"/>
  <c r="J68" i="2" s="1"/>
  <c r="K68" i="2" s="1"/>
  <c r="L68" i="2" s="1"/>
  <c r="M68" i="2" s="1"/>
  <c r="N68" i="2" s="1"/>
  <c r="O68" i="2" s="1"/>
  <c r="P68" i="2" s="1"/>
  <c r="Q68" i="2" s="1"/>
  <c r="N25" i="19"/>
  <c r="E46" i="2"/>
  <c r="R12" i="17"/>
  <c r="L34" i="19"/>
  <c r="L39" i="19" s="1"/>
  <c r="L42" i="19" s="1"/>
  <c r="L43" i="19" s="1"/>
  <c r="D34" i="19"/>
  <c r="D39" i="19" s="1"/>
  <c r="D42" i="19" s="1"/>
  <c r="D88" i="19" s="1"/>
  <c r="D99" i="19" s="1"/>
  <c r="D117" i="19" s="1"/>
  <c r="D119" i="19" s="1"/>
  <c r="O12" i="17"/>
  <c r="C133" i="2"/>
  <c r="C135" i="2" s="1"/>
  <c r="Q13" i="17"/>
  <c r="D46" i="2"/>
  <c r="H17" i="17"/>
  <c r="H58" i="17" s="1"/>
  <c r="E22" i="7"/>
  <c r="E27" i="7" s="1"/>
  <c r="M47" i="17"/>
  <c r="N15" i="17"/>
  <c r="F21" i="2"/>
  <c r="O32" i="17"/>
  <c r="N26" i="17"/>
  <c r="M25" i="17"/>
  <c r="K79" i="19"/>
  <c r="K81" i="19" s="1"/>
  <c r="C79" i="19"/>
  <c r="C81" i="19" s="1"/>
  <c r="F46" i="2"/>
  <c r="P45" i="17"/>
  <c r="R13" i="17"/>
  <c r="Q12" i="17"/>
  <c r="R9" i="17"/>
  <c r="E133" i="2"/>
  <c r="E135" i="2" s="1"/>
  <c r="F24" i="2"/>
  <c r="Q46" i="17"/>
  <c r="O10" i="17"/>
  <c r="N38" i="19"/>
  <c r="D22" i="7"/>
  <c r="D27" i="7" s="1"/>
  <c r="L35" i="17"/>
  <c r="F79" i="19"/>
  <c r="F81" i="19" s="1"/>
  <c r="I79" i="19"/>
  <c r="I81" i="19" s="1"/>
  <c r="F45" i="2"/>
  <c r="F23" i="2"/>
  <c r="Q42" i="17"/>
  <c r="P24" i="17"/>
  <c r="N16" i="17"/>
  <c r="F22" i="2"/>
  <c r="P22" i="17"/>
  <c r="Q11" i="17"/>
  <c r="L16" i="17"/>
  <c r="J34" i="19"/>
  <c r="J39" i="19" s="1"/>
  <c r="J42" i="19" s="1"/>
  <c r="B133" i="2"/>
  <c r="B135" i="2" s="1"/>
  <c r="C22" i="7"/>
  <c r="C27" i="7" s="1"/>
  <c r="D25" i="2"/>
  <c r="O24" i="17"/>
  <c r="Q26" i="17"/>
  <c r="G16" i="17"/>
  <c r="G15" i="17"/>
  <c r="R10" i="17"/>
  <c r="Q9" i="17"/>
  <c r="H47" i="13"/>
  <c r="S10" i="13"/>
  <c r="I34" i="19"/>
  <c r="I39" i="19" s="1"/>
  <c r="I42" i="19" s="1"/>
  <c r="B34" i="19"/>
  <c r="B39" i="19" s="1"/>
  <c r="B42" i="19" s="1"/>
  <c r="B88" i="19" s="1"/>
  <c r="B99" i="19" s="1"/>
  <c r="B117" i="19" s="1"/>
  <c r="B119" i="19" s="1"/>
  <c r="K13" i="21"/>
  <c r="B22" i="7"/>
  <c r="B27" i="7" s="1"/>
  <c r="L47" i="17"/>
  <c r="Q33" i="17"/>
  <c r="R11" i="17"/>
  <c r="Q10" i="17"/>
  <c r="O9" i="17"/>
  <c r="J79" i="19"/>
  <c r="J81" i="19" s="1"/>
  <c r="B79" i="19"/>
  <c r="B81" i="19" s="1"/>
  <c r="D43" i="2"/>
  <c r="G25" i="17"/>
  <c r="O11" i="17"/>
  <c r="F133" i="2"/>
  <c r="F135" i="2" s="1"/>
  <c r="D133" i="2"/>
  <c r="D135" i="2" s="1"/>
  <c r="R14" i="17"/>
  <c r="N106" i="19"/>
  <c r="N68" i="19"/>
  <c r="N71" i="19" s="1"/>
  <c r="D27" i="2"/>
  <c r="F18" i="2"/>
  <c r="M36" i="17"/>
  <c r="P23" i="17"/>
  <c r="Q14" i="17"/>
  <c r="S11" i="13"/>
  <c r="M26" i="17"/>
  <c r="O23" i="17"/>
  <c r="O14" i="17"/>
  <c r="K34" i="19"/>
  <c r="K39" i="19" s="1"/>
  <c r="K42" i="19" s="1"/>
  <c r="C34" i="19"/>
  <c r="C39" i="19" s="1"/>
  <c r="C42" i="19" s="1"/>
  <c r="N19" i="19"/>
  <c r="P16" i="17"/>
  <c r="P15" i="17"/>
  <c r="M48" i="17"/>
  <c r="S9" i="13"/>
  <c r="E79" i="19"/>
  <c r="E81" i="19" s="1"/>
  <c r="N78" i="19"/>
  <c r="B202" i="2"/>
  <c r="C199" i="2" s="1"/>
  <c r="C48" i="2" s="1"/>
  <c r="N48" i="17"/>
  <c r="H13" i="21"/>
  <c r="F43" i="2"/>
  <c r="G47" i="17"/>
  <c r="D79" i="19"/>
  <c r="D81" i="19" s="1"/>
  <c r="N114" i="19"/>
  <c r="O13" i="21"/>
  <c r="N13" i="21"/>
  <c r="F22" i="7"/>
  <c r="F27" i="7" s="1"/>
  <c r="S12" i="13"/>
  <c r="N33" i="19"/>
  <c r="G34" i="19"/>
  <c r="G39" i="19" s="1"/>
  <c r="G42" i="19" s="1"/>
  <c r="G43" i="19" s="1"/>
  <c r="J13" i="21"/>
  <c r="D88" i="2"/>
  <c r="D93" i="2" s="1"/>
  <c r="M13" i="21"/>
  <c r="D45" i="2"/>
  <c r="B41" i="2"/>
  <c r="D26" i="2"/>
  <c r="R24" i="17"/>
  <c r="R23" i="17"/>
  <c r="R22" i="17"/>
  <c r="E34" i="19"/>
  <c r="E39" i="19" s="1"/>
  <c r="E42" i="19" s="1"/>
  <c r="E43" i="19" s="1"/>
  <c r="I13" i="21"/>
  <c r="G13" i="21"/>
  <c r="L36" i="17"/>
  <c r="F13" i="21"/>
  <c r="D24" i="2"/>
  <c r="L13" i="21"/>
  <c r="E58" i="17"/>
  <c r="W9" i="21" s="1"/>
  <c r="X9" i="21" s="1"/>
  <c r="Y9" i="21" s="1"/>
  <c r="E27" i="2"/>
  <c r="E42" i="2"/>
  <c r="G35" i="17"/>
  <c r="G26" i="17"/>
  <c r="H70" i="2"/>
  <c r="I55" i="17" s="1"/>
  <c r="G55" i="17" s="1"/>
  <c r="I36" i="8"/>
  <c r="G36" i="8"/>
  <c r="H128" i="2"/>
  <c r="I128" i="2" s="1"/>
  <c r="J128" i="2" s="1"/>
  <c r="K128" i="2" s="1"/>
  <c r="L128" i="2" s="1"/>
  <c r="M128" i="2" s="1"/>
  <c r="N128" i="2" s="1"/>
  <c r="O128" i="2" s="1"/>
  <c r="P128" i="2" s="1"/>
  <c r="Q128" i="2" s="1"/>
  <c r="H101" i="2"/>
  <c r="I101" i="2" s="1"/>
  <c r="N166" i="2"/>
  <c r="H100" i="2"/>
  <c r="I100" i="2" s="1"/>
  <c r="J100" i="2" s="1"/>
  <c r="K100" i="2" s="1"/>
  <c r="L100" i="2" s="1"/>
  <c r="M100" i="2" s="1"/>
  <c r="N100" i="2" s="1"/>
  <c r="O100" i="2" s="1"/>
  <c r="P100" i="2" s="1"/>
  <c r="Q100" i="2" s="1"/>
  <c r="Q166" i="2"/>
  <c r="I166" i="2"/>
  <c r="O166" i="2"/>
  <c r="K166" i="2"/>
  <c r="O27" i="2"/>
  <c r="J166" i="2"/>
  <c r="P166" i="2"/>
  <c r="Q27" i="2"/>
  <c r="L166" i="2"/>
  <c r="G166" i="2"/>
  <c r="P27" i="2"/>
  <c r="G22" i="7"/>
  <c r="G27" i="7" s="1"/>
  <c r="F15" i="21" s="1"/>
  <c r="H127" i="2"/>
  <c r="I127" i="2" s="1"/>
  <c r="J127" i="2" s="1"/>
  <c r="K127" i="2" s="1"/>
  <c r="L127" i="2" s="1"/>
  <c r="M127" i="2" s="1"/>
  <c r="H166" i="2"/>
  <c r="G23" i="7"/>
  <c r="G28" i="7" s="1"/>
  <c r="F16" i="21" s="1"/>
  <c r="H72" i="2"/>
  <c r="I72" i="2" s="1"/>
  <c r="H67" i="2"/>
  <c r="H17" i="7" s="1"/>
  <c r="I22" i="2"/>
  <c r="I27" i="2" s="1"/>
  <c r="N36" i="8"/>
  <c r="Q36" i="8"/>
  <c r="H71" i="2"/>
  <c r="H27" i="2"/>
  <c r="G25" i="2"/>
  <c r="G27" i="2" s="1"/>
  <c r="J27" i="2"/>
  <c r="M166" i="2"/>
  <c r="G113" i="2"/>
  <c r="H113" i="2" s="1"/>
  <c r="I113" i="2" s="1"/>
  <c r="J113" i="2" s="1"/>
  <c r="K113" i="2" s="1"/>
  <c r="L113" i="2" s="1"/>
  <c r="M113" i="2" s="1"/>
  <c r="N113" i="2" s="1"/>
  <c r="O113" i="2" s="1"/>
  <c r="P113" i="2" s="1"/>
  <c r="Q113" i="2" s="1"/>
  <c r="Q8" i="21"/>
  <c r="AE35" i="13"/>
  <c r="AC36" i="13"/>
  <c r="O8" i="7"/>
  <c r="P8" i="7" s="1"/>
  <c r="Q8" i="7" s="1"/>
  <c r="C189" i="2"/>
  <c r="C191" i="2" s="1"/>
  <c r="B21" i="2"/>
  <c r="B22" i="2"/>
  <c r="B23" i="2"/>
  <c r="B24" i="2"/>
  <c r="B42" i="2"/>
  <c r="B43" i="2"/>
  <c r="B45" i="2"/>
  <c r="B73" i="2"/>
  <c r="B26" i="2"/>
  <c r="B25" i="2"/>
  <c r="B36" i="2"/>
  <c r="B88" i="2"/>
  <c r="C184" i="2"/>
  <c r="D179" i="2" s="1"/>
  <c r="D184" i="2" s="1"/>
  <c r="E179" i="2" s="1"/>
  <c r="E184" i="2" s="1"/>
  <c r="F179" i="2" s="1"/>
  <c r="F184" i="2" s="1"/>
  <c r="G179" i="2" s="1"/>
  <c r="B27" i="2"/>
  <c r="C73" i="2"/>
  <c r="H114" i="2"/>
  <c r="G158" i="2"/>
  <c r="L27" i="2"/>
  <c r="F27" i="2"/>
  <c r="F88" i="2"/>
  <c r="G108" i="2"/>
  <c r="G78" i="2"/>
  <c r="H69" i="2"/>
  <c r="C9" i="2"/>
  <c r="C36" i="2" s="1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H8" i="8"/>
  <c r="G77" i="2"/>
  <c r="G73" i="2"/>
  <c r="G18" i="2" s="1"/>
  <c r="C22" i="2"/>
  <c r="C24" i="2"/>
  <c r="C21" i="2"/>
  <c r="C25" i="2"/>
  <c r="C26" i="2"/>
  <c r="C43" i="2"/>
  <c r="C88" i="2"/>
  <c r="C23" i="2"/>
  <c r="C45" i="2"/>
  <c r="C42" i="2"/>
  <c r="K36" i="8"/>
  <c r="K21" i="2"/>
  <c r="K27" i="2" s="1"/>
  <c r="J36" i="8"/>
  <c r="F8" i="2"/>
  <c r="C27" i="2"/>
  <c r="L36" i="8"/>
  <c r="O36" i="8"/>
  <c r="P34" i="17"/>
  <c r="R34" i="17"/>
  <c r="O34" i="17"/>
  <c r="Q34" i="17"/>
  <c r="E21" i="2"/>
  <c r="E22" i="2"/>
  <c r="E23" i="2"/>
  <c r="E24" i="2"/>
  <c r="E25" i="2"/>
  <c r="E26" i="2"/>
  <c r="E88" i="2"/>
  <c r="E45" i="2"/>
  <c r="N35" i="17"/>
  <c r="N36" i="17"/>
  <c r="R43" i="17"/>
  <c r="O43" i="17"/>
  <c r="P43" i="17"/>
  <c r="Q43" i="17"/>
  <c r="D23" i="2"/>
  <c r="L25" i="17"/>
  <c r="D21" i="2"/>
  <c r="R44" i="17"/>
  <c r="O44" i="17"/>
  <c r="Q25" i="17"/>
  <c r="M22" i="2"/>
  <c r="M27" i="2" s="1"/>
  <c r="M36" i="8"/>
  <c r="P36" i="8"/>
  <c r="H36" i="8"/>
  <c r="N47" i="17"/>
  <c r="M16" i="17"/>
  <c r="E18" i="2"/>
  <c r="F26" i="2"/>
  <c r="F25" i="2"/>
  <c r="N22" i="2"/>
  <c r="N27" i="2" s="1"/>
  <c r="D22" i="2"/>
  <c r="R45" i="17"/>
  <c r="O45" i="17"/>
  <c r="G36" i="17"/>
  <c r="P32" i="17"/>
  <c r="R32" i="17"/>
  <c r="L26" i="17"/>
  <c r="L15" i="17"/>
  <c r="C9" i="8"/>
  <c r="D7" i="8"/>
  <c r="Q44" i="17"/>
  <c r="L48" i="17"/>
  <c r="N25" i="17"/>
  <c r="M15" i="17"/>
  <c r="R46" i="17"/>
  <c r="O46" i="17"/>
  <c r="P44" i="17"/>
  <c r="R42" i="17"/>
  <c r="G48" i="17"/>
  <c r="O42" i="17"/>
  <c r="P33" i="17"/>
  <c r="R33" i="17"/>
  <c r="J6" i="19"/>
  <c r="K6" i="19" s="1"/>
  <c r="L6" i="19" s="1"/>
  <c r="N6" i="19"/>
  <c r="S14" i="13"/>
  <c r="AH36" i="13"/>
  <c r="C8" i="19"/>
  <c r="D7" i="19"/>
  <c r="L79" i="19"/>
  <c r="L81" i="19" s="1"/>
  <c r="N57" i="19"/>
  <c r="N61" i="19" s="1"/>
  <c r="BG34" i="13"/>
  <c r="BG42" i="13"/>
  <c r="AY23" i="13"/>
  <c r="AY18" i="13"/>
  <c r="AY37" i="13"/>
  <c r="AY33" i="13"/>
  <c r="BG11" i="13"/>
  <c r="BG13" i="13"/>
  <c r="AY38" i="13"/>
  <c r="BG17" i="13"/>
  <c r="BG24" i="13"/>
  <c r="BG40" i="13"/>
  <c r="AY34" i="13"/>
  <c r="AY20" i="13"/>
  <c r="AY12" i="13"/>
  <c r="BG41" i="13"/>
  <c r="AY19" i="13"/>
  <c r="AY16" i="13"/>
  <c r="AY32" i="13"/>
  <c r="BG22" i="13"/>
  <c r="AY24" i="13"/>
  <c r="BG23" i="13"/>
  <c r="BG10" i="13"/>
  <c r="AY39" i="13"/>
  <c r="BG43" i="13"/>
  <c r="AY22" i="13"/>
  <c r="AY35" i="13"/>
  <c r="AY28" i="13"/>
  <c r="BG14" i="13"/>
  <c r="AY47" i="13"/>
  <c r="AY46" i="13"/>
  <c r="BG18" i="13"/>
  <c r="BG46" i="13"/>
  <c r="BG31" i="13"/>
  <c r="BG38" i="13"/>
  <c r="AY44" i="13"/>
  <c r="AY26" i="13"/>
  <c r="AY10" i="13"/>
  <c r="BG36" i="13"/>
  <c r="BG19" i="13"/>
  <c r="BG15" i="13"/>
  <c r="BG29" i="13"/>
  <c r="BG35" i="13"/>
  <c r="AY36" i="13"/>
  <c r="AY11" i="13"/>
  <c r="AY30" i="13"/>
  <c r="BG39" i="13"/>
  <c r="BG20" i="13"/>
  <c r="BG45" i="13"/>
  <c r="AY29" i="13"/>
  <c r="BG27" i="13"/>
  <c r="BG12" i="13"/>
  <c r="AY21" i="13"/>
  <c r="BG48" i="13"/>
  <c r="AY42" i="13"/>
  <c r="BG33" i="13"/>
  <c r="AY15" i="13"/>
  <c r="AY45" i="13"/>
  <c r="AY41" i="13"/>
  <c r="AY17" i="13"/>
  <c r="BG30" i="13"/>
  <c r="BG26" i="13"/>
  <c r="AY31" i="13"/>
  <c r="BG37" i="13"/>
  <c r="BG32" i="13"/>
  <c r="AY43" i="13"/>
  <c r="BG28" i="13"/>
  <c r="BG44" i="13"/>
  <c r="BG25" i="13"/>
  <c r="AY13" i="13"/>
  <c r="BG16" i="13"/>
  <c r="AY40" i="13"/>
  <c r="AI35" i="13"/>
  <c r="AY25" i="13"/>
  <c r="BG21" i="13"/>
  <c r="AI34" i="13"/>
  <c r="BG47" i="13"/>
  <c r="AY14" i="13"/>
  <c r="AY27" i="13"/>
  <c r="N34" i="19" l="1"/>
  <c r="O16" i="17"/>
  <c r="L44" i="19"/>
  <c r="Q15" i="17"/>
  <c r="L88" i="19"/>
  <c r="L99" i="19" s="1"/>
  <c r="L117" i="19" s="1"/>
  <c r="L119" i="19" s="1"/>
  <c r="D9" i="2"/>
  <c r="D35" i="2" s="1"/>
  <c r="Q36" i="17"/>
  <c r="D43" i="19"/>
  <c r="R26" i="17"/>
  <c r="E44" i="19"/>
  <c r="H43" i="19"/>
  <c r="R16" i="17"/>
  <c r="P47" i="17"/>
  <c r="P26" i="17"/>
  <c r="H88" i="19"/>
  <c r="H99" i="19" s="1"/>
  <c r="H117" i="19" s="1"/>
  <c r="H119" i="19" s="1"/>
  <c r="O26" i="17"/>
  <c r="O35" i="17"/>
  <c r="O15" i="17"/>
  <c r="Q48" i="17"/>
  <c r="Q16" i="17"/>
  <c r="G88" i="19"/>
  <c r="G99" i="19" s="1"/>
  <c r="G117" i="19" s="1"/>
  <c r="G119" i="19" s="1"/>
  <c r="O25" i="17"/>
  <c r="F44" i="19"/>
  <c r="B43" i="19"/>
  <c r="E62" i="17"/>
  <c r="D44" i="19"/>
  <c r="B44" i="19"/>
  <c r="W11" i="21"/>
  <c r="N79" i="19"/>
  <c r="N81" i="19" s="1"/>
  <c r="R15" i="17"/>
  <c r="G44" i="19"/>
  <c r="P25" i="17"/>
  <c r="F43" i="19"/>
  <c r="E63" i="17"/>
  <c r="E88" i="19"/>
  <c r="E99" i="19" s="1"/>
  <c r="E117" i="19" s="1"/>
  <c r="E119" i="19" s="1"/>
  <c r="C18" i="2"/>
  <c r="S16" i="13"/>
  <c r="S18" i="13" s="1"/>
  <c r="S22" i="13" s="1"/>
  <c r="W18" i="13" s="1"/>
  <c r="H31" i="13" s="1"/>
  <c r="H32" i="13" s="1"/>
  <c r="D30" i="2"/>
  <c r="D96" i="2"/>
  <c r="D142" i="2" s="1"/>
  <c r="D153" i="2" s="1"/>
  <c r="D171" i="2" s="1"/>
  <c r="D173" i="2" s="1"/>
  <c r="C202" i="2"/>
  <c r="D199" i="2" s="1"/>
  <c r="D202" i="2" s="1"/>
  <c r="E199" i="2" s="1"/>
  <c r="R25" i="17"/>
  <c r="D218" i="2"/>
  <c r="D220" i="2" s="1"/>
  <c r="D223" i="2" s="1"/>
  <c r="D226" i="2"/>
  <c r="Q35" i="17"/>
  <c r="I70" i="2"/>
  <c r="J70" i="2" s="1"/>
  <c r="K70" i="2" s="1"/>
  <c r="L70" i="2" s="1"/>
  <c r="M70" i="2" s="1"/>
  <c r="N70" i="2" s="1"/>
  <c r="O70" i="2" s="1"/>
  <c r="P70" i="2" s="1"/>
  <c r="Q70" i="2" s="1"/>
  <c r="I17" i="17"/>
  <c r="G17" i="17" s="1"/>
  <c r="H259" i="2"/>
  <c r="I67" i="2"/>
  <c r="I77" i="2" s="1"/>
  <c r="H73" i="2"/>
  <c r="H18" i="2" s="1"/>
  <c r="I37" i="17"/>
  <c r="H23" i="7"/>
  <c r="H28" i="7" s="1"/>
  <c r="G16" i="21" s="1"/>
  <c r="H77" i="2"/>
  <c r="J101" i="2"/>
  <c r="I259" i="2"/>
  <c r="G79" i="2"/>
  <c r="G85" i="2" s="1"/>
  <c r="I49" i="17"/>
  <c r="I71" i="2"/>
  <c r="H24" i="7"/>
  <c r="H29" i="7" s="1"/>
  <c r="G17" i="21" s="1"/>
  <c r="AZ34" i="13"/>
  <c r="AZ37" i="13"/>
  <c r="AZ17" i="13"/>
  <c r="AZ43" i="13"/>
  <c r="AZ44" i="13"/>
  <c r="AZ10" i="13"/>
  <c r="AZ22" i="13"/>
  <c r="AZ12" i="13"/>
  <c r="AZ45" i="13"/>
  <c r="AZ20" i="13"/>
  <c r="AZ33" i="13"/>
  <c r="BH10" i="13"/>
  <c r="AZ32" i="13"/>
  <c r="AZ30" i="13"/>
  <c r="AZ42" i="13"/>
  <c r="AZ31" i="13"/>
  <c r="AZ46" i="13"/>
  <c r="AZ28" i="13"/>
  <c r="AZ41" i="13"/>
  <c r="AZ15" i="13"/>
  <c r="AZ39" i="13"/>
  <c r="AZ36" i="13"/>
  <c r="AZ27" i="13"/>
  <c r="AZ16" i="13"/>
  <c r="AZ29" i="13"/>
  <c r="AZ18" i="13"/>
  <c r="AZ21" i="13"/>
  <c r="AZ40" i="13"/>
  <c r="AZ11" i="13"/>
  <c r="AZ26" i="13"/>
  <c r="AZ13" i="13"/>
  <c r="AZ24" i="13"/>
  <c r="AZ35" i="13"/>
  <c r="AZ14" i="13"/>
  <c r="AZ38" i="13"/>
  <c r="AZ47" i="13"/>
  <c r="AZ25" i="13"/>
  <c r="AZ19" i="13"/>
  <c r="AZ23" i="13"/>
  <c r="J44" i="19"/>
  <c r="J88" i="19"/>
  <c r="J99" i="19" s="1"/>
  <c r="J117" i="19" s="1"/>
  <c r="J119" i="19" s="1"/>
  <c r="J43" i="19"/>
  <c r="R47" i="17"/>
  <c r="R48" i="17"/>
  <c r="AH37" i="13"/>
  <c r="K44" i="19"/>
  <c r="K88" i="19"/>
  <c r="K99" i="19" s="1"/>
  <c r="K117" i="19" s="1"/>
  <c r="K119" i="19" s="1"/>
  <c r="K43" i="19"/>
  <c r="F9" i="2"/>
  <c r="G8" i="2"/>
  <c r="H108" i="2"/>
  <c r="G159" i="2"/>
  <c r="D189" i="2"/>
  <c r="D191" i="2" s="1"/>
  <c r="D196" i="2" s="1"/>
  <c r="P48" i="17"/>
  <c r="F93" i="2"/>
  <c r="F218" i="2"/>
  <c r="F220" i="2" s="1"/>
  <c r="F223" i="2" s="1"/>
  <c r="F226" i="2"/>
  <c r="I114" i="2"/>
  <c r="H158" i="2"/>
  <c r="N127" i="2"/>
  <c r="O36" i="17"/>
  <c r="C93" i="2"/>
  <c r="C218" i="2"/>
  <c r="C220" i="2" s="1"/>
  <c r="C223" i="2" s="1"/>
  <c r="C226" i="2"/>
  <c r="J72" i="2"/>
  <c r="I23" i="7"/>
  <c r="I28" i="7" s="1"/>
  <c r="H16" i="21" s="1"/>
  <c r="O48" i="17"/>
  <c r="O47" i="17"/>
  <c r="R36" i="17"/>
  <c r="R35" i="17"/>
  <c r="E93" i="2"/>
  <c r="E218" i="2"/>
  <c r="E220" i="2" s="1"/>
  <c r="E223" i="2" s="1"/>
  <c r="E226" i="2"/>
  <c r="D18" i="2"/>
  <c r="E7" i="19"/>
  <c r="D8" i="19"/>
  <c r="I88" i="19"/>
  <c r="I43" i="19"/>
  <c r="I44" i="19"/>
  <c r="N39" i="19"/>
  <c r="N42" i="19" s="1"/>
  <c r="P36" i="17"/>
  <c r="P35" i="17"/>
  <c r="I8" i="8"/>
  <c r="I27" i="17"/>
  <c r="I69" i="2"/>
  <c r="H78" i="2"/>
  <c r="H19" i="7"/>
  <c r="H21" i="7" s="1"/>
  <c r="H22" i="7" s="1"/>
  <c r="H27" i="7" s="1"/>
  <c r="G15" i="21" s="1"/>
  <c r="B93" i="2"/>
  <c r="B218" i="2"/>
  <c r="B220" i="2" s="1"/>
  <c r="B223" i="2" s="1"/>
  <c r="B226" i="2"/>
  <c r="Q47" i="17"/>
  <c r="C44" i="19"/>
  <c r="C88" i="19"/>
  <c r="C99" i="19" s="1"/>
  <c r="C117" i="19" s="1"/>
  <c r="C119" i="19" s="1"/>
  <c r="C43" i="19"/>
  <c r="E7" i="8"/>
  <c r="D9" i="8"/>
  <c r="E9" i="2"/>
  <c r="C35" i="2"/>
  <c r="C41" i="2"/>
  <c r="G180" i="2"/>
  <c r="G144" i="2" s="1"/>
  <c r="C196" i="2"/>
  <c r="AI36" i="13"/>
  <c r="D41" i="2" l="1"/>
  <c r="D48" i="2"/>
  <c r="D36" i="2"/>
  <c r="D98" i="2"/>
  <c r="D97" i="2"/>
  <c r="H37" i="13"/>
  <c r="H49" i="13" s="1"/>
  <c r="G51" i="17"/>
  <c r="D227" i="2"/>
  <c r="D228" i="2" s="1"/>
  <c r="D234" i="2" s="1"/>
  <c r="D237" i="2" s="1"/>
  <c r="G19" i="17"/>
  <c r="G18" i="17"/>
  <c r="I73" i="2"/>
  <c r="I18" i="2" s="1"/>
  <c r="G49" i="17"/>
  <c r="I17" i="7"/>
  <c r="J67" i="2"/>
  <c r="K67" i="2" s="1"/>
  <c r="G50" i="17"/>
  <c r="H79" i="2"/>
  <c r="H84" i="2" s="1"/>
  <c r="G181" i="2"/>
  <c r="G156" i="2" s="1"/>
  <c r="G160" i="2" s="1"/>
  <c r="G83" i="2"/>
  <c r="G82" i="2"/>
  <c r="G86" i="2"/>
  <c r="G81" i="2"/>
  <c r="J71" i="2"/>
  <c r="I24" i="7"/>
  <c r="I29" i="7" s="1"/>
  <c r="H17" i="21" s="1"/>
  <c r="G120" i="2"/>
  <c r="G151" i="2" s="1"/>
  <c r="G84" i="2"/>
  <c r="G201" i="2"/>
  <c r="G236" i="2" s="1"/>
  <c r="G121" i="2"/>
  <c r="G152" i="2" s="1"/>
  <c r="K101" i="2"/>
  <c r="J259" i="2"/>
  <c r="F19" i="21"/>
  <c r="F30" i="21" s="1"/>
  <c r="G219" i="2"/>
  <c r="G229" i="2"/>
  <c r="B30" i="2"/>
  <c r="B227" i="2" s="1"/>
  <c r="B228" i="2" s="1"/>
  <c r="B234" i="2" s="1"/>
  <c r="B237" i="2" s="1"/>
  <c r="B96" i="2"/>
  <c r="F7" i="19"/>
  <c r="E8" i="19"/>
  <c r="E189" i="2"/>
  <c r="E191" i="2" s="1"/>
  <c r="E196" i="2" s="1"/>
  <c r="AH38" i="13"/>
  <c r="C96" i="2"/>
  <c r="C30" i="2"/>
  <c r="C227" i="2" s="1"/>
  <c r="C228" i="2" s="1"/>
  <c r="C234" i="2" s="1"/>
  <c r="C237" i="2" s="1"/>
  <c r="I158" i="2"/>
  <c r="J114" i="2"/>
  <c r="D211" i="2"/>
  <c r="D213" i="2" s="1"/>
  <c r="D216" i="2" s="1"/>
  <c r="F30" i="2"/>
  <c r="F227" i="2" s="1"/>
  <c r="F228" i="2" s="1"/>
  <c r="F234" i="2" s="1"/>
  <c r="F237" i="2" s="1"/>
  <c r="F96" i="2"/>
  <c r="G39" i="17"/>
  <c r="G38" i="17"/>
  <c r="G37" i="17"/>
  <c r="I78" i="2"/>
  <c r="I79" i="2" s="1"/>
  <c r="J69" i="2"/>
  <c r="I19" i="7"/>
  <c r="I21" i="7" s="1"/>
  <c r="H159" i="2"/>
  <c r="I108" i="2"/>
  <c r="E35" i="2"/>
  <c r="E41" i="2"/>
  <c r="E36" i="2"/>
  <c r="E48" i="2"/>
  <c r="E202" i="2"/>
  <c r="F199" i="2" s="1"/>
  <c r="G27" i="17"/>
  <c r="I58" i="17"/>
  <c r="G29" i="17"/>
  <c r="G28" i="17"/>
  <c r="N44" i="19"/>
  <c r="N43" i="19"/>
  <c r="K72" i="2"/>
  <c r="J23" i="7"/>
  <c r="J28" i="7" s="1"/>
  <c r="I16" i="21" s="1"/>
  <c r="H8" i="2"/>
  <c r="G9" i="2"/>
  <c r="G110" i="2" s="1"/>
  <c r="G149" i="2" s="1"/>
  <c r="G248" i="2"/>
  <c r="F7" i="8"/>
  <c r="E9" i="8"/>
  <c r="N88" i="19"/>
  <c r="N99" i="19" s="1"/>
  <c r="N117" i="19" s="1"/>
  <c r="N119" i="19" s="1"/>
  <c r="I99" i="19"/>
  <c r="I117" i="19" s="1"/>
  <c r="I119" i="19" s="1"/>
  <c r="O127" i="2"/>
  <c r="BB10" i="13"/>
  <c r="BC10" i="13" s="1"/>
  <c r="BB13" i="13"/>
  <c r="BC13" i="13" s="1"/>
  <c r="BB11" i="13"/>
  <c r="BC11" i="13" s="1"/>
  <c r="BB12" i="13"/>
  <c r="BC12" i="13" s="1"/>
  <c r="BB14" i="13"/>
  <c r="BC14" i="13" s="1"/>
  <c r="J8" i="8"/>
  <c r="F35" i="2"/>
  <c r="F41" i="2"/>
  <c r="F36" i="2"/>
  <c r="E30" i="2"/>
  <c r="E227" i="2" s="1"/>
  <c r="E228" i="2" s="1"/>
  <c r="E234" i="2" s="1"/>
  <c r="E237" i="2" s="1"/>
  <c r="E96" i="2"/>
  <c r="BH11" i="13"/>
  <c r="BH12" i="13" s="1"/>
  <c r="BH13" i="13" s="1"/>
  <c r="BH14" i="13" s="1"/>
  <c r="BH15" i="13" s="1"/>
  <c r="BH16" i="13" s="1"/>
  <c r="BH17" i="13" s="1"/>
  <c r="BH18" i="13" s="1"/>
  <c r="BH19" i="13" s="1"/>
  <c r="BH20" i="13" s="1"/>
  <c r="BH21" i="13" s="1"/>
  <c r="BH22" i="13" s="1"/>
  <c r="BH23" i="13" s="1"/>
  <c r="BH24" i="13" s="1"/>
  <c r="BH25" i="13" s="1"/>
  <c r="BH26" i="13" s="1"/>
  <c r="BH27" i="13" s="1"/>
  <c r="BH28" i="13" s="1"/>
  <c r="BH29" i="13" s="1"/>
  <c r="BH30" i="13" s="1"/>
  <c r="BH31" i="13" s="1"/>
  <c r="BH32" i="13" s="1"/>
  <c r="BH33" i="13" s="1"/>
  <c r="BH34" i="13" s="1"/>
  <c r="BH35" i="13" s="1"/>
  <c r="BH36" i="13" s="1"/>
  <c r="BH37" i="13" s="1"/>
  <c r="BH38" i="13" s="1"/>
  <c r="BH39" i="13" s="1"/>
  <c r="BH40" i="13" s="1"/>
  <c r="BH41" i="13" s="1"/>
  <c r="BH42" i="13" s="1"/>
  <c r="BH43" i="13" s="1"/>
  <c r="BH44" i="13" s="1"/>
  <c r="BH45" i="13" s="1"/>
  <c r="BH46" i="13" s="1"/>
  <c r="BH47" i="13" s="1"/>
  <c r="BH48" i="13" s="1"/>
  <c r="AI37" i="13"/>
  <c r="J28" i="13" l="1"/>
  <c r="J41" i="13"/>
  <c r="J17" i="7"/>
  <c r="J77" i="2"/>
  <c r="H83" i="2"/>
  <c r="G182" i="2"/>
  <c r="G184" i="2" s="1"/>
  <c r="H121" i="2"/>
  <c r="H152" i="2" s="1"/>
  <c r="G87" i="2"/>
  <c r="G88" i="2" s="1"/>
  <c r="G226" i="2" s="1"/>
  <c r="G19" i="21"/>
  <c r="G30" i="21" s="1"/>
  <c r="G145" i="2"/>
  <c r="G230" i="2" s="1"/>
  <c r="H85" i="2"/>
  <c r="H201" i="2"/>
  <c r="H215" i="2" s="1"/>
  <c r="H181" i="2"/>
  <c r="H156" i="2" s="1"/>
  <c r="H160" i="2" s="1"/>
  <c r="H82" i="2"/>
  <c r="G212" i="2"/>
  <c r="G232" i="2" s="1"/>
  <c r="H120" i="2"/>
  <c r="H151" i="2" s="1"/>
  <c r="J73" i="2"/>
  <c r="J18" i="2" s="1"/>
  <c r="H81" i="2"/>
  <c r="I22" i="7"/>
  <c r="I27" i="7" s="1"/>
  <c r="H15" i="21" s="1"/>
  <c r="H86" i="2"/>
  <c r="G215" i="2"/>
  <c r="G58" i="17"/>
  <c r="D58" i="17" s="1"/>
  <c r="D60" i="17" s="1"/>
  <c r="Y7" i="21" s="1"/>
  <c r="Y11" i="21" s="1"/>
  <c r="K259" i="2"/>
  <c r="L101" i="2"/>
  <c r="G62" i="17"/>
  <c r="D62" i="17" s="1"/>
  <c r="C62" i="17" s="1"/>
  <c r="G63" i="17"/>
  <c r="D63" i="17" s="1"/>
  <c r="C63" i="17" s="1"/>
  <c r="K71" i="2"/>
  <c r="J24" i="7"/>
  <c r="J29" i="7" s="1"/>
  <c r="I17" i="21" s="1"/>
  <c r="BC8" i="13"/>
  <c r="BJ28" i="13"/>
  <c r="BK28" i="13" s="1"/>
  <c r="BJ18" i="13"/>
  <c r="BK18" i="13" s="1"/>
  <c r="BJ38" i="13"/>
  <c r="BK38" i="13" s="1"/>
  <c r="BJ25" i="13"/>
  <c r="BK25" i="13" s="1"/>
  <c r="I159" i="2"/>
  <c r="J108" i="2"/>
  <c r="G7" i="19"/>
  <c r="F8" i="19"/>
  <c r="L67" i="2"/>
  <c r="K77" i="2"/>
  <c r="K17" i="7"/>
  <c r="BJ45" i="13"/>
  <c r="BK45" i="13" s="1"/>
  <c r="BJ17" i="13"/>
  <c r="BK17" i="13" s="1"/>
  <c r="BJ36" i="13"/>
  <c r="BK36" i="13" s="1"/>
  <c r="BJ41" i="13"/>
  <c r="BK41" i="13" s="1"/>
  <c r="BJ22" i="13"/>
  <c r="BK22" i="13" s="1"/>
  <c r="C97" i="2"/>
  <c r="C98" i="2"/>
  <c r="C142" i="2"/>
  <c r="C153" i="2" s="1"/>
  <c r="C171" i="2" s="1"/>
  <c r="C173" i="2" s="1"/>
  <c r="K8" i="8"/>
  <c r="BJ40" i="13"/>
  <c r="BK40" i="13" s="1"/>
  <c r="BJ11" i="13"/>
  <c r="BK11" i="13" s="1"/>
  <c r="G7" i="8"/>
  <c r="F9" i="8"/>
  <c r="BJ35" i="13"/>
  <c r="BK35" i="13" s="1"/>
  <c r="BJ21" i="13"/>
  <c r="BK21" i="13" s="1"/>
  <c r="BJ12" i="13"/>
  <c r="BK12" i="13" s="1"/>
  <c r="BJ30" i="13"/>
  <c r="BK30" i="13" s="1"/>
  <c r="BJ48" i="13"/>
  <c r="BK48" i="13" s="1"/>
  <c r="F97" i="2"/>
  <c r="F142" i="2"/>
  <c r="F153" i="2" s="1"/>
  <c r="F171" i="2" s="1"/>
  <c r="F173" i="2" s="1"/>
  <c r="F98" i="2"/>
  <c r="F189" i="2"/>
  <c r="F191" i="2" s="1"/>
  <c r="BJ31" i="13"/>
  <c r="BK31" i="13" s="1"/>
  <c r="AH39" i="13"/>
  <c r="G249" i="2"/>
  <c r="L72" i="2"/>
  <c r="K23" i="7"/>
  <c r="K28" i="7" s="1"/>
  <c r="J16" i="21" s="1"/>
  <c r="BJ34" i="13"/>
  <c r="BK34" i="13" s="1"/>
  <c r="BJ44" i="13"/>
  <c r="BK44" i="13" s="1"/>
  <c r="BJ42" i="13"/>
  <c r="BK42" i="13" s="1"/>
  <c r="BJ39" i="13"/>
  <c r="BK39" i="13" s="1"/>
  <c r="BJ23" i="13"/>
  <c r="BK23" i="13" s="1"/>
  <c r="G119" i="2"/>
  <c r="BJ29" i="13"/>
  <c r="BK29" i="13" s="1"/>
  <c r="BJ14" i="13"/>
  <c r="BK14" i="13" s="1"/>
  <c r="F48" i="2"/>
  <c r="F202" i="2"/>
  <c r="G199" i="2" s="1"/>
  <c r="BJ46" i="13"/>
  <c r="BK46" i="13" s="1"/>
  <c r="BJ47" i="13"/>
  <c r="BK47" i="13" s="1"/>
  <c r="BJ43" i="13"/>
  <c r="BK43" i="13" s="1"/>
  <c r="BJ16" i="13"/>
  <c r="BK16" i="13" s="1"/>
  <c r="BJ10" i="13"/>
  <c r="BK10" i="13" s="1"/>
  <c r="G109" i="2"/>
  <c r="G148" i="2" s="1"/>
  <c r="B97" i="2"/>
  <c r="B98" i="2"/>
  <c r="B142" i="2"/>
  <c r="B153" i="2" s="1"/>
  <c r="B171" i="2" s="1"/>
  <c r="B173" i="2" s="1"/>
  <c r="I82" i="2"/>
  <c r="I81" i="2"/>
  <c r="I83" i="2"/>
  <c r="I85" i="2"/>
  <c r="I84" i="2"/>
  <c r="I86" i="2"/>
  <c r="I121" i="2"/>
  <c r="I181" i="2"/>
  <c r="I156" i="2" s="1"/>
  <c r="H19" i="21"/>
  <c r="H30" i="21" s="1"/>
  <c r="I120" i="2"/>
  <c r="I201" i="2"/>
  <c r="E142" i="2"/>
  <c r="E153" i="2" s="1"/>
  <c r="E171" i="2" s="1"/>
  <c r="E173" i="2" s="1"/>
  <c r="E97" i="2"/>
  <c r="E98" i="2"/>
  <c r="H9" i="2"/>
  <c r="H110" i="2" s="1"/>
  <c r="H149" i="2" s="1"/>
  <c r="I8" i="2"/>
  <c r="H248" i="2"/>
  <c r="BJ33" i="13"/>
  <c r="BK33" i="13" s="1"/>
  <c r="BJ20" i="13"/>
  <c r="BK20" i="13" s="1"/>
  <c r="BJ19" i="13"/>
  <c r="BK19" i="13" s="1"/>
  <c r="BJ37" i="13"/>
  <c r="BK37" i="13" s="1"/>
  <c r="BJ27" i="13"/>
  <c r="BK27" i="13" s="1"/>
  <c r="K69" i="2"/>
  <c r="J78" i="2"/>
  <c r="J19" i="7"/>
  <c r="J21" i="7" s="1"/>
  <c r="P127" i="2"/>
  <c r="BJ15" i="13"/>
  <c r="BK15" i="13" s="1"/>
  <c r="BJ13" i="13"/>
  <c r="BK13" i="13" s="1"/>
  <c r="BJ26" i="13"/>
  <c r="BK26" i="13" s="1"/>
  <c r="BJ24" i="13"/>
  <c r="BK24" i="13" s="1"/>
  <c r="BJ32" i="13"/>
  <c r="BK32" i="13" s="1"/>
  <c r="J158" i="2"/>
  <c r="K114" i="2"/>
  <c r="AI38" i="13"/>
  <c r="J79" i="2" l="1"/>
  <c r="J85" i="2" s="1"/>
  <c r="J22" i="7"/>
  <c r="J27" i="7" s="1"/>
  <c r="I15" i="21" s="1"/>
  <c r="H109" i="2"/>
  <c r="H148" i="2" s="1"/>
  <c r="G218" i="2"/>
  <c r="G220" i="2" s="1"/>
  <c r="H236" i="2"/>
  <c r="H145" i="2"/>
  <c r="H230" i="2" s="1"/>
  <c r="H182" i="2"/>
  <c r="H212" i="2"/>
  <c r="H232" i="2" s="1"/>
  <c r="G222" i="2"/>
  <c r="G112" i="2"/>
  <c r="G186" i="2" s="1"/>
  <c r="H179" i="2"/>
  <c r="H180" i="2" s="1"/>
  <c r="H144" i="2" s="1"/>
  <c r="I152" i="2"/>
  <c r="G129" i="2"/>
  <c r="H119" i="2"/>
  <c r="H122" i="2" s="1"/>
  <c r="H87" i="2"/>
  <c r="H88" i="2" s="1"/>
  <c r="H218" i="2" s="1"/>
  <c r="I151" i="2"/>
  <c r="I145" i="2"/>
  <c r="I222" i="2" s="1"/>
  <c r="L71" i="2"/>
  <c r="K24" i="7"/>
  <c r="K29" i="7" s="1"/>
  <c r="J17" i="21" s="1"/>
  <c r="M101" i="2"/>
  <c r="L259" i="2"/>
  <c r="J159" i="2"/>
  <c r="K108" i="2"/>
  <c r="K78" i="2"/>
  <c r="K79" i="2" s="1"/>
  <c r="K19" i="7"/>
  <c r="K21" i="7" s="1"/>
  <c r="K22" i="7" s="1"/>
  <c r="K27" i="7" s="1"/>
  <c r="J15" i="21" s="1"/>
  <c r="L69" i="2"/>
  <c r="I160" i="2"/>
  <c r="I212" i="2"/>
  <c r="I232" i="2" s="1"/>
  <c r="M72" i="2"/>
  <c r="L23" i="7"/>
  <c r="L28" i="7" s="1"/>
  <c r="K16" i="21" s="1"/>
  <c r="F211" i="2"/>
  <c r="F213" i="2" s="1"/>
  <c r="F216" i="2" s="1"/>
  <c r="G139" i="2"/>
  <c r="H7" i="8"/>
  <c r="G9" i="8"/>
  <c r="C211" i="2"/>
  <c r="C213" i="2" s="1"/>
  <c r="C216" i="2" s="1"/>
  <c r="K73" i="2"/>
  <c r="K18" i="2" s="1"/>
  <c r="B211" i="2"/>
  <c r="B213" i="2" s="1"/>
  <c r="B216" i="2" s="1"/>
  <c r="G122" i="2"/>
  <c r="G150" i="2"/>
  <c r="G233" i="2" s="1"/>
  <c r="H249" i="2"/>
  <c r="E211" i="2"/>
  <c r="E213" i="2" s="1"/>
  <c r="E216" i="2" s="1"/>
  <c r="G200" i="2"/>
  <c r="G189" i="2"/>
  <c r="G191" i="2" s="1"/>
  <c r="G195" i="2" s="1"/>
  <c r="G90" i="2" s="1"/>
  <c r="J8" i="2"/>
  <c r="I9" i="2"/>
  <c r="I110" i="2" s="1"/>
  <c r="I149" i="2" s="1"/>
  <c r="I248" i="2"/>
  <c r="I249" i="2" s="1"/>
  <c r="L114" i="2"/>
  <c r="K158" i="2"/>
  <c r="Q127" i="2"/>
  <c r="I215" i="2"/>
  <c r="I236" i="2"/>
  <c r="I182" i="2"/>
  <c r="F196" i="2"/>
  <c r="L17" i="7"/>
  <c r="M67" i="2"/>
  <c r="L77" i="2"/>
  <c r="G227" i="2"/>
  <c r="G228" i="2" s="1"/>
  <c r="L8" i="8"/>
  <c r="I87" i="2"/>
  <c r="I88" i="2" s="1"/>
  <c r="BK8" i="13"/>
  <c r="AH40" i="13"/>
  <c r="H7" i="19"/>
  <c r="G8" i="19"/>
  <c r="AI39" i="13"/>
  <c r="J83" i="2" l="1"/>
  <c r="J181" i="2"/>
  <c r="J156" i="2" s="1"/>
  <c r="J160" i="2" s="1"/>
  <c r="J84" i="2"/>
  <c r="I19" i="21"/>
  <c r="I30" i="21" s="1"/>
  <c r="J82" i="2"/>
  <c r="J121" i="2"/>
  <c r="J152" i="2" s="1"/>
  <c r="J120" i="2"/>
  <c r="J151" i="2" s="1"/>
  <c r="J81" i="2"/>
  <c r="J86" i="2"/>
  <c r="J201" i="2"/>
  <c r="J215" i="2" s="1"/>
  <c r="G223" i="2"/>
  <c r="F20" i="21" s="1"/>
  <c r="F31" i="21" s="1"/>
  <c r="H129" i="2"/>
  <c r="I129" i="2" s="1"/>
  <c r="H222" i="2"/>
  <c r="I230" i="2"/>
  <c r="H226" i="2"/>
  <c r="H227" i="2" s="1"/>
  <c r="H228" i="2" s="1"/>
  <c r="H150" i="2"/>
  <c r="H233" i="2" s="1"/>
  <c r="L73" i="2"/>
  <c r="L18" i="2" s="1"/>
  <c r="N101" i="2"/>
  <c r="M259" i="2"/>
  <c r="H184" i="2"/>
  <c r="I179" i="2" s="1"/>
  <c r="M71" i="2"/>
  <c r="L24" i="7"/>
  <c r="L29" i="7" s="1"/>
  <c r="K17" i="21" s="1"/>
  <c r="H229" i="2"/>
  <c r="H219" i="2"/>
  <c r="H220" i="2" s="1"/>
  <c r="G164" i="2"/>
  <c r="G124" i="2"/>
  <c r="K8" i="2"/>
  <c r="J9" i="2"/>
  <c r="J110" i="2" s="1"/>
  <c r="J149" i="2" s="1"/>
  <c r="J248" i="2"/>
  <c r="J249" i="2" s="1"/>
  <c r="G89" i="2"/>
  <c r="G92" i="2" s="1"/>
  <c r="G93" i="2" s="1"/>
  <c r="M69" i="2"/>
  <c r="L78" i="2"/>
  <c r="L79" i="2" s="1"/>
  <c r="L19" i="7"/>
  <c r="L21" i="7" s="1"/>
  <c r="L22" i="7" s="1"/>
  <c r="L27" i="7" s="1"/>
  <c r="K15" i="21" s="1"/>
  <c r="M8" i="8"/>
  <c r="M77" i="2"/>
  <c r="M17" i="7"/>
  <c r="N67" i="2"/>
  <c r="AH41" i="13"/>
  <c r="I7" i="19"/>
  <c r="H8" i="19"/>
  <c r="G234" i="2"/>
  <c r="I7" i="8"/>
  <c r="H9" i="8"/>
  <c r="K81" i="2"/>
  <c r="K84" i="2"/>
  <c r="K120" i="2"/>
  <c r="K201" i="2"/>
  <c r="K83" i="2"/>
  <c r="K86" i="2"/>
  <c r="K85" i="2"/>
  <c r="K121" i="2"/>
  <c r="K82" i="2"/>
  <c r="K181" i="2"/>
  <c r="K156" i="2" s="1"/>
  <c r="J19" i="21"/>
  <c r="J30" i="21" s="1"/>
  <c r="I119" i="2"/>
  <c r="M114" i="2"/>
  <c r="L158" i="2"/>
  <c r="G123" i="2"/>
  <c r="H189" i="2"/>
  <c r="H191" i="2" s="1"/>
  <c r="N72" i="2"/>
  <c r="M23" i="7"/>
  <c r="M28" i="7" s="1"/>
  <c r="L16" i="21" s="1"/>
  <c r="L108" i="2"/>
  <c r="K159" i="2"/>
  <c r="I109" i="2"/>
  <c r="I148" i="2" s="1"/>
  <c r="I218" i="2"/>
  <c r="I226" i="2"/>
  <c r="G202" i="2"/>
  <c r="AI40" i="13"/>
  <c r="J182" i="2" l="1"/>
  <c r="J212" i="2"/>
  <c r="J232" i="2" s="1"/>
  <c r="J236" i="2"/>
  <c r="J145" i="2"/>
  <c r="J222" i="2" s="1"/>
  <c r="J87" i="2"/>
  <c r="J88" i="2" s="1"/>
  <c r="J218" i="2" s="1"/>
  <c r="K152" i="2"/>
  <c r="K151" i="2"/>
  <c r="J109" i="2"/>
  <c r="J148" i="2" s="1"/>
  <c r="J119" i="2"/>
  <c r="J122" i="2" s="1"/>
  <c r="H223" i="2"/>
  <c r="G20" i="21" s="1"/>
  <c r="G31" i="21" s="1"/>
  <c r="G125" i="2"/>
  <c r="M73" i="2"/>
  <c r="M18" i="2" s="1"/>
  <c r="H112" i="2"/>
  <c r="H186" i="2" s="1"/>
  <c r="K145" i="2"/>
  <c r="K222" i="2" s="1"/>
  <c r="M24" i="7"/>
  <c r="M29" i="7" s="1"/>
  <c r="L17" i="21" s="1"/>
  <c r="N71" i="2"/>
  <c r="H234" i="2"/>
  <c r="G24" i="21" s="1"/>
  <c r="N259" i="2"/>
  <c r="O101" i="2"/>
  <c r="L86" i="2"/>
  <c r="L81" i="2"/>
  <c r="L121" i="2"/>
  <c r="L152" i="2" s="1"/>
  <c r="L84" i="2"/>
  <c r="L201" i="2"/>
  <c r="L85" i="2"/>
  <c r="L120" i="2"/>
  <c r="L151" i="2" s="1"/>
  <c r="K19" i="21"/>
  <c r="K30" i="21" s="1"/>
  <c r="L181" i="2"/>
  <c r="L156" i="2" s="1"/>
  <c r="L82" i="2"/>
  <c r="L83" i="2"/>
  <c r="I180" i="2"/>
  <c r="I144" i="2" s="1"/>
  <c r="H123" i="2"/>
  <c r="I189" i="2"/>
  <c r="I191" i="2" s="1"/>
  <c r="M108" i="2"/>
  <c r="L159" i="2"/>
  <c r="K9" i="2"/>
  <c r="K110" i="2" s="1"/>
  <c r="K149" i="2" s="1"/>
  <c r="L8" i="2"/>
  <c r="K248" i="2"/>
  <c r="K249" i="2" s="1"/>
  <c r="I8" i="19"/>
  <c r="J7" i="19"/>
  <c r="I122" i="2"/>
  <c r="I150" i="2"/>
  <c r="I233" i="2" s="1"/>
  <c r="AH42" i="13"/>
  <c r="I227" i="2"/>
  <c r="I228" i="2" s="1"/>
  <c r="G94" i="2"/>
  <c r="G96" i="2" s="1"/>
  <c r="N8" i="8"/>
  <c r="O72" i="2"/>
  <c r="N23" i="7"/>
  <c r="N28" i="7" s="1"/>
  <c r="M16" i="21" s="1"/>
  <c r="G163" i="2"/>
  <c r="G168" i="2" s="1"/>
  <c r="G193" i="2"/>
  <c r="K87" i="2"/>
  <c r="K88" i="2" s="1"/>
  <c r="M158" i="2"/>
  <c r="N114" i="2"/>
  <c r="J7" i="8"/>
  <c r="I9" i="8"/>
  <c r="K160" i="2"/>
  <c r="K212" i="2"/>
  <c r="K232" i="2" s="1"/>
  <c r="K182" i="2"/>
  <c r="K215" i="2"/>
  <c r="K236" i="2"/>
  <c r="H199" i="2"/>
  <c r="G256" i="2"/>
  <c r="H195" i="2"/>
  <c r="H90" i="2" s="1"/>
  <c r="G237" i="2"/>
  <c r="F24" i="21"/>
  <c r="G251" i="2"/>
  <c r="O67" i="2"/>
  <c r="N77" i="2"/>
  <c r="N17" i="7"/>
  <c r="N69" i="2"/>
  <c r="M19" i="7"/>
  <c r="M21" i="7" s="1"/>
  <c r="M22" i="7" s="1"/>
  <c r="M27" i="7" s="1"/>
  <c r="L15" i="21" s="1"/>
  <c r="M78" i="2"/>
  <c r="M79" i="2" s="1"/>
  <c r="AI41" i="13"/>
  <c r="J226" i="2" l="1"/>
  <c r="J129" i="2"/>
  <c r="K129" i="2" s="1"/>
  <c r="J230" i="2"/>
  <c r="J150" i="2"/>
  <c r="J233" i="2" s="1"/>
  <c r="K109" i="2"/>
  <c r="K148" i="2" s="1"/>
  <c r="K230" i="2"/>
  <c r="I184" i="2"/>
  <c r="J179" i="2" s="1"/>
  <c r="H251" i="2"/>
  <c r="H237" i="2"/>
  <c r="O259" i="2"/>
  <c r="P101" i="2"/>
  <c r="O71" i="2"/>
  <c r="N24" i="7"/>
  <c r="N29" i="7" s="1"/>
  <c r="M17" i="21" s="1"/>
  <c r="M83" i="2"/>
  <c r="M86" i="2"/>
  <c r="M120" i="2"/>
  <c r="M151" i="2" s="1"/>
  <c r="M82" i="2"/>
  <c r="M84" i="2"/>
  <c r="M181" i="2"/>
  <c r="M156" i="2" s="1"/>
  <c r="L19" i="21"/>
  <c r="L30" i="21" s="1"/>
  <c r="M81" i="2"/>
  <c r="M121" i="2"/>
  <c r="M152" i="2" s="1"/>
  <c r="M85" i="2"/>
  <c r="M201" i="2"/>
  <c r="G142" i="2"/>
  <c r="G153" i="2" s="1"/>
  <c r="G98" i="2"/>
  <c r="F25" i="21" s="1"/>
  <c r="F21" i="21"/>
  <c r="F22" i="21" s="1"/>
  <c r="G97" i="2"/>
  <c r="G131" i="2"/>
  <c r="I123" i="2"/>
  <c r="J189" i="2"/>
  <c r="J191" i="2" s="1"/>
  <c r="J195" i="2" s="1"/>
  <c r="J90" i="2" s="1"/>
  <c r="L236" i="2"/>
  <c r="L182" i="2"/>
  <c r="L215" i="2"/>
  <c r="AH43" i="13"/>
  <c r="AI43" i="13" s="1"/>
  <c r="H163" i="2"/>
  <c r="H193" i="2"/>
  <c r="O77" i="2"/>
  <c r="P67" i="2"/>
  <c r="O17" i="7"/>
  <c r="J227" i="2"/>
  <c r="J228" i="2" s="1"/>
  <c r="O23" i="7"/>
  <c r="O28" i="7" s="1"/>
  <c r="N16" i="21" s="1"/>
  <c r="P72" i="2"/>
  <c r="L145" i="2"/>
  <c r="L9" i="2"/>
  <c r="L110" i="2" s="1"/>
  <c r="L149" i="2" s="1"/>
  <c r="M8" i="2"/>
  <c r="L248" i="2"/>
  <c r="L249" i="2" s="1"/>
  <c r="N78" i="2"/>
  <c r="N79" i="2" s="1"/>
  <c r="O69" i="2"/>
  <c r="N19" i="7"/>
  <c r="N21" i="7" s="1"/>
  <c r="N22" i="7" s="1"/>
  <c r="N27" i="7" s="1"/>
  <c r="M15" i="21" s="1"/>
  <c r="K119" i="2"/>
  <c r="O8" i="8"/>
  <c r="L87" i="2"/>
  <c r="L88" i="2" s="1"/>
  <c r="J8" i="19"/>
  <c r="K7" i="19"/>
  <c r="M159" i="2"/>
  <c r="N108" i="2"/>
  <c r="L160" i="2"/>
  <c r="L212" i="2"/>
  <c r="L232" i="2" s="1"/>
  <c r="K7" i="8"/>
  <c r="J9" i="8"/>
  <c r="K226" i="2"/>
  <c r="K218" i="2"/>
  <c r="N73" i="2"/>
  <c r="N18" i="2" s="1"/>
  <c r="H200" i="2"/>
  <c r="N158" i="2"/>
  <c r="O114" i="2"/>
  <c r="I195" i="2"/>
  <c r="I90" i="2" s="1"/>
  <c r="I219" i="2"/>
  <c r="I220" i="2" s="1"/>
  <c r="I223" i="2" s="1"/>
  <c r="H20" i="21" s="1"/>
  <c r="H31" i="21" s="1"/>
  <c r="I229" i="2"/>
  <c r="I234" i="2" s="1"/>
  <c r="AI42" i="13"/>
  <c r="L119" i="2" l="1"/>
  <c r="L150" i="2" s="1"/>
  <c r="I112" i="2"/>
  <c r="I186" i="2" s="1"/>
  <c r="P71" i="2"/>
  <c r="O24" i="7"/>
  <c r="O29" i="7" s="1"/>
  <c r="N17" i="21" s="1"/>
  <c r="Q101" i="2"/>
  <c r="Q259" i="2" s="1"/>
  <c r="P259" i="2"/>
  <c r="K8" i="19"/>
  <c r="L7" i="19"/>
  <c r="K150" i="2"/>
  <c r="K233" i="2" s="1"/>
  <c r="K122" i="2"/>
  <c r="H24" i="21"/>
  <c r="I237" i="2"/>
  <c r="I251" i="2"/>
  <c r="Q67" i="2"/>
  <c r="P77" i="2"/>
  <c r="P17" i="7"/>
  <c r="M212" i="2"/>
  <c r="M232" i="2" s="1"/>
  <c r="M160" i="2"/>
  <c r="H164" i="2"/>
  <c r="H168" i="2" s="1"/>
  <c r="H124" i="2"/>
  <c r="H202" i="2"/>
  <c r="M215" i="2"/>
  <c r="M236" i="2"/>
  <c r="M182" i="2"/>
  <c r="M145" i="2"/>
  <c r="L109" i="2"/>
  <c r="L148" i="2" s="1"/>
  <c r="I163" i="2"/>
  <c r="I193" i="2"/>
  <c r="G211" i="2"/>
  <c r="G213" i="2" s="1"/>
  <c r="G216" i="2" s="1"/>
  <c r="G171" i="2"/>
  <c r="G173" i="2" s="1"/>
  <c r="F26" i="21"/>
  <c r="O78" i="2"/>
  <c r="O79" i="2" s="1"/>
  <c r="O19" i="7"/>
  <c r="O21" i="7" s="1"/>
  <c r="O22" i="7" s="1"/>
  <c r="O27" i="7" s="1"/>
  <c r="N15" i="21" s="1"/>
  <c r="P69" i="2"/>
  <c r="N83" i="2"/>
  <c r="N82" i="2"/>
  <c r="N121" i="2"/>
  <c r="N152" i="2" s="1"/>
  <c r="N85" i="2"/>
  <c r="N120" i="2"/>
  <c r="N151" i="2" s="1"/>
  <c r="N84" i="2"/>
  <c r="N181" i="2"/>
  <c r="N156" i="2" s="1"/>
  <c r="N201" i="2"/>
  <c r="N86" i="2"/>
  <c r="M19" i="21"/>
  <c r="M30" i="21" s="1"/>
  <c r="N81" i="2"/>
  <c r="K227" i="2"/>
  <c r="K228" i="2" s="1"/>
  <c r="J180" i="2"/>
  <c r="J144" i="2" s="1"/>
  <c r="L129" i="2"/>
  <c r="K189" i="2"/>
  <c r="K191" i="2" s="1"/>
  <c r="K195" i="2" s="1"/>
  <c r="K90" i="2" s="1"/>
  <c r="J123" i="2"/>
  <c r="L218" i="2"/>
  <c r="L226" i="2"/>
  <c r="N8" i="2"/>
  <c r="M9" i="2"/>
  <c r="M110" i="2" s="1"/>
  <c r="M149" i="2" s="1"/>
  <c r="M248" i="2"/>
  <c r="M249" i="2" s="1"/>
  <c r="G132" i="2"/>
  <c r="G133" i="2" s="1"/>
  <c r="P114" i="2"/>
  <c r="O158" i="2"/>
  <c r="O108" i="2"/>
  <c r="N159" i="2"/>
  <c r="M87" i="2"/>
  <c r="M88" i="2" s="1"/>
  <c r="Q72" i="2"/>
  <c r="Q23" i="7" s="1"/>
  <c r="Q28" i="7" s="1"/>
  <c r="P16" i="21" s="1"/>
  <c r="P23" i="7"/>
  <c r="P28" i="7" s="1"/>
  <c r="O16" i="21" s="1"/>
  <c r="L7" i="8"/>
  <c r="K9" i="8"/>
  <c r="P8" i="8"/>
  <c r="L222" i="2"/>
  <c r="L230" i="2"/>
  <c r="O73" i="2"/>
  <c r="O18" i="2" s="1"/>
  <c r="L122" i="2" l="1"/>
  <c r="M119" i="2"/>
  <c r="M150" i="2" s="1"/>
  <c r="N145" i="2"/>
  <c r="N230" i="2" s="1"/>
  <c r="Q71" i="2"/>
  <c r="Q24" i="7" s="1"/>
  <c r="Q29" i="7" s="1"/>
  <c r="P17" i="21" s="1"/>
  <c r="P24" i="7"/>
  <c r="P29" i="7" s="1"/>
  <c r="O17" i="21" s="1"/>
  <c r="J229" i="2"/>
  <c r="J234" i="2" s="1"/>
  <c r="J219" i="2"/>
  <c r="J220" i="2" s="1"/>
  <c r="J223" i="2" s="1"/>
  <c r="I20" i="21" s="1"/>
  <c r="I31" i="21" s="1"/>
  <c r="I199" i="2"/>
  <c r="H256" i="2"/>
  <c r="Q77" i="2"/>
  <c r="Q17" i="7"/>
  <c r="Q8" i="8"/>
  <c r="J163" i="2"/>
  <c r="J193" i="2"/>
  <c r="J184" i="2"/>
  <c r="N182" i="2"/>
  <c r="N215" i="2"/>
  <c r="N236" i="2"/>
  <c r="P78" i="2"/>
  <c r="P79" i="2" s="1"/>
  <c r="P19" i="7"/>
  <c r="P21" i="7" s="1"/>
  <c r="P22" i="7" s="1"/>
  <c r="P27" i="7" s="1"/>
  <c r="O15" i="21" s="1"/>
  <c r="Q69" i="2"/>
  <c r="L233" i="2"/>
  <c r="H125" i="2"/>
  <c r="P108" i="2"/>
  <c r="O159" i="2"/>
  <c r="N9" i="2"/>
  <c r="N110" i="2" s="1"/>
  <c r="N149" i="2" s="1"/>
  <c r="O8" i="2"/>
  <c r="N248" i="2"/>
  <c r="K123" i="2"/>
  <c r="L189" i="2"/>
  <c r="L191" i="2" s="1"/>
  <c r="L195" i="2" s="1"/>
  <c r="L90" i="2" s="1"/>
  <c r="N160" i="2"/>
  <c r="N212" i="2"/>
  <c r="N232" i="2" s="1"/>
  <c r="M7" i="8"/>
  <c r="L9" i="8"/>
  <c r="L227" i="2"/>
  <c r="L228" i="2" s="1"/>
  <c r="M222" i="2"/>
  <c r="M230" i="2"/>
  <c r="Q114" i="2"/>
  <c r="Q158" i="2" s="1"/>
  <c r="P158" i="2"/>
  <c r="M129" i="2"/>
  <c r="H139" i="2"/>
  <c r="G107" i="2"/>
  <c r="M218" i="2"/>
  <c r="M226" i="2"/>
  <c r="N87" i="2"/>
  <c r="N88" i="2" s="1"/>
  <c r="M109" i="2"/>
  <c r="M148" i="2" s="1"/>
  <c r="P73" i="2"/>
  <c r="P18" i="2" s="1"/>
  <c r="N7" i="19"/>
  <c r="N8" i="19" s="1"/>
  <c r="L8" i="19"/>
  <c r="O85" i="2"/>
  <c r="O121" i="2"/>
  <c r="O152" i="2" s="1"/>
  <c r="O120" i="2"/>
  <c r="O151" i="2" s="1"/>
  <c r="O82" i="2"/>
  <c r="O84" i="2"/>
  <c r="O181" i="2"/>
  <c r="O156" i="2" s="1"/>
  <c r="N19" i="21"/>
  <c r="N30" i="21" s="1"/>
  <c r="O81" i="2"/>
  <c r="O83" i="2"/>
  <c r="O86" i="2"/>
  <c r="O201" i="2"/>
  <c r="N222" i="2" l="1"/>
  <c r="M122" i="2"/>
  <c r="N119" i="2"/>
  <c r="N150" i="2" s="1"/>
  <c r="M233" i="2"/>
  <c r="P82" i="2"/>
  <c r="P85" i="2"/>
  <c r="P121" i="2"/>
  <c r="P152" i="2" s="1"/>
  <c r="P81" i="2"/>
  <c r="P120" i="2"/>
  <c r="P151" i="2" s="1"/>
  <c r="P83" i="2"/>
  <c r="P86" i="2"/>
  <c r="O19" i="21"/>
  <c r="O30" i="21" s="1"/>
  <c r="P181" i="2"/>
  <c r="P156" i="2" s="1"/>
  <c r="P84" i="2"/>
  <c r="P201" i="2"/>
  <c r="N218" i="2"/>
  <c r="N226" i="2"/>
  <c r="K163" i="2"/>
  <c r="K193" i="2"/>
  <c r="O160" i="2"/>
  <c r="O212" i="2"/>
  <c r="O232" i="2" s="1"/>
  <c r="N129" i="2"/>
  <c r="Q78" i="2"/>
  <c r="Q79" i="2" s="1"/>
  <c r="Q19" i="7"/>
  <c r="Q21" i="7" s="1"/>
  <c r="Q22" i="7" s="1"/>
  <c r="Q27" i="7" s="1"/>
  <c r="P15" i="21" s="1"/>
  <c r="I200" i="2"/>
  <c r="I202" i="2" s="1"/>
  <c r="N7" i="8"/>
  <c r="M9" i="8"/>
  <c r="O145" i="2"/>
  <c r="J237" i="2"/>
  <c r="I24" i="21"/>
  <c r="J251" i="2"/>
  <c r="P8" i="2"/>
  <c r="O9" i="2"/>
  <c r="O110" i="2" s="1"/>
  <c r="O149" i="2" s="1"/>
  <c r="O248" i="2"/>
  <c r="O249" i="2" s="1"/>
  <c r="O182" i="2"/>
  <c r="O215" i="2"/>
  <c r="O236" i="2"/>
  <c r="M227" i="2"/>
  <c r="M228" i="2" s="1"/>
  <c r="N249" i="2"/>
  <c r="G255" i="2"/>
  <c r="G111" i="2"/>
  <c r="G115" i="2" s="1"/>
  <c r="G135" i="2" s="1"/>
  <c r="Q108" i="2"/>
  <c r="Q159" i="2" s="1"/>
  <c r="P159" i="2"/>
  <c r="Q73" i="2"/>
  <c r="Q18" i="2" s="1"/>
  <c r="O87" i="2"/>
  <c r="O88" i="2" s="1"/>
  <c r="N109" i="2"/>
  <c r="N148" i="2" s="1"/>
  <c r="H89" i="2"/>
  <c r="H92" i="2" s="1"/>
  <c r="H93" i="2" s="1"/>
  <c r="L123" i="2"/>
  <c r="M189" i="2"/>
  <c r="M191" i="2" s="1"/>
  <c r="M195" i="2" s="1"/>
  <c r="M90" i="2" s="1"/>
  <c r="K179" i="2"/>
  <c r="J112" i="2"/>
  <c r="J186" i="2" s="1"/>
  <c r="N122" i="2" l="1"/>
  <c r="N233" i="2"/>
  <c r="O129" i="2"/>
  <c r="O109" i="2"/>
  <c r="O148" i="2" s="1"/>
  <c r="O7" i="8"/>
  <c r="N9" i="8"/>
  <c r="P9" i="2"/>
  <c r="P110" i="2" s="1"/>
  <c r="P149" i="2" s="1"/>
  <c r="Q8" i="2"/>
  <c r="P248" i="2"/>
  <c r="P249" i="2" s="1"/>
  <c r="J199" i="2"/>
  <c r="I256" i="2"/>
  <c r="P182" i="2"/>
  <c r="P236" i="2"/>
  <c r="P215" i="2"/>
  <c r="L163" i="2"/>
  <c r="L193" i="2"/>
  <c r="I164" i="2"/>
  <c r="I168" i="2" s="1"/>
  <c r="I124" i="2"/>
  <c r="P87" i="2"/>
  <c r="P88" i="2" s="1"/>
  <c r="M123" i="2"/>
  <c r="N189" i="2"/>
  <c r="N191" i="2" s="1"/>
  <c r="N195" i="2" s="1"/>
  <c r="N90" i="2" s="1"/>
  <c r="Q82" i="2"/>
  <c r="Q81" i="2"/>
  <c r="Q84" i="2"/>
  <c r="Q86" i="2"/>
  <c r="Q85" i="2"/>
  <c r="Q120" i="2"/>
  <c r="Q151" i="2" s="1"/>
  <c r="Q181" i="2"/>
  <c r="Q156" i="2" s="1"/>
  <c r="P19" i="21"/>
  <c r="P30" i="21" s="1"/>
  <c r="Q121" i="2"/>
  <c r="Q152" i="2" s="1"/>
  <c r="Q83" i="2"/>
  <c r="Q201" i="2"/>
  <c r="O222" i="2"/>
  <c r="O230" i="2"/>
  <c r="O119" i="2"/>
  <c r="H94" i="2"/>
  <c r="H96" i="2" s="1"/>
  <c r="P160" i="2"/>
  <c r="P212" i="2"/>
  <c r="P232" i="2" s="1"/>
  <c r="K180" i="2"/>
  <c r="K144" i="2" s="1"/>
  <c r="O218" i="2"/>
  <c r="O226" i="2"/>
  <c r="N227" i="2"/>
  <c r="N228" i="2" s="1"/>
  <c r="P145" i="2"/>
  <c r="P222" i="2" l="1"/>
  <c r="P230" i="2"/>
  <c r="H142" i="2"/>
  <c r="H153" i="2" s="1"/>
  <c r="H97" i="2"/>
  <c r="G21" i="21"/>
  <c r="G22" i="21" s="1"/>
  <c r="H98" i="2"/>
  <c r="G25" i="21" s="1"/>
  <c r="H131" i="2"/>
  <c r="Q145" i="2"/>
  <c r="P109" i="2"/>
  <c r="P148" i="2" s="1"/>
  <c r="P7" i="8"/>
  <c r="O9" i="8"/>
  <c r="Q212" i="2"/>
  <c r="Q232" i="2" s="1"/>
  <c r="Q160" i="2"/>
  <c r="I125" i="2"/>
  <c r="K229" i="2"/>
  <c r="K234" i="2" s="1"/>
  <c r="K219" i="2"/>
  <c r="K220" i="2" s="1"/>
  <c r="K223" i="2" s="1"/>
  <c r="J20" i="21" s="1"/>
  <c r="J31" i="21" s="1"/>
  <c r="P119" i="2"/>
  <c r="O189" i="2"/>
  <c r="O191" i="2" s="1"/>
  <c r="O195" i="2" s="1"/>
  <c r="O90" i="2" s="1"/>
  <c r="N123" i="2"/>
  <c r="J200" i="2"/>
  <c r="J164" i="2" s="1"/>
  <c r="J168" i="2" s="1"/>
  <c r="P226" i="2"/>
  <c r="P218" i="2"/>
  <c r="K184" i="2"/>
  <c r="Q87" i="2"/>
  <c r="Q88" i="2" s="1"/>
  <c r="O122" i="2"/>
  <c r="O150" i="2"/>
  <c r="O233" i="2" s="1"/>
  <c r="O227" i="2"/>
  <c r="O228" i="2" s="1"/>
  <c r="Q215" i="2"/>
  <c r="Q236" i="2"/>
  <c r="Q182" i="2"/>
  <c r="M193" i="2"/>
  <c r="M163" i="2"/>
  <c r="Q9" i="2"/>
  <c r="Q110" i="2" s="1"/>
  <c r="Q149" i="2" s="1"/>
  <c r="Q248" i="2"/>
  <c r="P129" i="2"/>
  <c r="Q109" i="2" l="1"/>
  <c r="Q148" i="2" s="1"/>
  <c r="J202" i="2"/>
  <c r="K199" i="2" s="1"/>
  <c r="J124" i="2"/>
  <c r="J125" i="2" s="1"/>
  <c r="R248" i="2"/>
  <c r="H132" i="2"/>
  <c r="H133" i="2" s="1"/>
  <c r="K112" i="2"/>
  <c r="K186" i="2" s="1"/>
  <c r="L179" i="2"/>
  <c r="P189" i="2"/>
  <c r="P191" i="2" s="1"/>
  <c r="P195" i="2" s="1"/>
  <c r="P90" i="2" s="1"/>
  <c r="O123" i="2"/>
  <c r="H171" i="2"/>
  <c r="H173" i="2" s="1"/>
  <c r="H211" i="2"/>
  <c r="H213" i="2" s="1"/>
  <c r="H216" i="2" s="1"/>
  <c r="G26" i="21"/>
  <c r="N193" i="2"/>
  <c r="N163" i="2"/>
  <c r="Q7" i="8"/>
  <c r="Q9" i="8" s="1"/>
  <c r="P9" i="8"/>
  <c r="Q218" i="2"/>
  <c r="Q226" i="2"/>
  <c r="P227" i="2"/>
  <c r="P228" i="2" s="1"/>
  <c r="P122" i="2"/>
  <c r="P150" i="2"/>
  <c r="P233" i="2" s="1"/>
  <c r="Q249" i="2"/>
  <c r="J24" i="21"/>
  <c r="K237" i="2"/>
  <c r="K251" i="2"/>
  <c r="Q129" i="2"/>
  <c r="Q119" i="2"/>
  <c r="Q222" i="2"/>
  <c r="Q230" i="2"/>
  <c r="J256" i="2" l="1"/>
  <c r="Q227" i="2"/>
  <c r="Q228" i="2" s="1"/>
  <c r="K200" i="2"/>
  <c r="P123" i="2"/>
  <c r="Q189" i="2"/>
  <c r="Q191" i="2" s="1"/>
  <c r="Q123" i="2" s="1"/>
  <c r="L180" i="2"/>
  <c r="L144" i="2" s="1"/>
  <c r="H107" i="2"/>
  <c r="I139" i="2"/>
  <c r="Q122" i="2"/>
  <c r="Q150" i="2"/>
  <c r="Q233" i="2" s="1"/>
  <c r="O163" i="2"/>
  <c r="O193" i="2"/>
  <c r="Q195" i="2" l="1"/>
  <c r="Q90" i="2" s="1"/>
  <c r="L184" i="2"/>
  <c r="L112" i="2" s="1"/>
  <c r="L186" i="2" s="1"/>
  <c r="P193" i="2"/>
  <c r="P163" i="2"/>
  <c r="K164" i="2"/>
  <c r="K168" i="2" s="1"/>
  <c r="K124" i="2"/>
  <c r="I89" i="2"/>
  <c r="I92" i="2" s="1"/>
  <c r="I93" i="2" s="1"/>
  <c r="H111" i="2"/>
  <c r="H115" i="2" s="1"/>
  <c r="H135" i="2" s="1"/>
  <c r="H255" i="2"/>
  <c r="K202" i="2"/>
  <c r="L219" i="2"/>
  <c r="L220" i="2" s="1"/>
  <c r="L223" i="2" s="1"/>
  <c r="K20" i="21" s="1"/>
  <c r="K31" i="21" s="1"/>
  <c r="L229" i="2"/>
  <c r="L234" i="2" s="1"/>
  <c r="Q193" i="2"/>
  <c r="Q163" i="2"/>
  <c r="M179" i="2" l="1"/>
  <c r="M180" i="2" s="1"/>
  <c r="M144" i="2" s="1"/>
  <c r="K125" i="2"/>
  <c r="I94" i="2"/>
  <c r="I96" i="2" s="1"/>
  <c r="L237" i="2"/>
  <c r="K24" i="21"/>
  <c r="L251" i="2"/>
  <c r="K256" i="2"/>
  <c r="L199" i="2"/>
  <c r="M184" i="2" l="1"/>
  <c r="M112" i="2" s="1"/>
  <c r="M186" i="2" s="1"/>
  <c r="I98" i="2"/>
  <c r="H25" i="21" s="1"/>
  <c r="I142" i="2"/>
  <c r="I153" i="2" s="1"/>
  <c r="I97" i="2"/>
  <c r="H21" i="21"/>
  <c r="H22" i="21" s="1"/>
  <c r="I131" i="2"/>
  <c r="M219" i="2"/>
  <c r="M220" i="2" s="1"/>
  <c r="M223" i="2" s="1"/>
  <c r="L20" i="21" s="1"/>
  <c r="L31" i="21" s="1"/>
  <c r="M229" i="2"/>
  <c r="M234" i="2" s="1"/>
  <c r="L200" i="2"/>
  <c r="N179" i="2" l="1"/>
  <c r="N180" i="2" s="1"/>
  <c r="N144" i="2" s="1"/>
  <c r="L164" i="2"/>
  <c r="L168" i="2" s="1"/>
  <c r="L124" i="2"/>
  <c r="L202" i="2"/>
  <c r="I211" i="2"/>
  <c r="I213" i="2" s="1"/>
  <c r="I216" i="2" s="1"/>
  <c r="H26" i="21"/>
  <c r="I171" i="2"/>
  <c r="I173" i="2" s="1"/>
  <c r="I132" i="2"/>
  <c r="I133" i="2" s="1"/>
  <c r="M237" i="2"/>
  <c r="L24" i="21"/>
  <c r="M251" i="2"/>
  <c r="N184" i="2" l="1"/>
  <c r="O179" i="2" s="1"/>
  <c r="L125" i="2"/>
  <c r="I107" i="2"/>
  <c r="J139" i="2"/>
  <c r="M199" i="2"/>
  <c r="L256" i="2"/>
  <c r="N219" i="2"/>
  <c r="N220" i="2" s="1"/>
  <c r="N223" i="2" s="1"/>
  <c r="M20" i="21" s="1"/>
  <c r="M31" i="21" s="1"/>
  <c r="N229" i="2"/>
  <c r="N234" i="2" s="1"/>
  <c r="N112" i="2" l="1"/>
  <c r="N186" i="2" s="1"/>
  <c r="O180" i="2"/>
  <c r="O144" i="2" s="1"/>
  <c r="J89" i="2"/>
  <c r="J92" i="2" s="1"/>
  <c r="J93" i="2" s="1"/>
  <c r="I111" i="2"/>
  <c r="I115" i="2" s="1"/>
  <c r="I135" i="2" s="1"/>
  <c r="I255" i="2"/>
  <c r="M200" i="2"/>
  <c r="N237" i="2"/>
  <c r="M24" i="21"/>
  <c r="N251" i="2"/>
  <c r="M164" i="2" l="1"/>
  <c r="M168" i="2" s="1"/>
  <c r="M124" i="2"/>
  <c r="M202" i="2"/>
  <c r="J94" i="2"/>
  <c r="J96" i="2" s="1"/>
  <c r="O219" i="2"/>
  <c r="O220" i="2" s="1"/>
  <c r="O223" i="2" s="1"/>
  <c r="N20" i="21" s="1"/>
  <c r="N31" i="21" s="1"/>
  <c r="O229" i="2"/>
  <c r="O234" i="2" s="1"/>
  <c r="O184" i="2"/>
  <c r="J142" i="2" l="1"/>
  <c r="J153" i="2" s="1"/>
  <c r="J97" i="2"/>
  <c r="J98" i="2"/>
  <c r="I25" i="21" s="1"/>
  <c r="I21" i="21"/>
  <c r="I22" i="21" s="1"/>
  <c r="J131" i="2"/>
  <c r="N199" i="2"/>
  <c r="M256" i="2"/>
  <c r="O112" i="2"/>
  <c r="O186" i="2" s="1"/>
  <c r="P179" i="2"/>
  <c r="O237" i="2"/>
  <c r="N24" i="21"/>
  <c r="O251" i="2"/>
  <c r="M125" i="2"/>
  <c r="J132" i="2" l="1"/>
  <c r="J133" i="2" s="1"/>
  <c r="N200" i="2"/>
  <c r="P180" i="2"/>
  <c r="P144" i="2" s="1"/>
  <c r="J171" i="2"/>
  <c r="J173" i="2" s="1"/>
  <c r="J211" i="2"/>
  <c r="J213" i="2" s="1"/>
  <c r="J216" i="2" s="1"/>
  <c r="I26" i="21"/>
  <c r="N164" i="2" l="1"/>
  <c r="N168" i="2" s="1"/>
  <c r="N124" i="2"/>
  <c r="J107" i="2"/>
  <c r="K139" i="2"/>
  <c r="P219" i="2"/>
  <c r="P220" i="2" s="1"/>
  <c r="P223" i="2" s="1"/>
  <c r="O20" i="21" s="1"/>
  <c r="O31" i="21" s="1"/>
  <c r="P229" i="2"/>
  <c r="P234" i="2" s="1"/>
  <c r="P184" i="2"/>
  <c r="N202" i="2"/>
  <c r="Q179" i="2" l="1"/>
  <c r="P112" i="2"/>
  <c r="P186" i="2" s="1"/>
  <c r="P237" i="2"/>
  <c r="O24" i="21"/>
  <c r="P251" i="2"/>
  <c r="K89" i="2"/>
  <c r="K92" i="2" s="1"/>
  <c r="K93" i="2" s="1"/>
  <c r="J111" i="2"/>
  <c r="J115" i="2" s="1"/>
  <c r="J135" i="2" s="1"/>
  <c r="J255" i="2"/>
  <c r="N125" i="2"/>
  <c r="O199" i="2"/>
  <c r="N256" i="2"/>
  <c r="O200" i="2" l="1"/>
  <c r="O202" i="2" s="1"/>
  <c r="K94" i="2"/>
  <c r="K96" i="2" s="1"/>
  <c r="Q180" i="2"/>
  <c r="Q144" i="2" s="1"/>
  <c r="K97" i="2" l="1"/>
  <c r="K98" i="2"/>
  <c r="J25" i="21" s="1"/>
  <c r="J21" i="21"/>
  <c r="J22" i="21" s="1"/>
  <c r="K142" i="2"/>
  <c r="K153" i="2" s="1"/>
  <c r="K131" i="2"/>
  <c r="O256" i="2"/>
  <c r="P199" i="2"/>
  <c r="O164" i="2"/>
  <c r="O168" i="2" s="1"/>
  <c r="O124" i="2"/>
  <c r="Q219" i="2"/>
  <c r="Q220" i="2" s="1"/>
  <c r="Q223" i="2" s="1"/>
  <c r="Q229" i="2"/>
  <c r="Q234" i="2" s="1"/>
  <c r="Q184" i="2"/>
  <c r="Q112" i="2" s="1"/>
  <c r="Q186" i="2" s="1"/>
  <c r="K132" i="2" l="1"/>
  <c r="K133" i="2" s="1"/>
  <c r="P200" i="2"/>
  <c r="P164" i="2" s="1"/>
  <c r="P168" i="2" s="1"/>
  <c r="K171" i="2"/>
  <c r="K173" i="2" s="1"/>
  <c r="K211" i="2"/>
  <c r="K213" i="2" s="1"/>
  <c r="K216" i="2" s="1"/>
  <c r="J26" i="21"/>
  <c r="P24" i="21"/>
  <c r="Q237" i="2"/>
  <c r="Q251" i="2"/>
  <c r="P20" i="21"/>
  <c r="P31" i="21" s="1"/>
  <c r="C242" i="2"/>
  <c r="B242" i="2" s="1"/>
  <c r="R251" i="2" s="1"/>
  <c r="O125" i="2"/>
  <c r="P124" i="2" l="1"/>
  <c r="P125" i="2" s="1"/>
  <c r="P202" i="2"/>
  <c r="Q199" i="2" s="1"/>
  <c r="K107" i="2"/>
  <c r="L139" i="2"/>
  <c r="F253" i="2"/>
  <c r="H253" i="2"/>
  <c r="H257" i="2" s="1"/>
  <c r="H260" i="2" s="1"/>
  <c r="G253" i="2"/>
  <c r="G257" i="2" s="1"/>
  <c r="G260" i="2" s="1"/>
  <c r="I253" i="2"/>
  <c r="I257" i="2" s="1"/>
  <c r="I260" i="2" s="1"/>
  <c r="J253" i="2"/>
  <c r="J257" i="2" s="1"/>
  <c r="J260" i="2" s="1"/>
  <c r="K253" i="2"/>
  <c r="L253" i="2"/>
  <c r="D242" i="2"/>
  <c r="Q253" i="2"/>
  <c r="P253" i="2"/>
  <c r="O253" i="2"/>
  <c r="M253" i="2"/>
  <c r="N253" i="2"/>
  <c r="H28" i="21" l="1"/>
  <c r="F28" i="21"/>
  <c r="G28" i="21"/>
  <c r="I28" i="21"/>
  <c r="P256" i="2"/>
  <c r="J1" i="2"/>
  <c r="F257" i="2"/>
  <c r="F260" i="2" s="1"/>
  <c r="Q200" i="2"/>
  <c r="Q202" i="2" s="1"/>
  <c r="Q256" i="2" s="1"/>
  <c r="L89" i="2"/>
  <c r="L92" i="2" s="1"/>
  <c r="L93" i="2" s="1"/>
  <c r="K111" i="2"/>
  <c r="K115" i="2" s="1"/>
  <c r="K135" i="2" s="1"/>
  <c r="K255" i="2"/>
  <c r="K257" i="2" s="1"/>
  <c r="K260" i="2" s="1"/>
  <c r="J28" i="21" l="1"/>
  <c r="L94" i="2"/>
  <c r="L96" i="2" s="1"/>
  <c r="Q164" i="2"/>
  <c r="Q168" i="2" s="1"/>
  <c r="Q124" i="2"/>
  <c r="Q125" i="2" s="1"/>
  <c r="M1" i="2"/>
  <c r="K15" i="8"/>
  <c r="E9" i="21"/>
  <c r="X7" i="21"/>
  <c r="X11" i="21" s="1"/>
  <c r="D269" i="2"/>
  <c r="J1" i="8"/>
  <c r="J1" i="7"/>
  <c r="E10" i="21" l="1"/>
  <c r="M3" i="21"/>
  <c r="L97" i="2"/>
  <c r="L98" i="2"/>
  <c r="K25" i="21" s="1"/>
  <c r="L142" i="2"/>
  <c r="L153" i="2" s="1"/>
  <c r="K21" i="21"/>
  <c r="K22" i="21" s="1"/>
  <c r="L131" i="2"/>
  <c r="M1" i="8"/>
  <c r="M1" i="7"/>
  <c r="L132" i="2" l="1"/>
  <c r="L133" i="2" s="1"/>
  <c r="L171" i="2"/>
  <c r="L173" i="2" s="1"/>
  <c r="L211" i="2"/>
  <c r="L213" i="2" s="1"/>
  <c r="L216" i="2" s="1"/>
  <c r="K26" i="21"/>
  <c r="L107" i="2" l="1"/>
  <c r="M139" i="2"/>
  <c r="M89" i="2" l="1"/>
  <c r="M92" i="2" s="1"/>
  <c r="M93" i="2" s="1"/>
  <c r="L111" i="2"/>
  <c r="L115" i="2" s="1"/>
  <c r="L135" i="2" s="1"/>
  <c r="L255" i="2"/>
  <c r="L257" i="2" s="1"/>
  <c r="L260" i="2" s="1"/>
  <c r="K28" i="21" l="1"/>
  <c r="M94" i="2"/>
  <c r="M96" i="2" s="1"/>
  <c r="M97" i="2" l="1"/>
  <c r="M98" i="2"/>
  <c r="L25" i="21" s="1"/>
  <c r="M142" i="2"/>
  <c r="M153" i="2" s="1"/>
  <c r="L21" i="21"/>
  <c r="L22" i="21" s="1"/>
  <c r="M131" i="2"/>
  <c r="M132" i="2" l="1"/>
  <c r="M133" i="2" s="1"/>
  <c r="M211" i="2"/>
  <c r="M213" i="2" s="1"/>
  <c r="M216" i="2" s="1"/>
  <c r="M171" i="2"/>
  <c r="M173" i="2" s="1"/>
  <c r="L26" i="21"/>
  <c r="M107" i="2" l="1"/>
  <c r="N139" i="2"/>
  <c r="M111" i="2" l="1"/>
  <c r="M115" i="2" s="1"/>
  <c r="M135" i="2" s="1"/>
  <c r="M255" i="2"/>
  <c r="M257" i="2" s="1"/>
  <c r="M260" i="2" s="1"/>
  <c r="N89" i="2"/>
  <c r="N92" i="2" s="1"/>
  <c r="N93" i="2" s="1"/>
  <c r="L28" i="21" l="1"/>
  <c r="N94" i="2"/>
  <c r="N96" i="2" s="1"/>
  <c r="N97" i="2" l="1"/>
  <c r="M21" i="21"/>
  <c r="M22" i="21" s="1"/>
  <c r="N142" i="2"/>
  <c r="N153" i="2" s="1"/>
  <c r="N98" i="2"/>
  <c r="M25" i="21" s="1"/>
  <c r="N131" i="2"/>
  <c r="N211" i="2" l="1"/>
  <c r="N213" i="2" s="1"/>
  <c r="N216" i="2" s="1"/>
  <c r="N171" i="2"/>
  <c r="N173" i="2" s="1"/>
  <c r="M26" i="21"/>
  <c r="N132" i="2"/>
  <c r="N133" i="2" s="1"/>
  <c r="O139" i="2" l="1"/>
  <c r="N107" i="2"/>
  <c r="N111" i="2" l="1"/>
  <c r="N115" i="2" s="1"/>
  <c r="N135" i="2" s="1"/>
  <c r="N255" i="2"/>
  <c r="N257" i="2" s="1"/>
  <c r="N260" i="2" s="1"/>
  <c r="O89" i="2"/>
  <c r="O92" i="2" s="1"/>
  <c r="O93" i="2" s="1"/>
  <c r="M28" i="21" l="1"/>
  <c r="O94" i="2"/>
  <c r="O96" i="2" s="1"/>
  <c r="O142" i="2" l="1"/>
  <c r="O153" i="2" s="1"/>
  <c r="O97" i="2"/>
  <c r="O98" i="2"/>
  <c r="N25" i="21" s="1"/>
  <c r="N21" i="21"/>
  <c r="N22" i="21" s="1"/>
  <c r="O131" i="2"/>
  <c r="O132" i="2" l="1"/>
  <c r="O133" i="2" s="1"/>
  <c r="O211" i="2"/>
  <c r="O213" i="2" s="1"/>
  <c r="O216" i="2" s="1"/>
  <c r="O171" i="2"/>
  <c r="O173" i="2" s="1"/>
  <c r="N26" i="21"/>
  <c r="P139" i="2" l="1"/>
  <c r="O107" i="2"/>
  <c r="P89" i="2" l="1"/>
  <c r="P92" i="2" s="1"/>
  <c r="P93" i="2" s="1"/>
  <c r="O111" i="2"/>
  <c r="O115" i="2" s="1"/>
  <c r="O135" i="2" s="1"/>
  <c r="O255" i="2"/>
  <c r="O257" i="2" s="1"/>
  <c r="O260" i="2" s="1"/>
  <c r="N28" i="21" l="1"/>
  <c r="P94" i="2"/>
  <c r="P96" i="2" s="1"/>
  <c r="P142" i="2" l="1"/>
  <c r="P153" i="2" s="1"/>
  <c r="P98" i="2"/>
  <c r="O25" i="21" s="1"/>
  <c r="O21" i="21"/>
  <c r="O22" i="21" s="1"/>
  <c r="P97" i="2"/>
  <c r="P131" i="2"/>
  <c r="P132" i="2" l="1"/>
  <c r="P133" i="2" s="1"/>
  <c r="P171" i="2"/>
  <c r="P173" i="2" s="1"/>
  <c r="P211" i="2"/>
  <c r="P213" i="2" s="1"/>
  <c r="P216" i="2" s="1"/>
  <c r="O26" i="21"/>
  <c r="P107" i="2" l="1"/>
  <c r="Q139" i="2"/>
  <c r="Q89" i="2" l="1"/>
  <c r="Q92" i="2" s="1"/>
  <c r="Q93" i="2" s="1"/>
  <c r="P111" i="2"/>
  <c r="P115" i="2" s="1"/>
  <c r="P135" i="2" s="1"/>
  <c r="P255" i="2"/>
  <c r="P257" i="2" s="1"/>
  <c r="P260" i="2" s="1"/>
  <c r="O28" i="21" l="1"/>
  <c r="Q94" i="2"/>
  <c r="Q96" i="2" s="1"/>
  <c r="Q98" i="2" l="1"/>
  <c r="P25" i="21" s="1"/>
  <c r="Q142" i="2"/>
  <c r="Q153" i="2" s="1"/>
  <c r="Q97" i="2"/>
  <c r="P21" i="21"/>
  <c r="P22" i="21" s="1"/>
  <c r="Q131" i="2"/>
  <c r="Q132" i="2" s="1"/>
  <c r="Q133" i="2" s="1"/>
  <c r="Q211" i="2" l="1"/>
  <c r="Q213" i="2" s="1"/>
  <c r="Q216" i="2" s="1"/>
  <c r="Q171" i="2"/>
  <c r="Q173" i="2" s="1"/>
  <c r="Q107" i="2" s="1"/>
  <c r="P26" i="21"/>
  <c r="Q111" i="2" l="1"/>
  <c r="Q115" i="2" s="1"/>
  <c r="Q135" i="2" s="1"/>
  <c r="Q255" i="2"/>
  <c r="Q257" i="2" s="1"/>
  <c r="Q260" i="2" s="1"/>
  <c r="Q263" i="2" l="1"/>
  <c r="F264" i="2" s="1"/>
  <c r="P28" i="21"/>
  <c r="E11" i="21" l="1"/>
  <c r="L26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Finance Institute® (CFI)</author>
  </authors>
  <commentList>
    <comment ref="A146" authorId="0" shapeId="0" xr:uid="{B61AB953-89AD-4344-AEF8-367844389447}">
      <text>
        <r>
          <rPr>
            <b/>
            <sz val="9"/>
            <color indexed="81"/>
            <rFont val="Tahoma"/>
            <family val="2"/>
          </rPr>
          <t>Corporate Finance Institute® (CFI):</t>
        </r>
        <r>
          <rPr>
            <sz val="9"/>
            <color indexed="81"/>
            <rFont val="Tahoma"/>
            <family val="2"/>
          </rPr>
          <t xml:space="preserve">
Forecast period is change in goodwill only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Kiel LaFrance</author>
    <author>CapIQ</author>
  </authors>
  <commentList>
    <comment ref="H8" authorId="0" shapeId="0" xr:uid="{AF310334-4748-49D1-86EB-CDFECA6DFAA7}">
      <text>
        <r>
          <rPr>
            <b/>
            <sz val="9"/>
            <color indexed="81"/>
            <rFont val="Tahoma"/>
            <family val="2"/>
          </rPr>
          <t xml:space="preserve">SPCIQ:
</t>
        </r>
        <r>
          <rPr>
            <sz val="9"/>
            <color indexed="81"/>
            <rFont val="Tahoma"/>
            <family val="2"/>
          </rPr>
          <t xml:space="preserve">Average of Effective Tax Rate for Last 5 Fiscal Years.  Please adjust as you see fit.
</t>
        </r>
      </text>
    </comment>
    <comment ref="H10" authorId="0" shapeId="0" xr:uid="{844C4307-D1E2-4C8C-B36B-E4A128C3771F}">
      <text>
        <r>
          <rPr>
            <b/>
            <sz val="9"/>
            <color indexed="81"/>
            <rFont val="Tahoma"/>
            <family val="2"/>
          </rPr>
          <t xml:space="preserve">SPCIQ:
</t>
        </r>
        <r>
          <rPr>
            <sz val="9"/>
            <color indexed="81"/>
            <rFont val="Tahoma"/>
            <family val="2"/>
          </rPr>
          <t xml:space="preserve">Average of Last 10 Years of Yearly Price Returns for the Index in Cell Z1.  Please adjust as you see fit.
</t>
        </r>
      </text>
    </comment>
    <comment ref="H11" authorId="1" shapeId="0" xr:uid="{6837CA25-F64E-4C4E-B850-592D909C037F}">
      <text>
        <r>
          <rPr>
            <b/>
            <sz val="9"/>
            <color indexed="81"/>
            <rFont val="Tahoma"/>
            <family val="2"/>
          </rPr>
          <t>SPCIQ:</t>
        </r>
        <r>
          <rPr>
            <sz val="9"/>
            <color indexed="81"/>
            <rFont val="Tahoma"/>
            <family val="2"/>
          </rPr>
          <t xml:space="preserve">
Arbitrary number</t>
        </r>
      </text>
    </comment>
    <comment ref="H16" authorId="1" shapeId="0" xr:uid="{ABC59D62-50EB-46F0-A18D-2CE98115257C}">
      <text>
        <r>
          <rPr>
            <b/>
            <sz val="9"/>
            <color indexed="81"/>
            <rFont val="Tahoma"/>
            <family val="2"/>
          </rPr>
          <t>SPCIQ:</t>
        </r>
        <r>
          <rPr>
            <sz val="9"/>
            <color indexed="81"/>
            <rFont val="Tahoma"/>
            <family val="2"/>
          </rPr>
          <t xml:space="preserve">
Average of Coupons of 5 Most Recent Issued Bonds.  Please adjust as you see fit.</t>
        </r>
      </text>
    </comment>
    <comment ref="H18" authorId="1" shapeId="0" xr:uid="{B0025BAF-F026-4C58-BE2E-A7A2B4998046}">
      <text>
        <r>
          <rPr>
            <b/>
            <sz val="9"/>
            <color indexed="81"/>
            <rFont val="Tahoma"/>
            <family val="2"/>
          </rPr>
          <t xml:space="preserve">SPCIQ:
</t>
        </r>
        <r>
          <rPr>
            <sz val="9"/>
            <color indexed="81"/>
            <rFont val="Tahoma"/>
            <family val="2"/>
          </rPr>
          <t>Average of Coupons of all Preferred Fixed Income instruments.  Please adjust as you see fit.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J85" authorId="0" shapeId="0" xr:uid="{AA5E698A-AD6B-4A12-B3F5-A9190BDB3D82}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Accounting standards change to include restricted cash, cash balances no longer line up.</t>
        </r>
      </text>
    </comment>
    <comment ref="B92" authorId="0" shapeId="0" xr:uid="{87EABF5D-8F56-4DC6-8E8E-682692CFD7D7}">
      <text>
        <r>
          <rPr>
            <b/>
            <sz val="9"/>
            <color indexed="81"/>
            <rFont val="Tahoma"/>
            <family val="2"/>
          </rPr>
          <t>Victor Ho:</t>
        </r>
        <r>
          <rPr>
            <sz val="9"/>
            <color indexed="81"/>
            <rFont val="Tahoma"/>
            <family val="2"/>
          </rPr>
          <t xml:space="preserve">
2016 incls:
-Other operating expense (income)
-Deferred Income Taxes
Combined:
-Losses (Gains) on sales of marketable securities
-Other expense (income)
-Adjusted out (207) Excess Tax benefits from SBC</t>
        </r>
      </text>
    </comment>
  </commentList>
</comments>
</file>

<file path=xl/sharedStrings.xml><?xml version="1.0" encoding="utf-8"?>
<sst xmlns="http://schemas.openxmlformats.org/spreadsheetml/2006/main" count="1526" uniqueCount="896">
  <si>
    <t>(in millions, except per share data)</t>
  </si>
  <si>
    <t>Net Product Sales</t>
  </si>
  <si>
    <t>Net Service Sales</t>
  </si>
  <si>
    <t>Total Net Sales</t>
  </si>
  <si>
    <t>Operating Expenses:</t>
  </si>
  <si>
    <t>Cost of Sales</t>
  </si>
  <si>
    <t>Fulfillment</t>
  </si>
  <si>
    <t>Marketing</t>
  </si>
  <si>
    <t>Technology and Content</t>
  </si>
  <si>
    <t>General and Administrative</t>
  </si>
  <si>
    <t>Other Operating Expense,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</si>
  <si>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</si>
  <si>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</si>
  <si>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</si>
  <si>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</si>
  <si>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</si>
  <si>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</si>
  <si>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Before Income Taxes</t>
  </si>
  <si>
    <t>Provision for Income Taxes</t>
  </si>
  <si>
    <t>Equity-Method Investment Activity, net of tax</t>
  </si>
  <si>
    <t>Net Income</t>
  </si>
  <si>
    <t>Basic Earnings per Share</t>
  </si>
  <si>
    <t>Diluted Earnings per Share</t>
  </si>
  <si>
    <t>Weighted-Average Shares used in Computation of Earnings per Share:</t>
  </si>
  <si>
    <t>Basic</t>
  </si>
  <si>
    <t>Diluted</t>
  </si>
  <si>
    <t/>
  </si>
  <si>
    <t>Current Assets:</t>
  </si>
  <si>
    <t>Cash and Cash Equivalents</t>
  </si>
  <si>
    <t>Marketable Securities</t>
  </si>
  <si>
    <t>Inventories</t>
  </si>
  <si>
    <t>Accounts Receivable, net and other</t>
  </si>
  <si>
    <t>Total Current Assets</t>
  </si>
  <si>
    <t>Property And Equipment, net</t>
  </si>
  <si>
    <t>Goodwill</t>
  </si>
  <si>
    <t>Other Assets</t>
  </si>
  <si>
    <t>Total Assets</t>
  </si>
  <si>
    <t>LIABILITIES AND STOCKHOLDERS’ EQUITY</t>
  </si>
  <si>
    <t>Current Liabilities:</t>
  </si>
  <si>
    <t>Accounts Payable</t>
  </si>
  <si>
    <t>Accrued Expenses and Other</t>
  </si>
  <si>
    <t>Unearned Revenue</t>
  </si>
  <si>
    <t>Total Current Liabilities</t>
  </si>
  <si>
    <t>Long-Term Debt</t>
  </si>
  <si>
    <t>Other Long-Term Liabilities</t>
  </si>
  <si>
    <t>Commitments and Contingencies (Note 7)</t>
  </si>
  <si>
    <t>Stockholders’ Equity:</t>
  </si>
  <si>
    <t>Preferred Stock, $0.01 Par Value:</t>
  </si>
  <si>
    <t>Authorized Shares — 500</t>
  </si>
  <si>
    <t>Issued and Outstanding Shares — None</t>
  </si>
  <si>
    <t>Common Stock, $0.01 Par Value:</t>
  </si>
  <si>
    <t>Authorized Shares — 5,000</t>
  </si>
  <si>
    <t>Issued Shares — 500 and 507</t>
  </si>
  <si>
    <t>Outstanding Shares — 477 and 484</t>
  </si>
  <si>
    <t>Treasury Stock, at Cost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</si>
  <si>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</si>
  <si>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</si>
  <si>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</si>
  <si>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</si>
  <si>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</si>
  <si>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CASH AND CASH EQUIVALENTS, BEGINNING OF PERIOD</t>
  </si>
  <si>
    <t>OPERATING ACTIVITIES:</t>
  </si>
  <si>
    <t>Adjustments to Reconcile Net Income to Net Cash from Operating Activities:</t>
  </si>
  <si>
    <t>Depreciation of Property and Equipment, Including Internal-Use Software Website Development, and Other Amortization, Including Capitalized Content</t>
  </si>
  <si>
    <t>Stock-Based Compensation</t>
  </si>
  <si>
    <t>Other Expense (Income), net</t>
  </si>
  <si>
    <t>Deferred Income Taxes</t>
  </si>
  <si>
    <t>Excess Tax Benefits from Stock Based Compensation</t>
  </si>
  <si>
    <t>Changes in Operating Assets and Liabilities:</t>
  </si>
  <si>
    <t>Net Cash Provided by (used in) Operating Activities</t>
  </si>
  <si>
    <t>Purchases of Property and Equipment, Including Internal-Use Software and Website Development</t>
  </si>
  <si>
    <t>Proceeds from Property and Equipment Incentives</t>
  </si>
  <si>
    <t>Acquisitions, net of cash acquired, and other</t>
  </si>
  <si>
    <t>Sales and Maturities of Marketable Securities</t>
  </si>
  <si>
    <t>Purchases of Marketable Securities</t>
  </si>
  <si>
    <t>Net Cash Provided by (used in) Investing Activities</t>
  </si>
  <si>
    <t>Proceeds from Long-Term Debt and Other</t>
  </si>
  <si>
    <t>Repayments of Long-Term Debt and Other</t>
  </si>
  <si>
    <t>Principal Repayments of Capital Lease Obligations</t>
  </si>
  <si>
    <t>Principal Repayments of Finance Lease Obligations</t>
  </si>
  <si>
    <t>Net Cash Provided by (used in) Financing Activities</t>
  </si>
  <si>
    <t>Foreign Currency Effect on Cash and Cash Equivalents</t>
  </si>
  <si>
    <t>Net Increase (Decrease) in Cash and Cash Equivalents</t>
  </si>
  <si>
    <t>Cash and Cash Equivalents, End of Period</t>
  </si>
  <si>
    <t>Cash Paid for Interest on Long-Term Debt</t>
  </si>
  <si>
    <t>Cash Paid for Interest on Capital and Finance Lease Obligations</t>
  </si>
  <si>
    <t>Cash Paid for Income Taxes, net of refunds</t>
  </si>
  <si>
    <t>Property and Equipment Acquired Under Capital Leases</t>
  </si>
  <si>
    <t>Property and Equipment Acquired Under Build-to-Suit Leases</t>
  </si>
  <si>
    <t>Source: https://ir.aboutamazon.com/annual-reports</t>
  </si>
  <si>
    <t>Historical Analysis</t>
  </si>
  <si>
    <t>Tax Rate</t>
  </si>
  <si>
    <t>Income Statement</t>
  </si>
  <si>
    <t>Balance Sheet</t>
  </si>
  <si>
    <t>Total Liabilities</t>
  </si>
  <si>
    <t>Common Shares – 477 and 484</t>
  </si>
  <si>
    <t>Cash Flow Statement</t>
  </si>
  <si>
    <t>INVESTING ACTIVITIES:</t>
  </si>
  <si>
    <t>FINANCING ACTIVITIES:</t>
  </si>
  <si>
    <t>CASH AND CASH EQUIVALENTS, END OF PERIOD</t>
  </si>
  <si>
    <t>Expenses</t>
  </si>
  <si>
    <t>Stock-Based Compensation (SBC) (% of SG&amp;A)</t>
  </si>
  <si>
    <t>Interest Income Rate (Opening Balance)</t>
  </si>
  <si>
    <t>Interest Expense Rate (Average Debt)</t>
  </si>
  <si>
    <t>Inventory Days</t>
  </si>
  <si>
    <t>Accounts Receivable Days</t>
  </si>
  <si>
    <t>Change in Goodwill</t>
  </si>
  <si>
    <t>Change in Other Assets</t>
  </si>
  <si>
    <t>Change in Marketable Securities</t>
  </si>
  <si>
    <t>Accounts Payable Days</t>
  </si>
  <si>
    <t>Accrued Expenses</t>
  </si>
  <si>
    <t>Cash Capex % of revenue</t>
  </si>
  <si>
    <t>PP&amp;E Acquired under Capital Leases</t>
  </si>
  <si>
    <t>Depreciation % of PPE (Opening Balance)</t>
  </si>
  <si>
    <t>Repayment of Capital Leases (Opening Balance)</t>
  </si>
  <si>
    <t>Change in Long-Term Debt</t>
  </si>
  <si>
    <t>Change in Common Shares</t>
  </si>
  <si>
    <t>Change in Treasury Stock</t>
  </si>
  <si>
    <t>Change in Additional Paid-in Capital</t>
  </si>
  <si>
    <t>Dividends</t>
  </si>
  <si>
    <t>Change in Basic Shares Outstanding</t>
  </si>
  <si>
    <t>Change in Diluted Shares Outstanding</t>
  </si>
  <si>
    <t>Acquisitions, net of Cash Acquired, and Other</t>
  </si>
  <si>
    <t>Time Periods</t>
  </si>
  <si>
    <t>BOP</t>
  </si>
  <si>
    <t>Days</t>
  </si>
  <si>
    <t>EOP</t>
  </si>
  <si>
    <t>Supporting Schedules</t>
  </si>
  <si>
    <t>PP&amp;E Schedule</t>
  </si>
  <si>
    <t>Opening Balance</t>
  </si>
  <si>
    <t>Less: Depreciation</t>
  </si>
  <si>
    <t>Plus: Capex</t>
  </si>
  <si>
    <t>Plus: PP&amp;E Acquired Under Capital/Financing Leases</t>
  </si>
  <si>
    <t>Plus: Other Net Additions</t>
  </si>
  <si>
    <t>Closing Balance</t>
  </si>
  <si>
    <t>PP&amp;E on Balance Sheet</t>
  </si>
  <si>
    <t>Debt Schedule</t>
  </si>
  <si>
    <t>Plus: Additions (repayments), net</t>
  </si>
  <si>
    <t>Long-Term Debt on Balance Sheet</t>
  </si>
  <si>
    <t>Interest Rate</t>
  </si>
  <si>
    <t>Capital Leases Schedule</t>
  </si>
  <si>
    <t>Opening Balance (Total)</t>
  </si>
  <si>
    <t>Less: Principal Repayments</t>
  </si>
  <si>
    <t>Plus: Net Additions</t>
  </si>
  <si>
    <t>Closing Balance (Total)</t>
  </si>
  <si>
    <t>Annual Report Closing Figure</t>
  </si>
  <si>
    <t>Segmented Revenue</t>
  </si>
  <si>
    <t>Online Stores</t>
  </si>
  <si>
    <t>Physical Stores</t>
  </si>
  <si>
    <t>Retail Third-Party Seller Services</t>
  </si>
  <si>
    <t>Retail Subscription Services</t>
  </si>
  <si>
    <t>AWS</t>
  </si>
  <si>
    <t>Other</t>
  </si>
  <si>
    <t>Segmented Revenue Growth</t>
  </si>
  <si>
    <t>Check</t>
  </si>
  <si>
    <t>Depreciation of Property and Equipment</t>
  </si>
  <si>
    <t>Other Non-Cash Operating Expense, net</t>
  </si>
  <si>
    <t>Sales (Purchases) of Marketable Securities, net</t>
  </si>
  <si>
    <t>Proceeds (Repayments) from Long-Term Debt and Other</t>
  </si>
  <si>
    <t>Proceeds from Issuing Equity (Common, Treasury, Paid-in, etc)</t>
  </si>
  <si>
    <t>Payment of Dividends</t>
  </si>
  <si>
    <t>Market Size</t>
  </si>
  <si>
    <t>(in USD billions)</t>
  </si>
  <si>
    <t>Global Segment Market Size</t>
  </si>
  <si>
    <t>Ecommerce (Global)</t>
  </si>
  <si>
    <t>Advertising</t>
  </si>
  <si>
    <t>Cloud</t>
  </si>
  <si>
    <t>Global Segment Growth Rate</t>
  </si>
  <si>
    <t>Ecommerce</t>
  </si>
  <si>
    <t>Advertising (Statista)</t>
  </si>
  <si>
    <t>Cloud Computing (Gartner)</t>
  </si>
  <si>
    <t>Amazon Segment Information</t>
  </si>
  <si>
    <t>Amazon 1P</t>
  </si>
  <si>
    <t>Amazon 3P</t>
  </si>
  <si>
    <t>Revenue</t>
  </si>
  <si>
    <t>Commission</t>
  </si>
  <si>
    <t>3P GMV</t>
  </si>
  <si>
    <t>Total Ecommerce GMV</t>
  </si>
  <si>
    <t>Market Share</t>
  </si>
  <si>
    <t>Cloud Computing</t>
  </si>
  <si>
    <t>Convert Millions to Billions</t>
  </si>
  <si>
    <t>Sources:</t>
  </si>
  <si>
    <t>1P</t>
  </si>
  <si>
    <t>3P</t>
  </si>
  <si>
    <t>Subs</t>
  </si>
  <si>
    <t>Free Cash Flow (FCF) From Operations</t>
  </si>
  <si>
    <t>Purchases of Property and Equipment</t>
  </si>
  <si>
    <t>Free Cash Flow</t>
  </si>
  <si>
    <t>Free Cash Flow Less Capital Leases</t>
  </si>
  <si>
    <t>EBIT</t>
  </si>
  <si>
    <t>D&amp;A</t>
  </si>
  <si>
    <t>EBITDA (Including SBC)</t>
  </si>
  <si>
    <t>Stock-Based Compensation (SBC)</t>
  </si>
  <si>
    <t>EBITDA (Excluding SBC)</t>
  </si>
  <si>
    <t>Free Cash Flow to Firm (FCFF)</t>
  </si>
  <si>
    <t>Operating Profit</t>
  </si>
  <si>
    <t>Less: Unlevered Taxes</t>
  </si>
  <si>
    <t>Net Operating Profit After Tax (NOPAT)</t>
  </si>
  <si>
    <t>Plus: Depreciation &amp; Amortization</t>
  </si>
  <si>
    <t>Plus: Stock-Based Compensation</t>
  </si>
  <si>
    <t>Plus: Other Non-Cash Expenses</t>
  </si>
  <si>
    <t>Less: Cash Capex</t>
  </si>
  <si>
    <t>Plus: Changes in Net Working Capital</t>
  </si>
  <si>
    <t>Less: Capital Lease Additions</t>
  </si>
  <si>
    <t>Free Cash Flow to Firm (FCFF) If All Cash Capex</t>
  </si>
  <si>
    <t>Discounted Cash Flow (DCF) Analysis</t>
  </si>
  <si>
    <t>Model</t>
  </si>
  <si>
    <t>Exit Multiple</t>
  </si>
  <si>
    <t>Growth Rate</t>
  </si>
  <si>
    <t>Terminal Value (Choose Option --&gt;)</t>
  </si>
  <si>
    <t>Terminal Value in Model</t>
  </si>
  <si>
    <t>Discount Rate</t>
  </si>
  <si>
    <t>Valuation Date</t>
  </si>
  <si>
    <t># Shares Outstanding as of Valuation Date (millions)</t>
  </si>
  <si>
    <t>Market Price as of Valuation Date</t>
  </si>
  <si>
    <t>Terminal Value</t>
  </si>
  <si>
    <t>Valuation Timeline</t>
  </si>
  <si>
    <t>Rolling Enterprise Value (NPV)</t>
  </si>
  <si>
    <t>Equity Value</t>
  </si>
  <si>
    <t>Fully Diluted Shares Outstanding</t>
  </si>
  <si>
    <t>Rolling AMZN Value per Share</t>
  </si>
  <si>
    <t>Investor IRR</t>
  </si>
  <si>
    <t>Equity Investor Return (After SBC dilution)</t>
  </si>
  <si>
    <t>Equity Investor IRR (After SBC dilution)</t>
  </si>
  <si>
    <t>Valuation</t>
  </si>
  <si>
    <t>Year Frac</t>
  </si>
  <si>
    <t>Plus: Cash + Marketable Securities</t>
  </si>
  <si>
    <t>Less: Debt + Capital &amp; Finance Leases</t>
  </si>
  <si>
    <t>Instrinsic Value ($/share)</t>
  </si>
  <si>
    <t>Internal Rate of Return (IRR)</t>
  </si>
  <si>
    <t>Purchase Price (per share)</t>
  </si>
  <si>
    <t>CONSENSUS CASE</t>
  </si>
  <si>
    <t>BULL CASE</t>
  </si>
  <si>
    <t>BEAR CASE</t>
  </si>
  <si>
    <t>OTHER CASE</t>
  </si>
  <si>
    <t>Case Selection</t>
  </si>
  <si>
    <t>Name</t>
  </si>
  <si>
    <t>Consensus</t>
  </si>
  <si>
    <t>Bull</t>
  </si>
  <si>
    <t>Bear</t>
  </si>
  <si>
    <t>Description</t>
  </si>
  <si>
    <t>Number</t>
  </si>
  <si>
    <t>Live Case -&gt;</t>
  </si>
  <si>
    <t>NPV $/Sh</t>
  </si>
  <si>
    <t>LIVE CASE</t>
  </si>
  <si>
    <t>EV:</t>
  </si>
  <si>
    <t>Share Price:</t>
  </si>
  <si>
    <t>Ticker</t>
  </si>
  <si>
    <t>Nasdaq:AMZN</t>
  </si>
  <si>
    <t>Currency</t>
  </si>
  <si>
    <t>USD</t>
  </si>
  <si>
    <t>Date</t>
  </si>
  <si>
    <t>Conversion</t>
  </si>
  <si>
    <t>Historical</t>
  </si>
  <si>
    <t>Index</t>
  </si>
  <si>
    <t>^SPX</t>
  </si>
  <si>
    <t>Filing</t>
  </si>
  <si>
    <t>Latest Fully Reported</t>
  </si>
  <si>
    <t>WACC ANALYSIS</t>
  </si>
  <si>
    <t>Capital IQ Data</t>
  </si>
  <si>
    <t>ASSUMPTIONS</t>
  </si>
  <si>
    <t>BETA CALCULATION</t>
  </si>
  <si>
    <t>Capital IQ Inputs:</t>
  </si>
  <si>
    <t>5Yr Avg</t>
  </si>
  <si>
    <t>Levered</t>
  </si>
  <si>
    <t>Total</t>
  </si>
  <si>
    <t>Mkt. Val.</t>
  </si>
  <si>
    <t>Pref</t>
  </si>
  <si>
    <t>Debt/</t>
  </si>
  <si>
    <t>Pref/</t>
  </si>
  <si>
    <t>Unlevered</t>
  </si>
  <si>
    <t>Total Debt</t>
  </si>
  <si>
    <t>Tax Rate (5 Year Average)</t>
  </si>
  <si>
    <t>Beta</t>
  </si>
  <si>
    <t>Debt</t>
  </si>
  <si>
    <t>Equity</t>
  </si>
  <si>
    <t>Beta(2)</t>
  </si>
  <si>
    <t>Total Preferred</t>
  </si>
  <si>
    <t>Risk-Free Rate of Return (Rf)(1)</t>
  </si>
  <si>
    <t>NasdaqGS:GOOG.L</t>
  </si>
  <si>
    <t>Alphabet Inc.</t>
  </si>
  <si>
    <t>Market Cap</t>
  </si>
  <si>
    <t>Bonds</t>
  </si>
  <si>
    <t>Issue Date</t>
  </si>
  <si>
    <t>Coupon</t>
  </si>
  <si>
    <t>Fixed Income</t>
  </si>
  <si>
    <t>Preferred</t>
  </si>
  <si>
    <t>NasdaqGS:FB</t>
  </si>
  <si>
    <t>Facebook, Inc.</t>
  </si>
  <si>
    <t>EBT</t>
  </si>
  <si>
    <t>Country</t>
  </si>
  <si>
    <t>CIQ ID</t>
  </si>
  <si>
    <t>Gov.Bond Id</t>
  </si>
  <si>
    <t>Size Premium</t>
  </si>
  <si>
    <t>NasdaqGS:EBAY</t>
  </si>
  <si>
    <t>eBay Inc.</t>
  </si>
  <si>
    <t>Taxes</t>
  </si>
  <si>
    <t>Australia</t>
  </si>
  <si>
    <t>AU</t>
  </si>
  <si>
    <t>IQ25104817</t>
  </si>
  <si>
    <t>IQ50027528</t>
  </si>
  <si>
    <t>Australia Government Debt - 2 Year</t>
  </si>
  <si>
    <t>NasdaqGS:EXPE</t>
  </si>
  <si>
    <t>Expedia Group, Inc.</t>
  </si>
  <si>
    <t>Latest FYE</t>
  </si>
  <si>
    <t>Canada</t>
  </si>
  <si>
    <t>CA</t>
  </si>
  <si>
    <t>IQ4080736</t>
  </si>
  <si>
    <t>IQ100893239</t>
  </si>
  <si>
    <t>Australia Government Debt - 3 Year</t>
  </si>
  <si>
    <t>NYSE:WMT</t>
  </si>
  <si>
    <t>Walmart Inc.</t>
  </si>
  <si>
    <t>Latest FQE</t>
  </si>
  <si>
    <t>China</t>
  </si>
  <si>
    <t>CN</t>
  </si>
  <si>
    <t>IQ28461984</t>
  </si>
  <si>
    <t>IQ50027529</t>
  </si>
  <si>
    <t>Australia Government Debt - 5 Year</t>
  </si>
  <si>
    <t>NasdaqGS:BKNG</t>
  </si>
  <si>
    <t>Booking Holdings Inc.</t>
  </si>
  <si>
    <t>Today</t>
  </si>
  <si>
    <t>Denmark</t>
  </si>
  <si>
    <t>DK</t>
  </si>
  <si>
    <t>IQ35414816</t>
  </si>
  <si>
    <t>IQ100893231</t>
  </si>
  <si>
    <t>Australia Government Debt - 7 Year</t>
  </si>
  <si>
    <t>Choice for Cost of Debt</t>
  </si>
  <si>
    <t>Company</t>
  </si>
  <si>
    <t>France</t>
  </si>
  <si>
    <t>FR</t>
  </si>
  <si>
    <t>IQ3474783</t>
  </si>
  <si>
    <t>IQ50027527</t>
  </si>
  <si>
    <t>Australia Government Debt - 10 Year</t>
  </si>
  <si>
    <t>Average</t>
  </si>
  <si>
    <t>Germany</t>
  </si>
  <si>
    <t>DE</t>
  </si>
  <si>
    <t>IQ8201718</t>
  </si>
  <si>
    <t>IQ100893243</t>
  </si>
  <si>
    <t>Australia Government Debt - 15 Year</t>
  </si>
  <si>
    <t>Comparable Corporate Yield Curve Rate</t>
  </si>
  <si>
    <t>Beta Selection</t>
  </si>
  <si>
    <t>Hong Kong</t>
  </si>
  <si>
    <t>HK</t>
  </si>
  <si>
    <t>IQ22453044</t>
  </si>
  <si>
    <t>IQ50027538</t>
  </si>
  <si>
    <t>Canada Government Debt - 2 Year</t>
  </si>
  <si>
    <t>Average Unlevered Beta for Comps</t>
  </si>
  <si>
    <t>1 = Bottom-Up Beta</t>
  </si>
  <si>
    <t>Italy</t>
  </si>
  <si>
    <t>IT</t>
  </si>
  <si>
    <t>IQ3534701</t>
  </si>
  <si>
    <t>IQ100893055</t>
  </si>
  <si>
    <t>Canada Government Debt - 3 Year</t>
  </si>
  <si>
    <t>2 = Regression Beta</t>
  </si>
  <si>
    <t>Japan</t>
  </si>
  <si>
    <t>JP</t>
  </si>
  <si>
    <t>IQ27482154</t>
  </si>
  <si>
    <t>IQ100893051</t>
  </si>
  <si>
    <t>Canada Government Debt - 5 Year</t>
  </si>
  <si>
    <t>Risk Free Rate</t>
  </si>
  <si>
    <t>Netherlands</t>
  </si>
  <si>
    <t>NL</t>
  </si>
  <si>
    <t>IQ26971957</t>
  </si>
  <si>
    <t>IQ100893047</t>
  </si>
  <si>
    <t>Canada Government Debt - 7 Year</t>
  </si>
  <si>
    <t>Choose</t>
  </si>
  <si>
    <t>United States</t>
  </si>
  <si>
    <t>Portugal</t>
  </si>
  <si>
    <t>PT</t>
  </si>
  <si>
    <t>IQ20528442</t>
  </si>
  <si>
    <t>IQ50027537</t>
  </si>
  <si>
    <t>Canada Government Debt - 10 Year</t>
  </si>
  <si>
    <t>Then</t>
  </si>
  <si>
    <t>United States Treasury Constant Maturity - 10 Year</t>
  </si>
  <si>
    <t>Singapore</t>
  </si>
  <si>
    <t>SG</t>
  </si>
  <si>
    <t>IQ31250052</t>
  </si>
  <si>
    <t>IQ136585888</t>
  </si>
  <si>
    <t>China Government Debt - 3 Year</t>
  </si>
  <si>
    <t>South Africa</t>
  </si>
  <si>
    <t>ZA</t>
  </si>
  <si>
    <t>IQ3590743</t>
  </si>
  <si>
    <t>IQ136585884</t>
  </si>
  <si>
    <t>China Government Debt - 5 Year</t>
  </si>
  <si>
    <t>Corporate Yield Curves</t>
  </si>
  <si>
    <t>AllCorp</t>
  </si>
  <si>
    <t>IG</t>
  </si>
  <si>
    <t>1M</t>
  </si>
  <si>
    <t>Current</t>
  </si>
  <si>
    <t>South Korea</t>
  </si>
  <si>
    <t>KR</t>
  </si>
  <si>
    <t>IQ12721923</t>
  </si>
  <si>
    <t>IQ136585880</t>
  </si>
  <si>
    <t>China Government Debt - 7 Year</t>
  </si>
  <si>
    <t>Sector</t>
  </si>
  <si>
    <t>Rating</t>
  </si>
  <si>
    <t>Tenor</t>
  </si>
  <si>
    <t>WACC SENSITIVITY ANALYSIS</t>
  </si>
  <si>
    <t>WACC Sensitivity Inputs</t>
  </si>
  <si>
    <t>EUR</t>
  </si>
  <si>
    <t>Consumer Discretionary</t>
  </si>
  <si>
    <t>ConsumerDiscretionary</t>
  </si>
  <si>
    <t>AAA</t>
  </si>
  <si>
    <t>3M</t>
  </si>
  <si>
    <t>Spain</t>
  </si>
  <si>
    <t>ES</t>
  </si>
  <si>
    <t>IQ3600380</t>
  </si>
  <si>
    <t>IQ136585892</t>
  </si>
  <si>
    <t>China Government Debt - 10 Year</t>
  </si>
  <si>
    <t>AA</t>
  </si>
  <si>
    <t>5Y</t>
  </si>
  <si>
    <t>Pre-Tax Cost of Debt Step</t>
  </si>
  <si>
    <t>GBP</t>
  </si>
  <si>
    <t>Consumer Staples</t>
  </si>
  <si>
    <t>ConsumerStaples</t>
  </si>
  <si>
    <t>6M</t>
  </si>
  <si>
    <t>Sweden</t>
  </si>
  <si>
    <t>SE</t>
  </si>
  <si>
    <t>IQ20531158</t>
  </si>
  <si>
    <t>IQ136585872</t>
  </si>
  <si>
    <t>Denmark Government Debt - 2 Year</t>
  </si>
  <si>
    <t>D/(D+P+E)</t>
  </si>
  <si>
    <t>Pre-Tax Cost of Debt</t>
  </si>
  <si>
    <t>D/(D+P+E) Step</t>
  </si>
  <si>
    <t>AUD</t>
  </si>
  <si>
    <t>Energy</t>
  </si>
  <si>
    <t>A</t>
  </si>
  <si>
    <t>9M</t>
  </si>
  <si>
    <t>Latest</t>
  </si>
  <si>
    <t>L</t>
  </si>
  <si>
    <t>Switzerland</t>
  </si>
  <si>
    <t>CH</t>
  </si>
  <si>
    <t>IQ29618341</t>
  </si>
  <si>
    <t>IQ136585868</t>
  </si>
  <si>
    <t>Denmark Government Debt - 5 Year</t>
  </si>
  <si>
    <t>WACC</t>
  </si>
  <si>
    <t>Cost of Equity Step</t>
  </si>
  <si>
    <t>Financials</t>
  </si>
  <si>
    <t>BBB</t>
  </si>
  <si>
    <t>1Y</t>
  </si>
  <si>
    <t>Original</t>
  </si>
  <si>
    <t>O</t>
  </si>
  <si>
    <t>United Kingdom</t>
  </si>
  <si>
    <t>GB</t>
  </si>
  <si>
    <t>IQ25809472</t>
  </si>
  <si>
    <t>IQ136585876</t>
  </si>
  <si>
    <t>Denmark Government Debt - 10 Year</t>
  </si>
  <si>
    <t>E/(D+P+E) Step</t>
  </si>
  <si>
    <t>Healthcare</t>
  </si>
  <si>
    <t>HY</t>
  </si>
  <si>
    <t>2Y</t>
  </si>
  <si>
    <t>Preliminary</t>
  </si>
  <si>
    <t>P</t>
  </si>
  <si>
    <t>US</t>
  </si>
  <si>
    <t>IQ12425677</t>
  </si>
  <si>
    <t>IQ100891311</t>
  </si>
  <si>
    <t>France Government Debt - 1 Year</t>
  </si>
  <si>
    <t>Market Risk Premium (Rm - Rf)</t>
  </si>
  <si>
    <t>Industrials</t>
  </si>
  <si>
    <t>BB</t>
  </si>
  <si>
    <t>3Y</t>
  </si>
  <si>
    <t>LFR</t>
  </si>
  <si>
    <t>IQ50027546</t>
  </si>
  <si>
    <t>France Government Debt - 2 Year</t>
  </si>
  <si>
    <t>Information Technology</t>
  </si>
  <si>
    <t>InformationTechnology</t>
  </si>
  <si>
    <t>B</t>
  </si>
  <si>
    <t>4Y</t>
  </si>
  <si>
    <t>IQ100891303</t>
  </si>
  <si>
    <t>France Government Debt - 3 Year</t>
  </si>
  <si>
    <t>Adjusted Market Risk Premium</t>
  </si>
  <si>
    <t>Materials</t>
  </si>
  <si>
    <t>CCC</t>
  </si>
  <si>
    <t>IQ50027547</t>
  </si>
  <si>
    <t>France Government Debt - 5 Year</t>
  </si>
  <si>
    <r>
      <t>Add: Risk-Free Rate of Return (Rf)</t>
    </r>
    <r>
      <rPr>
        <vertAlign val="superscript"/>
        <sz val="11"/>
        <rFont val="Arial"/>
        <family val="2"/>
      </rPr>
      <t>(1)</t>
    </r>
  </si>
  <si>
    <t>Real Estate</t>
  </si>
  <si>
    <t>RealEstate</t>
  </si>
  <si>
    <t>6Y</t>
  </si>
  <si>
    <t>Index Returns</t>
  </si>
  <si>
    <t>IQ100891299</t>
  </si>
  <si>
    <t>France Government Debt - 7 Year</t>
  </si>
  <si>
    <t>Add: Size Premium</t>
  </si>
  <si>
    <t>Communication Services</t>
  </si>
  <si>
    <t>TelecommunicationServices</t>
  </si>
  <si>
    <t>7Y</t>
  </si>
  <si>
    <t>IQ50027544</t>
  </si>
  <si>
    <t>France Government Debt - 10 Year</t>
  </si>
  <si>
    <t>Cost of Equity</t>
  </si>
  <si>
    <t>Utilities</t>
  </si>
  <si>
    <t>8Y</t>
  </si>
  <si>
    <t>IQ100891307</t>
  </si>
  <si>
    <t>France Government Debt - 15 Year</t>
  </si>
  <si>
    <t>NonFin</t>
  </si>
  <si>
    <t>9Y</t>
  </si>
  <si>
    <t>IQ50027545</t>
  </si>
  <si>
    <t>France Government Debt - 30 Year</t>
  </si>
  <si>
    <t>Cost of Equity Portion</t>
  </si>
  <si>
    <t>10Y</t>
  </si>
  <si>
    <t>IQ100891295</t>
  </si>
  <si>
    <t>Germany Government Debt - 1 Year</t>
  </si>
  <si>
    <t>11Y</t>
  </si>
  <si>
    <t>IQ50027536</t>
  </si>
  <si>
    <t>Germany Government Debt - 2 Year</t>
  </si>
  <si>
    <t>12Y</t>
  </si>
  <si>
    <t>IQ100891287</t>
  </si>
  <si>
    <t>Germany Government Debt - 3 Year</t>
  </si>
  <si>
    <t>E/(D+P+E)</t>
  </si>
  <si>
    <t>13Y</t>
  </si>
  <si>
    <t>IQ50027533</t>
  </si>
  <si>
    <t>Germany Government Debt - 5 Year</t>
  </si>
  <si>
    <t>After-Tax Cost of Debt</t>
  </si>
  <si>
    <t>14Y</t>
  </si>
  <si>
    <t>IQ100891283</t>
  </si>
  <si>
    <t>Germany Government Debt - 7 Year</t>
  </si>
  <si>
    <t>15Y</t>
  </si>
  <si>
    <t>IQ50027534</t>
  </si>
  <si>
    <t>Germany Government Debt - 10 Year</t>
  </si>
  <si>
    <t>Cost of Debt Portion</t>
  </si>
  <si>
    <t>16Y</t>
  </si>
  <si>
    <t>IQ100891291</t>
  </si>
  <si>
    <t>Germany Government Debt - 15 Year</t>
  </si>
  <si>
    <t>17Y</t>
  </si>
  <si>
    <t>IQ50027535</t>
  </si>
  <si>
    <t>Germany Government Debt - 30 Year</t>
  </si>
  <si>
    <t>18Y</t>
  </si>
  <si>
    <t>IQ136585844</t>
  </si>
  <si>
    <t>Hong Kong Government Debt - 2 Year</t>
  </si>
  <si>
    <t>19Y</t>
  </si>
  <si>
    <t>IQ136585840</t>
  </si>
  <si>
    <t>Hong Kong Government Debt - 5 Year</t>
  </si>
  <si>
    <t>Cost of Preferred Portion</t>
  </si>
  <si>
    <t>20Y</t>
  </si>
  <si>
    <t>IQ136585836</t>
  </si>
  <si>
    <t>Hong Kong Government Debt - 7 Year</t>
  </si>
  <si>
    <t>21Y</t>
  </si>
  <si>
    <t>IQ136585848</t>
  </si>
  <si>
    <t>Hong Kong Government Debt - 10 Year</t>
  </si>
  <si>
    <t>22Y</t>
  </si>
  <si>
    <t>IQ100890971</t>
  </si>
  <si>
    <t>Italy Government Debt - 1 Year</t>
  </si>
  <si>
    <t>23Y</t>
  </si>
  <si>
    <t>IQ50027549</t>
  </si>
  <si>
    <t>Italy Government Debt - 2 Year</t>
  </si>
  <si>
    <t>Notes:</t>
  </si>
  <si>
    <t>24Y</t>
  </si>
  <si>
    <t>IQ100890963</t>
  </si>
  <si>
    <t>Italy Government Debt - 3 Year</t>
  </si>
  <si>
    <t>25Y</t>
  </si>
  <si>
    <t>IQ50027553</t>
  </si>
  <si>
    <t>Italy Government Debt - 5 Year</t>
  </si>
  <si>
    <t>(2) Unlevered Beta = Levered Beta / ( 1 + ((D/E) * (1 - T)) + P/E)</t>
  </si>
  <si>
    <t>26Y</t>
  </si>
  <si>
    <t>IQ100890959</t>
  </si>
  <si>
    <t>Italy Government Debt - 7 Year</t>
  </si>
  <si>
    <t>(3) Levered Beta = Unlevered Beta * ( 1 + ((D/E) * (1 - T)) + P/E)</t>
  </si>
  <si>
    <t>27Y</t>
  </si>
  <si>
    <t>IQ50027548</t>
  </si>
  <si>
    <t>Italy Government Debt - 10 Year</t>
  </si>
  <si>
    <t>Source: S&amp;P Capital IQ</t>
  </si>
  <si>
    <t>28Y</t>
  </si>
  <si>
    <t>IQ100890967</t>
  </si>
  <si>
    <t>Italy Government Debt - 15 Year</t>
  </si>
  <si>
    <t>29Y</t>
  </si>
  <si>
    <t>IQ50027552</t>
  </si>
  <si>
    <t>Italy Government Debt - 30 Year</t>
  </si>
  <si>
    <t>30Y</t>
  </si>
  <si>
    <t>IQ100890955</t>
  </si>
  <si>
    <t>Japan Government Debt - 1 Year</t>
  </si>
  <si>
    <t>IQ50027557</t>
  </si>
  <si>
    <t>Japan Government Debt - 2 Year</t>
  </si>
  <si>
    <t>IQ100890947</t>
  </si>
  <si>
    <t>Japan Government Debt - 3 Year</t>
  </si>
  <si>
    <t>IQ50027554</t>
  </si>
  <si>
    <t>Japan Government Debt - 5 Year</t>
  </si>
  <si>
    <t>IQ100890943</t>
  </si>
  <si>
    <t>Japan Government Debt - 7 Year</t>
  </si>
  <si>
    <t>IQ50027555</t>
  </si>
  <si>
    <t>Japan Government Debt - 10 Year</t>
  </si>
  <si>
    <t>IQ100890951</t>
  </si>
  <si>
    <t>Japan Government Debt - 15 Year</t>
  </si>
  <si>
    <t>IQ50027556</t>
  </si>
  <si>
    <t>Japan Government Debt - 30 Year</t>
  </si>
  <si>
    <t>IQ50027562</t>
  </si>
  <si>
    <t>Netherlands Government Debt - 2 Year</t>
  </si>
  <si>
    <t>IQ50027564</t>
  </si>
  <si>
    <t>Netherlands Government Debt - 5 Year</t>
  </si>
  <si>
    <t>IQ100890811</t>
  </si>
  <si>
    <t>Netherlands Government Debt - 7 Year</t>
  </si>
  <si>
    <t>IQ50027561</t>
  </si>
  <si>
    <t>Netherlands Government Debt - 10 Year</t>
  </si>
  <si>
    <t>IQ100890819</t>
  </si>
  <si>
    <t>Netherlands Government Debt - 15 Year</t>
  </si>
  <si>
    <t>IQ50027563</t>
  </si>
  <si>
    <t>Netherlands Government Debt - 30 Year</t>
  </si>
  <si>
    <t>IQ184536260</t>
  </si>
  <si>
    <t>Portugal Government Debt - 3 Year</t>
  </si>
  <si>
    <t>IQ184536258</t>
  </si>
  <si>
    <t>Portugal Government Debt - 5 Year</t>
  </si>
  <si>
    <t>IQ184536256</t>
  </si>
  <si>
    <t>Portugal Government Debt - 7 Year</t>
  </si>
  <si>
    <t>IQ184536262</t>
  </si>
  <si>
    <t>Portugal Government Debt - 10 Year</t>
  </si>
  <si>
    <t>IQ136585824</t>
  </si>
  <si>
    <t>Singapore Government Debt - 2 Year</t>
  </si>
  <si>
    <t>IQ136585820</t>
  </si>
  <si>
    <t>Singapore Government Debt - 5 Year</t>
  </si>
  <si>
    <t>IQ136585832</t>
  </si>
  <si>
    <t>Singapore Government Debt - 10 Year</t>
  </si>
  <si>
    <t>IQ136585828</t>
  </si>
  <si>
    <t>Singapore Government Debt - 15 Year</t>
  </si>
  <si>
    <t>IQ136585808</t>
  </si>
  <si>
    <t>South Africa Government Debt - 2 Year</t>
  </si>
  <si>
    <t>IQ136585800</t>
  </si>
  <si>
    <t>South Africa Government Debt - 5 Year</t>
  </si>
  <si>
    <t>IQ136585816</t>
  </si>
  <si>
    <t>South Africa Government Debt - 10 Year</t>
  </si>
  <si>
    <t>IQ136585812</t>
  </si>
  <si>
    <t>South Africa Government Debt - 15 Year</t>
  </si>
  <si>
    <t>IQ136585804</t>
  </si>
  <si>
    <t>South Africa Government Debt - 30 Year</t>
  </si>
  <si>
    <t>IQ136585792</t>
  </si>
  <si>
    <t>South Korea Government Debt - 2 Year</t>
  </si>
  <si>
    <t>IQ136585788</t>
  </si>
  <si>
    <t>South Korea Government Debt - 3 Year</t>
  </si>
  <si>
    <t>IQ136585784</t>
  </si>
  <si>
    <t>South Korea Government Debt - 5 Year</t>
  </si>
  <si>
    <t>IQ136585796</t>
  </si>
  <si>
    <t>South Korea Government Debt - 10 Year</t>
  </si>
  <si>
    <t>IQ50027569</t>
  </si>
  <si>
    <t>Spain Government Debt - 2 Year</t>
  </si>
  <si>
    <t>IQ50027571</t>
  </si>
  <si>
    <t>Spain Government Debt - 5 Year</t>
  </si>
  <si>
    <t>IQ100890539</t>
  </si>
  <si>
    <t>Spain Government Debt - 7 Year</t>
  </si>
  <si>
    <t>IQ50027568</t>
  </si>
  <si>
    <t>Spain Government Debt - 10 Year</t>
  </si>
  <si>
    <t>IQ50027570</t>
  </si>
  <si>
    <t>Spain Government Debt - 30 Year</t>
  </si>
  <si>
    <t>IQ50027573</t>
  </si>
  <si>
    <t>Sweden Government Debt - 2 Year</t>
  </si>
  <si>
    <t>IQ50027575</t>
  </si>
  <si>
    <t>Sweden Government Debt - 5 Year</t>
  </si>
  <si>
    <t>IQ136585780</t>
  </si>
  <si>
    <t>Sweden Government Debt - 7 Year</t>
  </si>
  <si>
    <t>IQ50027572</t>
  </si>
  <si>
    <t>Sweden Government Debt - 10 Year</t>
  </si>
  <si>
    <t>IQ50027577</t>
  </si>
  <si>
    <t>Switzerland Government Debt - 2 Year</t>
  </si>
  <si>
    <t>IQ100889991</t>
  </si>
  <si>
    <t>Switzerland Government Debt - 3 Year</t>
  </si>
  <si>
    <t>IQ50027579</t>
  </si>
  <si>
    <t>Switzerland Government Debt - 5 Year</t>
  </si>
  <si>
    <t>IQ100889987</t>
  </si>
  <si>
    <t>Switzerland Government Debt - 7 Year</t>
  </si>
  <si>
    <t>IQ50027576</t>
  </si>
  <si>
    <t>Switzerland Government Debt - 10 Year</t>
  </si>
  <si>
    <t>IQ100889995</t>
  </si>
  <si>
    <t>Switzerland Government Debt - 15 Year</t>
  </si>
  <si>
    <t>IQ50027578</t>
  </si>
  <si>
    <t>Switzerland Government Debt - 30 Year</t>
  </si>
  <si>
    <t>IQ100889951</t>
  </si>
  <si>
    <t>United Kingdom Government Debt - 1 Year</t>
  </si>
  <si>
    <t>IQ50027581</t>
  </si>
  <si>
    <t>United Kingdom Government Debt - 2 Year</t>
  </si>
  <si>
    <t>IQ100889943</t>
  </si>
  <si>
    <t>United Kingdom Government Debt - 3 Year</t>
  </si>
  <si>
    <t>IQ50027583</t>
  </si>
  <si>
    <t>United Kingdom Government Debt - 5 Year</t>
  </si>
  <si>
    <t>IQ100889939</t>
  </si>
  <si>
    <t>United Kingdom Government Debt - 7 Year</t>
  </si>
  <si>
    <t>IQ50027580</t>
  </si>
  <si>
    <t>United Kingdom Government Debt - 10 Year</t>
  </si>
  <si>
    <t>IQ100889947</t>
  </si>
  <si>
    <t>United Kingdom Government Debt - 15 Year</t>
  </si>
  <si>
    <t>IQ50027582</t>
  </si>
  <si>
    <t>United Kingdom Government Debt - 30 Year</t>
  </si>
  <si>
    <t>IQT36183815</t>
  </si>
  <si>
    <t>United States Treasury Constant Maturity - 1 Month</t>
  </si>
  <si>
    <t>IQT36183818</t>
  </si>
  <si>
    <t>United States Treasury Constant Maturity - 3 Month</t>
  </si>
  <si>
    <t>IQT36183821</t>
  </si>
  <si>
    <t>United States Treasury Constant Maturity - 6 Month</t>
  </si>
  <si>
    <t>IQT36183824</t>
  </si>
  <si>
    <t>United States Treasury Constant Maturity - 1 Year</t>
  </si>
  <si>
    <t>IQT36183827</t>
  </si>
  <si>
    <t>United States Treasury Constant Maturity - 2 Year</t>
  </si>
  <si>
    <t>IQT36183830</t>
  </si>
  <si>
    <t>United States Treasury Constant Maturity - 3 Year</t>
  </si>
  <si>
    <t>IQT36183833</t>
  </si>
  <si>
    <t>United States Treasury Constant Maturity - 5 Year</t>
  </si>
  <si>
    <t>IQT36183836</t>
  </si>
  <si>
    <t>United States Treasury Constant Maturity - 7 Year</t>
  </si>
  <si>
    <t>IQT36183839</t>
  </si>
  <si>
    <t>IQT36183842</t>
  </si>
  <si>
    <t>United States Treasury Constant Maturity - 20 Year</t>
  </si>
  <si>
    <t>IQT36183845</t>
  </si>
  <si>
    <t>United States Treasury Constant Maturity - 30 Year</t>
  </si>
  <si>
    <t>Comps Analysis</t>
  </si>
  <si>
    <t>Market Data</t>
  </si>
  <si>
    <t>Financial Data</t>
  </si>
  <si>
    <t>EV/Revenue</t>
  </si>
  <si>
    <t>EV/EBITDA</t>
  </si>
  <si>
    <t>Company Name</t>
  </si>
  <si>
    <t>Symbol</t>
  </si>
  <si>
    <t>Market Capitalization</t>
  </si>
  <si>
    <t xml:space="preserve">Net Debt </t>
  </si>
  <si>
    <t>Minority Interest</t>
  </si>
  <si>
    <t>Enterprise Value</t>
  </si>
  <si>
    <t xml:space="preserve">LTM Total Revenue </t>
  </si>
  <si>
    <t>2019E Total Revenue</t>
  </si>
  <si>
    <t>LTM EBITDA  (excl. SBC)</t>
  </si>
  <si>
    <t>2019E EBITDA (excl. SBC)</t>
  </si>
  <si>
    <t>2019E Revenue Growth</t>
  </si>
  <si>
    <t>2019E EBITDA Growth</t>
  </si>
  <si>
    <t>2019E EBITDA Margin</t>
  </si>
  <si>
    <t>LTM</t>
  </si>
  <si>
    <t>2019E</t>
  </si>
  <si>
    <t xml:space="preserve">1P Comps </t>
  </si>
  <si>
    <t>Costco Wholesale</t>
  </si>
  <si>
    <t>COST</t>
  </si>
  <si>
    <t>Target Corporation</t>
  </si>
  <si>
    <t>TGT</t>
  </si>
  <si>
    <t>Lowe's Companies, Inc.</t>
  </si>
  <si>
    <t>LOW</t>
  </si>
  <si>
    <t>The Home Depot, Inc.</t>
  </si>
  <si>
    <t>HD</t>
  </si>
  <si>
    <t>WMT</t>
  </si>
  <si>
    <t>JD.com, Inc.</t>
  </si>
  <si>
    <t>JD</t>
  </si>
  <si>
    <t>Mean</t>
  </si>
  <si>
    <t>Median</t>
  </si>
  <si>
    <t>Amazon 1P (min)</t>
  </si>
  <si>
    <t>Amazon 1P (max)</t>
  </si>
  <si>
    <t xml:space="preserve">3P Comps </t>
  </si>
  <si>
    <t>EBAY</t>
  </si>
  <si>
    <t>Etsy, Inc.</t>
  </si>
  <si>
    <t>ETSY</t>
  </si>
  <si>
    <t>Alibaba Group</t>
  </si>
  <si>
    <t>BABA</t>
  </si>
  <si>
    <t>Amazon 3P (min)</t>
  </si>
  <si>
    <t>Amazon 3P (max)</t>
  </si>
  <si>
    <t>Advertising Comps</t>
  </si>
  <si>
    <t>GOOG</t>
  </si>
  <si>
    <t>FB</t>
  </si>
  <si>
    <t>Twitter, Inc.</t>
  </si>
  <si>
    <t>TWTR</t>
  </si>
  <si>
    <t>Amazon Advertising</t>
  </si>
  <si>
    <t>Amazon Advertising (min)</t>
  </si>
  <si>
    <t>Amazon Advertising (max)</t>
  </si>
  <si>
    <t>Cloud Comps</t>
  </si>
  <si>
    <t>Oracle</t>
  </si>
  <si>
    <t>ORCL</t>
  </si>
  <si>
    <t>Red Hat, Inc.</t>
  </si>
  <si>
    <t>RHT</t>
  </si>
  <si>
    <t>salesforce.com</t>
  </si>
  <si>
    <t>CRM</t>
  </si>
  <si>
    <t>VMware, Inc.</t>
  </si>
  <si>
    <t>VMW</t>
  </si>
  <si>
    <t>SAP</t>
  </si>
  <si>
    <t>Amazon AWS</t>
  </si>
  <si>
    <t>Amazon AWS (min)</t>
  </si>
  <si>
    <t>Amazon AWS (max)</t>
  </si>
  <si>
    <t>Subscription</t>
  </si>
  <si>
    <t>Intrinsic Value</t>
  </si>
  <si>
    <t>Amazon Prime</t>
  </si>
  <si>
    <t>AMZN Sum-Of-The-Parts (SOTP) Valuation</t>
  </si>
  <si>
    <t>AMZN Total (2019E Revenue)</t>
  </si>
  <si>
    <t>AMZN Target Price</t>
  </si>
  <si>
    <t>AMZN Target Price (min)</t>
  </si>
  <si>
    <t>AMZN Target Price (max)</t>
  </si>
  <si>
    <t>Quarterly Financials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</si>
  <si>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</si>
  <si>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</si>
  <si>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</si>
  <si>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</si>
  <si>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</si>
  <si>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</si>
  <si>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</si>
  <si>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</si>
  <si>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</si>
  <si>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</si>
  <si>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</si>
  <si>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Beginning of Period</t>
  </si>
  <si>
    <t>End of Period</t>
  </si>
  <si>
    <t>Equity-Method Investment Activity, Net of Tax</t>
  </si>
  <si>
    <t>Weighted-Average Shares Outstanding:</t>
  </si>
  <si>
    <t>Accounts Receivable, Net and Other</t>
  </si>
  <si>
    <t>Property and Equipment, net</t>
  </si>
  <si>
    <t>Common Shares</t>
  </si>
  <si>
    <t>Total Liabilities And Stockholders’ Equity</t>
  </si>
  <si>
    <t>Adjustments for Non-Cash Expenses:</t>
  </si>
  <si>
    <t>Other Non-Cash (Operating Expense, Expense/Income, Taxes)</t>
  </si>
  <si>
    <t>Sales (Purchases) of Marketable Securities</t>
  </si>
  <si>
    <t>Proceeds (Repayment) from Long-Term Debt and Other</t>
  </si>
  <si>
    <t>Proceeds from Issuing Equity (Common, Treasury, Paid-In, etc.)</t>
  </si>
  <si>
    <t>SUPPLEMENTAL CASH FLOW INFORMATION:</t>
  </si>
  <si>
    <t>Cash Paid For Interest on Long-Term Debt</t>
  </si>
  <si>
    <t>Cash Paid For Interest on Capital and Finance Lease Obligations</t>
  </si>
  <si>
    <t>Cash Paid For Income Taxes, net of refunds</t>
  </si>
  <si>
    <t>Property And Equipment Acquired Under Capital Leases</t>
  </si>
  <si>
    <t>Property And Equipment Acquired Under Build-to-Suit Leases</t>
  </si>
  <si>
    <t>SUPPLEMENTAL BALANCE SHEET INFORMATION:</t>
  </si>
  <si>
    <t>Current Portion of Capital Lease Obligations</t>
  </si>
  <si>
    <t>Long-Term Capital Lease Obligations</t>
  </si>
  <si>
    <t>Amazon.com, Inc.</t>
  </si>
  <si>
    <t>Recommendation:</t>
  </si>
  <si>
    <t>Buy</t>
  </si>
  <si>
    <t>Target:</t>
  </si>
  <si>
    <t>Live Scenario:</t>
  </si>
  <si>
    <t>Date:</t>
  </si>
  <si>
    <t>Company Overview</t>
  </si>
  <si>
    <t>Price</t>
  </si>
  <si>
    <t>Key Stats</t>
  </si>
  <si>
    <t>Market</t>
  </si>
  <si>
    <t>DCF</t>
  </si>
  <si>
    <t>Comps</t>
  </si>
  <si>
    <t>NASDAQ: AMZN</t>
  </si>
  <si>
    <t>Employees</t>
  </si>
  <si>
    <t>Shares O/S (million)</t>
  </si>
  <si>
    <t>Share Price</t>
  </si>
  <si>
    <t>Current Price</t>
  </si>
  <si>
    <t>Founded</t>
  </si>
  <si>
    <t>Market Cap (million)</t>
  </si>
  <si>
    <t>Target Price</t>
  </si>
  <si>
    <t>CEO</t>
  </si>
  <si>
    <t>Jeffrey P. Bezos</t>
  </si>
  <si>
    <t>Dividend</t>
  </si>
  <si>
    <t>Net Debt (million)</t>
  </si>
  <si>
    <t>TP Upside</t>
  </si>
  <si>
    <t>Headquarter</t>
  </si>
  <si>
    <t>Seattle, WA</t>
  </si>
  <si>
    <t>52-Week Hi/Lo</t>
  </si>
  <si>
    <t>IRR</t>
  </si>
  <si>
    <t>Primary Industry</t>
  </si>
  <si>
    <t>Internet and Direct Marketing Retail</t>
  </si>
  <si>
    <t>Fiscal Year End</t>
  </si>
  <si>
    <t>Key Financials</t>
  </si>
  <si>
    <t>Football Field Chart</t>
  </si>
  <si>
    <t>lo (bar)</t>
  </si>
  <si>
    <t>lo  (label)</t>
  </si>
  <si>
    <t>hi (bar)</t>
  </si>
  <si>
    <t>hi (label)</t>
  </si>
  <si>
    <t>Global Market Share</t>
  </si>
  <si>
    <t>DCF - Consensus Case</t>
  </si>
  <si>
    <t>Ecommerce Market</t>
  </si>
  <si>
    <t>DCF - Bull Case</t>
  </si>
  <si>
    <t>Advertising Market</t>
  </si>
  <si>
    <t>DCF - Bear Case</t>
  </si>
  <si>
    <t>Cloud Market</t>
  </si>
  <si>
    <t>EBITDA (excl. SBC)</t>
  </si>
  <si>
    <t>Share Price Chart - Historical and Forecast</t>
  </si>
  <si>
    <t>Net Profit Margin</t>
  </si>
  <si>
    <t>EPS (Diluted)</t>
  </si>
  <si>
    <t>CFPS (Diluted)</t>
  </si>
  <si>
    <t>Revenue vs EV/Revenue</t>
  </si>
  <si>
    <t>EBITDA vs EV/EBITDA</t>
  </si>
  <si>
    <t>Valuation Summary - Equity Value per Share ($)</t>
  </si>
  <si>
    <t>Share Price Chart</t>
  </si>
  <si>
    <t>5-Yr Share Price:</t>
  </si>
  <si>
    <t xml:space="preserve">High </t>
  </si>
  <si>
    <t>Low</t>
  </si>
  <si>
    <t>Stock Price Chart</t>
  </si>
  <si>
    <t>Dates</t>
  </si>
  <si>
    <r>
      <rPr>
        <b/>
        <sz val="11"/>
        <color theme="0"/>
        <rFont val="Arial Narrow"/>
        <family val="2"/>
      </rPr>
      <t>Amazon.com, Inc. (NasdaqGS:AMZN) - Share Pricing</t>
    </r>
  </si>
  <si>
    <t>52-Wk Hi/Lo</t>
  </si>
  <si>
    <t>SU5DT01FX0xJU1QuMTMBAAAAPUkAAAMAAAAMSVFUNTM0NDQ2NDMyAKgydZxCYNYIBSN8nEJg1ggeQ0lRLk5BU0RBUTpBTVpOLklRX0JPTkRfTElTVC4zAQAAAD1JAAADAAAADElRVDUzNDQ0NjQzNACoMnWcQmDWCPVJfJxCYNYIH0NJUS5OQVNEQVE6QU1aTi5JUV9CT05EX0xJU1QuMTQBAAAAPUkAAAMAAAAMSVFUNTM0NDQ3NTM1AKgydZxCYNYIC/x7nEJg1ggnQ0lRLk5BU0RBUTpBTVpOLklRX0ZJWEVEX0lOQ09NRV9MSVNULjE4AQAAAD1JAAADAAAADElRVDMxODI4OTYzNgCoMnWcQmDWCNIzfZxCYNYIJ0NJUS5OQVNEQVE6QU1aTi5JUV9GSVhFRF9JTkNPTUVfTElTVC4zOQEAAAA9SQAAAwAAAAtJUVQ2MTg4NzE5NADKCnWcQmDWCBqDfZxCYNYIIkNJUS5OQVNEQVE6QU1aTi5JUV9JTkRVU1RSWV9TRUNUT1IBAAAAPUkAAAMAAAAWQ29uc3VtZXIgRGlzY3JldGlvbmFyeQDKCnWcQmDWCNIzfZxCYNYIJ0NJUS5OQVNEQVE6QU1aTi5JUV9GSVhFRF9JTkNPTUVfTElTVC4yMAEAAAA9SQAAAwAAAAxJUVQ1NDQ1MDM4MDcAqDJ1nEJg1gj+mHycQmDWCCJDSVEuSVFUNTM0NDQ3NTM2LklRX1NFQ1VSSVRZX0xFVkVMAQAAAD1JAAADAAAAEFNlbmlvciBVbnNlY3VyZWQAqrDynEJg1gjCBficQmDWCCdDSVEuTkFTREFROkFNWk4uSVFfRklYRURfSU5DT01FX0xJU1QuMTUBAAAAPUkAAAMAAAAMSVFUNTM0NDQ3NTM2</t>
  </si>
  <si>
    <t>QmDWCAv8e5xCYNYIH0NJUS5OQVNEQVE6QU1aTi5JUV9CT05EX0xJU1QuMzIBAAAAPUkAAAMAAAAMSVFUNTM0NDQ2NDI5AKgydZxCYNYI5W98nEJg1ggnQ0lRLk5BU0RBUTpBTVpOLklRX0ZJWEVEX0lOQ09NRV9MSVNULjE5AQAAAD1JAAADAAAADElRVDM3OTYxOTY5OQCoMnWcQmDWCAXmfJxCYNYIJ0NJUS5OQVNEQVE6QU1aTi5JUV9GSVhFRF9JTkNPTUVfTElTVC4zNgEAAAA9SQAAAwAAAAxJUVQ1MzQ0NDY0MjgAygp1nEJg1ggag32cQmDWCCJDSVEuSVFUMzc5NjE5Njk5LklRX1NFQ1VSSVRZX0xFVkVMAQAAAPqOAAADAAAAEFNlbmlvciBVbnNlY3VyZWQAqrDynEJg1gjS3vecQmDWCB9DSVEuTkFTREFROkFNWk4uSVFfQk9ORF9MSVNULjEyAQAAAD1JAAADAAAADElRVDUzNDM1OTA4OACoMnWcQmDWCAXmfJxCYNYIJ0NJUS5OQVNEQVE6QU1aTi5JUV9GSVhFRF9JTkNPTUVfTElTVC4xNgEAAAA9SQAAAwAAAAxJUVQyNzg5MjU3MDUAqDJ1nEJg1gjlb3ycQmDWCCJDSVEuSVFUNTM0NDQ3NTQxLklRX1NFQ1VSSVRZX0xFVkVMAQAAAD1JAAADAAAAEFNlbmlvciBVbnNlY3VyZWQAqrDynEJg1gjnkPecQmDWCB9DSVEuTkFTREFROkFNWk4uSVFfQk9ORF9MSVNULjM0AQAAAD1JAAADAAAADElRVDUzNDQ0NzUyNwCoMnWcQmDWCAXmfJxCYNYIH0NJUS5OQVNEQVE6QU1aTi5JUV9CT05EX0xJU1QuMTUBAAAAPUkA</t>
  </si>
  <si>
    <t>NC5JUV9TRUNVUklUWV9MRVZFTAEAAAA9SQAAAwAAABBTZW5pb3IgVW5zZWN1cmVkAKqw8pxCYNYI55D3nEJg1gg=</t>
  </si>
  <si>
    <t>AwABTAVMT0NBTAFI/////wFQsgAAAB9DSVEuSVFUNTM0MzU5MDg4LklRX0JPTkRfQ09VUE9OAQAAAD1JAAACAAAAAzIuOAABhU5hI2DWCBQBc6LmYNYIH0NJUS5OQVNEQVE6QU1aTi5JUV9CT05EX0xJU1QuMjEBAAAAPUkAAAMAAAAMSVFUNTM0MzU5MDkxAKgydZxCYNYI9Ul8nEJg1ggeQ0lRLklRVDUzNDQ0NzUzOC5JUV9PRkZFUl9EQVRFAQAAAD1JAAAFAAAACTgvMTUvMjAxNwDmefBgI2DWCBPecKLmYNYIOkNJUS5OQVNEQVE6QU1aTi5JUV9TUF9JU1NVRVJfUkFUSU5HLjExLzkvMjAxOC5MVF9MQy5SQVRJTkcBAAAAPUkAAAMAAAADQUEtAOZ58GAjYNYIfbZwouZg1ggeQ0lRLklRVDUzNDQ0NzUyNy5JUV9PRkZFUl9EQVRFAQAAAD1JAAAFAAAACTgvMTUvMjAxNwDmefBgI2DWCPWKcqLmYNYIJUNJUVBDLl5TUFguSVFfTEFTVFNBTEVQUklDRS4tMVkuNDIzNjkBAAAAm7goAAIAAAASLTAuNzI2ODY4NjYzMTIxMzI2AOZ58GAjYNYI39hyouZg1ggnQ0lRLk5BU0RBUTpBTVpOLklRX0ZJWEVEX0lOQ09NRV9MSVNULjExAQAAAD1JAAADAAAADElRVDUzNDQ0NzUzOQCoMnWcQmDWCNIzfZxCYNYIIkNJUS5JUVQ1MzQ0NDY0MzAuSVFfU0VDVVJJVFlfTEVWRUwBAAAAPUkAAAMAAAAQU2VuaW9yIFVuc2VjdXJlZACqsPKcQmDWCL+395xCYNYIHkNJUS5JUVQyNzg5MjU3MDUuSVFfT0ZGRVJfREFURQEAAAA9SQAA</t>
  </si>
  <si>
    <t>BQAAAAkxMi8yLzIwMTQA5nnwYCNg1ggT3nCi5mDWCCVDSVFQQy5eU1BYLklRX0xBU1RTQUxFUFJJQ0UuLTFZLjQwMTc4AQAAAJu4KAACAAAAEDIzLjQ1MzgxNzQxOTA1ODQA5nnwYCNg1ghiTHOi5mDWCCJDSVEuSVFUNTM0NDQ3NTQyLklRX1NFQ1VSSVRZX0xFVkVMAQAAAD1JAAADAAAAEFNlbmlvciBVbnNlY3VyZWQAqrDynEJg1gjCBficQmDWCCJDSVEuSVFUNTM0NDQ2NDI5LklRX1NFQ1VSSVRZX0xFVkVMAQAAAD1JAAADAAAAEFNlbmlvciBVbnNlY3VyZWQAqrDynEJg1gjCBficQmDWCB5DSVEuSVFUNTM0NDQ2NDI4LklRX09GRkVSX0RBVEUBAAAAPUkAAAUAAAAJOC8xNS8yMDE3AOZ58GAjYNYIrWNyouZg1ggeQ0lRLklRVDUzNDQ0NzUzMy5JUV9PRkZFUl9EQVRFAQAAAD1JAAAFAAAACTgvMTUvMjAxNwDmefBgI2DWCMA7cqLmYNYIHkNJUS5JUVQ1MzQzNTkwODUuSVFfT0ZGRVJfREFURQEAAAA9SQAABQAAAAg1LzcvMjAxOADmefBgI2DWCPWKcqLmYNYIJ0NJUS5OQVNEQVE6QU1aTi5JUV9GSVhFRF9JTkNPTUVfTElTVC4zMgEAAAA9SQAAAwAAAAxJUVQ1MzQ0NDY0MjkAqDJ1nEJg1gj1SXycQmDWCB5DSVEuSVFUNTM0NDQ2NDI5LklRX09GRkVSX0RBVEUBAAAAPUkAAAUAAAAJOC8xNS8yMDE3AOZ58GAjYNYI2u1xouZg1ggeQ0lRLklRVDIyNDU3MzU5NS5JUV9PRkZFUl9EQVRFAQAAAD1JAAAFAAAA</t>
  </si>
  <si>
    <t>CjExLzI2LzIwMTIA5nnwYCNg1gjxeHGi5mDWCCJDSVEuSVFUNTM0NDQ2NDMyLklRX1NFQ1VSSVRZX0xFVkVMAQAAAD1JAAADAAAAEFNlbmlvciBVbnNlY3VyZWQAqrDynEJg1gjS3vecQmDWCCVDSVFQQy5eU1BYLklRX0xBU1RTQUxFUFJJQ0UuLTFZLjQwNTQzAQAAAJu4KAACAAAADzEyLjc4MjA3OTAzNDM4OADmefBgI2DWCGJMc6LmYNYIJ0NJUS5OQVNEQVE6QU1aTi5JUV9GSVhFRF9JTkNPTUVfTElTVC4xMgEAAAA9SQAAAwAAAAxJUVQ1MzQzNTkwODgAqDJ1nEJg1gj+mHycQmDWCB5DSVEuTkFTREFROkFNWk4uSVFfQk9ORF9MSVNULjIBAAAAPUkAAAMAAAAMSVFUMzAyOTIxMzk3AKgydZxCYNYI+gx9nEJg1ggiQ0lRLklRVDUzNDM1OTA4NS5JUV9TRUNVUklUWV9MRVZFTAEAAAA9SQAAAwAAABBTZW5pb3IgVW5zZWN1cmVkAKqw8pxCYNYI0t73nEJg1ggiQ0lRLklRVDUzNDQ0NzUzNS5JUV9TRUNVUklUWV9MRVZFTAEAAAA9SQAAAwAAABBTZW5pb3IgVW5zZWN1cmVkAKqw8pxCYNYIwgX4nEJg1gglQ0lRUEMuXlNQWC5JUV9MQVNUU0FMRVBSSUNFLi0xWS40MDkwOAEAAACbuCgAAgAAABQtMC4wMDI0Nzk0NTA4MDc4OTc4NwDmefBgI2DWCA8oc6LmYNYIJ0NJUS5OQVNEQVE6QU1aTi5JUV9GSVhFRF9JTkNPTUVfTElTVC4zMQEAAAA9SQAAAwAAAAxJUVQ1MzQzNTkwOTcAqDJ1nEJg1ggF5nycQmDWCCJD</t>
  </si>
  <si>
    <t>SVEuSVFUNTM0NDQ3NTI0LklRX1NFQ1VSSVRZX0xFVkVMAQAAAD1JAAADAAAAEFNlbmlvciBVbnNlY3VyZWQAqrDynEJg1gifLPicQmDWCB9DSVEuSVFUMjc4OTI1NzAzLklRX0JPTkRfQ09VUE9OAQAAAD1JAAACAAAAAzIuNgDmefBgI2DWCKN/9WAjYNYIHkNJUS5JUVQ1MzQ0NDY0MzQuSVFfT0ZGRVJfREFURQEAAAA9SQAABQAAAAk4LzE1LzIwMTcA5nnwYCNg1gitY3Ki5mDWCB5DSVEuSVFUNTM0NDQ2NDMwLklRX09GRkVSX0RBVEUBAAAAPUkAAAUAAAAJOC8xNS8yMDE3AOZ58GAjYNYI4Z9xouZg1ggeQ0lRLklRVDUzNDQ0NzUzMC5JUV9PRkZFUl9EQVRFAQAAAD1JAAAFAAAACTgvMTUvMjAxNwDmefBgI2DWCAgFcaLmYNYIJ0NJUS5OQVNEQVE6QU1aTi5JUV9GSVhFRF9JTkNPTUVfTElTVC4zMwEAAAA9SQAAAwAAAAxJUVQ1MzQ0NDc1MjYAqDJ1nEJg1gjIWn2cQmDWCB5DSVEuSVFUNTQ0NTAzODA3LklRX09GRkVSX0RBVEUBAAAAPUkAAAUAAAAKMTIvMTMvMjAxNwDmefBgI2DWCPF4caLmYNYIH0NJUS5OQVNEQVE6QU1aTi5JUV9CT05EX0xJU1QuMzgBAAAAPUkAAAMAAAAMSVFUNTM0NDQ3NTI0AKgydZxCYNYI+gx9nEJg1ggfQ0lRLk5BU0RBUTpBTVpOLklRX0JPTkRfTElTVC4xOQEAAAA9SQAAAwAAAAxJUVQzNzk2MTk2OTkAqDJ1nEJg1gj6DH2cQmDWCCdDSVEuTkFTREFROkFNWk4uSVFfRklYRURf</t>
  </si>
  <si>
    <t>AKgydZxCYNYIBeZ8nEJg1ggeQ0lRLk5BU0RBUTpBTVpOLklRX0JPTkRfTElTVC4xAQAAAD1JAAADAAAADElRVDI3ODkyNTcwMwCoMnWcQmDWCAv8e5xCYNYIH0NJUS5OQVNEQVE6QU1aTi5JUV9CT05EX0xJU1QuMzUBAAAAPUkAAAMAAAAMSVFUNTM0MzU5MTAwAKgydZxCYNYI/ph8nEJg1ggeQ0lRLklRVDI3ODkyNTcwMy5JUV9PRkZFUl9EQVRFAQAAAD1JAAAFAAAACTEyLzIvMjAxNADmefBgI2DWCPWKcqLmYNYIH0NJUS5OQVNEQVE6QU1aTi5JUV9CT05EX0xJU1QuMTEBAAAAPUkAAAMAAAAMSVFUNTM0NDQ3NTM5AMoKdZxCYNYIyFp9nEJg1ggnQ0lRLk5BU0RBUTpBTVpOLklRX0ZJWEVEX0lOQ09NRV9MSVNULjM0AQAAAD1JAAADAAAADElRVDUzNDQ0NzUyNwCoMnWcQmDWCNK/fJxCYNYIH0NJUS5OQVNEQVE6QU1aTi5JUV9CT05EX0xJU1QuMzcBAAAAPUkAAAMAAAAMSVFUNTM0NDQ3NTIzAKgydZxCYNYIyFp9nEJg1ggfQ0lRLk5BU0RBUTpBTVpOLklRX0JPTkRfTElTVC4xOAEAAAA9SQAAAwAAAAxJUVQzMTgyODk2MzYAygp1nEJg1ggag32cQmDWCCJDSVEuSVFUMjI0NTczNTk1LklRX1NFQ1VSSVRZX0xFVkVMAQAAAD1JAAADAAAAEFNlbmlvciBVbnNlY3VyZWQAqrDynEJg1gjnkPecQmDWCB9DSVEuTkFTREFROkFNWk4uSVFfQk9ORF9MSVNULjE3AQAAAD1JAAADAAAADElRVDMxODE1MjU1NgCoMnWc</t>
  </si>
  <si>
    <t>AAMAAAAMSVFUNTM0NDQ3NTM2AKgydZxCYNYI+gx9nEJg1ggnQ0lRLk5BU0RBUTpBTVpOLklRX0ZJWEVEX0lOQ09NRV9MSVNULjM4AQAAAD1JAAADAAAADElRVDUzNDQ0NzUyNACoMnWcQmDWCNK/fJxCYNYIIkNJUS5JUVQzMDI5MjEzOTcuSVFfU0VDVVJJVFlfTEVWRUwBAAAAPUkAAAMAAAAQU2VuaW9yIFVuc2VjdXJlZACqsPKcQmDWCMIF+JxCYNYIHkNJUS5JUVQzMTgxNTI1NTYuSVFfT0ZGRVJfREFURQEAAAD6jgAABQAAAAoxMS8zMC8yMDE1AOZ58GAjYNYIByxxouZg1ggeQ0lRLklRVDUzNDQ0NzUyNi5JUV9PRkZFUl9EQVRFAQAAAD1JAAAFAAAACTgvMTUvMjAxNwDmefBgI2DWCMA7cqLmYNYIJ0NJUS5OQVNEQVE6QU1aTi5JUV9GSVhFRF9JTkNPTUVfTElTVC4zNQEAAAA9SQAAAwAAAAxJUVQ1MzQzNTkxMDAAqDJ1nEJg1gjlb3ycQmDWCCdDSVEuTkFTREFROkFNWk4uSVFfRklYRURfSU5DT01FX0xJU1QuMTQBAAAAPUkAAAMAAAAMSVFUNTM0NDQ3NTM1AMoKdZxCYNYIGoN9nEJg1ggeQ0lRLklRVDUzNDQ0NzU0Mi5JUV9PRkZFUl9EQVRFAQAAAD1JAAAFAAAACTgvMTUvMjAxNwDmefBgI2DWCAgFcaLmYNYIH0NJUS5OQVNEQVE6QU1aTi5JUV9CT05EX0xJU1QuMzYBAAAAPUkAAAMAAAAMSVFUNTM0NDQ2NDI4AKgydZxCYNYIBSN8nEJg1ggmQ0lRLk5BU0RBUTpBTVpOLklRX0ZJWEVEX0lOQ09NRV9M</t>
  </si>
  <si>
    <t>SVNULjQBAAAAPUkAAAMAAAAMSVFUNTM0NDQ3NTQxAKgydZxCYNYI+gx9nEJg1ggeQ0lRLklRVDUzNDQ0NjQzMy5JUV9PRkZFUl9EQVRFAQAAAD1JAAAFAAAACTgvMTUvMjAxNwDmefBgI2DWCLRScaLmYNYIH0NJUS5OQVNEQVE6QU1aTi5JUV9CT05EX0xJU1QuMjABAAAAPUkAAAMAAAAMSVFUNTQ0NTAzODA3AKgydZxCYNYI0r98nEJg1ggeQ0lRLklRVDUzNDQ0NzUzNS5JUV9PRkZFUl9EQVRFAQAAAD1JAAAFAAAACTgvMTUvMjAxNwDmefBgI2DWCBPecKLmYNYIH0NJUS5OQVNEQVE6QU1aTi5JUV9CT05EX0xJU1QuMTYBAAAAPUkAAAMAAAAMSVFUMjc4OTI1NzA1AKgydZxCYNYI0r98nEJg1ggfQ0lRLk5BU0RBUTpBTVpOLklRX0JPTkRfTElTVC4zMQEAAAA9SQAAAwAAAAxJUVQ1MzQzNTkwOTcAqDJ1nEJg1gjSM32cQmDWCCdDSVEuTkFTREFROkFNWk4uSVFfRklYRURfSU5DT01FX0xJU1QuMzcBAAAAPUkAAAMAAAAMSVFUNTM0NDQ3NTIzAKgydZxCYNYI0jN9nEJg1ggiQ0lRLklRVDMxODI4OTYzNi5JUV9TRUNVUklUWV9MRVZFTAEAAAD6jgAAAwAAABBTZW5pb3IgVW5zZWN1cmVkAKqw8pxCYNYIv7f3nEJg1ggnQ0lRLk5BU0RBUTpBTVpOLklRX0ZJWEVEX0lOQ09NRV9MSVNULjE3AQAAAD1JAAADAAAADElRVDMxODE1MjU1NgCoMnWcQmDWCAv8e5xCYNYIIkNJUS5JUVQyNzg5MjU3MDYuSVFfU0VDVVJJ</t>
  </si>
  <si>
    <t>VFlfTEVWRUwBAAAAPUkAAAMAAAAQU2VuaW9yIFVuc2VjdXJlZACqsPKcQmDWCL+395xCYNYIIkNJUS5JUVQ1MzQ0NDc1MzIuSVFfU0VDVVJJVFlfTEVWRUwBAAAAPUkAAAMAAAAQU2VuaW9yIFVuc2VjdXJlZACqsPKcQmDWCOeQ95xCYNYIIkNJUS5JUVQyNzg5MjU3MDUuSVFfU0VDVVJJVFlfTEVWRUwBAAAAPUkAAAMAAAAQU2VuaW9yIFVuc2VjdXJlZACqsPKcQmDWCMIF+JxCYNYIIkNJUS5JUVQ1MzQ0NDY0MjguSVFfU0VDVVJJVFlfTEVWRUwBAAAAPUkAAAMAAAAQU2VuaW9yIFVuc2VjdXJlZACqsPKcQmDWCOeQ95xCYNYIIkNJUS5JUVQ1MzQ0NDc1MjMuSVFfU0VDVVJJVFlfTEVWRUwBAAAAPUkAAAMAAAAQU2VuaW9yIFVuc2VjdXJlZACqsPKcQmDWCL+395xCYNYIJkNJUS5OQVNEQVE6QU1aTi5JUV9GSVhFRF9JTkNPTUVfTElTVC45AQAAAD1JAAADAAAADElRVDUzNDQ0NjQzMwCoMnWcQmDWCOVvfJxCYNYIH0NJUS5OQVNEQVE6QU1aTi5JUV9CT05EX0xJU1QuMzMBAAAAPUkAAAMAAAAMSVFUNTM0NDQ3NTI2AMoKdZxCYNYIGoN9nEJg1ggeQ0lRLklRVDUzNDQ0NjQzMS5JUV9PRkZFUl9EQVRFAQAAAD1JAAAFAAAACTgvMTUvMjAxNwDmefBgI2DWCLwUcqLmYNYIHkNJUS5JUVQ1MzQzNTkwOTQuSVFfT0ZGRVJfREFURQEAAAA9SQAABQAAAAg1LzcvMjAxOADmefBgI2DWCAgFcaLmYNYIH0NJUS5OQVNE</t>
  </si>
  <si>
    <t>QVE6QU1aTi5JUV9CT05EX0xJU1QuMTMBAAAAPUkAAAMAAAAMSVFUNTM0NDQ2NDMyAKgydZxCYNYI5W98nEJg1ggeQ0lRLklRVDMwMjkyMTM5Ny5JUV9PRkZFUl9EQVRFAQAAAD1JAAAFAAAACDUvNy8yMDE4AOZ58GAjYNYIByxxouZg1ggeQ0lRLklRVDUzNDM1OTA4OC5JUV9PRkZFUl9EQVRFAQAAAD1JAAAFAAAACDUvNy8yMDE4AOZ58GAjYNYItFJxouZg1ggmQ0lRLk5BU0RBUTpBTVpOLklRX0ZJWEVEX0lOQ09NRV9MSVNULjcBAAAAPUkAAAMAAAAMSVFUMjI0NTczNTk1AKgydZxCYNYI0jN9nEJg1ggiQ0lRLklRVDUzNDQ0NjQzMS5JUV9TRUNVUklUWV9MRVZFTAEAAAA9SQAAAwAAABBTZW5pb3IgVW5zZWN1cmVkAKqw8pxCYNYIv7f3nEJg1ggiQ0lRLklRVDUzNDQ0NzUzMy5JUV9TRUNVUklUWV9MRVZFTAEAAAA9SQAAAwAAABBTZW5pb3IgVW5zZWN1cmVkAKqw8pxCYNYI55D3nEJg1ggfQ0lRLklRVDUzNDQ0NjQzNC5JUV9CT05EX0NPVVBPTgEAAAA9SQAAAgAAAAMxLjkA5nnwYCNg1ghypvVgI2DWCCJDSVEuSVFUMjc4OTI1NzAzLklRX1NFQ1VSSVRZX0xFVkVMAQAAAD1JAAADAAAAEFNlbmlvciBVbnNlY3VyZWQAqrDynEJg1gi/t/ecQmDWCCZDSVEuTkFTREFROkFNWk4uSVFfRklYRURfSU5DT01FX0xJU1QuNQEAAAA9SQAAAwAAAAxJUVQ1MzQ0NDc1NDIAqDJ1nEJg1gjlb3ycQmDWCB5DSVEuSVFU</t>
  </si>
  <si>
    <t>NTM0NDQ3NTI0LklRX09GRkVSX0RBVEUBAAAAPUkAAAUAAAAJOC8xNS8yMDE3AOZ58GAjYNYIE95wouZg1ggiQ0lRLklRVDU0NDUwMzgwNy5JUV9TRUNVUklUWV9MRVZFTAEAAAA9SQAAAwAAABBTZW5pb3IgVW5zZWN1cmVkAKqw8pxCYNYI55D3nEJg1ggmQ0lRLk5BU0RBUTpBTVpOLklRX0ZJWEVEX0lOQ09NRV9MSVNULjgBAAAAPUkAAAMAAAAMSVFUNTM0MzU5MDg1AKgydZxCYNYIBeZ8nEJg1ggfQ0lRLklRVDMwMjkyMTM5Ny5JUV9CT05EX0NPVVBPTgEAAAA9SQAAAgAAAAMxLjkA5nnwYCNg1gjf2HKi5mDWCB5DSVEuSVFUNTM0NDQ3NTQxLklRX09GRkVSX0RBVEUBAAAAPUkAAAUAAAAJOC8xNS8yMDE3AOZ58GAjYNYIByxxouZg1ggnQ0lRLk5BU0RBUTpBTVpOLklRX0ZJWEVEX0lOQ09NRV9MSVNULjIxAQAAAD1JAAADAAAADElRVDUzNDM1OTA5MQCoMnWcQmDWCAUjfJxCYNYIIkNJUS5JUVQyNzkwMjkyNTIuSVFfU0VDVVJJVFlfTEVWRUwBAAAAPUkAAAMAAAAQU2VuaW9yIFVuc2VjdXJlZACqsPKcQmDWCNLe95xCYNYIIkNJUS5JUVQyNzg5MjU3MDQuSVFfU0VDVVJJVFlfTEVWRUwBAAAAPUkAAAMAAAAQU2VuaW9yIFVuc2VjdXJlZACqsPKcQmDWCC9o95xCYNYIJkNJUS5OQVNEQVE6QU1aTi5JUV9GSVhFRF9JTkNPTUVfTElTVC42AQAAAD1JAAADAAAADElRVDI3ODkyNTcwNACoMnWcQmDWCAUjfJxC</t>
  </si>
  <si>
    <t>YNYIHkNJUS5JUVQ1MzQ0NDc1MjkuSVFfT0ZGRVJfREFURQEAAAA9SQAABQAAAAk4LzE1LzIwMTcA5nnwYCNg1gjgsXKi5mDWCCJDSVEuSVFUNTM0MzU5MDkxLklRX1NFQ1VSSVRZX0xFVkVMAQAAAD1JAAADAAAAEFNlbmlvciBVbnNlY3VyZWQAqrDynEJg1gjCBficQmDWCCdDSVEuTkFTREFROkFNWk4uSVFfRklYRURfSU5DT01FX0xJU1QuMjMBAAAAPUkAAAMAAAAMSVFUNTM0NDQ3NTMyAKgydZxCYNYIBeZ8nEJg1ggiQ0lRLklRVDUzNDQ0NjQzMy5JUV9TRUNVUklUWV9MRVZFTAEAAAA9SQAAAwAAABBTZW5pb3IgVW5zZWN1cmVkAKqw8pxCYNYI0t73nEJg1ggiQ0lRLklRVDUzNDQ0NzUzMC5JUV9TRUNVUklUWV9MRVZFTAEAAAA9SQAAAwAAABBTZW5pb3IgVW5zZWN1cmVkAKqw8pxCYNYI0t73nEJg1gghQ0lRLklRVDYxODg3MTk0LklRX1NFQ1VSSVRZX0xFVkVMAQAAAC+JAAADAAAACVByZWZlcnJlZACqsPKcQmDWCNLe95xCYNYIHkNJUS5OQVNEQVE6QU1aTi5JUV9CT05EX0xJU1QuNAEAAAA9SQAAAwAAAAxJUVQ1MzQ0NDc1NDEAqDJ1nEJg1gjIWn2cQmDWCB5DSVEuSVFUNTM0NDQ3NTIzLklRX09GRkVSX0RBVEUBAAAAPUkAAAUAAAAJOC8xNS8yMDE3AOZ58GAjYNYIvBRyouZg1gglQ0lRUEMuXlNQWC5JUV9MQVNUU0FMRVBSSUNFLi0xWS40MjAwNAEAAACbuCgAAgAAABAxMS4zOTA5NzY1NTI5MjQ2</t>
  </si>
  <si>
    <t>AOZ58GAjYNYIFAFzouZg1ggfQ0lRLklRVDUzNDM1OTA5NC5JUV9CT05EX0NPVVBPTgEAAAA9SQAAAgAAAAUzLjg3NQABhU5hI2DWCBQBc6LmYNYIIkNJUS5JUVQ1MzQzNTkwOTcuSVFfU0VDVVJJVFlfTEVWRUwBAAAAPUkAAAMAAAAQU2VuaW9yIFVuc2VjdXJlZACqsPKcQmDWCL+395xCYNYIIkNJUS5JUVQ1MzQzNTkxMDAuSVFfU0VDVVJJVFlfTEVWRUwBAAAAPUkAAAMAAAAQU2VuaW9yIFVuc2VjdXJlZACqsPKcQmDWCNLe95xCYNYIHENJUS5JUVQzNjE4MzgzOS5JUV9SQVRFX05BTUUBAAAAHR8oAgMAAAAyVW5pdGVkIFN0YXRlcyBUcmVhc3VyeSBDb25zdGFudCBNYXR1cml0eSAtIDEwIFllYXIAygp1nEJg1gj6DH2cQmDWCB5DSVEuSVFUNTM0NDQ3NTMyLklRX09GRkVSX0RBVEUBAAAAPUkAAAUAAAAJOC8xNS8yMDE3AOZ58GAjYNYIwDtyouZg1gglQ0lRUEMuXlNQWC5JUV9MQVNUU0FMRVBSSUNFLi0xWS40MTYzOQEAAACbuCgAAgAAABAyOS42MDExODUwNzE2NTkxAOZ58GAjYNYIFAFzouZg1ggeQ0lRLklRVDUzNDM1OTEwMC5JUV9PRkZFUl9EQVRFAQAAAD1JAAAFAAAACDUvNy8yMDE4AOZ58GAjYNYI9YpyouZg1ggiQ0lRLklRVDUzNDQ0NzUyNy5JUV9TRUNVUklUWV9MRVZFTAEAAAA9SQAAAwAAABBTZW5pb3IgVW5zZWN1cmVkAKqw8pxCYNYI55D3nEJg1ggeQ0lRLklRVDI3ODkyNTcwNi5JUV9P</t>
  </si>
  <si>
    <t>RkZFUl9EQVRFAQAAAD1JAAAFAAAACTEyLzIvMjAxNADmefBgI2DWCOCxcqLmYNYIHkNJUS5JUVQzNzk2MTk2OTkuSVFfT0ZGRVJfREFURQEAAAD6jgAABQAAAAk5LzI2LzIwMTYA5nnwYCNg1gja7XGi5mDWCCdDSVEuTkFTREFROkFNWk4uSVFfRklYRURfSU5DT01FX0xJU1QuMjIBAAAAPUkAAAMAAAAMSVFUNTM0NDQ2NDMxAKgydZxCYNYI0jN9nEJg1ggeQ0lRLk5BU0RBUTpBTVpOLklRX0JPTkRfTElTVC43AQAAAD1JAAADAAAADElRVDIyNDU3MzU5NQCoMnWcQmDWCMhafZxCYNYIJkNJUS5OQVNEQVE6QU1aTi5JUV9GSVhFRF9JTkNPTUVfTElTVC4zAQAAAD1JAAADAAAADElRVDUzNDQ0NjQzNACoMnWcQmDWCAUjfJxCYNYIHkNJUS5JUVQ1MzQ0NDc1MzkuSVFfT0ZGRVJfREFURQEAAAA9SQAABQAAAAk4LzE1LzIwMTcA5nnwYCNg1gitY3Ki5mDWCB5DSVEuSVFUMjc5MDI5MjUyLklRX09GRkVSX0RBVEUBAAAAPUkAAAUAAAAJMTIvMi8yMDE0AOZ58GAjYNYIUMdxouZg1ggeQ0lRLklRVDUzNDQ0NzUzNi5JUV9PRkZFUl9EQVRFAQAAAD1JAAAFAAAACTgvMTUvMjAxNwDmefBgI2DWCAgFcaLmYNYIJ0NJUS5OQVNEQVE6QU1aTi5JUV9GSVhFRF9JTkNPTUVfTElTVC4yOAEAAAA9SQAAAwAAAAxJUVQ1MzQ0NDc1MjkAqDJ1nEJg1gjSM32cQmDWCCJDSVEuSVFUNTM0MzU5MDg4LklRX1NFQ1VSSVRZX0xFVkVM</t>
  </si>
  <si>
    <t>AQAAAD1JAAADAAAAEFNlbmlvciBVbnNlY3VyZWQAqrDynEJg1gi/t/ecQmDWCB5DSVEuTkFTREFROkFNWk4uSVFfQk9ORF9MSVNULjUBAAAAPUkAAAMAAAAMSVFUNTM0NDQ3NTQyAKgydZxCYNYI0r98nEJg1ggiQ0lRLklRVDUzNDQ0NzUzOC5JUV9TRUNVUklUWV9MRVZFTAEAAAA9SQAAAwAAABBTZW5pb3IgVW5zZWN1cmVkAKqw8pxCYNYIv7f3nEJg1ggmQ0lRLk5BU0RBUTpBTVpOLklRX0ZJWEVEX0lOQ09NRV9MSVNULjEBAAAAPUkAAAMAAAAMSVFUMjc4OTI1NzAzAKgydZxCYNYIyFp9nEJg1ggeQ0lRLklRVDUzNDM1OTA5Ny5JUV9PRkZFUl9EQVRFAQAAAD1JAAAFAAAACDUvNy8yMDE4AOZ58GAjYNYItFJxouZg1ggnQ0lRLk5BU0RBUTpBTVpOLklRX0ZJWEVEX0lOQ09NRV9MSVNULjEwAQAAAD1JAAADAAAADElRVDUzNDQ0NzUzOACoMnWcQmDWCAUjfJxCYNYIHkNJUS5JUVQ1MzQ0NDY0MzIuSVFfT0ZGRVJfREFURQEAAAA9SQAABQAAAAk4LzE1LzIwMTcA5nnwYCNg1gitY3Ki5mDWCCJDSVEuSVFUNTM0NDQ3NTI2LklRX1NFQ1VSSVRZX0xFVkVMAQAAAD1JAAADAAAAEFNlbmlvciBVbnNlY3VyZWQAqrDynEJg1gjCBficQmDWCB9DSVEuTkFTREFROkFNWk4uSVFfQk9ORF9MSVNULjI5AQAAAD1JAAADAAAADElRVDUzNDQ0NzUzMACoMnWcQmDWCNK/fJxCYNYIJ0NJUS5OQVNEQVE6QU1aTi5JUV9GSVhF</t>
  </si>
  <si>
    <t>RF9JTkNPTUVfTElTVC4yNQEAAAA9SQAAAwAAAAxJUVQyNzg5MjU3MDYAqDJ1nEJg1gjIWn2cQmDWCB5DSVEuTkFTREFROkFNWk4uSVFfQk9ORF9MSVNULjgBAAAAPUkAAAMAAAAMSVFUNTM0MzU5MDg1AKgydZxCYNYI+gx9nEJg1ggmQ0lRLk5BU0RBUTpBTVpOLklRX0ZJWEVEX0lOQ09NRV9MSVNULjIBAAAAPUkAAAMAAAAMSVFUMzAyOTIxMzk3AKgydZxCYNYI/ph8nEJg1gglQ0lRUEMuXlNQWC5JUV9MQVNUU0FMRVBSSUNFLi0xWS4zOTgxMwEAAACbuCgAAgAAABEtMzguNDg1MjU2MzYwNzMzOQDmefBgI2DWCGJMc6LmYNYIH0NJUS5JUVQ1MzQzNTkwODUuSVFfQk9ORF9DT1VQT04BAAAAPUkAAAIAAAADMi40AAGFTmEjYNYI39hyouZg1gglQ0lRUEMuXlNQWC5JUV9MQVNUU0FMRVBSSUNFLi0xWS40MjczNQEAAACbuCgAAgAAABA5LjUzNTAyMTQ4NzU1ODU3AOZ58GAjYNYI4LFyouZg1ggfQ0lRLk5BU0RBUTpBTVpOLklRX0JPTkRfTElTVC4yNAEAAAA9SQAAAwAAAAxJUVQ1MzQ0NDc1MzMAqDJ1nEJg1gjSv3ycQmDWCCdDSVEuTkFTREFROkFNWk4uSVFfRklYRURfSU5DT01FX0xJU1QuMjcBAAAAPUkAAAMAAAAMSVFUNTM0NDQ2NDMwAKgydZxCYNYIC/x7nEJg1ggeQ0lRLk5BU0RBUTpBTVpOLklRX0JPTkRfTElTVC42AQAAAD1JAAADAAAADElRVDI3ODkyNTcwNACoMnWcQmDWCAUjfJxCYNYIIkNJUS5J</t>
  </si>
  <si>
    <t>UVQ1MzQ0NDY0MzQuSVFfU0VDVVJJVFlfTEVWRUwBAAAAPUkAAAMAAAAQU2VuaW9yIFVuc2VjdXJlZACqsPKcQmDWCOeQ95xCYNYIJUNJUVBDLl5TUFguSVFfTEFTVFNBTEVQUklDRS4tMVkuNDMxMDABAAAAm7goAAIAAAAQMTkuNDIwMTY1MjU4NzMxOQDmefBgI2DWCN/YcqLmYNYIJUNJUVBDLl5TUFguSVFfTEFTVFNBTEVQUklDRS4tMVkuNDEyNzQBAAAAm7goAAIAAAAQMTMuNDA1MDk5MzU1NDA2OADmefBgI2DWCA8oc6LmYNYIHkNJUS5JUVQyNzg5MjU3MDQuSVFfT0ZGRVJfREFURQEAAAA9SQAABQAAAAkxMi8yLzIwMTQA5nnwYCNg1ghQx3Gi5mDWCB9DSVEuTkFTREFROkFNWk4uSVFfQk9ORF9MSVNULjI2AQAAAD1JAAADAAAADElRVDUzNDM1OTA5NACoMnWcQmDWCAXmfJxCYNYIJ0NJUS5OQVNEQVE6QU1aTi5JUV9GSVhFRF9JTkNPTUVfTElTVC4yOQEAAAA9SQAAAwAAAAxJUVQ1MzQ0NDc1MzAAqDJ1nEJg1gjlb3ycQmDWCCJDSVEuSVFUNTM0NDQ3NTI5LklRX1NFQ1VSSVRZX0xFVkVMAQAAAD1JAAADAAAAEFNlbmlvciBVbnNlY3VyZWQAqrDynEJg1gifLPicQmDWCB5DSVEuSVFUMzE4Mjg5NjM2LklRX09GRkVSX0RBVEUBAAAA+o4AAAUAAAAKMTEvMzAvMjAxNQDmefBgI2DWCOGfcaLmYNYIH0NJUS5OQVNEQVE6QU1aTi5JUV9CT05EX0xJU1QuMjMBAAAAPUkAAAMAAAAMSVFUNTM0NDQ3NTMyAKgy</t>
  </si>
  <si>
    <t>dZxCYNYI+gx9nEJg1ggnQ0lRLk5BU0RBUTpBTVpOLklRX0ZJWEVEX0lOQ09NRV9MSVNULjI0AQAAAD1JAAADAAAADElRVDUzNDQ0NzUzMwCoMnWcQmDWCP6YfJxCYNYIHkNJUS5OQVNEQVE6QU1aTi5JUV9CT05EX0xJU1QuOQEAAAA9SQAAAwAAAAxJUVQ1MzQ0NDY0MzMAqDJ1nEJg1gj+mHycQmDWCCdDSVEuTkFTREFROkFNWk4uSVFfRklYRURfSU5DT01FX0xJU1QuMzABAAAAPUkAAAMAAAAMSVFUMjc5MDI5MjUyAMoKdZxCYNYIGoN9nEJg1ggfQ0lRLklRVDUzNDM1OTA5MS5JUV9CT05EX0NPVVBPTgEAAAA9SQAAAgAAAAQzLjE1AAGFTmEjYNYIFAFzouZg1ggiQ0lRLklRVDUzNDQ0NzUzOS5JUV9TRUNVUklUWV9MRVZFTAEAAAA9SQAAAwAAABBTZW5pb3IgVW5zZWN1cmVkAKqw8pxCYNYI0t73nEJg1ggfQ0lRLk5BU0RBUTpBTVpOLklRX0JPTkRfTElTVC4yOAEAAAA9SQAAAwAAAAxJUVQ1MzQ0NDc1MjkAqDJ1nEJg1gjIWn2cQmDWCB9DSVEuTkFTREFROkFNWk4uSVFfQk9ORF9MSVNULjEwAQAAAD1JAAADAAAADElRVDUzNDQ0NzUzOACoMnWcQmDWCOVvfJxCYNYIH0NJUS5OQVNEQVE6QU1aTi5JUV9CT05EX0xJU1QuMjUBAAAAPUkAAAMAAAAMSVFUMjc4OTI1NzA2AMoKdZxCYNYIGoN9nEJg1ggnQ0lRLk5BU0RBUTpBTVpOLklRX0ZJWEVEX0lOQ09NRV9MSVNULjI2AQAAAD1JAAADAAAADElRVDUzNDM1</t>
  </si>
  <si>
    <t>OTA5NACoMnWcQmDWCNK/fJxCYNYIH0NJUS5JUVQ1MzQ0NDc1NDIuSVFfQk9ORF9DT1VQT04BAAAAPUkAAAIAAAADMS45AOZ58GAjYNYIo3/1YCNg1ggfQ0lRLklRVDUzNDQ0NzU0MS5JUV9CT05EX0NPVVBPTgEAAAA9SQAAAgAAAAMxLjkA5nnwYCNg1gijf/VgI2DWCB5DSVEuMzYwMi5JUV9FVl9PVkVSX0xUTV9FQklUREEFAAAAAAAAAAgAAAAUKEludmFsaWQgSWRlbnRpZmllcinKCnWcQmDWCPVJfJxCYNYIH0NJUS5OQVNEQVE6QU1aTi5JUV9CT05EX0xJU1QuMjcBAAAAPUkAAAMAAAAMSVFUNTM0NDQ2NDMwAKgydZxCYNYIBSN8nEJg1ggeQ0lRLklRVDYxODg3MTk0LklRX0JPTkRfQ09VUE9OAQAAAC+JAAACAAAAATAA9naJnUJg1gi8koydQmDWCB9DSVEuTkFTREFROkFNWk4uSVFfQk9ORF9MSVNULjIyAQAAAD1JAAADAAAADElRVDUzNDQ0NjQzMQDKCnWcQmDWCBqDfZxCYNYIIkNJUS5JUVQzMTgxNTI1NTYuSVFfU0VDVVJJVFlfTEVWRUwBAAAA+o4AAAMAAAAQU2VuaW9yIFVuc2VjdXJlZACqsPKcQmDWCJ8s+JxCYNYIHkNJUS5JUVQ1MzQzNTkwOTEuSVFfT0ZGRVJfREFURQEAAAA9SQAABQAAAAg1LzcvMjAxOADmefBgI2DWCMA7cqLmYNYIH0NJUS5OQVNEQVE6QU1aTi5JUV9CT05EX0xJU1QuMzABAAAAPUkAAAMAAAAMSVFUMjc5MDI5MjUyAKgydZxCYNYIBSN8nEJg1ggiQ0lRLklRVDUzNDM1OTA5</t>
  </si>
  <si>
    <t>https://www.statista.com/statistics/379046/worldwide-retail-e-commerce-sales/</t>
  </si>
  <si>
    <t>https://www.emarketer.com/Report/Worldwide-Retail-Ecommerce-Sales-eMarketers-Estimates-20162021/2002090</t>
  </si>
  <si>
    <t>https://www.statista.com/statistics/273288/advertising-spending-worldwide/</t>
  </si>
  <si>
    <t>https://www.gartner.com/newsroom/id/3871416</t>
  </si>
  <si>
    <t>https://www.gartner.com/newsroom/id/2352816</t>
  </si>
  <si>
    <t>https://www.gartner.com/newsroom/id/3188817</t>
  </si>
  <si>
    <t>Property and Equipment Acquired Under Capital and Finance Leases</t>
  </si>
  <si>
    <t>Amazon.com, Inc.  Valuation Model</t>
  </si>
  <si>
    <t>Author: Yongyi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</si>
</sst>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(#,##0\)_-;_-* &quot;-&quot;_-;_-@_-"/>
    <numFmt numFmtId="165" formatCode="0&quot;A&quot;"/>
    <numFmt numFmtId="166" formatCode="0&quot;E&quot;"/>
    <numFmt numFmtId="167" formatCode="0.0%"/>
    <numFmt numFmtId="168" formatCode="_(* #,##0_);_(* \(#,##0\);_(* &quot;-&quot;??_);_(@_)"/>
    <numFmt numFmtId="169" formatCode="_(* #,##0.0_);_(* \(#,##0.0\);_(* &quot;-&quot;??_);_(@_)"/>
    <numFmt numFmtId="170" formatCode="#,##0.0000;\-#,##0.0000"/>
    <numFmt numFmtId="171" formatCode="_(* #,##0_);_(* \(#,##0\);_(* &quot;0&quot;_);_(@_)"/>
    <numFmt numFmtId="172" formatCode="#,##0.000_);\(#,##0.000\)"/>
    <numFmt numFmtId="173" formatCode="0.0\x"/>
    <numFmt numFmtId="174" formatCode="mm/dd/yy;@"/>
    <numFmt numFmtId="175" formatCode="mm/dd/yy"/>
    <numFmt numFmtId="176" formatCode="General_)"/>
    <numFmt numFmtId="177" formatCode="&quot;&quot;"/>
    <numFmt numFmtId="178" formatCode="#,##0.0"/>
    <numFmt numFmtId="179" formatCode="0.000%"/>
    <numFmt numFmtId="180" formatCode="0.0%_);\(0.0%\);0.0%_);@_)"/>
    <numFmt numFmtId="181" formatCode="0.000"/>
    <numFmt numFmtId="182" formatCode="#,##0.0_);\(#,##0.0\)"/>
    <numFmt numFmtId="183" formatCode="#,##0;\(#,##0\)"/>
    <numFmt numFmtId="184" formatCode="&quot;$&quot;#,##0"/>
    <numFmt numFmtId="185" formatCode="#,##0.0;\-#,##0.0"/>
    <numFmt numFmtId="186" formatCode="_(* #,##0_);_(* \(#,##0\);_(* &quot;-&quot;??_);_(@_)\ &quot;/&quot;"/>
    <numFmt numFmtId="187" formatCode="&quot;/&quot;_(* #,##0_);_(* \(#,##0\);_(* &quot;-&quot;??_);_(@_)"/>
    <numFmt numFmtId="188" formatCode="0.00\x"/>
    <numFmt numFmtId="189" formatCode="[$-409]mmm\-dd\-yyyy;@"/>
  </numFmts>
  <fonts count="65">
    <font>
      <sz val="11"/>
      <color theme="1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8"/>
      <color theme="0"/>
      <name val="Arial Narrow"/>
      <family val="2"/>
    </font>
    <font>
      <b/>
      <sz val="14"/>
      <color theme="0"/>
      <name val="Arial Narrow"/>
      <family val="2"/>
    </font>
    <font>
      <i/>
      <sz val="11"/>
      <color theme="0"/>
      <name val="Arial Narrow"/>
      <family val="2"/>
    </font>
    <font>
      <sz val="11"/>
      <color rgb="FF0000FF"/>
      <name val="Arial Narrow"/>
      <family val="2"/>
    </font>
    <font>
      <sz val="11"/>
      <name val="Arial Narrow"/>
      <family val="2"/>
    </font>
    <font>
      <i/>
      <sz val="11"/>
      <color theme="1"/>
      <name val="Arial Narrow"/>
      <family val="2"/>
    </font>
    <font>
      <i/>
      <sz val="9"/>
      <color theme="1"/>
      <name val="Arial Narrow"/>
      <family val="2"/>
    </font>
    <font>
      <i/>
      <sz val="11"/>
      <color rgb="FF0000FF"/>
      <name val="Arial Narrow"/>
      <family val="2"/>
    </font>
    <font>
      <i/>
      <sz val="11"/>
      <name val="Arial Narrow"/>
      <family val="2"/>
    </font>
    <font>
      <sz val="11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0000FF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 Narrow"/>
      <family val="2"/>
    </font>
    <font>
      <sz val="11"/>
      <color rgb="FF00B050"/>
      <name val="Arial Narrow"/>
      <family val="2"/>
    </font>
    <font>
      <sz val="10"/>
      <name val="Times New Roman"/>
      <family val="1"/>
    </font>
    <font>
      <b/>
      <sz val="11"/>
      <color indexed="12"/>
      <name val="Arial Narrow"/>
      <family val="2"/>
    </font>
    <font>
      <b/>
      <sz val="11"/>
      <color indexed="8"/>
      <name val="Arial Narrow"/>
      <family val="2"/>
    </font>
    <font>
      <b/>
      <sz val="11"/>
      <name val="Arial"/>
      <family val="2"/>
    </font>
    <font>
      <sz val="12"/>
      <name val="tms rmn"/>
    </font>
    <font>
      <sz val="11"/>
      <color rgb="FFFFFFFF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i/>
      <sz val="10"/>
      <color theme="0"/>
      <name val="Arial Narrow"/>
      <family val="2"/>
    </font>
    <font>
      <sz val="10"/>
      <color theme="0"/>
      <name val="Arial Narrow"/>
      <family val="2"/>
    </font>
    <font>
      <sz val="11"/>
      <name val="Arial"/>
      <family val="2"/>
    </font>
    <font>
      <b/>
      <sz val="11"/>
      <color indexed="9"/>
      <name val="Arial Narrow"/>
      <family val="2"/>
    </font>
    <font>
      <sz val="11"/>
      <color indexed="9"/>
      <name val="Arial Narrow"/>
      <family val="2"/>
    </font>
    <font>
      <sz val="11"/>
      <color indexed="17"/>
      <name val="Arial Narrow"/>
      <family val="2"/>
    </font>
    <font>
      <sz val="11"/>
      <color indexed="8"/>
      <name val="Arial Narrow"/>
      <family val="2"/>
    </font>
    <font>
      <sz val="11"/>
      <name val="Times New Roman"/>
      <family val="1"/>
    </font>
    <font>
      <sz val="11"/>
      <color indexed="12"/>
      <name val="Arial Narrow"/>
      <family val="2"/>
    </font>
    <font>
      <vertAlign val="superscript"/>
      <sz val="11"/>
      <name val="Arial Narrow"/>
      <family val="2"/>
    </font>
    <font>
      <sz val="11"/>
      <color rgb="FFFFFFFF"/>
      <name val="Arial Narrow"/>
      <family val="2"/>
    </font>
    <font>
      <vertAlign val="superscript"/>
      <sz val="11"/>
      <name val="Arial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sz val="18"/>
      <color theme="0"/>
      <name val="Arial Narrow"/>
      <family val="2"/>
    </font>
    <font>
      <sz val="11"/>
      <color rgb="FFFF0000"/>
      <name val="Arial Narrow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sz val="11"/>
      <color theme="0" tint="-0.499984740745262"/>
      <name val="Arial Narrow"/>
      <family val="2"/>
    </font>
    <font>
      <sz val="11"/>
      <color theme="1" tint="0.499984740745262"/>
      <name val="Arial Narrow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Arial Bold"/>
    </font>
    <font>
      <sz val="30"/>
      <color theme="1"/>
      <name val="Arial Bold"/>
    </font>
    <font>
      <sz val="12"/>
      <color theme="5"/>
      <name val="Calibri"/>
      <family val="2"/>
      <scheme val="minor"/>
    </font>
    <font>
      <sz val="14"/>
      <color theme="1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E8496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621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2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ashed">
        <color theme="1" tint="0.499984740745262"/>
      </left>
      <right/>
      <top style="dashed">
        <color theme="1" tint="0.499984740745262"/>
      </top>
      <bottom style="dashed">
        <color theme="1" tint="0.499984740745262"/>
      </bottom>
      <diagonal/>
    </border>
    <border>
      <left/>
      <right/>
      <top style="dashed">
        <color theme="1" tint="0.499984740745262"/>
      </top>
      <bottom style="dashed">
        <color theme="1" tint="0.499984740745262"/>
      </bottom>
      <diagonal/>
    </border>
    <border>
      <left/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theme="1" tint="0.499984740745262"/>
      </left>
      <right/>
      <top style="dashed">
        <color theme="1" tint="0.499984740745262"/>
      </top>
      <bottom/>
      <diagonal/>
    </border>
    <border>
      <left/>
      <right style="dashed">
        <color theme="1" tint="0.499984740745262"/>
      </right>
      <top style="dashed">
        <color theme="1" tint="0.499984740745262"/>
      </top>
      <bottom/>
      <diagonal/>
    </border>
    <border>
      <left style="thick">
        <color rgb="FF132E57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ck">
        <color rgb="FF132E57"/>
      </right>
      <top/>
      <bottom style="thin">
        <color theme="0"/>
      </bottom>
      <diagonal/>
    </border>
    <border>
      <left style="thick">
        <color theme="2"/>
      </left>
      <right/>
      <top style="thick">
        <color theme="2"/>
      </top>
      <bottom/>
      <diagonal/>
    </border>
    <border>
      <left/>
      <right/>
      <top style="thick">
        <color theme="2"/>
      </top>
      <bottom/>
      <diagonal/>
    </border>
    <border>
      <left/>
      <right style="thick">
        <color theme="2"/>
      </right>
      <top style="thick">
        <color theme="2"/>
      </top>
      <bottom/>
      <diagonal/>
    </border>
    <border>
      <left style="thick">
        <color theme="2"/>
      </left>
      <right/>
      <top/>
      <bottom/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/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/>
      <right style="thick">
        <color theme="2"/>
      </right>
      <top/>
      <bottom style="thick">
        <color theme="2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9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4" fillId="0" borderId="0"/>
    <xf numFmtId="176" fontId="28" fillId="0" borderId="0"/>
    <xf numFmtId="0" fontId="3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2" fillId="0" borderId="0"/>
    <xf numFmtId="0" fontId="24" fillId="0" borderId="0"/>
    <xf numFmtId="0" fontId="32" fillId="0" borderId="0"/>
    <xf numFmtId="0" fontId="52" fillId="0" borderId="0"/>
    <xf numFmtId="0" fontId="53" fillId="0" borderId="0" applyAlignment="0"/>
    <xf numFmtId="0" fontId="32" fillId="0" borderId="0">
      <alignment vertical="center"/>
    </xf>
    <xf numFmtId="0" fontId="59" fillId="0" borderId="0"/>
    <xf numFmtId="0" fontId="60" fillId="0" borderId="0" applyNumberFormat="0" applyFill="0" applyBorder="0" applyAlignment="0" applyProtection="0"/>
    <xf numFmtId="0" fontId="3" fillId="0" borderId="0"/>
    <xf numFmtId="0" fontId="2" fillId="0" borderId="0"/>
  </cellStyleXfs>
  <cellXfs count="421">
    <xf numFmtId="0" fontId="0" fillId="0" borderId="0" xfId="0"/>
    <xf numFmtId="0" fontId="6" fillId="0" borderId="0" xfId="0" applyFont="1"/>
    <xf numFmtId="3" fontId="0" fillId="0" borderId="0" xfId="0" applyNumberFormat="1"/>
    <xf numFmtId="164" fontId="7" fillId="2" borderId="0" xfId="1" applyNumberFormat="1" applyFont="1" applyFill="1" applyProtection="1">
      <protection locked="0"/>
    </xf>
    <xf numFmtId="164" fontId="8" fillId="2" borderId="0" xfId="1" applyNumberFormat="1" applyFont="1" applyFill="1" applyProtection="1">
      <protection locked="0"/>
    </xf>
    <xf numFmtId="0" fontId="9" fillId="2" borderId="0" xfId="0" applyFont="1" applyFill="1"/>
    <xf numFmtId="0" fontId="5" fillId="3" borderId="0" xfId="0" applyFont="1" applyFill="1"/>
    <xf numFmtId="0" fontId="5" fillId="0" borderId="0" xfId="0" applyFont="1"/>
    <xf numFmtId="9" fontId="0" fillId="0" borderId="0" xfId="2" applyFont="1"/>
    <xf numFmtId="167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6" fillId="0" borderId="1" xfId="0" applyFont="1" applyBorder="1" applyAlignment="1">
      <alignment horizontal="left" indent="1"/>
    </xf>
    <xf numFmtId="3" fontId="6" fillId="0" borderId="1" xfId="0" applyNumberFormat="1" applyFont="1" applyBorder="1"/>
    <xf numFmtId="0" fontId="0" fillId="0" borderId="1" xfId="0" applyBorder="1" applyAlignment="1">
      <alignment horizontal="left" indent="2"/>
    </xf>
    <xf numFmtId="0" fontId="6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6" fillId="0" borderId="2" xfId="0" applyFont="1" applyBorder="1"/>
    <xf numFmtId="0" fontId="0" fillId="0" borderId="3" xfId="0" applyBorder="1" applyAlignment="1">
      <alignment horizontal="left" indent="1"/>
    </xf>
    <xf numFmtId="3" fontId="11" fillId="0" borderId="1" xfId="0" applyNumberFormat="1" applyFont="1" applyBorder="1"/>
    <xf numFmtId="0" fontId="0" fillId="0" borderId="0" xfId="0" applyAlignment="1">
      <alignment horizontal="left" wrapText="1" indent="1"/>
    </xf>
    <xf numFmtId="0" fontId="0" fillId="4" borderId="0" xfId="0" applyFill="1"/>
    <xf numFmtId="165" fontId="5" fillId="4" borderId="0" xfId="0" applyNumberFormat="1" applyFont="1" applyFill="1"/>
    <xf numFmtId="0" fontId="0" fillId="5" borderId="0" xfId="0" applyFill="1"/>
    <xf numFmtId="166" fontId="5" fillId="5" borderId="0" xfId="0" applyNumberFormat="1" applyFont="1" applyFill="1"/>
    <xf numFmtId="0" fontId="0" fillId="2" borderId="0" xfId="0" applyFill="1"/>
    <xf numFmtId="166" fontId="5" fillId="2" borderId="0" xfId="0" applyNumberFormat="1" applyFont="1" applyFill="1"/>
    <xf numFmtId="0" fontId="6" fillId="0" borderId="0" xfId="0" applyFont="1" applyAlignment="1">
      <alignment horizontal="left"/>
    </xf>
    <xf numFmtId="168" fontId="0" fillId="0" borderId="0" xfId="0" applyNumberFormat="1"/>
    <xf numFmtId="0" fontId="6" fillId="0" borderId="1" xfId="0" applyFont="1" applyBorder="1" applyAlignment="1">
      <alignment horizontal="left"/>
    </xf>
    <xf numFmtId="167" fontId="6" fillId="0" borderId="1" xfId="2" applyNumberFormat="1" applyFont="1" applyBorder="1"/>
    <xf numFmtId="168" fontId="0" fillId="0" borderId="0" xfId="1" applyNumberFormat="1" applyFont="1"/>
    <xf numFmtId="169" fontId="0" fillId="0" borderId="0" xfId="1" applyNumberFormat="1" applyFont="1"/>
    <xf numFmtId="167" fontId="0" fillId="6" borderId="0" xfId="2" applyNumberFormat="1" applyFont="1" applyFill="1"/>
    <xf numFmtId="14" fontId="0" fillId="0" borderId="0" xfId="0" applyNumberFormat="1"/>
    <xf numFmtId="14" fontId="10" fillId="0" borderId="0" xfId="0" applyNumberFormat="1" applyFont="1"/>
    <xf numFmtId="37" fontId="0" fillId="0" borderId="0" xfId="0" applyNumberFormat="1"/>
    <xf numFmtId="37" fontId="0" fillId="0" borderId="1" xfId="0" applyNumberFormat="1" applyBorder="1"/>
    <xf numFmtId="0" fontId="12" fillId="0" borderId="0" xfId="0" applyFont="1"/>
    <xf numFmtId="3" fontId="11" fillId="0" borderId="0" xfId="0" applyNumberFormat="1" applyFont="1"/>
    <xf numFmtId="37" fontId="12" fillId="0" borderId="0" xfId="0" applyNumberFormat="1" applyFont="1"/>
    <xf numFmtId="2" fontId="0" fillId="0" borderId="0" xfId="0" applyNumberFormat="1"/>
    <xf numFmtId="37" fontId="10" fillId="0" borderId="0" xfId="0" applyNumberFormat="1" applyFont="1"/>
    <xf numFmtId="3" fontId="10" fillId="0" borderId="0" xfId="0" applyNumberFormat="1" applyFont="1"/>
    <xf numFmtId="0" fontId="0" fillId="6" borderId="0" xfId="0" applyFill="1" applyAlignment="1">
      <alignment horizontal="left" indent="1"/>
    </xf>
    <xf numFmtId="37" fontId="0" fillId="6" borderId="0" xfId="0" applyNumberFormat="1" applyFill="1"/>
    <xf numFmtId="37" fontId="10" fillId="6" borderId="0" xfId="0" applyNumberFormat="1" applyFont="1" applyFill="1"/>
    <xf numFmtId="3" fontId="14" fillId="0" borderId="0" xfId="0" applyNumberFormat="1" applyFont="1"/>
    <xf numFmtId="3" fontId="15" fillId="0" borderId="0" xfId="0" applyNumberFormat="1" applyFont="1"/>
    <xf numFmtId="43" fontId="10" fillId="0" borderId="0" xfId="1" applyFont="1"/>
    <xf numFmtId="0" fontId="13" fillId="0" borderId="0" xfId="0" applyFont="1"/>
    <xf numFmtId="168" fontId="0" fillId="6" borderId="0" xfId="1" applyNumberFormat="1" applyFont="1" applyFill="1"/>
    <xf numFmtId="168" fontId="10" fillId="0" borderId="0" xfId="1" applyNumberFormat="1" applyFont="1"/>
    <xf numFmtId="168" fontId="6" fillId="0" borderId="0" xfId="0" applyNumberFormat="1" applyFont="1"/>
    <xf numFmtId="3" fontId="6" fillId="0" borderId="0" xfId="0" applyNumberFormat="1" applyFont="1"/>
    <xf numFmtId="167" fontId="0" fillId="0" borderId="0" xfId="2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8" fillId="2" borderId="0" xfId="1" applyNumberFormat="1" applyFont="1" applyFill="1" applyProtection="1">
      <protection locked="0"/>
    </xf>
    <xf numFmtId="165" fontId="5" fillId="3" borderId="0" xfId="0" applyNumberFormat="1" applyFont="1" applyFill="1"/>
    <xf numFmtId="166" fontId="5" fillId="3" borderId="0" xfId="0" applyNumberFormat="1" applyFont="1" applyFill="1"/>
    <xf numFmtId="167" fontId="10" fillId="0" borderId="0" xfId="2" applyNumberFormat="1" applyFont="1"/>
    <xf numFmtId="0" fontId="0" fillId="0" borderId="0" xfId="0" applyAlignment="1">
      <alignment horizontal="left" indent="2"/>
    </xf>
    <xf numFmtId="168" fontId="0" fillId="0" borderId="1" xfId="1" applyNumberFormat="1" applyFont="1" applyBorder="1"/>
    <xf numFmtId="9" fontId="4" fillId="0" borderId="0" xfId="2"/>
    <xf numFmtId="37" fontId="10" fillId="0" borderId="4" xfId="0" applyNumberFormat="1" applyFont="1" applyBorder="1"/>
    <xf numFmtId="0" fontId="17" fillId="0" borderId="0" xfId="0" applyFont="1"/>
    <xf numFmtId="0" fontId="18" fillId="0" borderId="0" xfId="0" applyFont="1"/>
    <xf numFmtId="170" fontId="18" fillId="0" borderId="1" xfId="0" applyNumberFormat="1" applyFont="1" applyBorder="1"/>
    <xf numFmtId="170" fontId="18" fillId="0" borderId="0" xfId="0" applyNumberFormat="1" applyFont="1"/>
    <xf numFmtId="0" fontId="16" fillId="3" borderId="0" xfId="0" applyFont="1" applyFill="1"/>
    <xf numFmtId="0" fontId="16" fillId="2" borderId="0" xfId="0" applyFont="1" applyFill="1"/>
    <xf numFmtId="0" fontId="16" fillId="5" borderId="0" xfId="0" applyFont="1" applyFill="1"/>
    <xf numFmtId="0" fontId="16" fillId="4" borderId="0" xfId="0" applyFont="1" applyFill="1"/>
    <xf numFmtId="0" fontId="16" fillId="7" borderId="0" xfId="0" applyFont="1" applyFill="1"/>
    <xf numFmtId="167" fontId="10" fillId="6" borderId="0" xfId="2" applyNumberFormat="1" applyFont="1" applyFill="1"/>
    <xf numFmtId="168" fontId="10" fillId="6" borderId="0" xfId="1" applyNumberFormat="1" applyFont="1" applyFill="1"/>
    <xf numFmtId="171" fontId="10" fillId="6" borderId="0" xfId="1" applyNumberFormat="1" applyFont="1" applyFill="1"/>
    <xf numFmtId="167" fontId="6" fillId="0" borderId="1" xfId="2" applyNumberFormat="1" applyFont="1" applyBorder="1" applyAlignment="1">
      <alignment horizontal="right"/>
    </xf>
    <xf numFmtId="37" fontId="11" fillId="0" borderId="0" xfId="1" applyNumberFormat="1" applyFont="1"/>
    <xf numFmtId="168" fontId="6" fillId="0" borderId="1" xfId="1" applyNumberFormat="1" applyFont="1" applyBorder="1"/>
    <xf numFmtId="37" fontId="6" fillId="0" borderId="1" xfId="0" applyNumberFormat="1" applyFont="1" applyBorder="1"/>
    <xf numFmtId="37" fontId="6" fillId="0" borderId="2" xfId="0" applyNumberFormat="1" applyFont="1" applyBorder="1"/>
    <xf numFmtId="39" fontId="0" fillId="0" borderId="3" xfId="0" applyNumberFormat="1" applyBorder="1"/>
    <xf numFmtId="37" fontId="11" fillId="0" borderId="1" xfId="0" applyNumberFormat="1" applyFont="1" applyBorder="1"/>
    <xf numFmtId="172" fontId="12" fillId="0" borderId="0" xfId="0" applyNumberFormat="1" applyFont="1"/>
    <xf numFmtId="37" fontId="11" fillId="0" borderId="0" xfId="0" applyNumberFormat="1" applyFont="1"/>
    <xf numFmtId="37" fontId="6" fillId="0" borderId="0" xfId="0" applyNumberFormat="1" applyFont="1"/>
    <xf numFmtId="168" fontId="19" fillId="0" borderId="1" xfId="1" applyNumberFormat="1" applyFont="1" applyBorder="1"/>
    <xf numFmtId="37" fontId="0" fillId="0" borderId="0" xfId="2" applyNumberFormat="1" applyFont="1"/>
    <xf numFmtId="0" fontId="0" fillId="0" borderId="6" xfId="0" applyBorder="1"/>
    <xf numFmtId="37" fontId="0" fillId="0" borderId="1" xfId="0" applyNumberFormat="1" applyBorder="1" applyAlignment="1">
      <alignment horizontal="right"/>
    </xf>
    <xf numFmtId="37" fontId="0" fillId="0" borderId="7" xfId="0" applyNumberFormat="1" applyBorder="1" applyAlignment="1">
      <alignment horizontal="right"/>
    </xf>
    <xf numFmtId="0" fontId="0" fillId="0" borderId="8" xfId="0" applyBorder="1"/>
    <xf numFmtId="167" fontId="10" fillId="6" borderId="9" xfId="2" applyNumberFormat="1" applyFont="1" applyFill="1" applyBorder="1" applyAlignment="1">
      <alignment horizontal="right"/>
    </xf>
    <xf numFmtId="173" fontId="10" fillId="0" borderId="1" xfId="2" applyNumberFormat="1" applyFont="1" applyBorder="1"/>
    <xf numFmtId="167" fontId="10" fillId="0" borderId="7" xfId="2" applyNumberFormat="1" applyFont="1" applyBorder="1"/>
    <xf numFmtId="37" fontId="0" fillId="0" borderId="10" xfId="0" applyNumberFormat="1" applyBorder="1"/>
    <xf numFmtId="14" fontId="10" fillId="0" borderId="0" xfId="2" applyNumberFormat="1" applyFont="1"/>
    <xf numFmtId="14" fontId="0" fillId="0" borderId="8" xfId="0" applyNumberFormat="1" applyBorder="1"/>
    <xf numFmtId="0" fontId="0" fillId="0" borderId="11" xfId="0" applyBorder="1"/>
    <xf numFmtId="5" fontId="10" fillId="0" borderId="12" xfId="3" applyNumberFormat="1" applyFont="1" applyBorder="1"/>
    <xf numFmtId="37" fontId="0" fillId="0" borderId="12" xfId="0" applyNumberFormat="1" applyBorder="1"/>
    <xf numFmtId="37" fontId="0" fillId="0" borderId="13" xfId="0" applyNumberFormat="1" applyBorder="1"/>
    <xf numFmtId="0" fontId="6" fillId="0" borderId="12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8" borderId="0" xfId="0" applyFont="1" applyFill="1"/>
    <xf numFmtId="0" fontId="0" fillId="8" borderId="0" xfId="0" applyFill="1"/>
    <xf numFmtId="174" fontId="0" fillId="8" borderId="0" xfId="0" applyNumberFormat="1" applyFill="1"/>
    <xf numFmtId="174" fontId="0" fillId="8" borderId="1" xfId="0" applyNumberFormat="1" applyFill="1" applyBorder="1"/>
    <xf numFmtId="2" fontId="0" fillId="8" borderId="0" xfId="0" applyNumberFormat="1" applyFill="1" applyAlignment="1">
      <alignment horizontal="right"/>
    </xf>
    <xf numFmtId="2" fontId="0" fillId="8" borderId="0" xfId="0" applyNumberFormat="1" applyFill="1"/>
    <xf numFmtId="2" fontId="10" fillId="8" borderId="0" xfId="0" applyNumberFormat="1" applyFont="1" applyFill="1"/>
    <xf numFmtId="2" fontId="0" fillId="0" borderId="1" xfId="0" applyNumberFormat="1" applyBorder="1"/>
    <xf numFmtId="2" fontId="10" fillId="0" borderId="1" xfId="0" applyNumberFormat="1" applyFont="1" applyBorder="1"/>
    <xf numFmtId="37" fontId="19" fillId="0" borderId="0" xfId="0" applyNumberFormat="1" applyFont="1"/>
    <xf numFmtId="0" fontId="6" fillId="6" borderId="14" xfId="0" applyFont="1" applyFill="1" applyBorder="1"/>
    <xf numFmtId="0" fontId="6" fillId="6" borderId="15" xfId="0" applyFont="1" applyFill="1" applyBorder="1"/>
    <xf numFmtId="37" fontId="6" fillId="6" borderId="15" xfId="0" applyNumberFormat="1" applyFont="1" applyFill="1" applyBorder="1"/>
    <xf numFmtId="37" fontId="6" fillId="6" borderId="16" xfId="0" applyNumberFormat="1" applyFont="1" applyFill="1" applyBorder="1"/>
    <xf numFmtId="167" fontId="0" fillId="0" borderId="0" xfId="0" applyNumberFormat="1"/>
    <xf numFmtId="167" fontId="6" fillId="0" borderId="1" xfId="0" applyNumberFormat="1" applyFont="1" applyBorder="1"/>
    <xf numFmtId="167" fontId="6" fillId="6" borderId="15" xfId="0" applyNumberFormat="1" applyFont="1" applyFill="1" applyBorder="1"/>
    <xf numFmtId="5" fontId="6" fillId="6" borderId="15" xfId="0" applyNumberFormat="1" applyFont="1" applyFill="1" applyBorder="1"/>
    <xf numFmtId="5" fontId="0" fillId="0" borderId="0" xfId="0" applyNumberFormat="1"/>
    <xf numFmtId="171" fontId="0" fillId="0" borderId="0" xfId="0" applyNumberFormat="1"/>
    <xf numFmtId="167" fontId="6" fillId="6" borderId="16" xfId="2" applyNumberFormat="1" applyFont="1" applyFill="1" applyBorder="1"/>
    <xf numFmtId="5" fontId="6" fillId="0" borderId="0" xfId="0" applyNumberFormat="1" applyFont="1"/>
    <xf numFmtId="171" fontId="6" fillId="0" borderId="0" xfId="0" applyNumberFormat="1" applyFont="1"/>
    <xf numFmtId="0" fontId="6" fillId="0" borderId="0" xfId="0" applyFont="1" applyAlignment="1">
      <alignment horizontal="centerContinuous"/>
    </xf>
    <xf numFmtId="5" fontId="16" fillId="0" borderId="0" xfId="0" applyNumberFormat="1" applyFont="1"/>
    <xf numFmtId="167" fontId="19" fillId="0" borderId="5" xfId="2" applyNumberFormat="1" applyFont="1" applyBorder="1"/>
    <xf numFmtId="167" fontId="6" fillId="0" borderId="5" xfId="2" applyNumberFormat="1" applyFont="1" applyBorder="1"/>
    <xf numFmtId="167" fontId="16" fillId="0" borderId="0" xfId="0" applyNumberFormat="1" applyFont="1"/>
    <xf numFmtId="5" fontId="19" fillId="0" borderId="5" xfId="0" applyNumberFormat="1" applyFont="1" applyBorder="1"/>
    <xf numFmtId="5" fontId="6" fillId="0" borderId="5" xfId="0" applyNumberFormat="1" applyFont="1" applyBorder="1"/>
    <xf numFmtId="0" fontId="6" fillId="0" borderId="10" xfId="0" applyFont="1" applyBorder="1" applyAlignment="1">
      <alignment horizontal="right"/>
    </xf>
    <xf numFmtId="173" fontId="19" fillId="0" borderId="10" xfId="0" applyNumberFormat="1" applyFont="1" applyBorder="1"/>
    <xf numFmtId="5" fontId="11" fillId="0" borderId="6" xfId="0" applyNumberFormat="1" applyFont="1" applyBorder="1"/>
    <xf numFmtId="5" fontId="11" fillId="0" borderId="1" xfId="0" applyNumberFormat="1" applyFont="1" applyBorder="1"/>
    <xf numFmtId="167" fontId="11" fillId="0" borderId="6" xfId="2" applyNumberFormat="1" applyFont="1" applyBorder="1"/>
    <xf numFmtId="167" fontId="11" fillId="0" borderId="1" xfId="2" applyNumberFormat="1" applyFont="1" applyBorder="1"/>
    <xf numFmtId="0" fontId="0" fillId="0" borderId="10" xfId="0" applyBorder="1" applyAlignment="1">
      <alignment horizontal="right"/>
    </xf>
    <xf numFmtId="173" fontId="6" fillId="0" borderId="10" xfId="0" applyNumberFormat="1" applyFont="1" applyBorder="1"/>
    <xf numFmtId="5" fontId="0" fillId="6" borderId="0" xfId="0" applyNumberFormat="1" applyFill="1"/>
    <xf numFmtId="5" fontId="0" fillId="9" borderId="0" xfId="0" applyNumberFormat="1" applyFill="1"/>
    <xf numFmtId="167" fontId="0" fillId="9" borderId="0" xfId="2" applyNumberFormat="1" applyFont="1" applyFill="1"/>
    <xf numFmtId="0" fontId="5" fillId="7" borderId="0" xfId="0" applyFont="1" applyFill="1" applyAlignment="1">
      <alignment horizontal="centerContinuous"/>
    </xf>
    <xf numFmtId="167" fontId="11" fillId="6" borderId="0" xfId="2" applyNumberFormat="1" applyFont="1" applyFill="1"/>
    <xf numFmtId="0" fontId="10" fillId="0" borderId="0" xfId="0" applyFont="1"/>
    <xf numFmtId="0" fontId="10" fillId="0" borderId="1" xfId="0" applyFont="1" applyBorder="1"/>
    <xf numFmtId="5" fontId="0" fillId="0" borderId="0" xfId="0" applyNumberFormat="1" applyAlignment="1">
      <alignment horizontal="center"/>
    </xf>
    <xf numFmtId="0" fontId="0" fillId="6" borderId="17" xfId="0" applyFill="1" applyBorder="1" applyAlignment="1">
      <alignment horizontal="center"/>
    </xf>
    <xf numFmtId="167" fontId="22" fillId="0" borderId="1" xfId="2" applyNumberFormat="1" applyFont="1" applyBorder="1" applyAlignment="1">
      <alignment horizontal="right"/>
    </xf>
    <xf numFmtId="0" fontId="11" fillId="0" borderId="0" xfId="0" applyFont="1"/>
    <xf numFmtId="167" fontId="22" fillId="0" borderId="1" xfId="2" applyNumberFormat="1" applyFont="1" applyBorder="1"/>
    <xf numFmtId="167" fontId="11" fillId="0" borderId="0" xfId="2" applyNumberFormat="1" applyFont="1"/>
    <xf numFmtId="168" fontId="11" fillId="6" borderId="0" xfId="1" applyNumberFormat="1" applyFont="1" applyFill="1"/>
    <xf numFmtId="171" fontId="11" fillId="6" borderId="0" xfId="1" applyNumberFormat="1" applyFont="1" applyFill="1"/>
    <xf numFmtId="167" fontId="11" fillId="6" borderId="0" xfId="2" applyNumberFormat="1" applyFont="1" applyFill="1" applyAlignment="1">
      <alignment horizontal="right"/>
    </xf>
    <xf numFmtId="0" fontId="11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5" fontId="16" fillId="2" borderId="0" xfId="0" applyNumberFormat="1" applyFont="1" applyFill="1" applyAlignment="1">
      <alignment horizontal="right"/>
    </xf>
    <xf numFmtId="167" fontId="23" fillId="6" borderId="0" xfId="2" applyNumberFormat="1" applyFont="1" applyFill="1"/>
    <xf numFmtId="167" fontId="23" fillId="0" borderId="0" xfId="2" applyNumberFormat="1" applyFont="1"/>
    <xf numFmtId="168" fontId="23" fillId="6" borderId="0" xfId="1" applyNumberFormat="1" applyFont="1" applyFill="1"/>
    <xf numFmtId="171" fontId="23" fillId="6" borderId="0" xfId="1" applyNumberFormat="1" applyFont="1" applyFill="1"/>
    <xf numFmtId="0" fontId="23" fillId="0" borderId="0" xfId="0" applyFont="1"/>
    <xf numFmtId="0" fontId="23" fillId="0" borderId="0" xfId="0" applyFont="1" applyAlignment="1">
      <alignment horizontal="left"/>
    </xf>
    <xf numFmtId="0" fontId="22" fillId="0" borderId="0" xfId="4" applyFont="1"/>
    <xf numFmtId="0" fontId="22" fillId="0" borderId="0" xfId="4" applyFont="1" applyAlignment="1">
      <alignment horizontal="right"/>
    </xf>
    <xf numFmtId="0" fontId="11" fillId="0" borderId="0" xfId="4" applyFont="1"/>
    <xf numFmtId="0" fontId="26" fillId="0" borderId="0" xfId="4" applyFont="1"/>
    <xf numFmtId="0" fontId="27" fillId="0" borderId="0" xfId="4" applyFont="1"/>
    <xf numFmtId="177" fontId="29" fillId="0" borderId="0" xfId="5" applyNumberFormat="1" applyFont="1"/>
    <xf numFmtId="0" fontId="30" fillId="0" borderId="0" xfId="4" applyFont="1"/>
    <xf numFmtId="0" fontId="31" fillId="0" borderId="0" xfId="4" applyFont="1"/>
    <xf numFmtId="0" fontId="32" fillId="0" borderId="0" xfId="4" applyFont="1"/>
    <xf numFmtId="0" fontId="34" fillId="0" borderId="0" xfId="4" applyFont="1"/>
    <xf numFmtId="0" fontId="37" fillId="0" borderId="0" xfId="4" applyFont="1"/>
    <xf numFmtId="0" fontId="38" fillId="3" borderId="0" xfId="4" applyFont="1" applyFill="1" applyAlignment="1">
      <alignment vertical="center"/>
    </xf>
    <xf numFmtId="0" fontId="38" fillId="3" borderId="0" xfId="4" applyFont="1" applyFill="1"/>
    <xf numFmtId="0" fontId="39" fillId="3" borderId="0" xfId="4" applyFont="1" applyFill="1"/>
    <xf numFmtId="0" fontId="5" fillId="3" borderId="0" xfId="4" applyFont="1" applyFill="1"/>
    <xf numFmtId="0" fontId="16" fillId="3" borderId="0" xfId="4" applyFont="1" applyFill="1"/>
    <xf numFmtId="0" fontId="40" fillId="0" borderId="0" xfId="4" applyFont="1"/>
    <xf numFmtId="178" fontId="10" fillId="0" borderId="0" xfId="4" applyNumberFormat="1" applyFont="1"/>
    <xf numFmtId="37" fontId="37" fillId="0" borderId="0" xfId="4" applyNumberFormat="1" applyFont="1"/>
    <xf numFmtId="179" fontId="37" fillId="0" borderId="0" xfId="7" applyNumberFormat="1" applyFont="1"/>
    <xf numFmtId="167" fontId="19" fillId="0" borderId="0" xfId="4" applyNumberFormat="1" applyFont="1" applyAlignment="1">
      <alignment horizontal="right"/>
    </xf>
    <xf numFmtId="0" fontId="22" fillId="0" borderId="12" xfId="4" applyFont="1" applyBorder="1" applyAlignment="1">
      <alignment horizontal="left"/>
    </xf>
    <xf numFmtId="0" fontId="22" fillId="0" borderId="12" xfId="4" applyFont="1" applyBorder="1"/>
    <xf numFmtId="0" fontId="22" fillId="0" borderId="12" xfId="4" applyFont="1" applyBorder="1" applyAlignment="1">
      <alignment horizontal="right"/>
    </xf>
    <xf numFmtId="167" fontId="37" fillId="0" borderId="0" xfId="4" applyNumberFormat="1" applyFont="1"/>
    <xf numFmtId="167" fontId="10" fillId="0" borderId="0" xfId="4" applyNumberFormat="1" applyFont="1" applyAlignment="1">
      <alignment horizontal="right"/>
    </xf>
    <xf numFmtId="0" fontId="11" fillId="0" borderId="0" xfId="8" applyNumberFormat="1" applyFont="1"/>
    <xf numFmtId="0" fontId="11" fillId="0" borderId="0" xfId="4" applyFont="1" applyAlignment="1">
      <alignment horizontal="left"/>
    </xf>
    <xf numFmtId="180" fontId="10" fillId="0" borderId="0" xfId="4" applyNumberFormat="1" applyFont="1" applyAlignment="1">
      <alignment horizontal="right"/>
    </xf>
    <xf numFmtId="181" fontId="10" fillId="0" borderId="0" xfId="4" applyNumberFormat="1" applyFont="1" applyAlignment="1">
      <alignment horizontal="right"/>
    </xf>
    <xf numFmtId="182" fontId="10" fillId="0" borderId="0" xfId="4" applyNumberFormat="1" applyFont="1" applyAlignment="1">
      <alignment horizontal="right"/>
    </xf>
    <xf numFmtId="167" fontId="11" fillId="0" borderId="0" xfId="7" applyNumberFormat="1" applyFont="1" applyAlignment="1">
      <alignment horizontal="right"/>
    </xf>
    <xf numFmtId="181" fontId="11" fillId="0" borderId="0" xfId="4" applyNumberFormat="1" applyFont="1" applyAlignment="1">
      <alignment horizontal="right"/>
    </xf>
    <xf numFmtId="0" fontId="39" fillId="0" borderId="0" xfId="4" applyFont="1" applyAlignment="1">
      <alignment horizontal="left"/>
    </xf>
    <xf numFmtId="0" fontId="27" fillId="0" borderId="0" xfId="4" applyFont="1" applyAlignment="1">
      <alignment horizontal="right"/>
    </xf>
    <xf numFmtId="14" fontId="37" fillId="0" borderId="0" xfId="4" applyNumberFormat="1" applyFont="1" applyAlignment="1">
      <alignment horizontal="right"/>
    </xf>
    <xf numFmtId="0" fontId="37" fillId="0" borderId="0" xfId="4" applyFont="1" applyAlignment="1">
      <alignment horizontal="right"/>
    </xf>
    <xf numFmtId="14" fontId="37" fillId="0" borderId="0" xfId="4" applyNumberFormat="1" applyFont="1"/>
    <xf numFmtId="0" fontId="37" fillId="0" borderId="0" xfId="4" applyFont="1" applyAlignment="1">
      <alignment horizontal="left"/>
    </xf>
    <xf numFmtId="167" fontId="37" fillId="0" borderId="0" xfId="4" applyNumberFormat="1" applyFont="1" applyAlignment="1">
      <alignment horizontal="right"/>
    </xf>
    <xf numFmtId="167" fontId="11" fillId="0" borderId="0" xfId="4" applyNumberFormat="1" applyFont="1" applyAlignment="1">
      <alignment horizontal="right"/>
    </xf>
    <xf numFmtId="175" fontId="10" fillId="0" borderId="0" xfId="4" applyNumberFormat="1" applyFont="1"/>
    <xf numFmtId="0" fontId="37" fillId="0" borderId="0" xfId="9" applyFont="1" applyAlignment="1">
      <alignment horizontal="center"/>
    </xf>
    <xf numFmtId="0" fontId="41" fillId="0" borderId="0" xfId="4" applyFont="1"/>
    <xf numFmtId="0" fontId="42" fillId="0" borderId="0" xfId="4" applyFont="1"/>
    <xf numFmtId="168" fontId="25" fillId="0" borderId="0" xfId="8" applyNumberFormat="1" applyFont="1"/>
    <xf numFmtId="181" fontId="40" fillId="0" borderId="0" xfId="4" applyNumberFormat="1" applyFont="1"/>
    <xf numFmtId="182" fontId="40" fillId="0" borderId="0" xfId="4" applyNumberFormat="1" applyFont="1"/>
    <xf numFmtId="167" fontId="11" fillId="0" borderId="0" xfId="7" applyNumberFormat="1" applyFont="1"/>
    <xf numFmtId="181" fontId="11" fillId="0" borderId="0" xfId="4" applyNumberFormat="1" applyFont="1"/>
    <xf numFmtId="183" fontId="11" fillId="0" borderId="0" xfId="4" applyNumberFormat="1" applyFont="1"/>
    <xf numFmtId="0" fontId="11" fillId="0" borderId="0" xfId="4" applyFont="1" applyAlignment="1">
      <alignment horizontal="left" indent="1"/>
    </xf>
    <xf numFmtId="0" fontId="22" fillId="0" borderId="1" xfId="4" applyFont="1" applyBorder="1"/>
    <xf numFmtId="0" fontId="11" fillId="0" borderId="1" xfId="4" applyFont="1" applyBorder="1"/>
    <xf numFmtId="181" fontId="22" fillId="0" borderId="1" xfId="10" applyNumberFormat="1" applyFont="1" applyBorder="1"/>
    <xf numFmtId="167" fontId="22" fillId="0" borderId="1" xfId="7" applyNumberFormat="1" applyFont="1" applyBorder="1"/>
    <xf numFmtId="181" fontId="22" fillId="0" borderId="1" xfId="4" applyNumberFormat="1" applyFont="1" applyBorder="1"/>
    <xf numFmtId="0" fontId="43" fillId="0" borderId="0" xfId="4" applyFont="1" applyAlignment="1">
      <alignment horizontal="center"/>
    </xf>
    <xf numFmtId="1" fontId="5" fillId="10" borderId="18" xfId="4" applyNumberFormat="1" applyFont="1" applyFill="1" applyBorder="1" applyAlignment="1">
      <alignment horizontal="center"/>
    </xf>
    <xf numFmtId="0" fontId="11" fillId="0" borderId="12" xfId="4" applyFont="1" applyBorder="1"/>
    <xf numFmtId="167" fontId="19" fillId="0" borderId="12" xfId="4" applyNumberFormat="1" applyFont="1" applyBorder="1" applyAlignment="1">
      <alignment horizontal="right"/>
    </xf>
    <xf numFmtId="167" fontId="11" fillId="0" borderId="0" xfId="4" applyNumberFormat="1" applyFont="1"/>
    <xf numFmtId="181" fontId="10" fillId="0" borderId="0" xfId="4" applyNumberFormat="1" applyFont="1"/>
    <xf numFmtId="0" fontId="41" fillId="0" borderId="0" xfId="4" applyFont="1" applyAlignment="1">
      <alignment horizontal="left"/>
    </xf>
    <xf numFmtId="37" fontId="44" fillId="0" borderId="1" xfId="4" applyNumberFormat="1" applyFont="1" applyBorder="1" applyAlignment="1">
      <alignment horizontal="left"/>
    </xf>
    <xf numFmtId="179" fontId="37" fillId="0" borderId="0" xfId="7" applyNumberFormat="1" applyFont="1" applyAlignment="1">
      <alignment horizontal="left"/>
    </xf>
    <xf numFmtId="179" fontId="37" fillId="0" borderId="0" xfId="7" applyNumberFormat="1" applyFont="1" applyAlignment="1">
      <alignment horizontal="right"/>
    </xf>
    <xf numFmtId="0" fontId="11" fillId="0" borderId="0" xfId="4" applyFont="1" applyAlignment="1">
      <alignment horizontal="right"/>
    </xf>
    <xf numFmtId="0" fontId="10" fillId="0" borderId="0" xfId="4" applyFont="1"/>
    <xf numFmtId="10" fontId="43" fillId="0" borderId="0" xfId="4" applyNumberFormat="1" applyFont="1" applyAlignment="1">
      <alignment horizontal="center"/>
    </xf>
    <xf numFmtId="0" fontId="22" fillId="0" borderId="0" xfId="4" applyFont="1" applyAlignment="1">
      <alignment horizontal="center"/>
    </xf>
    <xf numFmtId="0" fontId="22" fillId="0" borderId="0" xfId="4" applyFont="1" applyAlignment="1">
      <alignment horizontal="centerContinuous"/>
    </xf>
    <xf numFmtId="0" fontId="11" fillId="0" borderId="0" xfId="4" applyFont="1" applyAlignment="1">
      <alignment horizontal="centerContinuous"/>
    </xf>
    <xf numFmtId="167" fontId="45" fillId="0" borderId="0" xfId="4" applyNumberFormat="1" applyFont="1" applyAlignment="1">
      <alignment horizontal="right"/>
    </xf>
    <xf numFmtId="10" fontId="25" fillId="0" borderId="5" xfId="4" applyNumberFormat="1" applyFont="1" applyBorder="1" applyAlignment="1">
      <alignment horizontal="center"/>
    </xf>
    <xf numFmtId="10" fontId="22" fillId="0" borderId="5" xfId="4" applyNumberFormat="1" applyFont="1" applyBorder="1" applyAlignment="1">
      <alignment horizontal="center"/>
    </xf>
    <xf numFmtId="167" fontId="22" fillId="0" borderId="0" xfId="4" applyNumberFormat="1" applyFont="1" applyAlignment="1">
      <alignment horizontal="right"/>
    </xf>
    <xf numFmtId="167" fontId="11" fillId="0" borderId="6" xfId="4" applyNumberFormat="1" applyFont="1" applyBorder="1" applyAlignment="1">
      <alignment horizontal="center"/>
    </xf>
    <xf numFmtId="167" fontId="11" fillId="0" borderId="1" xfId="4" applyNumberFormat="1" applyFont="1" applyBorder="1" applyAlignment="1">
      <alignment horizontal="center"/>
    </xf>
    <xf numFmtId="167" fontId="11" fillId="0" borderId="8" xfId="4" applyNumberFormat="1" applyFont="1" applyBorder="1" applyAlignment="1">
      <alignment horizontal="center"/>
    </xf>
    <xf numFmtId="167" fontId="11" fillId="0" borderId="0" xfId="4" applyNumberFormat="1" applyFont="1" applyAlignment="1">
      <alignment horizontal="center"/>
    </xf>
    <xf numFmtId="181" fontId="11" fillId="0" borderId="12" xfId="4" applyNumberFormat="1" applyFont="1" applyBorder="1"/>
    <xf numFmtId="0" fontId="27" fillId="0" borderId="0" xfId="4" applyFont="1" applyAlignment="1">
      <alignment horizontal="centerContinuous"/>
    </xf>
    <xf numFmtId="167" fontId="11" fillId="0" borderId="12" xfId="4" applyNumberFormat="1" applyFont="1" applyBorder="1"/>
    <xf numFmtId="0" fontId="37" fillId="0" borderId="0" xfId="4" applyFont="1" applyAlignment="1">
      <alignment horizontal="center"/>
    </xf>
    <xf numFmtId="167" fontId="37" fillId="0" borderId="0" xfId="4" applyNumberFormat="1" applyFont="1" applyAlignment="1">
      <alignment horizontal="center"/>
    </xf>
    <xf numFmtId="167" fontId="22" fillId="0" borderId="0" xfId="4" applyNumberFormat="1" applyFont="1"/>
    <xf numFmtId="43" fontId="11" fillId="0" borderId="0" xfId="8" applyFont="1"/>
    <xf numFmtId="10" fontId="47" fillId="0" borderId="1" xfId="4" applyNumberFormat="1" applyFont="1" applyBorder="1" applyAlignment="1">
      <alignment horizontal="centerContinuous"/>
    </xf>
    <xf numFmtId="10" fontId="22" fillId="0" borderId="1" xfId="4" applyNumberFormat="1" applyFont="1" applyBorder="1" applyAlignment="1">
      <alignment horizontal="centerContinuous"/>
    </xf>
    <xf numFmtId="10" fontId="19" fillId="0" borderId="1" xfId="4" applyNumberFormat="1" applyFont="1" applyBorder="1" applyAlignment="1">
      <alignment horizontal="centerContinuous"/>
    </xf>
    <xf numFmtId="167" fontId="11" fillId="0" borderId="6" xfId="4" applyNumberFormat="1" applyFont="1" applyBorder="1" applyAlignment="1">
      <alignment horizontal="centerContinuous"/>
    </xf>
    <xf numFmtId="167" fontId="11" fillId="0" borderId="1" xfId="4" applyNumberFormat="1" applyFont="1" applyBorder="1" applyAlignment="1">
      <alignment horizontal="centerContinuous"/>
    </xf>
    <xf numFmtId="167" fontId="11" fillId="0" borderId="8" xfId="4" applyNumberFormat="1" applyFont="1" applyBorder="1" applyAlignment="1">
      <alignment horizontal="centerContinuous"/>
    </xf>
    <xf numFmtId="167" fontId="11" fillId="0" borderId="0" xfId="4" applyNumberFormat="1" applyFont="1" applyAlignment="1">
      <alignment horizontal="centerContinuous"/>
    </xf>
    <xf numFmtId="167" fontId="11" fillId="0" borderId="5" xfId="4" applyNumberFormat="1" applyFont="1" applyBorder="1"/>
    <xf numFmtId="0" fontId="48" fillId="0" borderId="12" xfId="4" applyFont="1" applyBorder="1"/>
    <xf numFmtId="0" fontId="30" fillId="0" borderId="12" xfId="4" applyFont="1" applyBorder="1"/>
    <xf numFmtId="0" fontId="24" fillId="0" borderId="0" xfId="4"/>
    <xf numFmtId="0" fontId="4" fillId="0" borderId="0" xfId="0" applyFont="1"/>
    <xf numFmtId="0" fontId="30" fillId="0" borderId="0" xfId="11" applyFont="1"/>
    <xf numFmtId="0" fontId="49" fillId="0" borderId="0" xfId="11" applyFont="1"/>
    <xf numFmtId="14" fontId="32" fillId="0" borderId="0" xfId="4" applyNumberFormat="1" applyFont="1" applyAlignment="1">
      <alignment horizontal="right"/>
    </xf>
    <xf numFmtId="0" fontId="32" fillId="0" borderId="0" xfId="4" applyFont="1" applyAlignment="1">
      <alignment horizontal="right"/>
    </xf>
    <xf numFmtId="0" fontId="32" fillId="0" borderId="0" xfId="4" applyFont="1" applyAlignment="1">
      <alignment horizontal="left"/>
    </xf>
    <xf numFmtId="167" fontId="32" fillId="0" borderId="0" xfId="4" applyNumberFormat="1" applyFont="1" applyAlignment="1">
      <alignment horizontal="right"/>
    </xf>
    <xf numFmtId="0" fontId="35" fillId="2" borderId="0" xfId="4" applyFont="1" applyFill="1"/>
    <xf numFmtId="0" fontId="36" fillId="2" borderId="0" xfId="4" applyFont="1" applyFill="1"/>
    <xf numFmtId="0" fontId="50" fillId="2" borderId="0" xfId="6" applyFont="1" applyFill="1"/>
    <xf numFmtId="1" fontId="25" fillId="6" borderId="18" xfId="4" applyNumberFormat="1" applyFont="1" applyFill="1" applyBorder="1" applyAlignment="1">
      <alignment horizontal="center"/>
    </xf>
    <xf numFmtId="175" fontId="19" fillId="6" borderId="19" xfId="4" applyNumberFormat="1" applyFont="1" applyFill="1" applyBorder="1" applyAlignment="1">
      <alignment horizontal="center"/>
    </xf>
    <xf numFmtId="167" fontId="22" fillId="6" borderId="18" xfId="4" applyNumberFormat="1" applyFont="1" applyFill="1" applyBorder="1" applyAlignment="1">
      <alignment horizontal="right"/>
    </xf>
    <xf numFmtId="167" fontId="22" fillId="6" borderId="18" xfId="4" applyNumberFormat="1" applyFont="1" applyFill="1" applyBorder="1" applyAlignment="1">
      <alignment horizontal="left"/>
    </xf>
    <xf numFmtId="167" fontId="5" fillId="4" borderId="0" xfId="4" applyNumberFormat="1" applyFont="1" applyFill="1"/>
    <xf numFmtId="0" fontId="11" fillId="0" borderId="0" xfId="12" applyFont="1"/>
    <xf numFmtId="0" fontId="11" fillId="0" borderId="0" xfId="13" applyFont="1"/>
    <xf numFmtId="5" fontId="11" fillId="0" borderId="0" xfId="12" applyNumberFormat="1" applyFont="1"/>
    <xf numFmtId="173" fontId="11" fillId="0" borderId="0" xfId="12" applyNumberFormat="1" applyFont="1"/>
    <xf numFmtId="0" fontId="11" fillId="0" borderId="0" xfId="12" applyFont="1" applyAlignment="1">
      <alignment horizontal="left" vertical="top"/>
    </xf>
    <xf numFmtId="5" fontId="11" fillId="0" borderId="0" xfId="12" applyNumberFormat="1" applyFont="1" applyAlignment="1">
      <alignment horizontal="right" vertical="top"/>
    </xf>
    <xf numFmtId="167" fontId="11" fillId="0" borderId="0" xfId="2" applyNumberFormat="1" applyFont="1" applyAlignment="1">
      <alignment horizontal="right" vertical="top"/>
    </xf>
    <xf numFmtId="173" fontId="11" fillId="0" borderId="0" xfId="12" applyNumberFormat="1" applyFont="1" applyAlignment="1">
      <alignment horizontal="right" vertical="top"/>
    </xf>
    <xf numFmtId="10" fontId="11" fillId="0" borderId="0" xfId="2" applyNumberFormat="1" applyFont="1"/>
    <xf numFmtId="0" fontId="11" fillId="9" borderId="0" xfId="12" applyFont="1" applyFill="1" applyAlignment="1">
      <alignment horizontal="left" vertical="top"/>
    </xf>
    <xf numFmtId="5" fontId="11" fillId="9" borderId="0" xfId="12" applyNumberFormat="1" applyFont="1" applyFill="1" applyAlignment="1">
      <alignment horizontal="right" vertical="top"/>
    </xf>
    <xf numFmtId="167" fontId="11" fillId="9" borderId="0" xfId="2" applyNumberFormat="1" applyFont="1" applyFill="1" applyAlignment="1">
      <alignment horizontal="right" vertical="top"/>
    </xf>
    <xf numFmtId="173" fontId="11" fillId="9" borderId="0" xfId="12" applyNumberFormat="1" applyFont="1" applyFill="1" applyAlignment="1">
      <alignment horizontal="right" vertical="top"/>
    </xf>
    <xf numFmtId="0" fontId="6" fillId="0" borderId="1" xfId="12" applyFont="1" applyBorder="1" applyAlignment="1">
      <alignment horizontal="left" vertical="top"/>
    </xf>
    <xf numFmtId="5" fontId="6" fillId="0" borderId="1" xfId="12" applyNumberFormat="1" applyFont="1" applyBorder="1" applyAlignment="1">
      <alignment horizontal="right" vertical="top"/>
    </xf>
    <xf numFmtId="167" fontId="6" fillId="0" borderId="1" xfId="2" applyNumberFormat="1" applyFont="1" applyBorder="1" applyAlignment="1">
      <alignment horizontal="right" vertical="top"/>
    </xf>
    <xf numFmtId="173" fontId="6" fillId="0" borderId="1" xfId="12" applyNumberFormat="1" applyFont="1" applyBorder="1" applyAlignment="1">
      <alignment horizontal="right" vertical="top"/>
    </xf>
    <xf numFmtId="0" fontId="4" fillId="0" borderId="0" xfId="12" applyFont="1" applyAlignment="1">
      <alignment horizontal="left" vertical="top"/>
    </xf>
    <xf numFmtId="0" fontId="4" fillId="0" borderId="0" xfId="12" applyFont="1"/>
    <xf numFmtId="5" fontId="4" fillId="0" borderId="0" xfId="12" applyNumberFormat="1" applyFont="1"/>
    <xf numFmtId="167" fontId="4" fillId="0" borderId="0" xfId="2" applyNumberFormat="1"/>
    <xf numFmtId="173" fontId="4" fillId="0" borderId="0" xfId="12" applyNumberFormat="1" applyFont="1"/>
    <xf numFmtId="173" fontId="10" fillId="0" borderId="0" xfId="12" applyNumberFormat="1" applyFont="1" applyAlignment="1">
      <alignment horizontal="right" vertical="top"/>
    </xf>
    <xf numFmtId="5" fontId="10" fillId="0" borderId="0" xfId="12" applyNumberFormat="1" applyFont="1" applyAlignment="1">
      <alignment horizontal="right" vertical="top"/>
    </xf>
    <xf numFmtId="184" fontId="11" fillId="0" borderId="0" xfId="3" applyNumberFormat="1" applyFont="1" applyAlignment="1">
      <alignment horizontal="right"/>
    </xf>
    <xf numFmtId="184" fontId="11" fillId="0" borderId="0" xfId="12" applyNumberFormat="1" applyFont="1"/>
    <xf numFmtId="0" fontId="16" fillId="2" borderId="0" xfId="12" applyFont="1" applyFill="1"/>
    <xf numFmtId="0" fontId="5" fillId="2" borderId="25" xfId="12" applyFont="1" applyFill="1" applyBorder="1" applyAlignment="1">
      <alignment horizontal="centerContinuous"/>
    </xf>
    <xf numFmtId="0" fontId="16" fillId="2" borderId="26" xfId="12" applyFont="1" applyFill="1" applyBorder="1" applyAlignment="1">
      <alignment horizontal="centerContinuous"/>
    </xf>
    <xf numFmtId="0" fontId="16" fillId="2" borderId="27" xfId="12" applyFont="1" applyFill="1" applyBorder="1" applyAlignment="1">
      <alignment horizontal="centerContinuous"/>
    </xf>
    <xf numFmtId="0" fontId="16" fillId="2" borderId="25" xfId="12" applyFont="1" applyFill="1" applyBorder="1" applyAlignment="1">
      <alignment horizontal="centerContinuous"/>
    </xf>
    <xf numFmtId="0" fontId="16" fillId="2" borderId="0" xfId="12" applyFont="1" applyFill="1" applyAlignment="1">
      <alignment horizontal="left" vertical="center"/>
    </xf>
    <xf numFmtId="0" fontId="16" fillId="2" borderId="0" xfId="12" applyFont="1" applyFill="1" applyAlignment="1">
      <alignment horizontal="right" vertical="top" wrapText="1"/>
    </xf>
    <xf numFmtId="164" fontId="7" fillId="4" borderId="0" xfId="1" applyNumberFormat="1" applyFont="1" applyFill="1" applyProtection="1">
      <protection locked="0"/>
    </xf>
    <xf numFmtId="0" fontId="16" fillId="4" borderId="0" xfId="12" applyFont="1" applyFill="1"/>
    <xf numFmtId="164" fontId="8" fillId="4" borderId="0" xfId="1" applyNumberFormat="1" applyFont="1" applyFill="1" applyProtection="1">
      <protection locked="0"/>
    </xf>
    <xf numFmtId="0" fontId="9" fillId="4" borderId="0" xfId="0" applyFont="1" applyFill="1"/>
    <xf numFmtId="0" fontId="5" fillId="4" borderId="0" xfId="12" applyFont="1" applyFill="1" applyAlignment="1">
      <alignment horizontal="left"/>
    </xf>
    <xf numFmtId="0" fontId="5" fillId="4" borderId="0" xfId="12" applyFont="1" applyFill="1" applyAlignment="1">
      <alignment horizontal="left" vertical="center"/>
    </xf>
    <xf numFmtId="0" fontId="16" fillId="4" borderId="0" xfId="12" applyFont="1" applyFill="1" applyAlignment="1">
      <alignment horizontal="right" vertical="top"/>
    </xf>
    <xf numFmtId="0" fontId="22" fillId="4" borderId="0" xfId="12" applyFont="1" applyFill="1" applyAlignment="1">
      <alignment horizontal="left" vertical="center"/>
    </xf>
    <xf numFmtId="0" fontId="11" fillId="4" borderId="0" xfId="12" applyFont="1" applyFill="1" applyAlignment="1">
      <alignment horizontal="right" vertical="top"/>
    </xf>
    <xf numFmtId="5" fontId="11" fillId="4" borderId="0" xfId="12" applyNumberFormat="1" applyFont="1" applyFill="1" applyAlignment="1">
      <alignment horizontal="right" vertical="top"/>
    </xf>
    <xf numFmtId="167" fontId="11" fillId="4" borderId="0" xfId="2" applyNumberFormat="1" applyFont="1" applyFill="1" applyAlignment="1">
      <alignment horizontal="right" vertical="top"/>
    </xf>
    <xf numFmtId="173" fontId="11" fillId="4" borderId="0" xfId="12" applyNumberFormat="1" applyFont="1" applyFill="1" applyAlignment="1">
      <alignment horizontal="right" vertical="top"/>
    </xf>
    <xf numFmtId="0" fontId="22" fillId="6" borderId="14" xfId="12" applyFont="1" applyFill="1" applyBorder="1" applyAlignment="1">
      <alignment horizontal="left" vertical="top"/>
    </xf>
    <xf numFmtId="0" fontId="22" fillId="6" borderId="15" xfId="12" applyFont="1" applyFill="1" applyBorder="1" applyAlignment="1">
      <alignment horizontal="left" vertical="top"/>
    </xf>
    <xf numFmtId="5" fontId="22" fillId="6" borderId="16" xfId="12" applyNumberFormat="1" applyFont="1" applyFill="1" applyBorder="1" applyAlignment="1">
      <alignment horizontal="right" vertical="top"/>
    </xf>
    <xf numFmtId="0" fontId="8" fillId="2" borderId="0" xfId="0" applyFont="1" applyFill="1"/>
    <xf numFmtId="165" fontId="22" fillId="0" borderId="0" xfId="0" applyNumberFormat="1" applyFont="1"/>
    <xf numFmtId="166" fontId="22" fillId="0" borderId="0" xfId="0" applyNumberFormat="1" applyFont="1"/>
    <xf numFmtId="174" fontId="10" fillId="0" borderId="0" xfId="0" applyNumberFormat="1" applyFont="1"/>
    <xf numFmtId="174" fontId="0" fillId="0" borderId="0" xfId="0" applyNumberFormat="1"/>
    <xf numFmtId="168" fontId="11" fillId="0" borderId="0" xfId="1" applyNumberFormat="1" applyFont="1"/>
    <xf numFmtId="0" fontId="0" fillId="3" borderId="0" xfId="0" applyFill="1"/>
    <xf numFmtId="168" fontId="6" fillId="0" borderId="0" xfId="1" applyNumberFormat="1" applyFont="1"/>
    <xf numFmtId="185" fontId="0" fillId="0" borderId="3" xfId="0" applyNumberFormat="1" applyBorder="1"/>
    <xf numFmtId="37" fontId="5" fillId="3" borderId="0" xfId="0" applyNumberFormat="1" applyFont="1" applyFill="1"/>
    <xf numFmtId="165" fontId="5" fillId="4" borderId="0" xfId="0" applyNumberFormat="1" applyFont="1" applyFill="1" applyAlignment="1">
      <alignment horizontal="right"/>
    </xf>
    <xf numFmtId="165" fontId="22" fillId="2" borderId="0" xfId="0" applyNumberFormat="1" applyFont="1" applyFill="1"/>
    <xf numFmtId="165" fontId="5" fillId="2" borderId="0" xfId="0" applyNumberFormat="1" applyFont="1" applyFill="1" applyAlignment="1">
      <alignment horizontal="right"/>
    </xf>
    <xf numFmtId="5" fontId="22" fillId="0" borderId="0" xfId="12" applyNumberFormat="1" applyFont="1" applyAlignment="1">
      <alignment horizontal="right" vertical="top"/>
    </xf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32" xfId="0" applyBorder="1"/>
    <xf numFmtId="3" fontId="0" fillId="0" borderId="1" xfId="0" applyNumberFormat="1" applyBorder="1" applyAlignment="1">
      <alignment horizontal="left"/>
    </xf>
    <xf numFmtId="5" fontId="0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186" fontId="0" fillId="0" borderId="0" xfId="0" applyNumberFormat="1"/>
    <xf numFmtId="187" fontId="0" fillId="0" borderId="0" xfId="0" applyNumberFormat="1"/>
    <xf numFmtId="10" fontId="0" fillId="0" borderId="0" xfId="2" applyNumberFormat="1" applyFont="1" applyAlignment="1">
      <alignment horizontal="right"/>
    </xf>
    <xf numFmtId="16" fontId="0" fillId="0" borderId="0" xfId="0" applyNumberFormat="1" applyAlignment="1">
      <alignment horizontal="right"/>
    </xf>
    <xf numFmtId="0" fontId="54" fillId="0" borderId="0" xfId="0" applyFont="1"/>
    <xf numFmtId="0" fontId="54" fillId="0" borderId="0" xfId="0" applyFont="1" applyAlignment="1">
      <alignment horizontal="right"/>
    </xf>
    <xf numFmtId="168" fontId="54" fillId="0" borderId="0" xfId="1" applyNumberFormat="1" applyFont="1"/>
    <xf numFmtId="168" fontId="55" fillId="0" borderId="0" xfId="0" applyNumberFormat="1" applyFont="1"/>
    <xf numFmtId="0" fontId="0" fillId="0" borderId="0" xfId="0" applyAlignment="1">
      <alignment horizontal="centerContinuous"/>
    </xf>
    <xf numFmtId="0" fontId="51" fillId="0" borderId="0" xfId="0" applyFont="1"/>
    <xf numFmtId="188" fontId="0" fillId="0" borderId="0" xfId="0" applyNumberForma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2" fillId="0" borderId="0" xfId="14">
      <alignment vertical="center"/>
    </xf>
    <xf numFmtId="168" fontId="32" fillId="0" borderId="0" xfId="14" applyNumberFormat="1">
      <alignment vertical="center"/>
    </xf>
    <xf numFmtId="0" fontId="56" fillId="3" borderId="0" xfId="14" applyFont="1" applyFill="1">
      <alignment vertical="center"/>
    </xf>
    <xf numFmtId="0" fontId="57" fillId="3" borderId="0" xfId="14" applyFont="1" applyFill="1">
      <alignment vertical="center"/>
    </xf>
    <xf numFmtId="0" fontId="57" fillId="3" borderId="0" xfId="14" applyFont="1" applyFill="1" applyAlignment="1"/>
    <xf numFmtId="0" fontId="57" fillId="3" borderId="0" xfId="14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  <xf numFmtId="189" fontId="32" fillId="0" borderId="0" xfId="14" applyNumberFormat="1">
      <alignment vertical="center"/>
    </xf>
    <xf numFmtId="168" fontId="58" fillId="0" borderId="0" xfId="1" applyNumberFormat="1" applyFont="1" applyAlignment="1">
      <alignment vertical="center"/>
    </xf>
    <xf numFmtId="0" fontId="58" fillId="0" borderId="0" xfId="14" applyFont="1">
      <alignment vertical="center"/>
    </xf>
    <xf numFmtId="168" fontId="32" fillId="0" borderId="0" xfId="1" applyNumberFormat="1" applyFont="1" applyAlignment="1">
      <alignment vertical="center"/>
    </xf>
    <xf numFmtId="2" fontId="32" fillId="0" borderId="0" xfId="14" applyNumberFormat="1">
      <alignment vertical="center"/>
    </xf>
    <xf numFmtId="0" fontId="32" fillId="2" borderId="0" xfId="14" applyFill="1">
      <alignment vertical="center"/>
    </xf>
    <xf numFmtId="167" fontId="0" fillId="0" borderId="0" xfId="0" applyNumberFormat="1" applyAlignment="1">
      <alignment horizontal="right"/>
    </xf>
    <xf numFmtId="167" fontId="10" fillId="6" borderId="0" xfId="2" applyNumberFormat="1" applyFont="1" applyFill="1" applyAlignment="1">
      <alignment horizontal="right"/>
    </xf>
    <xf numFmtId="0" fontId="0" fillId="11" borderId="29" xfId="0" applyFill="1" applyBorder="1"/>
    <xf numFmtId="0" fontId="0" fillId="11" borderId="30" xfId="0" applyFill="1" applyBorder="1"/>
    <xf numFmtId="0" fontId="0" fillId="11" borderId="0" xfId="0" applyFill="1"/>
    <xf numFmtId="0" fontId="0" fillId="11" borderId="32" xfId="0" applyFill="1" applyBorder="1"/>
    <xf numFmtId="0" fontId="2" fillId="12" borderId="0" xfId="18" applyFill="1"/>
    <xf numFmtId="0" fontId="2" fillId="11" borderId="36" xfId="18" applyFill="1" applyBorder="1"/>
    <xf numFmtId="0" fontId="2" fillId="11" borderId="37" xfId="18" applyFill="1" applyBorder="1"/>
    <xf numFmtId="0" fontId="2" fillId="11" borderId="38" xfId="18" applyFill="1" applyBorder="1"/>
    <xf numFmtId="0" fontId="2" fillId="11" borderId="39" xfId="18" applyFill="1" applyBorder="1"/>
    <xf numFmtId="0" fontId="2" fillId="11" borderId="0" xfId="18" applyFill="1"/>
    <xf numFmtId="0" fontId="2" fillId="11" borderId="40" xfId="18" applyFill="1" applyBorder="1"/>
    <xf numFmtId="0" fontId="2" fillId="11" borderId="41" xfId="18" applyFill="1" applyBorder="1"/>
    <xf numFmtId="0" fontId="2" fillId="11" borderId="42" xfId="18" applyFill="1" applyBorder="1"/>
    <xf numFmtId="0" fontId="2" fillId="11" borderId="43" xfId="18" applyFill="1" applyBorder="1"/>
    <xf numFmtId="0" fontId="63" fillId="11" borderId="0" xfId="18" applyFont="1" applyFill="1"/>
    <xf numFmtId="0" fontId="5" fillId="13" borderId="0" xfId="0" applyFont="1" applyFill="1"/>
    <xf numFmtId="0" fontId="16" fillId="13" borderId="0" xfId="0" applyFont="1" applyFill="1"/>
    <xf numFmtId="0" fontId="5" fillId="13" borderId="0" xfId="0" applyFont="1" applyFill="1" applyAlignment="1">
      <alignment horizontal="left"/>
    </xf>
    <xf numFmtId="0" fontId="5" fillId="13" borderId="0" xfId="0" applyFont="1" applyFill="1" applyAlignment="1">
      <alignment horizontal="centerContinuous"/>
    </xf>
    <xf numFmtId="0" fontId="0" fillId="13" borderId="0" xfId="0" applyFill="1" applyAlignment="1">
      <alignment horizontal="centerContinuous"/>
    </xf>
    <xf numFmtId="0" fontId="5" fillId="5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Continuous"/>
    </xf>
    <xf numFmtId="0" fontId="0" fillId="14" borderId="0" xfId="0" applyFill="1" applyAlignment="1">
      <alignment horizontal="centerContinuous"/>
    </xf>
    <xf numFmtId="0" fontId="62" fillId="11" borderId="0" xfId="18" applyFont="1" applyFill="1" applyAlignment="1">
      <alignment horizontal="center"/>
    </xf>
    <xf numFmtId="0" fontId="2" fillId="11" borderId="0" xfId="18" applyFill="1" applyAlignment="1">
      <alignment horizontal="center"/>
    </xf>
    <xf numFmtId="1" fontId="25" fillId="6" borderId="20" xfId="4" applyNumberFormat="1" applyFont="1" applyFill="1" applyBorder="1" applyAlignment="1">
      <alignment horizontal="center"/>
    </xf>
    <xf numFmtId="1" fontId="25" fillId="6" borderId="21" xfId="4" applyNumberFormat="1" applyFont="1" applyFill="1" applyBorder="1" applyAlignment="1">
      <alignment horizontal="center"/>
    </xf>
    <xf numFmtId="1" fontId="25" fillId="6" borderId="22" xfId="4" applyNumberFormat="1" applyFont="1" applyFill="1" applyBorder="1" applyAlignment="1">
      <alignment horizontal="center"/>
    </xf>
    <xf numFmtId="167" fontId="22" fillId="6" borderId="20" xfId="4" applyNumberFormat="1" applyFont="1" applyFill="1" applyBorder="1"/>
    <xf numFmtId="0" fontId="4" fillId="6" borderId="22" xfId="0" applyFont="1" applyFill="1" applyBorder="1"/>
    <xf numFmtId="0" fontId="22" fillId="6" borderId="20" xfId="4" applyFont="1" applyFill="1" applyBorder="1" applyAlignment="1">
      <alignment horizontal="right"/>
    </xf>
    <xf numFmtId="0" fontId="6" fillId="6" borderId="21" xfId="0" applyFont="1" applyFill="1" applyBorder="1" applyAlignment="1">
      <alignment horizontal="right"/>
    </xf>
    <xf numFmtId="0" fontId="6" fillId="6" borderId="22" xfId="0" applyFont="1" applyFill="1" applyBorder="1" applyAlignment="1">
      <alignment horizontal="right"/>
    </xf>
    <xf numFmtId="0" fontId="26" fillId="6" borderId="23" xfId="4" applyFont="1" applyFill="1" applyBorder="1" applyAlignment="1">
      <alignment horizontal="right"/>
    </xf>
    <xf numFmtId="0" fontId="6" fillId="6" borderId="24" xfId="0" applyFont="1" applyFill="1" applyBorder="1" applyAlignment="1">
      <alignment horizontal="right"/>
    </xf>
    <xf numFmtId="0" fontId="61" fillId="11" borderId="0" xfId="18" applyFont="1" applyFill="1" applyAlignment="1">
      <alignment horizontal="center"/>
    </xf>
    <xf numFmtId="0" fontId="1" fillId="11" borderId="0" xfId="18" applyFont="1" applyFill="1" applyAlignment="1">
      <alignment horizontal="center"/>
    </xf>
    <xf numFmtId="0" fontId="64" fillId="11" borderId="0" xfId="18" applyFont="1" applyFill="1" applyAlignment="1">
      <alignment horizontal="center"/>
    </xf>
  </cellXfs>
  <cellStyles count="19">
    <cellStyle name="Comma" xfId="1" builtinId="3"/>
    <cellStyle name="Comma 2" xfId="8" xr:uid="{5BC26CCE-15DF-49A3-8753-E171713ADC31}"/>
    <cellStyle name="Currency" xfId="3" builtinId="4"/>
    <cellStyle name="Hyperlink 2" xfId="16" xr:uid="{D4B75A63-40EA-4ACC-99B9-3E0B9F1F40D1}"/>
    <cellStyle name="Invisible" xfId="13" xr:uid="{32A0E2A8-8733-4EE3-8082-7F7E31E3696A}"/>
    <cellStyle name="Normal" xfId="0" builtinId="0"/>
    <cellStyle name="Normal 2" xfId="14" xr:uid="{DF4E9F82-AF06-45DD-A375-7E5AA1E122EB}"/>
    <cellStyle name="Normal 2 2" xfId="15" xr:uid="{32B574B0-FDA8-4E9E-B666-807ED1795D07}"/>
    <cellStyle name="Normal 2 2 2" xfId="17" xr:uid="{6E14347D-582E-4C37-B3A2-DBCBAD2E6F3C}"/>
    <cellStyle name="Normal 3" xfId="12" xr:uid="{3675BD79-731B-4751-A825-F79EE8FC3B84}"/>
    <cellStyle name="Normal 4" xfId="18" xr:uid="{0DD4C13A-4D46-8448-9407-48492F8E6746}"/>
    <cellStyle name="Normal 5" xfId="4" xr:uid="{6A56A98F-9869-4BB4-AEE4-364015ADF980}"/>
    <cellStyle name="Normal_Bradford Final" xfId="5" xr:uid="{B821812F-6EBC-4D30-969C-886DC3E88550}"/>
    <cellStyle name="Normal_CIQ Beta Calculator" xfId="9" xr:uid="{0FFC5827-FBCE-4BE4-B51D-5B805F397233}"/>
    <cellStyle name="Normal_eps-stock_9zdq01_" xfId="11" xr:uid="{C532191C-6174-4FA1-86F1-B019F6409C7B}"/>
    <cellStyle name="Normal_VF Corp" xfId="6" xr:uid="{0F967A19-3022-45D5-9609-91D3BA227AE7}"/>
    <cellStyle name="Normal_WACC Analysis" xfId="10" xr:uid="{20B5C67E-3813-477A-A82D-51F6BFE3220B}"/>
    <cellStyle name="Percent" xfId="2" builtinId="5"/>
    <cellStyle name="Percent 2" xfId="7" xr:uid="{8811A0EB-371D-4ED9-9ADE-0D6980F0DEA6}"/>
  </cellStyles>
  <dxfs count="0"/>
  <tableStyles count="0" defaultTableStyle="TableStyleMedium2" defaultPivotStyle="PivotStyleLight16"/>
  <colors>
    <mruColors>
      <color rgb="FFFA621C"/>
      <color rgb="FF132E57"/>
      <color rgb="FFED942D"/>
      <color rgb="FF0000FF"/>
      <color rgb="FF1E8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86282431589288E-2"/>
          <c:y val="6.3465195099814117E-2"/>
          <c:w val="0.87678299332378518"/>
          <c:h val="0.8265955914802684"/>
        </c:manualLayout>
      </c:layout>
      <c:lineChart>
        <c:grouping val="standard"/>
        <c:varyColors val="0"/>
        <c:ser>
          <c:idx val="3"/>
          <c:order val="0"/>
          <c:tx>
            <c:v>Historic</c:v>
          </c:tx>
          <c:spPr>
            <a:ln w="15875" cap="rnd">
              <a:solidFill>
                <a:srgbClr val="132E57"/>
              </a:solidFill>
              <a:round/>
            </a:ln>
            <a:effectLst/>
          </c:spPr>
          <c:marker>
            <c:symbol val="none"/>
          </c:marker>
          <c:cat>
            <c:numRef>
              <c:f>'Share Price'!$A$9:$A$1280</c:f>
              <c:numCache>
                <c:formatCode>[$-409]mmm\-dd\-yyyy;@</c:formatCode>
                <c:ptCount val="1272"/>
                <c:pt idx="0">
                  <c:v>41586</c:v>
                </c:pt>
                <c:pt idx="1">
                  <c:v>41589</c:v>
                </c:pt>
                <c:pt idx="2">
                  <c:v>41590</c:v>
                </c:pt>
                <c:pt idx="3">
                  <c:v>41591</c:v>
                </c:pt>
                <c:pt idx="4">
                  <c:v>41592</c:v>
                </c:pt>
                <c:pt idx="5">
                  <c:v>41593</c:v>
                </c:pt>
                <c:pt idx="6">
                  <c:v>41596</c:v>
                </c:pt>
                <c:pt idx="7">
                  <c:v>41597</c:v>
                </c:pt>
                <c:pt idx="8">
                  <c:v>41598</c:v>
                </c:pt>
                <c:pt idx="9">
                  <c:v>41599</c:v>
                </c:pt>
                <c:pt idx="10">
                  <c:v>41600</c:v>
                </c:pt>
                <c:pt idx="11">
                  <c:v>41603</c:v>
                </c:pt>
                <c:pt idx="12">
                  <c:v>41604</c:v>
                </c:pt>
                <c:pt idx="13">
                  <c:v>41605</c:v>
                </c:pt>
                <c:pt idx="14">
                  <c:v>41607</c:v>
                </c:pt>
                <c:pt idx="15">
                  <c:v>41610</c:v>
                </c:pt>
                <c:pt idx="16">
                  <c:v>41611</c:v>
                </c:pt>
                <c:pt idx="17">
                  <c:v>41612</c:v>
                </c:pt>
                <c:pt idx="18">
                  <c:v>41613</c:v>
                </c:pt>
                <c:pt idx="19">
                  <c:v>41614</c:v>
                </c:pt>
                <c:pt idx="20">
                  <c:v>41617</c:v>
                </c:pt>
                <c:pt idx="21">
                  <c:v>41618</c:v>
                </c:pt>
                <c:pt idx="22">
                  <c:v>41619</c:v>
                </c:pt>
                <c:pt idx="23">
                  <c:v>41620</c:v>
                </c:pt>
                <c:pt idx="24">
                  <c:v>41621</c:v>
                </c:pt>
                <c:pt idx="25">
                  <c:v>41624</c:v>
                </c:pt>
                <c:pt idx="26">
                  <c:v>41625</c:v>
                </c:pt>
                <c:pt idx="27">
                  <c:v>41626</c:v>
                </c:pt>
                <c:pt idx="28">
                  <c:v>41627</c:v>
                </c:pt>
                <c:pt idx="29">
                  <c:v>41628</c:v>
                </c:pt>
                <c:pt idx="30">
                  <c:v>41631</c:v>
                </c:pt>
                <c:pt idx="31">
                  <c:v>41632</c:v>
                </c:pt>
                <c:pt idx="32">
                  <c:v>41634</c:v>
                </c:pt>
                <c:pt idx="33">
                  <c:v>41635</c:v>
                </c:pt>
                <c:pt idx="34">
                  <c:v>41638</c:v>
                </c:pt>
                <c:pt idx="35">
                  <c:v>41639</c:v>
                </c:pt>
                <c:pt idx="36">
                  <c:v>41641</c:v>
                </c:pt>
                <c:pt idx="37">
                  <c:v>41642</c:v>
                </c:pt>
                <c:pt idx="38">
                  <c:v>41645</c:v>
                </c:pt>
                <c:pt idx="39">
                  <c:v>41646</c:v>
                </c:pt>
                <c:pt idx="40">
                  <c:v>41647</c:v>
                </c:pt>
                <c:pt idx="41">
                  <c:v>41648</c:v>
                </c:pt>
                <c:pt idx="42">
                  <c:v>41649</c:v>
                </c:pt>
                <c:pt idx="43">
                  <c:v>41652</c:v>
                </c:pt>
                <c:pt idx="44">
                  <c:v>41653</c:v>
                </c:pt>
                <c:pt idx="45">
                  <c:v>41654</c:v>
                </c:pt>
                <c:pt idx="46">
                  <c:v>41655</c:v>
                </c:pt>
                <c:pt idx="47">
                  <c:v>41656</c:v>
                </c:pt>
                <c:pt idx="48">
                  <c:v>41660</c:v>
                </c:pt>
                <c:pt idx="49">
                  <c:v>41661</c:v>
                </c:pt>
                <c:pt idx="50">
                  <c:v>41662</c:v>
                </c:pt>
                <c:pt idx="51">
                  <c:v>41663</c:v>
                </c:pt>
                <c:pt idx="52">
                  <c:v>41666</c:v>
                </c:pt>
                <c:pt idx="53">
                  <c:v>41667</c:v>
                </c:pt>
                <c:pt idx="54">
                  <c:v>41668</c:v>
                </c:pt>
                <c:pt idx="55">
                  <c:v>41669</c:v>
                </c:pt>
                <c:pt idx="56">
                  <c:v>41670</c:v>
                </c:pt>
                <c:pt idx="57">
                  <c:v>41673</c:v>
                </c:pt>
                <c:pt idx="58">
                  <c:v>41674</c:v>
                </c:pt>
                <c:pt idx="59">
                  <c:v>41675</c:v>
                </c:pt>
                <c:pt idx="60">
                  <c:v>41676</c:v>
                </c:pt>
                <c:pt idx="61">
                  <c:v>41677</c:v>
                </c:pt>
                <c:pt idx="62">
                  <c:v>41680</c:v>
                </c:pt>
                <c:pt idx="63">
                  <c:v>41681</c:v>
                </c:pt>
                <c:pt idx="64">
                  <c:v>41682</c:v>
                </c:pt>
                <c:pt idx="65">
                  <c:v>41683</c:v>
                </c:pt>
                <c:pt idx="66">
                  <c:v>41684</c:v>
                </c:pt>
                <c:pt idx="67">
                  <c:v>41688</c:v>
                </c:pt>
                <c:pt idx="68">
                  <c:v>41689</c:v>
                </c:pt>
                <c:pt idx="69">
                  <c:v>41690</c:v>
                </c:pt>
                <c:pt idx="70">
                  <c:v>41691</c:v>
                </c:pt>
                <c:pt idx="71">
                  <c:v>41694</c:v>
                </c:pt>
                <c:pt idx="72">
                  <c:v>41695</c:v>
                </c:pt>
                <c:pt idx="73">
                  <c:v>41696</c:v>
                </c:pt>
                <c:pt idx="74">
                  <c:v>41697</c:v>
                </c:pt>
                <c:pt idx="75">
                  <c:v>41698</c:v>
                </c:pt>
                <c:pt idx="76">
                  <c:v>41701</c:v>
                </c:pt>
                <c:pt idx="77">
                  <c:v>41702</c:v>
                </c:pt>
                <c:pt idx="78">
                  <c:v>41703</c:v>
                </c:pt>
                <c:pt idx="79">
                  <c:v>41704</c:v>
                </c:pt>
                <c:pt idx="80">
                  <c:v>41705</c:v>
                </c:pt>
                <c:pt idx="81">
                  <c:v>41708</c:v>
                </c:pt>
                <c:pt idx="82">
                  <c:v>41709</c:v>
                </c:pt>
                <c:pt idx="83">
                  <c:v>41710</c:v>
                </c:pt>
                <c:pt idx="84">
                  <c:v>41711</c:v>
                </c:pt>
                <c:pt idx="85">
                  <c:v>41712</c:v>
                </c:pt>
                <c:pt idx="86">
                  <c:v>41715</c:v>
                </c:pt>
                <c:pt idx="87">
                  <c:v>41716</c:v>
                </c:pt>
                <c:pt idx="88">
                  <c:v>41717</c:v>
                </c:pt>
                <c:pt idx="89">
                  <c:v>41718</c:v>
                </c:pt>
                <c:pt idx="90">
                  <c:v>41719</c:v>
                </c:pt>
                <c:pt idx="91">
                  <c:v>41722</c:v>
                </c:pt>
                <c:pt idx="92">
                  <c:v>41723</c:v>
                </c:pt>
                <c:pt idx="93">
                  <c:v>41724</c:v>
                </c:pt>
                <c:pt idx="94">
                  <c:v>41725</c:v>
                </c:pt>
                <c:pt idx="95">
                  <c:v>41726</c:v>
                </c:pt>
                <c:pt idx="96">
                  <c:v>41729</c:v>
                </c:pt>
                <c:pt idx="97">
                  <c:v>41730</c:v>
                </c:pt>
                <c:pt idx="98">
                  <c:v>41731</c:v>
                </c:pt>
                <c:pt idx="99">
                  <c:v>41732</c:v>
                </c:pt>
                <c:pt idx="100">
                  <c:v>41733</c:v>
                </c:pt>
                <c:pt idx="101">
                  <c:v>41736</c:v>
                </c:pt>
                <c:pt idx="102">
                  <c:v>41737</c:v>
                </c:pt>
                <c:pt idx="103">
                  <c:v>41738</c:v>
                </c:pt>
                <c:pt idx="104">
                  <c:v>41739</c:v>
                </c:pt>
                <c:pt idx="105">
                  <c:v>41740</c:v>
                </c:pt>
                <c:pt idx="106">
                  <c:v>41743</c:v>
                </c:pt>
                <c:pt idx="107">
                  <c:v>41744</c:v>
                </c:pt>
                <c:pt idx="108">
                  <c:v>41745</c:v>
                </c:pt>
                <c:pt idx="109">
                  <c:v>41746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41757</c:v>
                </c:pt>
                <c:pt idx="116">
                  <c:v>41758</c:v>
                </c:pt>
                <c:pt idx="117">
                  <c:v>41759</c:v>
                </c:pt>
                <c:pt idx="118">
                  <c:v>41760</c:v>
                </c:pt>
                <c:pt idx="119">
                  <c:v>41761</c:v>
                </c:pt>
                <c:pt idx="120">
                  <c:v>41764</c:v>
                </c:pt>
                <c:pt idx="121">
                  <c:v>41765</c:v>
                </c:pt>
                <c:pt idx="122">
                  <c:v>41766</c:v>
                </c:pt>
                <c:pt idx="123">
                  <c:v>41767</c:v>
                </c:pt>
                <c:pt idx="124">
                  <c:v>41768</c:v>
                </c:pt>
                <c:pt idx="125">
                  <c:v>41771</c:v>
                </c:pt>
                <c:pt idx="126">
                  <c:v>41772</c:v>
                </c:pt>
                <c:pt idx="127">
                  <c:v>41773</c:v>
                </c:pt>
                <c:pt idx="128">
                  <c:v>41774</c:v>
                </c:pt>
                <c:pt idx="129">
                  <c:v>41775</c:v>
                </c:pt>
                <c:pt idx="130">
                  <c:v>41778</c:v>
                </c:pt>
                <c:pt idx="131">
                  <c:v>41779</c:v>
                </c:pt>
                <c:pt idx="132">
                  <c:v>41780</c:v>
                </c:pt>
                <c:pt idx="133">
                  <c:v>41781</c:v>
                </c:pt>
                <c:pt idx="134">
                  <c:v>41782</c:v>
                </c:pt>
                <c:pt idx="135">
                  <c:v>41786</c:v>
                </c:pt>
                <c:pt idx="136">
                  <c:v>41787</c:v>
                </c:pt>
                <c:pt idx="137">
                  <c:v>41788</c:v>
                </c:pt>
                <c:pt idx="138">
                  <c:v>41789</c:v>
                </c:pt>
                <c:pt idx="139">
                  <c:v>41792</c:v>
                </c:pt>
                <c:pt idx="140">
                  <c:v>41793</c:v>
                </c:pt>
                <c:pt idx="141">
                  <c:v>41794</c:v>
                </c:pt>
                <c:pt idx="142">
                  <c:v>41795</c:v>
                </c:pt>
                <c:pt idx="143">
                  <c:v>41796</c:v>
                </c:pt>
                <c:pt idx="144">
                  <c:v>41799</c:v>
                </c:pt>
                <c:pt idx="145">
                  <c:v>41800</c:v>
                </c:pt>
                <c:pt idx="146">
                  <c:v>41801</c:v>
                </c:pt>
                <c:pt idx="147">
                  <c:v>41802</c:v>
                </c:pt>
                <c:pt idx="148">
                  <c:v>41803</c:v>
                </c:pt>
                <c:pt idx="149">
                  <c:v>41806</c:v>
                </c:pt>
                <c:pt idx="150">
                  <c:v>41807</c:v>
                </c:pt>
                <c:pt idx="151">
                  <c:v>41808</c:v>
                </c:pt>
                <c:pt idx="152">
                  <c:v>41809</c:v>
                </c:pt>
                <c:pt idx="153">
                  <c:v>41810</c:v>
                </c:pt>
                <c:pt idx="154">
                  <c:v>41813</c:v>
                </c:pt>
                <c:pt idx="155">
                  <c:v>41814</c:v>
                </c:pt>
                <c:pt idx="156">
                  <c:v>41815</c:v>
                </c:pt>
                <c:pt idx="157">
                  <c:v>41816</c:v>
                </c:pt>
                <c:pt idx="158">
                  <c:v>41817</c:v>
                </c:pt>
                <c:pt idx="159">
                  <c:v>41820</c:v>
                </c:pt>
                <c:pt idx="160">
                  <c:v>41821</c:v>
                </c:pt>
                <c:pt idx="161">
                  <c:v>41822</c:v>
                </c:pt>
                <c:pt idx="162">
                  <c:v>41823</c:v>
                </c:pt>
                <c:pt idx="163">
                  <c:v>41827</c:v>
                </c:pt>
                <c:pt idx="164">
                  <c:v>41828</c:v>
                </c:pt>
                <c:pt idx="165">
                  <c:v>41829</c:v>
                </c:pt>
                <c:pt idx="166">
                  <c:v>41830</c:v>
                </c:pt>
                <c:pt idx="167">
                  <c:v>41831</c:v>
                </c:pt>
                <c:pt idx="168">
                  <c:v>41834</c:v>
                </c:pt>
                <c:pt idx="169">
                  <c:v>41835</c:v>
                </c:pt>
                <c:pt idx="170">
                  <c:v>41836</c:v>
                </c:pt>
                <c:pt idx="171">
                  <c:v>41837</c:v>
                </c:pt>
                <c:pt idx="172">
                  <c:v>41838</c:v>
                </c:pt>
                <c:pt idx="173">
                  <c:v>41841</c:v>
                </c:pt>
                <c:pt idx="174">
                  <c:v>41842</c:v>
                </c:pt>
                <c:pt idx="175">
                  <c:v>41843</c:v>
                </c:pt>
                <c:pt idx="176">
                  <c:v>41844</c:v>
                </c:pt>
                <c:pt idx="177">
                  <c:v>41845</c:v>
                </c:pt>
                <c:pt idx="178">
                  <c:v>41848</c:v>
                </c:pt>
                <c:pt idx="179">
                  <c:v>41849</c:v>
                </c:pt>
                <c:pt idx="180">
                  <c:v>41850</c:v>
                </c:pt>
                <c:pt idx="181">
                  <c:v>41851</c:v>
                </c:pt>
                <c:pt idx="182">
                  <c:v>41852</c:v>
                </c:pt>
                <c:pt idx="183">
                  <c:v>41855</c:v>
                </c:pt>
                <c:pt idx="184">
                  <c:v>41856</c:v>
                </c:pt>
                <c:pt idx="185">
                  <c:v>41857</c:v>
                </c:pt>
                <c:pt idx="186">
                  <c:v>41858</c:v>
                </c:pt>
                <c:pt idx="187">
                  <c:v>41859</c:v>
                </c:pt>
                <c:pt idx="188">
                  <c:v>41862</c:v>
                </c:pt>
                <c:pt idx="189">
                  <c:v>41863</c:v>
                </c:pt>
                <c:pt idx="190">
                  <c:v>41864</c:v>
                </c:pt>
                <c:pt idx="191">
                  <c:v>41865</c:v>
                </c:pt>
                <c:pt idx="192">
                  <c:v>41866</c:v>
                </c:pt>
                <c:pt idx="193">
                  <c:v>41869</c:v>
                </c:pt>
                <c:pt idx="194">
                  <c:v>41870</c:v>
                </c:pt>
                <c:pt idx="195">
                  <c:v>41871</c:v>
                </c:pt>
                <c:pt idx="196">
                  <c:v>41872</c:v>
                </c:pt>
                <c:pt idx="197">
                  <c:v>41873</c:v>
                </c:pt>
                <c:pt idx="198">
                  <c:v>41876</c:v>
                </c:pt>
                <c:pt idx="199">
                  <c:v>41877</c:v>
                </c:pt>
                <c:pt idx="200">
                  <c:v>41878</c:v>
                </c:pt>
                <c:pt idx="201">
                  <c:v>41879</c:v>
                </c:pt>
                <c:pt idx="202">
                  <c:v>41880</c:v>
                </c:pt>
                <c:pt idx="203">
                  <c:v>41884</c:v>
                </c:pt>
                <c:pt idx="204">
                  <c:v>41885</c:v>
                </c:pt>
                <c:pt idx="205">
                  <c:v>41886</c:v>
                </c:pt>
                <c:pt idx="206">
                  <c:v>41887</c:v>
                </c:pt>
                <c:pt idx="207">
                  <c:v>41890</c:v>
                </c:pt>
                <c:pt idx="208">
                  <c:v>41891</c:v>
                </c:pt>
                <c:pt idx="209">
                  <c:v>41892</c:v>
                </c:pt>
                <c:pt idx="210">
                  <c:v>41893</c:v>
                </c:pt>
                <c:pt idx="211">
                  <c:v>41894</c:v>
                </c:pt>
                <c:pt idx="212">
                  <c:v>41897</c:v>
                </c:pt>
                <c:pt idx="213">
                  <c:v>41898</c:v>
                </c:pt>
                <c:pt idx="214">
                  <c:v>41899</c:v>
                </c:pt>
                <c:pt idx="215">
                  <c:v>41900</c:v>
                </c:pt>
                <c:pt idx="216">
                  <c:v>41901</c:v>
                </c:pt>
                <c:pt idx="217">
                  <c:v>41904</c:v>
                </c:pt>
                <c:pt idx="218">
                  <c:v>41905</c:v>
                </c:pt>
                <c:pt idx="219">
                  <c:v>41906</c:v>
                </c:pt>
                <c:pt idx="220">
                  <c:v>41907</c:v>
                </c:pt>
                <c:pt idx="221">
                  <c:v>41908</c:v>
                </c:pt>
                <c:pt idx="222">
                  <c:v>41911</c:v>
                </c:pt>
                <c:pt idx="223">
                  <c:v>41912</c:v>
                </c:pt>
                <c:pt idx="224">
                  <c:v>41913</c:v>
                </c:pt>
                <c:pt idx="225">
                  <c:v>41914</c:v>
                </c:pt>
                <c:pt idx="226">
                  <c:v>41915</c:v>
                </c:pt>
                <c:pt idx="227">
                  <c:v>41918</c:v>
                </c:pt>
                <c:pt idx="228">
                  <c:v>41919</c:v>
                </c:pt>
                <c:pt idx="229">
                  <c:v>41920</c:v>
                </c:pt>
                <c:pt idx="230">
                  <c:v>41921</c:v>
                </c:pt>
                <c:pt idx="231">
                  <c:v>41922</c:v>
                </c:pt>
                <c:pt idx="232">
                  <c:v>41925</c:v>
                </c:pt>
                <c:pt idx="233">
                  <c:v>41926</c:v>
                </c:pt>
                <c:pt idx="234">
                  <c:v>41927</c:v>
                </c:pt>
                <c:pt idx="235">
                  <c:v>41928</c:v>
                </c:pt>
                <c:pt idx="236">
                  <c:v>41929</c:v>
                </c:pt>
                <c:pt idx="237">
                  <c:v>41932</c:v>
                </c:pt>
                <c:pt idx="238">
                  <c:v>41933</c:v>
                </c:pt>
                <c:pt idx="239">
                  <c:v>41934</c:v>
                </c:pt>
                <c:pt idx="240">
                  <c:v>41935</c:v>
                </c:pt>
                <c:pt idx="241">
                  <c:v>41936</c:v>
                </c:pt>
                <c:pt idx="242">
                  <c:v>41939</c:v>
                </c:pt>
                <c:pt idx="243">
                  <c:v>41940</c:v>
                </c:pt>
                <c:pt idx="244">
                  <c:v>41941</c:v>
                </c:pt>
                <c:pt idx="245">
                  <c:v>41942</c:v>
                </c:pt>
                <c:pt idx="246">
                  <c:v>41943</c:v>
                </c:pt>
                <c:pt idx="247">
                  <c:v>41946</c:v>
                </c:pt>
                <c:pt idx="248">
                  <c:v>41947</c:v>
                </c:pt>
                <c:pt idx="249">
                  <c:v>41948</c:v>
                </c:pt>
                <c:pt idx="250">
                  <c:v>41949</c:v>
                </c:pt>
                <c:pt idx="251">
                  <c:v>41950</c:v>
                </c:pt>
                <c:pt idx="252">
                  <c:v>41953</c:v>
                </c:pt>
                <c:pt idx="253">
                  <c:v>41954</c:v>
                </c:pt>
                <c:pt idx="254">
                  <c:v>41955</c:v>
                </c:pt>
                <c:pt idx="255">
                  <c:v>41956</c:v>
                </c:pt>
                <c:pt idx="256">
                  <c:v>41957</c:v>
                </c:pt>
                <c:pt idx="257">
                  <c:v>41960</c:v>
                </c:pt>
                <c:pt idx="258">
                  <c:v>41961</c:v>
                </c:pt>
                <c:pt idx="259">
                  <c:v>41962</c:v>
                </c:pt>
                <c:pt idx="260">
                  <c:v>41963</c:v>
                </c:pt>
                <c:pt idx="261">
                  <c:v>41964</c:v>
                </c:pt>
                <c:pt idx="262">
                  <c:v>41967</c:v>
                </c:pt>
                <c:pt idx="263">
                  <c:v>41968</c:v>
                </c:pt>
                <c:pt idx="264">
                  <c:v>41969</c:v>
                </c:pt>
                <c:pt idx="265">
                  <c:v>41971</c:v>
                </c:pt>
                <c:pt idx="266">
                  <c:v>41974</c:v>
                </c:pt>
                <c:pt idx="267">
                  <c:v>41975</c:v>
                </c:pt>
                <c:pt idx="268">
                  <c:v>41976</c:v>
                </c:pt>
                <c:pt idx="269">
                  <c:v>41977</c:v>
                </c:pt>
                <c:pt idx="270">
                  <c:v>41978</c:v>
                </c:pt>
                <c:pt idx="271">
                  <c:v>41981</c:v>
                </c:pt>
                <c:pt idx="272">
                  <c:v>41982</c:v>
                </c:pt>
                <c:pt idx="273">
                  <c:v>41983</c:v>
                </c:pt>
                <c:pt idx="274">
                  <c:v>41984</c:v>
                </c:pt>
                <c:pt idx="275">
                  <c:v>41985</c:v>
                </c:pt>
                <c:pt idx="276">
                  <c:v>41988</c:v>
                </c:pt>
                <c:pt idx="277">
                  <c:v>41989</c:v>
                </c:pt>
                <c:pt idx="278">
                  <c:v>41990</c:v>
                </c:pt>
                <c:pt idx="279">
                  <c:v>41991</c:v>
                </c:pt>
                <c:pt idx="280">
                  <c:v>41992</c:v>
                </c:pt>
                <c:pt idx="281">
                  <c:v>41995</c:v>
                </c:pt>
                <c:pt idx="282">
                  <c:v>41996</c:v>
                </c:pt>
                <c:pt idx="283">
                  <c:v>41997</c:v>
                </c:pt>
                <c:pt idx="284">
                  <c:v>41999</c:v>
                </c:pt>
                <c:pt idx="285">
                  <c:v>42002</c:v>
                </c:pt>
                <c:pt idx="286">
                  <c:v>42003</c:v>
                </c:pt>
                <c:pt idx="287">
                  <c:v>42004</c:v>
                </c:pt>
                <c:pt idx="288">
                  <c:v>42006</c:v>
                </c:pt>
                <c:pt idx="289">
                  <c:v>42009</c:v>
                </c:pt>
                <c:pt idx="290">
                  <c:v>42010</c:v>
                </c:pt>
                <c:pt idx="291">
                  <c:v>42011</c:v>
                </c:pt>
                <c:pt idx="292">
                  <c:v>42012</c:v>
                </c:pt>
                <c:pt idx="293">
                  <c:v>42013</c:v>
                </c:pt>
                <c:pt idx="294">
                  <c:v>42016</c:v>
                </c:pt>
                <c:pt idx="295">
                  <c:v>42017</c:v>
                </c:pt>
                <c:pt idx="296">
                  <c:v>42018</c:v>
                </c:pt>
                <c:pt idx="297">
                  <c:v>42019</c:v>
                </c:pt>
                <c:pt idx="298">
                  <c:v>42020</c:v>
                </c:pt>
                <c:pt idx="299">
                  <c:v>42024</c:v>
                </c:pt>
                <c:pt idx="300">
                  <c:v>42025</c:v>
                </c:pt>
                <c:pt idx="301">
                  <c:v>42026</c:v>
                </c:pt>
                <c:pt idx="302">
                  <c:v>42027</c:v>
                </c:pt>
                <c:pt idx="303">
                  <c:v>42030</c:v>
                </c:pt>
                <c:pt idx="304">
                  <c:v>42031</c:v>
                </c:pt>
                <c:pt idx="305">
                  <c:v>42032</c:v>
                </c:pt>
                <c:pt idx="306">
                  <c:v>42033</c:v>
                </c:pt>
                <c:pt idx="307">
                  <c:v>42034</c:v>
                </c:pt>
                <c:pt idx="308">
                  <c:v>42037</c:v>
                </c:pt>
                <c:pt idx="309">
                  <c:v>42038</c:v>
                </c:pt>
                <c:pt idx="310">
                  <c:v>42039</c:v>
                </c:pt>
                <c:pt idx="311">
                  <c:v>42040</c:v>
                </c:pt>
                <c:pt idx="312">
                  <c:v>42041</c:v>
                </c:pt>
                <c:pt idx="313">
                  <c:v>42044</c:v>
                </c:pt>
                <c:pt idx="314">
                  <c:v>42045</c:v>
                </c:pt>
                <c:pt idx="315">
                  <c:v>42046</c:v>
                </c:pt>
                <c:pt idx="316">
                  <c:v>42047</c:v>
                </c:pt>
                <c:pt idx="317">
                  <c:v>42048</c:v>
                </c:pt>
                <c:pt idx="318">
                  <c:v>42052</c:v>
                </c:pt>
                <c:pt idx="319">
                  <c:v>42053</c:v>
                </c:pt>
                <c:pt idx="320">
                  <c:v>42054</c:v>
                </c:pt>
                <c:pt idx="321">
                  <c:v>42055</c:v>
                </c:pt>
                <c:pt idx="322">
                  <c:v>42058</c:v>
                </c:pt>
                <c:pt idx="323">
                  <c:v>42059</c:v>
                </c:pt>
                <c:pt idx="324">
                  <c:v>42060</c:v>
                </c:pt>
                <c:pt idx="325">
                  <c:v>42061</c:v>
                </c:pt>
                <c:pt idx="326">
                  <c:v>42062</c:v>
                </c:pt>
                <c:pt idx="327">
                  <c:v>42065</c:v>
                </c:pt>
                <c:pt idx="328">
                  <c:v>42066</c:v>
                </c:pt>
                <c:pt idx="329">
                  <c:v>42067</c:v>
                </c:pt>
                <c:pt idx="330">
                  <c:v>42068</c:v>
                </c:pt>
                <c:pt idx="331">
                  <c:v>42069</c:v>
                </c:pt>
                <c:pt idx="332">
                  <c:v>42072</c:v>
                </c:pt>
                <c:pt idx="333">
                  <c:v>42073</c:v>
                </c:pt>
                <c:pt idx="334">
                  <c:v>42074</c:v>
                </c:pt>
                <c:pt idx="335">
                  <c:v>42075</c:v>
                </c:pt>
                <c:pt idx="336">
                  <c:v>42076</c:v>
                </c:pt>
                <c:pt idx="337">
                  <c:v>42079</c:v>
                </c:pt>
                <c:pt idx="338">
                  <c:v>42080</c:v>
                </c:pt>
                <c:pt idx="339">
                  <c:v>42081</c:v>
                </c:pt>
                <c:pt idx="340">
                  <c:v>42082</c:v>
                </c:pt>
                <c:pt idx="341">
                  <c:v>42083</c:v>
                </c:pt>
                <c:pt idx="342">
                  <c:v>42086</c:v>
                </c:pt>
                <c:pt idx="343">
                  <c:v>42087</c:v>
                </c:pt>
                <c:pt idx="344">
                  <c:v>42088</c:v>
                </c:pt>
                <c:pt idx="345">
                  <c:v>42089</c:v>
                </c:pt>
                <c:pt idx="346">
                  <c:v>42090</c:v>
                </c:pt>
                <c:pt idx="347">
                  <c:v>42093</c:v>
                </c:pt>
                <c:pt idx="348">
                  <c:v>42094</c:v>
                </c:pt>
                <c:pt idx="349">
                  <c:v>42095</c:v>
                </c:pt>
                <c:pt idx="350">
                  <c:v>42096</c:v>
                </c:pt>
                <c:pt idx="351">
                  <c:v>42100</c:v>
                </c:pt>
                <c:pt idx="352">
                  <c:v>42101</c:v>
                </c:pt>
                <c:pt idx="353">
                  <c:v>42102</c:v>
                </c:pt>
                <c:pt idx="354">
                  <c:v>42103</c:v>
                </c:pt>
                <c:pt idx="355">
                  <c:v>42104</c:v>
                </c:pt>
                <c:pt idx="356">
                  <c:v>42107</c:v>
                </c:pt>
                <c:pt idx="357">
                  <c:v>42108</c:v>
                </c:pt>
                <c:pt idx="358">
                  <c:v>42109</c:v>
                </c:pt>
                <c:pt idx="359">
                  <c:v>42110</c:v>
                </c:pt>
                <c:pt idx="360">
                  <c:v>42111</c:v>
                </c:pt>
                <c:pt idx="361">
                  <c:v>42114</c:v>
                </c:pt>
                <c:pt idx="362">
                  <c:v>42115</c:v>
                </c:pt>
                <c:pt idx="363">
                  <c:v>42116</c:v>
                </c:pt>
                <c:pt idx="364">
                  <c:v>42117</c:v>
                </c:pt>
                <c:pt idx="365">
                  <c:v>42118</c:v>
                </c:pt>
                <c:pt idx="366">
                  <c:v>42121</c:v>
                </c:pt>
                <c:pt idx="367">
                  <c:v>42122</c:v>
                </c:pt>
                <c:pt idx="368">
                  <c:v>42123</c:v>
                </c:pt>
                <c:pt idx="369">
                  <c:v>42124</c:v>
                </c:pt>
                <c:pt idx="370">
                  <c:v>42125</c:v>
                </c:pt>
                <c:pt idx="371">
                  <c:v>42128</c:v>
                </c:pt>
                <c:pt idx="372">
                  <c:v>42129</c:v>
                </c:pt>
                <c:pt idx="373">
                  <c:v>42130</c:v>
                </c:pt>
                <c:pt idx="374">
                  <c:v>42131</c:v>
                </c:pt>
                <c:pt idx="375">
                  <c:v>42132</c:v>
                </c:pt>
                <c:pt idx="376">
                  <c:v>42135</c:v>
                </c:pt>
                <c:pt idx="377">
                  <c:v>42136</c:v>
                </c:pt>
                <c:pt idx="378">
                  <c:v>42137</c:v>
                </c:pt>
                <c:pt idx="379">
                  <c:v>42138</c:v>
                </c:pt>
                <c:pt idx="380">
                  <c:v>42139</c:v>
                </c:pt>
                <c:pt idx="381">
                  <c:v>42142</c:v>
                </c:pt>
                <c:pt idx="382">
                  <c:v>42143</c:v>
                </c:pt>
                <c:pt idx="383">
                  <c:v>42144</c:v>
                </c:pt>
                <c:pt idx="384">
                  <c:v>42145</c:v>
                </c:pt>
                <c:pt idx="385">
                  <c:v>42146</c:v>
                </c:pt>
                <c:pt idx="386">
                  <c:v>42150</c:v>
                </c:pt>
                <c:pt idx="387">
                  <c:v>42151</c:v>
                </c:pt>
                <c:pt idx="388">
                  <c:v>42152</c:v>
                </c:pt>
                <c:pt idx="389">
                  <c:v>42153</c:v>
                </c:pt>
                <c:pt idx="390">
                  <c:v>42156</c:v>
                </c:pt>
                <c:pt idx="391">
                  <c:v>42157</c:v>
                </c:pt>
                <c:pt idx="392">
                  <c:v>42158</c:v>
                </c:pt>
                <c:pt idx="393">
                  <c:v>42159</c:v>
                </c:pt>
                <c:pt idx="394">
                  <c:v>42160</c:v>
                </c:pt>
                <c:pt idx="395">
                  <c:v>42163</c:v>
                </c:pt>
                <c:pt idx="396">
                  <c:v>42164</c:v>
                </c:pt>
                <c:pt idx="397">
                  <c:v>42165</c:v>
                </c:pt>
                <c:pt idx="398">
                  <c:v>42166</c:v>
                </c:pt>
                <c:pt idx="399">
                  <c:v>42167</c:v>
                </c:pt>
                <c:pt idx="400">
                  <c:v>42170</c:v>
                </c:pt>
                <c:pt idx="401">
                  <c:v>42171</c:v>
                </c:pt>
                <c:pt idx="402">
                  <c:v>42172</c:v>
                </c:pt>
                <c:pt idx="403">
                  <c:v>42173</c:v>
                </c:pt>
                <c:pt idx="404">
                  <c:v>42174</c:v>
                </c:pt>
                <c:pt idx="405">
                  <c:v>42177</c:v>
                </c:pt>
                <c:pt idx="406">
                  <c:v>42178</c:v>
                </c:pt>
                <c:pt idx="407">
                  <c:v>42179</c:v>
                </c:pt>
                <c:pt idx="408">
                  <c:v>42180</c:v>
                </c:pt>
                <c:pt idx="409">
                  <c:v>42181</c:v>
                </c:pt>
                <c:pt idx="410">
                  <c:v>42184</c:v>
                </c:pt>
                <c:pt idx="411">
                  <c:v>42185</c:v>
                </c:pt>
                <c:pt idx="412">
                  <c:v>42186</c:v>
                </c:pt>
                <c:pt idx="413">
                  <c:v>42187</c:v>
                </c:pt>
                <c:pt idx="414">
                  <c:v>42191</c:v>
                </c:pt>
                <c:pt idx="415">
                  <c:v>42192</c:v>
                </c:pt>
                <c:pt idx="416">
                  <c:v>42193</c:v>
                </c:pt>
                <c:pt idx="417">
                  <c:v>42194</c:v>
                </c:pt>
                <c:pt idx="418">
                  <c:v>42195</c:v>
                </c:pt>
                <c:pt idx="419">
                  <c:v>42198</c:v>
                </c:pt>
                <c:pt idx="420">
                  <c:v>42199</c:v>
                </c:pt>
                <c:pt idx="421">
                  <c:v>42200</c:v>
                </c:pt>
                <c:pt idx="422">
                  <c:v>42201</c:v>
                </c:pt>
                <c:pt idx="423">
                  <c:v>42202</c:v>
                </c:pt>
                <c:pt idx="424">
                  <c:v>42205</c:v>
                </c:pt>
                <c:pt idx="425">
                  <c:v>42206</c:v>
                </c:pt>
                <c:pt idx="426">
                  <c:v>42207</c:v>
                </c:pt>
                <c:pt idx="427">
                  <c:v>42208</c:v>
                </c:pt>
                <c:pt idx="428">
                  <c:v>42209</c:v>
                </c:pt>
                <c:pt idx="429">
                  <c:v>42212</c:v>
                </c:pt>
                <c:pt idx="430">
                  <c:v>42213</c:v>
                </c:pt>
                <c:pt idx="431">
                  <c:v>42214</c:v>
                </c:pt>
                <c:pt idx="432">
                  <c:v>42215</c:v>
                </c:pt>
                <c:pt idx="433">
                  <c:v>42216</c:v>
                </c:pt>
                <c:pt idx="434">
                  <c:v>42219</c:v>
                </c:pt>
                <c:pt idx="435">
                  <c:v>42220</c:v>
                </c:pt>
                <c:pt idx="436">
                  <c:v>42221</c:v>
                </c:pt>
                <c:pt idx="437">
                  <c:v>42222</c:v>
                </c:pt>
                <c:pt idx="438">
                  <c:v>42223</c:v>
                </c:pt>
                <c:pt idx="439">
                  <c:v>42226</c:v>
                </c:pt>
                <c:pt idx="440">
                  <c:v>42227</c:v>
                </c:pt>
                <c:pt idx="441">
                  <c:v>42228</c:v>
                </c:pt>
                <c:pt idx="442">
                  <c:v>42229</c:v>
                </c:pt>
                <c:pt idx="443">
                  <c:v>42230</c:v>
                </c:pt>
                <c:pt idx="444">
                  <c:v>42233</c:v>
                </c:pt>
                <c:pt idx="445">
                  <c:v>42234</c:v>
                </c:pt>
                <c:pt idx="446">
                  <c:v>42235</c:v>
                </c:pt>
                <c:pt idx="447">
                  <c:v>42236</c:v>
                </c:pt>
                <c:pt idx="448">
                  <c:v>42237</c:v>
                </c:pt>
                <c:pt idx="449">
                  <c:v>42240</c:v>
                </c:pt>
                <c:pt idx="450">
                  <c:v>42241</c:v>
                </c:pt>
                <c:pt idx="451">
                  <c:v>42242</c:v>
                </c:pt>
                <c:pt idx="452">
                  <c:v>42243</c:v>
                </c:pt>
                <c:pt idx="453">
                  <c:v>42244</c:v>
                </c:pt>
                <c:pt idx="454">
                  <c:v>42247</c:v>
                </c:pt>
                <c:pt idx="455">
                  <c:v>42248</c:v>
                </c:pt>
                <c:pt idx="456">
                  <c:v>42249</c:v>
                </c:pt>
                <c:pt idx="457">
                  <c:v>42250</c:v>
                </c:pt>
                <c:pt idx="458">
                  <c:v>42251</c:v>
                </c:pt>
                <c:pt idx="459">
                  <c:v>42255</c:v>
                </c:pt>
                <c:pt idx="460">
                  <c:v>42256</c:v>
                </c:pt>
                <c:pt idx="461">
                  <c:v>42257</c:v>
                </c:pt>
                <c:pt idx="462">
                  <c:v>42258</c:v>
                </c:pt>
                <c:pt idx="463">
                  <c:v>42261</c:v>
                </c:pt>
                <c:pt idx="464">
                  <c:v>42262</c:v>
                </c:pt>
                <c:pt idx="465">
                  <c:v>42263</c:v>
                </c:pt>
                <c:pt idx="466">
                  <c:v>42264</c:v>
                </c:pt>
                <c:pt idx="467">
                  <c:v>42265</c:v>
                </c:pt>
                <c:pt idx="468">
                  <c:v>42268</c:v>
                </c:pt>
                <c:pt idx="469">
                  <c:v>42269</c:v>
                </c:pt>
                <c:pt idx="470">
                  <c:v>42270</c:v>
                </c:pt>
                <c:pt idx="471">
                  <c:v>42271</c:v>
                </c:pt>
                <c:pt idx="472">
                  <c:v>42272</c:v>
                </c:pt>
                <c:pt idx="473">
                  <c:v>42275</c:v>
                </c:pt>
                <c:pt idx="474">
                  <c:v>42276</c:v>
                </c:pt>
                <c:pt idx="475">
                  <c:v>42277</c:v>
                </c:pt>
                <c:pt idx="476">
                  <c:v>42278</c:v>
                </c:pt>
                <c:pt idx="477">
                  <c:v>42279</c:v>
                </c:pt>
                <c:pt idx="478">
                  <c:v>42282</c:v>
                </c:pt>
                <c:pt idx="479">
                  <c:v>42283</c:v>
                </c:pt>
                <c:pt idx="480">
                  <c:v>42284</c:v>
                </c:pt>
                <c:pt idx="481">
                  <c:v>42285</c:v>
                </c:pt>
                <c:pt idx="482">
                  <c:v>42286</c:v>
                </c:pt>
                <c:pt idx="483">
                  <c:v>42289</c:v>
                </c:pt>
                <c:pt idx="484">
                  <c:v>42290</c:v>
                </c:pt>
                <c:pt idx="485">
                  <c:v>42291</c:v>
                </c:pt>
                <c:pt idx="486">
                  <c:v>42292</c:v>
                </c:pt>
                <c:pt idx="487">
                  <c:v>42293</c:v>
                </c:pt>
                <c:pt idx="488">
                  <c:v>42296</c:v>
                </c:pt>
                <c:pt idx="489">
                  <c:v>42297</c:v>
                </c:pt>
                <c:pt idx="490">
                  <c:v>42298</c:v>
                </c:pt>
                <c:pt idx="491">
                  <c:v>42299</c:v>
                </c:pt>
                <c:pt idx="492">
                  <c:v>42300</c:v>
                </c:pt>
                <c:pt idx="493">
                  <c:v>42303</c:v>
                </c:pt>
                <c:pt idx="494">
                  <c:v>42304</c:v>
                </c:pt>
                <c:pt idx="495">
                  <c:v>42305</c:v>
                </c:pt>
                <c:pt idx="496">
                  <c:v>42306</c:v>
                </c:pt>
                <c:pt idx="497">
                  <c:v>42307</c:v>
                </c:pt>
                <c:pt idx="498">
                  <c:v>42310</c:v>
                </c:pt>
                <c:pt idx="499">
                  <c:v>42311</c:v>
                </c:pt>
                <c:pt idx="500">
                  <c:v>42312</c:v>
                </c:pt>
                <c:pt idx="501">
                  <c:v>42313</c:v>
                </c:pt>
                <c:pt idx="502">
                  <c:v>42314</c:v>
                </c:pt>
                <c:pt idx="503">
                  <c:v>42317</c:v>
                </c:pt>
                <c:pt idx="504">
                  <c:v>42318</c:v>
                </c:pt>
                <c:pt idx="505">
                  <c:v>42319</c:v>
                </c:pt>
                <c:pt idx="506">
                  <c:v>42320</c:v>
                </c:pt>
                <c:pt idx="507">
                  <c:v>42321</c:v>
                </c:pt>
                <c:pt idx="508">
                  <c:v>42324</c:v>
                </c:pt>
                <c:pt idx="509">
                  <c:v>42325</c:v>
                </c:pt>
                <c:pt idx="510">
                  <c:v>42326</c:v>
                </c:pt>
                <c:pt idx="511">
                  <c:v>42327</c:v>
                </c:pt>
                <c:pt idx="512">
                  <c:v>42328</c:v>
                </c:pt>
                <c:pt idx="513">
                  <c:v>42331</c:v>
                </c:pt>
                <c:pt idx="514">
                  <c:v>42332</c:v>
                </c:pt>
                <c:pt idx="515">
                  <c:v>42333</c:v>
                </c:pt>
                <c:pt idx="516">
                  <c:v>42335</c:v>
                </c:pt>
                <c:pt idx="517">
                  <c:v>42338</c:v>
                </c:pt>
                <c:pt idx="518">
                  <c:v>42339</c:v>
                </c:pt>
                <c:pt idx="519">
                  <c:v>42340</c:v>
                </c:pt>
                <c:pt idx="520">
                  <c:v>42341</c:v>
                </c:pt>
                <c:pt idx="521">
                  <c:v>42342</c:v>
                </c:pt>
                <c:pt idx="522">
                  <c:v>42345</c:v>
                </c:pt>
                <c:pt idx="523">
                  <c:v>42346</c:v>
                </c:pt>
                <c:pt idx="524">
                  <c:v>42347</c:v>
                </c:pt>
                <c:pt idx="525">
                  <c:v>42348</c:v>
                </c:pt>
                <c:pt idx="526">
                  <c:v>42349</c:v>
                </c:pt>
                <c:pt idx="527">
                  <c:v>42352</c:v>
                </c:pt>
                <c:pt idx="528">
                  <c:v>42353</c:v>
                </c:pt>
                <c:pt idx="529">
                  <c:v>42354</c:v>
                </c:pt>
                <c:pt idx="530">
                  <c:v>42355</c:v>
                </c:pt>
                <c:pt idx="531">
                  <c:v>42356</c:v>
                </c:pt>
                <c:pt idx="532">
                  <c:v>42359</c:v>
                </c:pt>
                <c:pt idx="533">
                  <c:v>42360</c:v>
                </c:pt>
                <c:pt idx="534">
                  <c:v>42361</c:v>
                </c:pt>
                <c:pt idx="535">
                  <c:v>42362</c:v>
                </c:pt>
                <c:pt idx="536">
                  <c:v>42366</c:v>
                </c:pt>
                <c:pt idx="537">
                  <c:v>42367</c:v>
                </c:pt>
                <c:pt idx="538">
                  <c:v>42368</c:v>
                </c:pt>
                <c:pt idx="539">
                  <c:v>42369</c:v>
                </c:pt>
                <c:pt idx="540">
                  <c:v>42373</c:v>
                </c:pt>
                <c:pt idx="541">
                  <c:v>42374</c:v>
                </c:pt>
                <c:pt idx="542">
                  <c:v>42375</c:v>
                </c:pt>
                <c:pt idx="543">
                  <c:v>42376</c:v>
                </c:pt>
                <c:pt idx="544">
                  <c:v>42377</c:v>
                </c:pt>
                <c:pt idx="545">
                  <c:v>42380</c:v>
                </c:pt>
                <c:pt idx="546">
                  <c:v>42381</c:v>
                </c:pt>
                <c:pt idx="547">
                  <c:v>42382</c:v>
                </c:pt>
                <c:pt idx="548">
                  <c:v>42383</c:v>
                </c:pt>
                <c:pt idx="549">
                  <c:v>42384</c:v>
                </c:pt>
                <c:pt idx="550">
                  <c:v>42388</c:v>
                </c:pt>
                <c:pt idx="551">
                  <c:v>42389</c:v>
                </c:pt>
                <c:pt idx="552">
                  <c:v>42390</c:v>
                </c:pt>
                <c:pt idx="553">
                  <c:v>42391</c:v>
                </c:pt>
                <c:pt idx="554">
                  <c:v>42394</c:v>
                </c:pt>
                <c:pt idx="555">
                  <c:v>42395</c:v>
                </c:pt>
                <c:pt idx="556">
                  <c:v>42396</c:v>
                </c:pt>
                <c:pt idx="557">
                  <c:v>42397</c:v>
                </c:pt>
                <c:pt idx="558">
                  <c:v>42398</c:v>
                </c:pt>
                <c:pt idx="559">
                  <c:v>42401</c:v>
                </c:pt>
                <c:pt idx="560">
                  <c:v>42402</c:v>
                </c:pt>
                <c:pt idx="561">
                  <c:v>42403</c:v>
                </c:pt>
                <c:pt idx="562">
                  <c:v>42404</c:v>
                </c:pt>
                <c:pt idx="563">
                  <c:v>42405</c:v>
                </c:pt>
                <c:pt idx="564">
                  <c:v>42408</c:v>
                </c:pt>
                <c:pt idx="565">
                  <c:v>42409</c:v>
                </c:pt>
                <c:pt idx="566">
                  <c:v>42410</c:v>
                </c:pt>
                <c:pt idx="567">
                  <c:v>42411</c:v>
                </c:pt>
                <c:pt idx="568">
                  <c:v>42412</c:v>
                </c:pt>
                <c:pt idx="569">
                  <c:v>42416</c:v>
                </c:pt>
                <c:pt idx="570">
                  <c:v>42417</c:v>
                </c:pt>
                <c:pt idx="571">
                  <c:v>42418</c:v>
                </c:pt>
                <c:pt idx="572">
                  <c:v>42419</c:v>
                </c:pt>
                <c:pt idx="573">
                  <c:v>42422</c:v>
                </c:pt>
                <c:pt idx="574">
                  <c:v>42423</c:v>
                </c:pt>
                <c:pt idx="575">
                  <c:v>42424</c:v>
                </c:pt>
                <c:pt idx="576">
                  <c:v>42425</c:v>
                </c:pt>
                <c:pt idx="577">
                  <c:v>42426</c:v>
                </c:pt>
                <c:pt idx="578">
                  <c:v>42429</c:v>
                </c:pt>
                <c:pt idx="579">
                  <c:v>42430</c:v>
                </c:pt>
                <c:pt idx="580">
                  <c:v>42431</c:v>
                </c:pt>
                <c:pt idx="581">
                  <c:v>42432</c:v>
                </c:pt>
                <c:pt idx="582">
                  <c:v>42433</c:v>
                </c:pt>
                <c:pt idx="583">
                  <c:v>42436</c:v>
                </c:pt>
                <c:pt idx="584">
                  <c:v>42437</c:v>
                </c:pt>
                <c:pt idx="585">
                  <c:v>42438</c:v>
                </c:pt>
                <c:pt idx="586">
                  <c:v>42439</c:v>
                </c:pt>
                <c:pt idx="587">
                  <c:v>42440</c:v>
                </c:pt>
                <c:pt idx="588">
                  <c:v>42443</c:v>
                </c:pt>
                <c:pt idx="589">
                  <c:v>42444</c:v>
                </c:pt>
                <c:pt idx="590">
                  <c:v>42445</c:v>
                </c:pt>
                <c:pt idx="591">
                  <c:v>42446</c:v>
                </c:pt>
                <c:pt idx="592">
                  <c:v>42447</c:v>
                </c:pt>
                <c:pt idx="593">
                  <c:v>42450</c:v>
                </c:pt>
                <c:pt idx="594">
                  <c:v>42451</c:v>
                </c:pt>
                <c:pt idx="595">
                  <c:v>42452</c:v>
                </c:pt>
                <c:pt idx="596">
                  <c:v>42453</c:v>
                </c:pt>
                <c:pt idx="597">
                  <c:v>42457</c:v>
                </c:pt>
                <c:pt idx="598">
                  <c:v>42458</c:v>
                </c:pt>
                <c:pt idx="599">
                  <c:v>42459</c:v>
                </c:pt>
                <c:pt idx="600">
                  <c:v>42460</c:v>
                </c:pt>
                <c:pt idx="601">
                  <c:v>42461</c:v>
                </c:pt>
                <c:pt idx="602">
                  <c:v>42464</c:v>
                </c:pt>
                <c:pt idx="603">
                  <c:v>42465</c:v>
                </c:pt>
                <c:pt idx="604">
                  <c:v>42466</c:v>
                </c:pt>
                <c:pt idx="605">
                  <c:v>42467</c:v>
                </c:pt>
                <c:pt idx="606">
                  <c:v>42468</c:v>
                </c:pt>
                <c:pt idx="607">
                  <c:v>42471</c:v>
                </c:pt>
                <c:pt idx="608">
                  <c:v>42472</c:v>
                </c:pt>
                <c:pt idx="609">
                  <c:v>42473</c:v>
                </c:pt>
                <c:pt idx="610">
                  <c:v>42474</c:v>
                </c:pt>
                <c:pt idx="611">
                  <c:v>42475</c:v>
                </c:pt>
                <c:pt idx="612">
                  <c:v>42478</c:v>
                </c:pt>
                <c:pt idx="613">
                  <c:v>42479</c:v>
                </c:pt>
                <c:pt idx="614">
                  <c:v>42480</c:v>
                </c:pt>
                <c:pt idx="615">
                  <c:v>42481</c:v>
                </c:pt>
                <c:pt idx="616">
                  <c:v>42482</c:v>
                </c:pt>
                <c:pt idx="617">
                  <c:v>42485</c:v>
                </c:pt>
                <c:pt idx="618">
                  <c:v>42486</c:v>
                </c:pt>
                <c:pt idx="619">
                  <c:v>42487</c:v>
                </c:pt>
                <c:pt idx="620">
                  <c:v>42488</c:v>
                </c:pt>
                <c:pt idx="621">
                  <c:v>42489</c:v>
                </c:pt>
                <c:pt idx="622">
                  <c:v>42492</c:v>
                </c:pt>
                <c:pt idx="623">
                  <c:v>42493</c:v>
                </c:pt>
                <c:pt idx="624">
                  <c:v>42494</c:v>
                </c:pt>
                <c:pt idx="625">
                  <c:v>42495</c:v>
                </c:pt>
                <c:pt idx="626">
                  <c:v>42496</c:v>
                </c:pt>
                <c:pt idx="627">
                  <c:v>42499</c:v>
                </c:pt>
                <c:pt idx="628">
                  <c:v>42500</c:v>
                </c:pt>
                <c:pt idx="629">
                  <c:v>42501</c:v>
                </c:pt>
                <c:pt idx="630">
                  <c:v>42502</c:v>
                </c:pt>
                <c:pt idx="631">
                  <c:v>42503</c:v>
                </c:pt>
                <c:pt idx="632">
                  <c:v>42506</c:v>
                </c:pt>
                <c:pt idx="633">
                  <c:v>42507</c:v>
                </c:pt>
                <c:pt idx="634">
                  <c:v>42508</c:v>
                </c:pt>
                <c:pt idx="635">
                  <c:v>42509</c:v>
                </c:pt>
                <c:pt idx="636">
                  <c:v>42510</c:v>
                </c:pt>
                <c:pt idx="637">
                  <c:v>42513</c:v>
                </c:pt>
                <c:pt idx="638">
                  <c:v>42514</c:v>
                </c:pt>
                <c:pt idx="639">
                  <c:v>42515</c:v>
                </c:pt>
                <c:pt idx="640">
                  <c:v>42516</c:v>
                </c:pt>
                <c:pt idx="641">
                  <c:v>42517</c:v>
                </c:pt>
                <c:pt idx="642">
                  <c:v>42521</c:v>
                </c:pt>
                <c:pt idx="643">
                  <c:v>42522</c:v>
                </c:pt>
                <c:pt idx="644">
                  <c:v>42523</c:v>
                </c:pt>
                <c:pt idx="645">
                  <c:v>42524</c:v>
                </c:pt>
                <c:pt idx="646">
                  <c:v>42527</c:v>
                </c:pt>
                <c:pt idx="647">
                  <c:v>42528</c:v>
                </c:pt>
                <c:pt idx="648">
                  <c:v>42529</c:v>
                </c:pt>
                <c:pt idx="649">
                  <c:v>42530</c:v>
                </c:pt>
                <c:pt idx="650">
                  <c:v>42531</c:v>
                </c:pt>
                <c:pt idx="651">
                  <c:v>42534</c:v>
                </c:pt>
                <c:pt idx="652">
                  <c:v>42535</c:v>
                </c:pt>
                <c:pt idx="653">
                  <c:v>42536</c:v>
                </c:pt>
                <c:pt idx="654">
                  <c:v>42537</c:v>
                </c:pt>
                <c:pt idx="655">
                  <c:v>42538</c:v>
                </c:pt>
                <c:pt idx="656">
                  <c:v>42541</c:v>
                </c:pt>
                <c:pt idx="657">
                  <c:v>42542</c:v>
                </c:pt>
                <c:pt idx="658">
                  <c:v>42543</c:v>
                </c:pt>
                <c:pt idx="659">
                  <c:v>42544</c:v>
                </c:pt>
                <c:pt idx="660">
                  <c:v>42545</c:v>
                </c:pt>
                <c:pt idx="661">
                  <c:v>42548</c:v>
                </c:pt>
                <c:pt idx="662">
                  <c:v>42549</c:v>
                </c:pt>
                <c:pt idx="663">
                  <c:v>42550</c:v>
                </c:pt>
                <c:pt idx="664">
                  <c:v>42551</c:v>
                </c:pt>
                <c:pt idx="665">
                  <c:v>42552</c:v>
                </c:pt>
                <c:pt idx="666">
                  <c:v>42556</c:v>
                </c:pt>
                <c:pt idx="667">
                  <c:v>42557</c:v>
                </c:pt>
                <c:pt idx="668">
                  <c:v>42558</c:v>
                </c:pt>
                <c:pt idx="669">
                  <c:v>42559</c:v>
                </c:pt>
                <c:pt idx="670">
                  <c:v>42562</c:v>
                </c:pt>
                <c:pt idx="671">
                  <c:v>42563</c:v>
                </c:pt>
                <c:pt idx="672">
                  <c:v>42564</c:v>
                </c:pt>
                <c:pt idx="673">
                  <c:v>42565</c:v>
                </c:pt>
                <c:pt idx="674">
                  <c:v>42566</c:v>
                </c:pt>
                <c:pt idx="675">
                  <c:v>42569</c:v>
                </c:pt>
                <c:pt idx="676">
                  <c:v>42570</c:v>
                </c:pt>
                <c:pt idx="677">
                  <c:v>42571</c:v>
                </c:pt>
                <c:pt idx="678">
                  <c:v>42572</c:v>
                </c:pt>
                <c:pt idx="679">
                  <c:v>42573</c:v>
                </c:pt>
                <c:pt idx="680">
                  <c:v>42576</c:v>
                </c:pt>
                <c:pt idx="681">
                  <c:v>42577</c:v>
                </c:pt>
                <c:pt idx="682">
                  <c:v>42578</c:v>
                </c:pt>
                <c:pt idx="683">
                  <c:v>42579</c:v>
                </c:pt>
                <c:pt idx="684">
                  <c:v>42580</c:v>
                </c:pt>
                <c:pt idx="685">
                  <c:v>42583</c:v>
                </c:pt>
                <c:pt idx="686">
                  <c:v>42584</c:v>
                </c:pt>
                <c:pt idx="687">
                  <c:v>42585</c:v>
                </c:pt>
                <c:pt idx="688">
                  <c:v>42586</c:v>
                </c:pt>
                <c:pt idx="689">
                  <c:v>42587</c:v>
                </c:pt>
                <c:pt idx="690">
                  <c:v>42590</c:v>
                </c:pt>
                <c:pt idx="691">
                  <c:v>42591</c:v>
                </c:pt>
                <c:pt idx="692">
                  <c:v>42592</c:v>
                </c:pt>
                <c:pt idx="693">
                  <c:v>42593</c:v>
                </c:pt>
                <c:pt idx="694">
                  <c:v>42594</c:v>
                </c:pt>
                <c:pt idx="695">
                  <c:v>42597</c:v>
                </c:pt>
                <c:pt idx="696">
                  <c:v>42598</c:v>
                </c:pt>
                <c:pt idx="697">
                  <c:v>42599</c:v>
                </c:pt>
                <c:pt idx="698">
                  <c:v>42600</c:v>
                </c:pt>
                <c:pt idx="699">
                  <c:v>42601</c:v>
                </c:pt>
                <c:pt idx="700">
                  <c:v>42604</c:v>
                </c:pt>
                <c:pt idx="701">
                  <c:v>42605</c:v>
                </c:pt>
                <c:pt idx="702">
                  <c:v>42606</c:v>
                </c:pt>
                <c:pt idx="703">
                  <c:v>42607</c:v>
                </c:pt>
                <c:pt idx="704">
                  <c:v>42608</c:v>
                </c:pt>
                <c:pt idx="705">
                  <c:v>42611</c:v>
                </c:pt>
                <c:pt idx="706">
                  <c:v>42612</c:v>
                </c:pt>
                <c:pt idx="707">
                  <c:v>42613</c:v>
                </c:pt>
                <c:pt idx="708">
                  <c:v>42614</c:v>
                </c:pt>
                <c:pt idx="709">
                  <c:v>42615</c:v>
                </c:pt>
                <c:pt idx="710">
                  <c:v>42619</c:v>
                </c:pt>
                <c:pt idx="711">
                  <c:v>42620</c:v>
                </c:pt>
                <c:pt idx="712">
                  <c:v>42621</c:v>
                </c:pt>
                <c:pt idx="713">
                  <c:v>42622</c:v>
                </c:pt>
                <c:pt idx="714">
                  <c:v>42625</c:v>
                </c:pt>
                <c:pt idx="715">
                  <c:v>42626</c:v>
                </c:pt>
                <c:pt idx="716">
                  <c:v>42627</c:v>
                </c:pt>
                <c:pt idx="717">
                  <c:v>42628</c:v>
                </c:pt>
                <c:pt idx="718">
                  <c:v>42629</c:v>
                </c:pt>
                <c:pt idx="719">
                  <c:v>42632</c:v>
                </c:pt>
                <c:pt idx="720">
                  <c:v>42633</c:v>
                </c:pt>
                <c:pt idx="721">
                  <c:v>42634</c:v>
                </c:pt>
                <c:pt idx="722">
                  <c:v>42635</c:v>
                </c:pt>
                <c:pt idx="723">
                  <c:v>42636</c:v>
                </c:pt>
                <c:pt idx="724">
                  <c:v>42639</c:v>
                </c:pt>
                <c:pt idx="725">
                  <c:v>42640</c:v>
                </c:pt>
                <c:pt idx="726">
                  <c:v>42641</c:v>
                </c:pt>
                <c:pt idx="727">
                  <c:v>42642</c:v>
                </c:pt>
                <c:pt idx="728">
                  <c:v>42643</c:v>
                </c:pt>
                <c:pt idx="729">
                  <c:v>42646</c:v>
                </c:pt>
                <c:pt idx="730">
                  <c:v>42647</c:v>
                </c:pt>
                <c:pt idx="731">
                  <c:v>42648</c:v>
                </c:pt>
                <c:pt idx="732">
                  <c:v>42649</c:v>
                </c:pt>
                <c:pt idx="733">
                  <c:v>42650</c:v>
                </c:pt>
                <c:pt idx="734">
                  <c:v>42653</c:v>
                </c:pt>
                <c:pt idx="735">
                  <c:v>42654</c:v>
                </c:pt>
                <c:pt idx="736">
                  <c:v>42655</c:v>
                </c:pt>
                <c:pt idx="737">
                  <c:v>42656</c:v>
                </c:pt>
                <c:pt idx="738">
                  <c:v>42657</c:v>
                </c:pt>
                <c:pt idx="739">
                  <c:v>42660</c:v>
                </c:pt>
                <c:pt idx="740">
                  <c:v>42661</c:v>
                </c:pt>
                <c:pt idx="741">
                  <c:v>42662</c:v>
                </c:pt>
                <c:pt idx="742">
                  <c:v>42663</c:v>
                </c:pt>
                <c:pt idx="743">
                  <c:v>42664</c:v>
                </c:pt>
                <c:pt idx="744">
                  <c:v>42667</c:v>
                </c:pt>
                <c:pt idx="745">
                  <c:v>42668</c:v>
                </c:pt>
                <c:pt idx="746">
                  <c:v>42669</c:v>
                </c:pt>
                <c:pt idx="747">
                  <c:v>42670</c:v>
                </c:pt>
                <c:pt idx="748">
                  <c:v>42671</c:v>
                </c:pt>
                <c:pt idx="749">
                  <c:v>42674</c:v>
                </c:pt>
                <c:pt idx="750">
                  <c:v>42675</c:v>
                </c:pt>
                <c:pt idx="751">
                  <c:v>42676</c:v>
                </c:pt>
                <c:pt idx="752">
                  <c:v>42677</c:v>
                </c:pt>
                <c:pt idx="753">
                  <c:v>42678</c:v>
                </c:pt>
                <c:pt idx="754">
                  <c:v>42681</c:v>
                </c:pt>
                <c:pt idx="755">
                  <c:v>42682</c:v>
                </c:pt>
                <c:pt idx="756">
                  <c:v>42683</c:v>
                </c:pt>
                <c:pt idx="757">
                  <c:v>42684</c:v>
                </c:pt>
                <c:pt idx="758">
                  <c:v>42685</c:v>
                </c:pt>
                <c:pt idx="759">
                  <c:v>42688</c:v>
                </c:pt>
                <c:pt idx="760">
                  <c:v>42689</c:v>
                </c:pt>
                <c:pt idx="761">
                  <c:v>42690</c:v>
                </c:pt>
                <c:pt idx="762">
                  <c:v>42691</c:v>
                </c:pt>
                <c:pt idx="763">
                  <c:v>42692</c:v>
                </c:pt>
                <c:pt idx="764">
                  <c:v>42695</c:v>
                </c:pt>
                <c:pt idx="765">
                  <c:v>42696</c:v>
                </c:pt>
                <c:pt idx="766">
                  <c:v>42697</c:v>
                </c:pt>
                <c:pt idx="767">
                  <c:v>42699</c:v>
                </c:pt>
                <c:pt idx="768">
                  <c:v>42702</c:v>
                </c:pt>
                <c:pt idx="769">
                  <c:v>42703</c:v>
                </c:pt>
                <c:pt idx="770">
                  <c:v>42704</c:v>
                </c:pt>
                <c:pt idx="771">
                  <c:v>42705</c:v>
                </c:pt>
                <c:pt idx="772">
                  <c:v>42706</c:v>
                </c:pt>
                <c:pt idx="773">
                  <c:v>42709</c:v>
                </c:pt>
                <c:pt idx="774">
                  <c:v>42710</c:v>
                </c:pt>
                <c:pt idx="775">
                  <c:v>42711</c:v>
                </c:pt>
                <c:pt idx="776">
                  <c:v>42712</c:v>
                </c:pt>
                <c:pt idx="777">
                  <c:v>42713</c:v>
                </c:pt>
                <c:pt idx="778">
                  <c:v>42716</c:v>
                </c:pt>
                <c:pt idx="779">
                  <c:v>42717</c:v>
                </c:pt>
                <c:pt idx="780">
                  <c:v>42718</c:v>
                </c:pt>
                <c:pt idx="781">
                  <c:v>42719</c:v>
                </c:pt>
                <c:pt idx="782">
                  <c:v>42720</c:v>
                </c:pt>
                <c:pt idx="783">
                  <c:v>42723</c:v>
                </c:pt>
                <c:pt idx="784">
                  <c:v>42724</c:v>
                </c:pt>
                <c:pt idx="785">
                  <c:v>42725</c:v>
                </c:pt>
                <c:pt idx="786">
                  <c:v>42726</c:v>
                </c:pt>
                <c:pt idx="787">
                  <c:v>42727</c:v>
                </c:pt>
                <c:pt idx="788">
                  <c:v>42731</c:v>
                </c:pt>
                <c:pt idx="789">
                  <c:v>42732</c:v>
                </c:pt>
                <c:pt idx="790">
                  <c:v>42733</c:v>
                </c:pt>
                <c:pt idx="791">
                  <c:v>42734</c:v>
                </c:pt>
                <c:pt idx="792">
                  <c:v>42738</c:v>
                </c:pt>
                <c:pt idx="793">
                  <c:v>42739</c:v>
                </c:pt>
                <c:pt idx="794">
                  <c:v>42740</c:v>
                </c:pt>
                <c:pt idx="795">
                  <c:v>42741</c:v>
                </c:pt>
                <c:pt idx="796">
                  <c:v>42744</c:v>
                </c:pt>
                <c:pt idx="797">
                  <c:v>42745</c:v>
                </c:pt>
                <c:pt idx="798">
                  <c:v>42746</c:v>
                </c:pt>
                <c:pt idx="799">
                  <c:v>42747</c:v>
                </c:pt>
                <c:pt idx="800">
                  <c:v>42748</c:v>
                </c:pt>
                <c:pt idx="801">
                  <c:v>42752</c:v>
                </c:pt>
                <c:pt idx="802">
                  <c:v>42753</c:v>
                </c:pt>
                <c:pt idx="803">
                  <c:v>42754</c:v>
                </c:pt>
                <c:pt idx="804">
                  <c:v>42755</c:v>
                </c:pt>
                <c:pt idx="805">
                  <c:v>42758</c:v>
                </c:pt>
                <c:pt idx="806">
                  <c:v>42759</c:v>
                </c:pt>
                <c:pt idx="807">
                  <c:v>42760</c:v>
                </c:pt>
                <c:pt idx="808">
                  <c:v>42761</c:v>
                </c:pt>
                <c:pt idx="809">
                  <c:v>42762</c:v>
                </c:pt>
                <c:pt idx="810">
                  <c:v>42765</c:v>
                </c:pt>
                <c:pt idx="811">
                  <c:v>42766</c:v>
                </c:pt>
                <c:pt idx="812">
                  <c:v>42767</c:v>
                </c:pt>
                <c:pt idx="813">
                  <c:v>42768</c:v>
                </c:pt>
                <c:pt idx="814">
                  <c:v>42769</c:v>
                </c:pt>
                <c:pt idx="815">
                  <c:v>42772</c:v>
                </c:pt>
                <c:pt idx="816">
                  <c:v>42773</c:v>
                </c:pt>
                <c:pt idx="817">
                  <c:v>42774</c:v>
                </c:pt>
                <c:pt idx="818">
                  <c:v>42775</c:v>
                </c:pt>
                <c:pt idx="819">
                  <c:v>42776</c:v>
                </c:pt>
                <c:pt idx="820">
                  <c:v>42779</c:v>
                </c:pt>
                <c:pt idx="821">
                  <c:v>42780</c:v>
                </c:pt>
                <c:pt idx="822">
                  <c:v>42781</c:v>
                </c:pt>
                <c:pt idx="823">
                  <c:v>42782</c:v>
                </c:pt>
                <c:pt idx="824">
                  <c:v>42783</c:v>
                </c:pt>
                <c:pt idx="825">
                  <c:v>42787</c:v>
                </c:pt>
                <c:pt idx="826">
                  <c:v>42788</c:v>
                </c:pt>
                <c:pt idx="827">
                  <c:v>42789</c:v>
                </c:pt>
                <c:pt idx="828">
                  <c:v>42790</c:v>
                </c:pt>
                <c:pt idx="829">
                  <c:v>42793</c:v>
                </c:pt>
                <c:pt idx="830">
                  <c:v>42794</c:v>
                </c:pt>
                <c:pt idx="831">
                  <c:v>42795</c:v>
                </c:pt>
                <c:pt idx="832">
                  <c:v>42796</c:v>
                </c:pt>
                <c:pt idx="833">
                  <c:v>42797</c:v>
                </c:pt>
                <c:pt idx="834">
                  <c:v>42800</c:v>
                </c:pt>
                <c:pt idx="835">
                  <c:v>42801</c:v>
                </c:pt>
                <c:pt idx="836">
                  <c:v>42802</c:v>
                </c:pt>
                <c:pt idx="837">
                  <c:v>42803</c:v>
                </c:pt>
                <c:pt idx="838">
                  <c:v>42804</c:v>
                </c:pt>
                <c:pt idx="839">
                  <c:v>42807</c:v>
                </c:pt>
                <c:pt idx="840">
                  <c:v>42808</c:v>
                </c:pt>
                <c:pt idx="841">
                  <c:v>42809</c:v>
                </c:pt>
                <c:pt idx="842">
                  <c:v>42810</c:v>
                </c:pt>
                <c:pt idx="843">
                  <c:v>42811</c:v>
                </c:pt>
                <c:pt idx="844">
                  <c:v>42814</c:v>
                </c:pt>
                <c:pt idx="845">
                  <c:v>42815</c:v>
                </c:pt>
                <c:pt idx="846">
                  <c:v>42816</c:v>
                </c:pt>
                <c:pt idx="847">
                  <c:v>42817</c:v>
                </c:pt>
                <c:pt idx="848">
                  <c:v>42818</c:v>
                </c:pt>
                <c:pt idx="849">
                  <c:v>42821</c:v>
                </c:pt>
                <c:pt idx="850">
                  <c:v>42822</c:v>
                </c:pt>
                <c:pt idx="851">
                  <c:v>42823</c:v>
                </c:pt>
                <c:pt idx="852">
                  <c:v>42824</c:v>
                </c:pt>
                <c:pt idx="853">
                  <c:v>42825</c:v>
                </c:pt>
                <c:pt idx="854">
                  <c:v>42828</c:v>
                </c:pt>
                <c:pt idx="855">
                  <c:v>42829</c:v>
                </c:pt>
                <c:pt idx="856">
                  <c:v>42830</c:v>
                </c:pt>
                <c:pt idx="857">
                  <c:v>42831</c:v>
                </c:pt>
                <c:pt idx="858">
                  <c:v>42832</c:v>
                </c:pt>
                <c:pt idx="859">
                  <c:v>42835</c:v>
                </c:pt>
                <c:pt idx="860">
                  <c:v>42836</c:v>
                </c:pt>
                <c:pt idx="861">
                  <c:v>42837</c:v>
                </c:pt>
                <c:pt idx="862">
                  <c:v>42838</c:v>
                </c:pt>
                <c:pt idx="863">
                  <c:v>42842</c:v>
                </c:pt>
                <c:pt idx="864">
                  <c:v>42843</c:v>
                </c:pt>
                <c:pt idx="865">
                  <c:v>42844</c:v>
                </c:pt>
                <c:pt idx="866">
                  <c:v>42845</c:v>
                </c:pt>
                <c:pt idx="867">
                  <c:v>42846</c:v>
                </c:pt>
                <c:pt idx="868">
                  <c:v>42849</c:v>
                </c:pt>
                <c:pt idx="869">
                  <c:v>42850</c:v>
                </c:pt>
                <c:pt idx="870">
                  <c:v>42851</c:v>
                </c:pt>
                <c:pt idx="871">
                  <c:v>42852</c:v>
                </c:pt>
                <c:pt idx="872">
                  <c:v>42853</c:v>
                </c:pt>
                <c:pt idx="873">
                  <c:v>42856</c:v>
                </c:pt>
                <c:pt idx="874">
                  <c:v>42857</c:v>
                </c:pt>
                <c:pt idx="875">
                  <c:v>42858</c:v>
                </c:pt>
                <c:pt idx="876">
                  <c:v>42859</c:v>
                </c:pt>
                <c:pt idx="877">
                  <c:v>42860</c:v>
                </c:pt>
                <c:pt idx="878">
                  <c:v>42863</c:v>
                </c:pt>
                <c:pt idx="879">
                  <c:v>42864</c:v>
                </c:pt>
                <c:pt idx="880">
                  <c:v>42865</c:v>
                </c:pt>
                <c:pt idx="881">
                  <c:v>42866</c:v>
                </c:pt>
                <c:pt idx="882">
                  <c:v>42867</c:v>
                </c:pt>
                <c:pt idx="883">
                  <c:v>42870</c:v>
                </c:pt>
                <c:pt idx="884">
                  <c:v>42871</c:v>
                </c:pt>
                <c:pt idx="885">
                  <c:v>42872</c:v>
                </c:pt>
                <c:pt idx="886">
                  <c:v>42873</c:v>
                </c:pt>
                <c:pt idx="887">
                  <c:v>42874</c:v>
                </c:pt>
                <c:pt idx="888">
                  <c:v>42877</c:v>
                </c:pt>
                <c:pt idx="889">
                  <c:v>42878</c:v>
                </c:pt>
                <c:pt idx="890">
                  <c:v>42879</c:v>
                </c:pt>
                <c:pt idx="891">
                  <c:v>42880</c:v>
                </c:pt>
                <c:pt idx="892">
                  <c:v>42881</c:v>
                </c:pt>
                <c:pt idx="893">
                  <c:v>42885</c:v>
                </c:pt>
                <c:pt idx="894">
                  <c:v>42886</c:v>
                </c:pt>
                <c:pt idx="895">
                  <c:v>42887</c:v>
                </c:pt>
                <c:pt idx="896">
                  <c:v>42888</c:v>
                </c:pt>
                <c:pt idx="897">
                  <c:v>42891</c:v>
                </c:pt>
                <c:pt idx="898">
                  <c:v>42892</c:v>
                </c:pt>
                <c:pt idx="899">
                  <c:v>42893</c:v>
                </c:pt>
                <c:pt idx="900">
                  <c:v>42894</c:v>
                </c:pt>
                <c:pt idx="901">
                  <c:v>42895</c:v>
                </c:pt>
                <c:pt idx="902">
                  <c:v>42898</c:v>
                </c:pt>
                <c:pt idx="903">
                  <c:v>42899</c:v>
                </c:pt>
                <c:pt idx="904">
                  <c:v>42900</c:v>
                </c:pt>
                <c:pt idx="905">
                  <c:v>42901</c:v>
                </c:pt>
                <c:pt idx="906">
                  <c:v>42902</c:v>
                </c:pt>
                <c:pt idx="907">
                  <c:v>42905</c:v>
                </c:pt>
                <c:pt idx="908">
                  <c:v>42906</c:v>
                </c:pt>
                <c:pt idx="909">
                  <c:v>42907</c:v>
                </c:pt>
                <c:pt idx="910">
                  <c:v>42908</c:v>
                </c:pt>
                <c:pt idx="911">
                  <c:v>42909</c:v>
                </c:pt>
                <c:pt idx="912">
                  <c:v>42912</c:v>
                </c:pt>
                <c:pt idx="913">
                  <c:v>42913</c:v>
                </c:pt>
                <c:pt idx="914">
                  <c:v>42914</c:v>
                </c:pt>
                <c:pt idx="915">
                  <c:v>42915</c:v>
                </c:pt>
                <c:pt idx="916">
                  <c:v>42916</c:v>
                </c:pt>
                <c:pt idx="917">
                  <c:v>42919</c:v>
                </c:pt>
                <c:pt idx="918">
                  <c:v>42921</c:v>
                </c:pt>
                <c:pt idx="919">
                  <c:v>42922</c:v>
                </c:pt>
                <c:pt idx="920">
                  <c:v>42923</c:v>
                </c:pt>
                <c:pt idx="921">
                  <c:v>42926</c:v>
                </c:pt>
                <c:pt idx="922">
                  <c:v>42927</c:v>
                </c:pt>
                <c:pt idx="923">
                  <c:v>42928</c:v>
                </c:pt>
                <c:pt idx="924">
                  <c:v>42929</c:v>
                </c:pt>
                <c:pt idx="925">
                  <c:v>42930</c:v>
                </c:pt>
                <c:pt idx="926">
                  <c:v>42933</c:v>
                </c:pt>
                <c:pt idx="927">
                  <c:v>42934</c:v>
                </c:pt>
                <c:pt idx="928">
                  <c:v>42935</c:v>
                </c:pt>
                <c:pt idx="929">
                  <c:v>42936</c:v>
                </c:pt>
                <c:pt idx="930">
                  <c:v>42937</c:v>
                </c:pt>
                <c:pt idx="931">
                  <c:v>42940</c:v>
                </c:pt>
                <c:pt idx="932">
                  <c:v>42941</c:v>
                </c:pt>
                <c:pt idx="933">
                  <c:v>42942</c:v>
                </c:pt>
                <c:pt idx="934">
                  <c:v>42943</c:v>
                </c:pt>
                <c:pt idx="935">
                  <c:v>42944</c:v>
                </c:pt>
                <c:pt idx="936">
                  <c:v>42947</c:v>
                </c:pt>
                <c:pt idx="937">
                  <c:v>42948</c:v>
                </c:pt>
                <c:pt idx="938">
                  <c:v>42949</c:v>
                </c:pt>
                <c:pt idx="939">
                  <c:v>42950</c:v>
                </c:pt>
                <c:pt idx="940">
                  <c:v>42951</c:v>
                </c:pt>
                <c:pt idx="941">
                  <c:v>42954</c:v>
                </c:pt>
                <c:pt idx="942">
                  <c:v>42955</c:v>
                </c:pt>
                <c:pt idx="943">
                  <c:v>42956</c:v>
                </c:pt>
                <c:pt idx="944">
                  <c:v>42957</c:v>
                </c:pt>
                <c:pt idx="945">
                  <c:v>42958</c:v>
                </c:pt>
                <c:pt idx="946">
                  <c:v>42961</c:v>
                </c:pt>
                <c:pt idx="947">
                  <c:v>42962</c:v>
                </c:pt>
                <c:pt idx="948">
                  <c:v>42963</c:v>
                </c:pt>
                <c:pt idx="949">
                  <c:v>42964</c:v>
                </c:pt>
                <c:pt idx="950">
                  <c:v>42965</c:v>
                </c:pt>
                <c:pt idx="951">
                  <c:v>42968</c:v>
                </c:pt>
                <c:pt idx="952">
                  <c:v>42969</c:v>
                </c:pt>
                <c:pt idx="953">
                  <c:v>42970</c:v>
                </c:pt>
                <c:pt idx="954">
                  <c:v>42971</c:v>
                </c:pt>
                <c:pt idx="955">
                  <c:v>42972</c:v>
                </c:pt>
                <c:pt idx="956">
                  <c:v>42975</c:v>
                </c:pt>
                <c:pt idx="957">
                  <c:v>42976</c:v>
                </c:pt>
                <c:pt idx="958">
                  <c:v>42977</c:v>
                </c:pt>
                <c:pt idx="959">
                  <c:v>42978</c:v>
                </c:pt>
                <c:pt idx="960">
                  <c:v>42979</c:v>
                </c:pt>
                <c:pt idx="961">
                  <c:v>42983</c:v>
                </c:pt>
                <c:pt idx="962">
                  <c:v>42984</c:v>
                </c:pt>
                <c:pt idx="963">
                  <c:v>42985</c:v>
                </c:pt>
                <c:pt idx="964">
                  <c:v>42986</c:v>
                </c:pt>
                <c:pt idx="965">
                  <c:v>42989</c:v>
                </c:pt>
                <c:pt idx="966">
                  <c:v>42990</c:v>
                </c:pt>
                <c:pt idx="967">
                  <c:v>42991</c:v>
                </c:pt>
                <c:pt idx="968">
                  <c:v>42992</c:v>
                </c:pt>
                <c:pt idx="969">
                  <c:v>42993</c:v>
                </c:pt>
                <c:pt idx="970">
                  <c:v>42996</c:v>
                </c:pt>
                <c:pt idx="971">
                  <c:v>42997</c:v>
                </c:pt>
                <c:pt idx="972">
                  <c:v>42998</c:v>
                </c:pt>
                <c:pt idx="973">
                  <c:v>42999</c:v>
                </c:pt>
                <c:pt idx="974">
                  <c:v>43000</c:v>
                </c:pt>
                <c:pt idx="975">
                  <c:v>43003</c:v>
                </c:pt>
                <c:pt idx="976">
                  <c:v>43004</c:v>
                </c:pt>
                <c:pt idx="977">
                  <c:v>43005</c:v>
                </c:pt>
                <c:pt idx="978">
                  <c:v>43006</c:v>
                </c:pt>
                <c:pt idx="979">
                  <c:v>43007</c:v>
                </c:pt>
                <c:pt idx="980">
                  <c:v>43010</c:v>
                </c:pt>
                <c:pt idx="981">
                  <c:v>43011</c:v>
                </c:pt>
                <c:pt idx="982">
                  <c:v>43012</c:v>
                </c:pt>
                <c:pt idx="983">
                  <c:v>43013</c:v>
                </c:pt>
                <c:pt idx="984">
                  <c:v>43014</c:v>
                </c:pt>
                <c:pt idx="985">
                  <c:v>43017</c:v>
                </c:pt>
                <c:pt idx="986">
                  <c:v>43018</c:v>
                </c:pt>
                <c:pt idx="987">
                  <c:v>43019</c:v>
                </c:pt>
                <c:pt idx="988">
                  <c:v>43020</c:v>
                </c:pt>
                <c:pt idx="989">
                  <c:v>43021</c:v>
                </c:pt>
                <c:pt idx="990">
                  <c:v>43024</c:v>
                </c:pt>
                <c:pt idx="991">
                  <c:v>43025</c:v>
                </c:pt>
                <c:pt idx="992">
                  <c:v>43026</c:v>
                </c:pt>
                <c:pt idx="993">
                  <c:v>43027</c:v>
                </c:pt>
                <c:pt idx="994">
                  <c:v>43028</c:v>
                </c:pt>
                <c:pt idx="995">
                  <c:v>43031</c:v>
                </c:pt>
                <c:pt idx="996">
                  <c:v>43032</c:v>
                </c:pt>
                <c:pt idx="997">
                  <c:v>43033</c:v>
                </c:pt>
                <c:pt idx="998">
                  <c:v>43034</c:v>
                </c:pt>
                <c:pt idx="999">
                  <c:v>43035</c:v>
                </c:pt>
                <c:pt idx="1000">
                  <c:v>43038</c:v>
                </c:pt>
                <c:pt idx="1001">
                  <c:v>43039</c:v>
                </c:pt>
                <c:pt idx="1002">
                  <c:v>43040</c:v>
                </c:pt>
                <c:pt idx="1003">
                  <c:v>43041</c:v>
                </c:pt>
                <c:pt idx="1004">
                  <c:v>43042</c:v>
                </c:pt>
                <c:pt idx="1005">
                  <c:v>43045</c:v>
                </c:pt>
                <c:pt idx="1006">
                  <c:v>43046</c:v>
                </c:pt>
                <c:pt idx="1007">
                  <c:v>43047</c:v>
                </c:pt>
                <c:pt idx="1008">
                  <c:v>43048</c:v>
                </c:pt>
                <c:pt idx="1009">
                  <c:v>43049</c:v>
                </c:pt>
                <c:pt idx="1010">
                  <c:v>43052</c:v>
                </c:pt>
                <c:pt idx="1011">
                  <c:v>43053</c:v>
                </c:pt>
                <c:pt idx="1012">
                  <c:v>43054</c:v>
                </c:pt>
                <c:pt idx="1013">
                  <c:v>43055</c:v>
                </c:pt>
                <c:pt idx="1014">
                  <c:v>43056</c:v>
                </c:pt>
                <c:pt idx="1015">
                  <c:v>43059</c:v>
                </c:pt>
                <c:pt idx="1016">
                  <c:v>43060</c:v>
                </c:pt>
                <c:pt idx="1017">
                  <c:v>43061</c:v>
                </c:pt>
                <c:pt idx="1018">
                  <c:v>43063</c:v>
                </c:pt>
                <c:pt idx="1019">
                  <c:v>43066</c:v>
                </c:pt>
                <c:pt idx="1020">
                  <c:v>43067</c:v>
                </c:pt>
                <c:pt idx="1021">
                  <c:v>43068</c:v>
                </c:pt>
                <c:pt idx="1022">
                  <c:v>43069</c:v>
                </c:pt>
                <c:pt idx="1023">
                  <c:v>43070</c:v>
                </c:pt>
                <c:pt idx="1024">
                  <c:v>43073</c:v>
                </c:pt>
                <c:pt idx="1025">
                  <c:v>43074</c:v>
                </c:pt>
                <c:pt idx="1026">
                  <c:v>43075</c:v>
                </c:pt>
                <c:pt idx="1027">
                  <c:v>43076</c:v>
                </c:pt>
                <c:pt idx="1028">
                  <c:v>43077</c:v>
                </c:pt>
                <c:pt idx="1029">
                  <c:v>43080</c:v>
                </c:pt>
                <c:pt idx="1030">
                  <c:v>43081</c:v>
                </c:pt>
                <c:pt idx="1031">
                  <c:v>43082</c:v>
                </c:pt>
                <c:pt idx="1032">
                  <c:v>43083</c:v>
                </c:pt>
                <c:pt idx="1033">
                  <c:v>43084</c:v>
                </c:pt>
                <c:pt idx="1034">
                  <c:v>43087</c:v>
                </c:pt>
                <c:pt idx="1035">
                  <c:v>43088</c:v>
                </c:pt>
                <c:pt idx="1036">
                  <c:v>43089</c:v>
                </c:pt>
                <c:pt idx="1037">
                  <c:v>43090</c:v>
                </c:pt>
                <c:pt idx="1038">
                  <c:v>43091</c:v>
                </c:pt>
                <c:pt idx="1039">
                  <c:v>43095</c:v>
                </c:pt>
                <c:pt idx="1040">
                  <c:v>43096</c:v>
                </c:pt>
                <c:pt idx="1041">
                  <c:v>43097</c:v>
                </c:pt>
                <c:pt idx="1042">
                  <c:v>43098</c:v>
                </c:pt>
                <c:pt idx="1043">
                  <c:v>43102</c:v>
                </c:pt>
                <c:pt idx="1044">
                  <c:v>43103</c:v>
                </c:pt>
                <c:pt idx="1045">
                  <c:v>43104</c:v>
                </c:pt>
                <c:pt idx="1046">
                  <c:v>43105</c:v>
                </c:pt>
                <c:pt idx="1047">
                  <c:v>43108</c:v>
                </c:pt>
                <c:pt idx="1048">
                  <c:v>43109</c:v>
                </c:pt>
                <c:pt idx="1049">
                  <c:v>43110</c:v>
                </c:pt>
                <c:pt idx="1050">
                  <c:v>43111</c:v>
                </c:pt>
                <c:pt idx="1051">
                  <c:v>43112</c:v>
                </c:pt>
                <c:pt idx="1052">
                  <c:v>43116</c:v>
                </c:pt>
                <c:pt idx="1053">
                  <c:v>43117</c:v>
                </c:pt>
                <c:pt idx="1054">
                  <c:v>43118</c:v>
                </c:pt>
                <c:pt idx="1055">
                  <c:v>43119</c:v>
                </c:pt>
                <c:pt idx="1056">
                  <c:v>43122</c:v>
                </c:pt>
                <c:pt idx="1057">
                  <c:v>43123</c:v>
                </c:pt>
                <c:pt idx="1058">
                  <c:v>43124</c:v>
                </c:pt>
                <c:pt idx="1059">
                  <c:v>43125</c:v>
                </c:pt>
                <c:pt idx="1060">
                  <c:v>43126</c:v>
                </c:pt>
                <c:pt idx="1061">
                  <c:v>43129</c:v>
                </c:pt>
                <c:pt idx="1062">
                  <c:v>43130</c:v>
                </c:pt>
                <c:pt idx="1063">
                  <c:v>43131</c:v>
                </c:pt>
                <c:pt idx="1064">
                  <c:v>43132</c:v>
                </c:pt>
                <c:pt idx="1065">
                  <c:v>43133</c:v>
                </c:pt>
                <c:pt idx="1066">
                  <c:v>43136</c:v>
                </c:pt>
                <c:pt idx="1067">
                  <c:v>43137</c:v>
                </c:pt>
                <c:pt idx="1068">
                  <c:v>43138</c:v>
                </c:pt>
                <c:pt idx="1069">
                  <c:v>43139</c:v>
                </c:pt>
                <c:pt idx="1070">
                  <c:v>43140</c:v>
                </c:pt>
                <c:pt idx="1071">
                  <c:v>43143</c:v>
                </c:pt>
                <c:pt idx="1072">
                  <c:v>43144</c:v>
                </c:pt>
                <c:pt idx="1073">
                  <c:v>43145</c:v>
                </c:pt>
                <c:pt idx="1074">
                  <c:v>43146</c:v>
                </c:pt>
                <c:pt idx="1075">
                  <c:v>43147</c:v>
                </c:pt>
                <c:pt idx="1076">
                  <c:v>43151</c:v>
                </c:pt>
                <c:pt idx="1077">
                  <c:v>43152</c:v>
                </c:pt>
                <c:pt idx="1078">
                  <c:v>43153</c:v>
                </c:pt>
                <c:pt idx="1079">
                  <c:v>43154</c:v>
                </c:pt>
                <c:pt idx="1080">
                  <c:v>43157</c:v>
                </c:pt>
                <c:pt idx="1081">
                  <c:v>43158</c:v>
                </c:pt>
                <c:pt idx="1082">
                  <c:v>43159</c:v>
                </c:pt>
                <c:pt idx="1083">
                  <c:v>43160</c:v>
                </c:pt>
                <c:pt idx="1084">
                  <c:v>43161</c:v>
                </c:pt>
                <c:pt idx="1085">
                  <c:v>43164</c:v>
                </c:pt>
                <c:pt idx="1086">
                  <c:v>43165</c:v>
                </c:pt>
                <c:pt idx="1087">
                  <c:v>43166</c:v>
                </c:pt>
                <c:pt idx="1088">
                  <c:v>43167</c:v>
                </c:pt>
                <c:pt idx="1089">
                  <c:v>43168</c:v>
                </c:pt>
                <c:pt idx="1090">
                  <c:v>43171</c:v>
                </c:pt>
                <c:pt idx="1091">
                  <c:v>43172</c:v>
                </c:pt>
                <c:pt idx="1092">
                  <c:v>43173</c:v>
                </c:pt>
                <c:pt idx="1093">
                  <c:v>43174</c:v>
                </c:pt>
                <c:pt idx="1094">
                  <c:v>43175</c:v>
                </c:pt>
                <c:pt idx="1095">
                  <c:v>43178</c:v>
                </c:pt>
                <c:pt idx="1096">
                  <c:v>43179</c:v>
                </c:pt>
                <c:pt idx="1097">
                  <c:v>43180</c:v>
                </c:pt>
                <c:pt idx="1098">
                  <c:v>43181</c:v>
                </c:pt>
                <c:pt idx="1099">
                  <c:v>43182</c:v>
                </c:pt>
                <c:pt idx="1100">
                  <c:v>43185</c:v>
                </c:pt>
                <c:pt idx="1101">
                  <c:v>43186</c:v>
                </c:pt>
                <c:pt idx="1102">
                  <c:v>43187</c:v>
                </c:pt>
                <c:pt idx="1103">
                  <c:v>43188</c:v>
                </c:pt>
                <c:pt idx="1104">
                  <c:v>43192</c:v>
                </c:pt>
                <c:pt idx="1105">
                  <c:v>43193</c:v>
                </c:pt>
                <c:pt idx="1106">
                  <c:v>43194</c:v>
                </c:pt>
                <c:pt idx="1107">
                  <c:v>43195</c:v>
                </c:pt>
                <c:pt idx="1108">
                  <c:v>43196</c:v>
                </c:pt>
                <c:pt idx="1109">
                  <c:v>43199</c:v>
                </c:pt>
                <c:pt idx="1110">
                  <c:v>43200</c:v>
                </c:pt>
                <c:pt idx="1111">
                  <c:v>43201</c:v>
                </c:pt>
                <c:pt idx="1112">
                  <c:v>43202</c:v>
                </c:pt>
                <c:pt idx="1113">
                  <c:v>43203</c:v>
                </c:pt>
                <c:pt idx="1114">
                  <c:v>43206</c:v>
                </c:pt>
                <c:pt idx="1115">
                  <c:v>43207</c:v>
                </c:pt>
                <c:pt idx="1116">
                  <c:v>43208</c:v>
                </c:pt>
                <c:pt idx="1117">
                  <c:v>43209</c:v>
                </c:pt>
                <c:pt idx="1118">
                  <c:v>43210</c:v>
                </c:pt>
                <c:pt idx="1119">
                  <c:v>43213</c:v>
                </c:pt>
                <c:pt idx="1120">
                  <c:v>43214</c:v>
                </c:pt>
                <c:pt idx="1121">
                  <c:v>43215</c:v>
                </c:pt>
                <c:pt idx="1122">
                  <c:v>43216</c:v>
                </c:pt>
                <c:pt idx="1123">
                  <c:v>43217</c:v>
                </c:pt>
                <c:pt idx="1124">
                  <c:v>43220</c:v>
                </c:pt>
                <c:pt idx="1125">
                  <c:v>43221</c:v>
                </c:pt>
                <c:pt idx="1126">
                  <c:v>43222</c:v>
                </c:pt>
                <c:pt idx="1127">
                  <c:v>43223</c:v>
                </c:pt>
                <c:pt idx="1128">
                  <c:v>43224</c:v>
                </c:pt>
                <c:pt idx="1129">
                  <c:v>43227</c:v>
                </c:pt>
                <c:pt idx="1130">
                  <c:v>43228</c:v>
                </c:pt>
                <c:pt idx="1131">
                  <c:v>43229</c:v>
                </c:pt>
                <c:pt idx="1132">
                  <c:v>43230</c:v>
                </c:pt>
                <c:pt idx="1133">
                  <c:v>43231</c:v>
                </c:pt>
                <c:pt idx="1134">
                  <c:v>43234</c:v>
                </c:pt>
                <c:pt idx="1135">
                  <c:v>43235</c:v>
                </c:pt>
                <c:pt idx="1136">
                  <c:v>43236</c:v>
                </c:pt>
                <c:pt idx="1137">
                  <c:v>43237</c:v>
                </c:pt>
                <c:pt idx="1138">
                  <c:v>43238</c:v>
                </c:pt>
                <c:pt idx="1139">
                  <c:v>43241</c:v>
                </c:pt>
                <c:pt idx="1140">
                  <c:v>43242</c:v>
                </c:pt>
                <c:pt idx="1141">
                  <c:v>43243</c:v>
                </c:pt>
                <c:pt idx="1142">
                  <c:v>43244</c:v>
                </c:pt>
                <c:pt idx="1143">
                  <c:v>43245</c:v>
                </c:pt>
                <c:pt idx="1144">
                  <c:v>43249</c:v>
                </c:pt>
                <c:pt idx="1145">
                  <c:v>43250</c:v>
                </c:pt>
                <c:pt idx="1146">
                  <c:v>43251</c:v>
                </c:pt>
                <c:pt idx="1147">
                  <c:v>43252</c:v>
                </c:pt>
                <c:pt idx="1148">
                  <c:v>43255</c:v>
                </c:pt>
                <c:pt idx="1149">
                  <c:v>43256</c:v>
                </c:pt>
                <c:pt idx="1150">
                  <c:v>43257</c:v>
                </c:pt>
                <c:pt idx="1151">
                  <c:v>43258</c:v>
                </c:pt>
                <c:pt idx="1152">
                  <c:v>43259</c:v>
                </c:pt>
                <c:pt idx="1153">
                  <c:v>43262</c:v>
                </c:pt>
                <c:pt idx="1154">
                  <c:v>43263</c:v>
                </c:pt>
                <c:pt idx="1155">
                  <c:v>43264</c:v>
                </c:pt>
                <c:pt idx="1156">
                  <c:v>43265</c:v>
                </c:pt>
                <c:pt idx="1157">
                  <c:v>43266</c:v>
                </c:pt>
                <c:pt idx="1158">
                  <c:v>43269</c:v>
                </c:pt>
                <c:pt idx="1159">
                  <c:v>43270</c:v>
                </c:pt>
                <c:pt idx="1160">
                  <c:v>43271</c:v>
                </c:pt>
                <c:pt idx="1161">
                  <c:v>43272</c:v>
                </c:pt>
                <c:pt idx="1162">
                  <c:v>43273</c:v>
                </c:pt>
                <c:pt idx="1163">
                  <c:v>43276</c:v>
                </c:pt>
                <c:pt idx="1164">
                  <c:v>43277</c:v>
                </c:pt>
                <c:pt idx="1165">
                  <c:v>43278</c:v>
                </c:pt>
                <c:pt idx="1166">
                  <c:v>43279</c:v>
                </c:pt>
                <c:pt idx="1167">
                  <c:v>43280</c:v>
                </c:pt>
                <c:pt idx="1168">
                  <c:v>43283</c:v>
                </c:pt>
                <c:pt idx="1169">
                  <c:v>43284</c:v>
                </c:pt>
                <c:pt idx="1170">
                  <c:v>43286</c:v>
                </c:pt>
                <c:pt idx="1171">
                  <c:v>43287</c:v>
                </c:pt>
                <c:pt idx="1172">
                  <c:v>43290</c:v>
                </c:pt>
                <c:pt idx="1173">
                  <c:v>43291</c:v>
                </c:pt>
                <c:pt idx="1174">
                  <c:v>43292</c:v>
                </c:pt>
                <c:pt idx="1175">
                  <c:v>43293</c:v>
                </c:pt>
                <c:pt idx="1176">
                  <c:v>43294</c:v>
                </c:pt>
                <c:pt idx="1177">
                  <c:v>43297</c:v>
                </c:pt>
                <c:pt idx="1178">
                  <c:v>43298</c:v>
                </c:pt>
                <c:pt idx="1179">
                  <c:v>43299</c:v>
                </c:pt>
                <c:pt idx="1180">
                  <c:v>43300</c:v>
                </c:pt>
                <c:pt idx="1181">
                  <c:v>43301</c:v>
                </c:pt>
                <c:pt idx="1182">
                  <c:v>43304</c:v>
                </c:pt>
                <c:pt idx="1183">
                  <c:v>43305</c:v>
                </c:pt>
                <c:pt idx="1184">
                  <c:v>43306</c:v>
                </c:pt>
                <c:pt idx="1185">
                  <c:v>43307</c:v>
                </c:pt>
                <c:pt idx="1186">
                  <c:v>43308</c:v>
                </c:pt>
                <c:pt idx="1187">
                  <c:v>43311</c:v>
                </c:pt>
                <c:pt idx="1188">
                  <c:v>43312</c:v>
                </c:pt>
                <c:pt idx="1189">
                  <c:v>43313</c:v>
                </c:pt>
                <c:pt idx="1190">
                  <c:v>43314</c:v>
                </c:pt>
                <c:pt idx="1191">
                  <c:v>43315</c:v>
                </c:pt>
                <c:pt idx="1192">
                  <c:v>43318</c:v>
                </c:pt>
                <c:pt idx="1193">
                  <c:v>43319</c:v>
                </c:pt>
                <c:pt idx="1194">
                  <c:v>43320</c:v>
                </c:pt>
                <c:pt idx="1195">
                  <c:v>43321</c:v>
                </c:pt>
                <c:pt idx="1196">
                  <c:v>43322</c:v>
                </c:pt>
                <c:pt idx="1197">
                  <c:v>43325</c:v>
                </c:pt>
                <c:pt idx="1198">
                  <c:v>43326</c:v>
                </c:pt>
                <c:pt idx="1199">
                  <c:v>43327</c:v>
                </c:pt>
                <c:pt idx="1200">
                  <c:v>43328</c:v>
                </c:pt>
                <c:pt idx="1201">
                  <c:v>43329</c:v>
                </c:pt>
                <c:pt idx="1202">
                  <c:v>43332</c:v>
                </c:pt>
                <c:pt idx="1203">
                  <c:v>43333</c:v>
                </c:pt>
                <c:pt idx="1204">
                  <c:v>43334</c:v>
                </c:pt>
                <c:pt idx="1205">
                  <c:v>43335</c:v>
                </c:pt>
                <c:pt idx="1206">
                  <c:v>43336</c:v>
                </c:pt>
                <c:pt idx="1207">
                  <c:v>43339</c:v>
                </c:pt>
                <c:pt idx="1208">
                  <c:v>43340</c:v>
                </c:pt>
                <c:pt idx="1209">
                  <c:v>43341</c:v>
                </c:pt>
                <c:pt idx="1210">
                  <c:v>43342</c:v>
                </c:pt>
                <c:pt idx="1211">
                  <c:v>43343</c:v>
                </c:pt>
                <c:pt idx="1212">
                  <c:v>43347</c:v>
                </c:pt>
                <c:pt idx="1213">
                  <c:v>43348</c:v>
                </c:pt>
                <c:pt idx="1214">
                  <c:v>43349</c:v>
                </c:pt>
                <c:pt idx="1215">
                  <c:v>43350</c:v>
                </c:pt>
                <c:pt idx="1216">
                  <c:v>43353</c:v>
                </c:pt>
                <c:pt idx="1217">
                  <c:v>43354</c:v>
                </c:pt>
                <c:pt idx="1218">
                  <c:v>43355</c:v>
                </c:pt>
                <c:pt idx="1219">
                  <c:v>43356</c:v>
                </c:pt>
                <c:pt idx="1220">
                  <c:v>43357</c:v>
                </c:pt>
                <c:pt idx="1221">
                  <c:v>43360</c:v>
                </c:pt>
                <c:pt idx="1222">
                  <c:v>43361</c:v>
                </c:pt>
                <c:pt idx="1223">
                  <c:v>43362</c:v>
                </c:pt>
                <c:pt idx="1224">
                  <c:v>43363</c:v>
                </c:pt>
                <c:pt idx="1225">
                  <c:v>43364</c:v>
                </c:pt>
                <c:pt idx="1226">
                  <c:v>43367</c:v>
                </c:pt>
                <c:pt idx="1227">
                  <c:v>43368</c:v>
                </c:pt>
                <c:pt idx="1228">
                  <c:v>43369</c:v>
                </c:pt>
                <c:pt idx="1229">
                  <c:v>43370</c:v>
                </c:pt>
                <c:pt idx="1230">
                  <c:v>43371</c:v>
                </c:pt>
                <c:pt idx="1231">
                  <c:v>43374</c:v>
                </c:pt>
                <c:pt idx="1232">
                  <c:v>43375</c:v>
                </c:pt>
                <c:pt idx="1233">
                  <c:v>43376</c:v>
                </c:pt>
                <c:pt idx="1234">
                  <c:v>43377</c:v>
                </c:pt>
                <c:pt idx="1235">
                  <c:v>43378</c:v>
                </c:pt>
                <c:pt idx="1236">
                  <c:v>43381</c:v>
                </c:pt>
                <c:pt idx="1237">
                  <c:v>43382</c:v>
                </c:pt>
                <c:pt idx="1238">
                  <c:v>43383</c:v>
                </c:pt>
                <c:pt idx="1239">
                  <c:v>43384</c:v>
                </c:pt>
                <c:pt idx="1240">
                  <c:v>43385</c:v>
                </c:pt>
                <c:pt idx="1241">
                  <c:v>43388</c:v>
                </c:pt>
                <c:pt idx="1242">
                  <c:v>43389</c:v>
                </c:pt>
                <c:pt idx="1243">
                  <c:v>43390</c:v>
                </c:pt>
                <c:pt idx="1244">
                  <c:v>43391</c:v>
                </c:pt>
                <c:pt idx="1245">
                  <c:v>43392</c:v>
                </c:pt>
                <c:pt idx="1246">
                  <c:v>43395</c:v>
                </c:pt>
                <c:pt idx="1247">
                  <c:v>43396</c:v>
                </c:pt>
                <c:pt idx="1248">
                  <c:v>43397</c:v>
                </c:pt>
                <c:pt idx="1249">
                  <c:v>43398</c:v>
                </c:pt>
                <c:pt idx="1250">
                  <c:v>43399</c:v>
                </c:pt>
                <c:pt idx="1251">
                  <c:v>43402</c:v>
                </c:pt>
                <c:pt idx="1252">
                  <c:v>43403</c:v>
                </c:pt>
                <c:pt idx="1253">
                  <c:v>43404</c:v>
                </c:pt>
                <c:pt idx="1254">
                  <c:v>43405</c:v>
                </c:pt>
                <c:pt idx="1255">
                  <c:v>43406</c:v>
                </c:pt>
                <c:pt idx="1256">
                  <c:v>43409</c:v>
                </c:pt>
                <c:pt idx="1257">
                  <c:v>43410</c:v>
                </c:pt>
                <c:pt idx="1258">
                  <c:v>43411</c:v>
                </c:pt>
                <c:pt idx="1259">
                  <c:v>43412</c:v>
                </c:pt>
                <c:pt idx="1260">
                  <c:v>43413</c:v>
                </c:pt>
                <c:pt idx="1261">
                  <c:v>43465</c:v>
                </c:pt>
                <c:pt idx="1262">
                  <c:v>43830</c:v>
                </c:pt>
                <c:pt idx="1263">
                  <c:v>44196</c:v>
                </c:pt>
                <c:pt idx="1264">
                  <c:v>44561</c:v>
                </c:pt>
                <c:pt idx="1265">
                  <c:v>44926</c:v>
                </c:pt>
                <c:pt idx="1266">
                  <c:v>45291</c:v>
                </c:pt>
                <c:pt idx="1267">
                  <c:v>45657</c:v>
                </c:pt>
                <c:pt idx="1268">
                  <c:v>46022</c:v>
                </c:pt>
                <c:pt idx="1269">
                  <c:v>46387</c:v>
                </c:pt>
                <c:pt idx="1270">
                  <c:v>46752</c:v>
                </c:pt>
                <c:pt idx="1271">
                  <c:v>47118</c:v>
                </c:pt>
              </c:numCache>
            </c:numRef>
          </c:cat>
          <c:val>
            <c:numRef>
              <c:f>'Share Price'!$B$9:$B$1280</c:f>
              <c:numCache>
                <c:formatCode>_(* #,##0_);_(* \(#,##0\);_(* "-"??_);_(@_)</c:formatCode>
                <c:ptCount val="1272"/>
                <c:pt idx="0">
                  <c:v>350.31</c:v>
                </c:pt>
                <c:pt idx="1">
                  <c:v>354.37799999999999</c:v>
                </c:pt>
                <c:pt idx="2">
                  <c:v>349.53</c:v>
                </c:pt>
                <c:pt idx="3">
                  <c:v>356.22</c:v>
                </c:pt>
                <c:pt idx="4">
                  <c:v>367.39600000000002</c:v>
                </c:pt>
                <c:pt idx="5">
                  <c:v>369.17</c:v>
                </c:pt>
                <c:pt idx="6">
                  <c:v>366.18</c:v>
                </c:pt>
                <c:pt idx="7">
                  <c:v>364.94</c:v>
                </c:pt>
                <c:pt idx="8">
                  <c:v>362.57</c:v>
                </c:pt>
                <c:pt idx="9">
                  <c:v>368.92</c:v>
                </c:pt>
                <c:pt idx="10">
                  <c:v>372.31</c:v>
                </c:pt>
                <c:pt idx="11">
                  <c:v>376.64</c:v>
                </c:pt>
                <c:pt idx="12">
                  <c:v>381.37</c:v>
                </c:pt>
                <c:pt idx="13">
                  <c:v>386.71</c:v>
                </c:pt>
                <c:pt idx="14">
                  <c:v>393.62</c:v>
                </c:pt>
                <c:pt idx="15">
                  <c:v>392.3</c:v>
                </c:pt>
                <c:pt idx="16">
                  <c:v>384.66</c:v>
                </c:pt>
                <c:pt idx="17">
                  <c:v>385.96</c:v>
                </c:pt>
                <c:pt idx="18">
                  <c:v>384.49</c:v>
                </c:pt>
                <c:pt idx="19">
                  <c:v>386.95</c:v>
                </c:pt>
                <c:pt idx="20">
                  <c:v>384.89</c:v>
                </c:pt>
                <c:pt idx="21">
                  <c:v>387.78</c:v>
                </c:pt>
                <c:pt idx="22">
                  <c:v>382.19</c:v>
                </c:pt>
                <c:pt idx="23">
                  <c:v>381.25</c:v>
                </c:pt>
                <c:pt idx="24">
                  <c:v>384.24</c:v>
                </c:pt>
                <c:pt idx="25">
                  <c:v>388.97</c:v>
                </c:pt>
                <c:pt idx="26">
                  <c:v>387.65</c:v>
                </c:pt>
                <c:pt idx="27">
                  <c:v>395.96</c:v>
                </c:pt>
                <c:pt idx="28">
                  <c:v>395.19</c:v>
                </c:pt>
                <c:pt idx="29">
                  <c:v>402.2</c:v>
                </c:pt>
                <c:pt idx="30">
                  <c:v>402.92</c:v>
                </c:pt>
                <c:pt idx="31">
                  <c:v>399.2</c:v>
                </c:pt>
                <c:pt idx="32">
                  <c:v>404.39</c:v>
                </c:pt>
                <c:pt idx="33">
                  <c:v>398.08</c:v>
                </c:pt>
                <c:pt idx="34">
                  <c:v>393.37</c:v>
                </c:pt>
                <c:pt idx="35">
                  <c:v>398.79</c:v>
                </c:pt>
                <c:pt idx="36">
                  <c:v>397.97</c:v>
                </c:pt>
                <c:pt idx="37">
                  <c:v>396.44</c:v>
                </c:pt>
                <c:pt idx="38">
                  <c:v>393.63</c:v>
                </c:pt>
                <c:pt idx="39">
                  <c:v>398.03</c:v>
                </c:pt>
                <c:pt idx="40">
                  <c:v>401.92</c:v>
                </c:pt>
                <c:pt idx="41">
                  <c:v>401.01</c:v>
                </c:pt>
                <c:pt idx="42">
                  <c:v>397.66</c:v>
                </c:pt>
                <c:pt idx="43">
                  <c:v>390.98</c:v>
                </c:pt>
                <c:pt idx="44">
                  <c:v>397.54</c:v>
                </c:pt>
                <c:pt idx="45">
                  <c:v>395.87</c:v>
                </c:pt>
                <c:pt idx="46">
                  <c:v>395.8</c:v>
                </c:pt>
                <c:pt idx="47">
                  <c:v>399.61</c:v>
                </c:pt>
                <c:pt idx="48">
                  <c:v>407.05</c:v>
                </c:pt>
                <c:pt idx="49">
                  <c:v>404.54</c:v>
                </c:pt>
                <c:pt idx="50">
                  <c:v>399.87</c:v>
                </c:pt>
                <c:pt idx="51">
                  <c:v>387.6</c:v>
                </c:pt>
                <c:pt idx="52">
                  <c:v>386.28</c:v>
                </c:pt>
                <c:pt idx="53">
                  <c:v>394.43</c:v>
                </c:pt>
                <c:pt idx="54">
                  <c:v>384.2</c:v>
                </c:pt>
                <c:pt idx="55">
                  <c:v>403.01</c:v>
                </c:pt>
                <c:pt idx="56">
                  <c:v>358.69</c:v>
                </c:pt>
                <c:pt idx="57">
                  <c:v>346.15</c:v>
                </c:pt>
                <c:pt idx="58">
                  <c:v>347.95</c:v>
                </c:pt>
                <c:pt idx="59">
                  <c:v>346.45</c:v>
                </c:pt>
                <c:pt idx="60">
                  <c:v>354.59</c:v>
                </c:pt>
                <c:pt idx="61">
                  <c:v>361.08</c:v>
                </c:pt>
                <c:pt idx="62">
                  <c:v>360.87</c:v>
                </c:pt>
                <c:pt idx="63">
                  <c:v>361.79</c:v>
                </c:pt>
                <c:pt idx="64">
                  <c:v>349.25</c:v>
                </c:pt>
                <c:pt idx="65">
                  <c:v>357.2</c:v>
                </c:pt>
                <c:pt idx="66">
                  <c:v>357.35</c:v>
                </c:pt>
                <c:pt idx="67">
                  <c:v>353.65</c:v>
                </c:pt>
                <c:pt idx="68">
                  <c:v>347.38</c:v>
                </c:pt>
                <c:pt idx="69">
                  <c:v>349.8</c:v>
                </c:pt>
                <c:pt idx="70">
                  <c:v>346.76</c:v>
                </c:pt>
                <c:pt idx="71">
                  <c:v>351.78</c:v>
                </c:pt>
                <c:pt idx="72">
                  <c:v>358.32</c:v>
                </c:pt>
                <c:pt idx="73">
                  <c:v>359.8</c:v>
                </c:pt>
                <c:pt idx="74">
                  <c:v>360.13</c:v>
                </c:pt>
                <c:pt idx="75">
                  <c:v>362.1</c:v>
                </c:pt>
                <c:pt idx="76">
                  <c:v>359.78</c:v>
                </c:pt>
                <c:pt idx="77">
                  <c:v>363.9</c:v>
                </c:pt>
                <c:pt idx="78">
                  <c:v>372.37</c:v>
                </c:pt>
                <c:pt idx="79">
                  <c:v>372.16</c:v>
                </c:pt>
                <c:pt idx="80">
                  <c:v>372.06</c:v>
                </c:pt>
                <c:pt idx="81">
                  <c:v>370.53</c:v>
                </c:pt>
                <c:pt idx="82">
                  <c:v>368.82</c:v>
                </c:pt>
                <c:pt idx="83">
                  <c:v>370.64</c:v>
                </c:pt>
                <c:pt idx="84">
                  <c:v>371.51</c:v>
                </c:pt>
                <c:pt idx="85">
                  <c:v>373.74</c:v>
                </c:pt>
                <c:pt idx="86">
                  <c:v>375.04</c:v>
                </c:pt>
                <c:pt idx="87">
                  <c:v>378.77</c:v>
                </c:pt>
                <c:pt idx="88">
                  <c:v>373.23</c:v>
                </c:pt>
                <c:pt idx="89">
                  <c:v>368.97</c:v>
                </c:pt>
                <c:pt idx="90">
                  <c:v>360.62</c:v>
                </c:pt>
                <c:pt idx="91">
                  <c:v>351.85</c:v>
                </c:pt>
                <c:pt idx="92">
                  <c:v>354.71</c:v>
                </c:pt>
                <c:pt idx="93">
                  <c:v>343.41</c:v>
                </c:pt>
                <c:pt idx="94">
                  <c:v>338.47</c:v>
                </c:pt>
                <c:pt idx="95">
                  <c:v>338.29</c:v>
                </c:pt>
                <c:pt idx="96">
                  <c:v>336.36500000000001</c:v>
                </c:pt>
                <c:pt idx="97">
                  <c:v>342.99</c:v>
                </c:pt>
                <c:pt idx="98">
                  <c:v>341.96</c:v>
                </c:pt>
                <c:pt idx="99">
                  <c:v>333.62</c:v>
                </c:pt>
                <c:pt idx="100">
                  <c:v>323</c:v>
                </c:pt>
                <c:pt idx="101">
                  <c:v>317.76</c:v>
                </c:pt>
                <c:pt idx="102">
                  <c:v>327.07</c:v>
                </c:pt>
                <c:pt idx="103">
                  <c:v>331.80500000000001</c:v>
                </c:pt>
                <c:pt idx="104">
                  <c:v>317.11</c:v>
                </c:pt>
                <c:pt idx="105">
                  <c:v>311.73</c:v>
                </c:pt>
                <c:pt idx="106">
                  <c:v>315.91000000000003</c:v>
                </c:pt>
                <c:pt idx="107">
                  <c:v>316.08</c:v>
                </c:pt>
                <c:pt idx="108">
                  <c:v>323.68</c:v>
                </c:pt>
                <c:pt idx="109">
                  <c:v>324.91000000000003</c:v>
                </c:pt>
                <c:pt idx="110">
                  <c:v>330.87</c:v>
                </c:pt>
                <c:pt idx="111">
                  <c:v>329.32</c:v>
                </c:pt>
                <c:pt idx="112">
                  <c:v>324.58</c:v>
                </c:pt>
                <c:pt idx="113">
                  <c:v>337.15</c:v>
                </c:pt>
                <c:pt idx="114">
                  <c:v>303.83</c:v>
                </c:pt>
                <c:pt idx="115">
                  <c:v>296.58</c:v>
                </c:pt>
                <c:pt idx="116">
                  <c:v>300.38</c:v>
                </c:pt>
                <c:pt idx="117">
                  <c:v>304.13</c:v>
                </c:pt>
                <c:pt idx="118">
                  <c:v>307.89</c:v>
                </c:pt>
                <c:pt idx="119">
                  <c:v>308.01</c:v>
                </c:pt>
                <c:pt idx="120">
                  <c:v>310.05</c:v>
                </c:pt>
                <c:pt idx="121">
                  <c:v>297.38</c:v>
                </c:pt>
                <c:pt idx="122">
                  <c:v>292.70999999999998</c:v>
                </c:pt>
                <c:pt idx="123">
                  <c:v>288.32</c:v>
                </c:pt>
                <c:pt idx="124">
                  <c:v>292.24</c:v>
                </c:pt>
                <c:pt idx="125">
                  <c:v>302.86</c:v>
                </c:pt>
                <c:pt idx="126">
                  <c:v>304.64</c:v>
                </c:pt>
                <c:pt idx="127">
                  <c:v>297.62</c:v>
                </c:pt>
                <c:pt idx="128">
                  <c:v>295.19</c:v>
                </c:pt>
                <c:pt idx="129">
                  <c:v>297.7</c:v>
                </c:pt>
                <c:pt idx="130">
                  <c:v>296.755</c:v>
                </c:pt>
                <c:pt idx="131">
                  <c:v>301.19</c:v>
                </c:pt>
                <c:pt idx="132">
                  <c:v>305.01</c:v>
                </c:pt>
                <c:pt idx="133">
                  <c:v>304.91000000000003</c:v>
                </c:pt>
                <c:pt idx="134">
                  <c:v>312.24</c:v>
                </c:pt>
                <c:pt idx="135">
                  <c:v>310.82</c:v>
                </c:pt>
                <c:pt idx="136">
                  <c:v>310.16000000000003</c:v>
                </c:pt>
                <c:pt idx="137">
                  <c:v>313.77999999999997</c:v>
                </c:pt>
                <c:pt idx="138">
                  <c:v>312.55</c:v>
                </c:pt>
                <c:pt idx="139">
                  <c:v>308.83999999999997</c:v>
                </c:pt>
                <c:pt idx="140">
                  <c:v>307.19</c:v>
                </c:pt>
                <c:pt idx="141">
                  <c:v>306.77999999999997</c:v>
                </c:pt>
                <c:pt idx="142">
                  <c:v>323.57</c:v>
                </c:pt>
                <c:pt idx="143">
                  <c:v>329.67</c:v>
                </c:pt>
                <c:pt idx="144">
                  <c:v>327.5</c:v>
                </c:pt>
                <c:pt idx="145">
                  <c:v>332.41</c:v>
                </c:pt>
                <c:pt idx="146">
                  <c:v>335.2</c:v>
                </c:pt>
                <c:pt idx="147">
                  <c:v>325.91000000000003</c:v>
                </c:pt>
                <c:pt idx="148">
                  <c:v>326.27</c:v>
                </c:pt>
                <c:pt idx="149">
                  <c:v>327.62</c:v>
                </c:pt>
                <c:pt idx="150">
                  <c:v>325.62</c:v>
                </c:pt>
                <c:pt idx="151">
                  <c:v>334.38</c:v>
                </c:pt>
                <c:pt idx="152">
                  <c:v>327</c:v>
                </c:pt>
                <c:pt idx="153">
                  <c:v>324.2</c:v>
                </c:pt>
                <c:pt idx="154">
                  <c:v>327.24</c:v>
                </c:pt>
                <c:pt idx="155">
                  <c:v>324.16000000000003</c:v>
                </c:pt>
                <c:pt idx="156">
                  <c:v>327.44</c:v>
                </c:pt>
                <c:pt idx="157">
                  <c:v>325.69</c:v>
                </c:pt>
                <c:pt idx="158">
                  <c:v>324.57</c:v>
                </c:pt>
                <c:pt idx="159">
                  <c:v>324.77999999999997</c:v>
                </c:pt>
                <c:pt idx="160">
                  <c:v>332.39</c:v>
                </c:pt>
                <c:pt idx="161">
                  <c:v>332.85</c:v>
                </c:pt>
                <c:pt idx="162">
                  <c:v>337.49200000000002</c:v>
                </c:pt>
                <c:pt idx="163">
                  <c:v>333.55</c:v>
                </c:pt>
                <c:pt idx="164">
                  <c:v>323.81</c:v>
                </c:pt>
                <c:pt idx="165">
                  <c:v>329.97</c:v>
                </c:pt>
                <c:pt idx="166">
                  <c:v>327.92</c:v>
                </c:pt>
                <c:pt idx="167">
                  <c:v>346.2</c:v>
                </c:pt>
                <c:pt idx="168">
                  <c:v>355.32</c:v>
                </c:pt>
                <c:pt idx="169">
                  <c:v>354.44</c:v>
                </c:pt>
                <c:pt idx="170">
                  <c:v>355.9</c:v>
                </c:pt>
                <c:pt idx="171">
                  <c:v>352.45400000000001</c:v>
                </c:pt>
                <c:pt idx="172">
                  <c:v>358.66</c:v>
                </c:pt>
                <c:pt idx="173">
                  <c:v>359.76</c:v>
                </c:pt>
                <c:pt idx="174">
                  <c:v>360.84</c:v>
                </c:pt>
                <c:pt idx="175">
                  <c:v>358.14</c:v>
                </c:pt>
                <c:pt idx="176">
                  <c:v>358.61</c:v>
                </c:pt>
                <c:pt idx="177">
                  <c:v>324.01</c:v>
                </c:pt>
                <c:pt idx="178">
                  <c:v>320.41000000000003</c:v>
                </c:pt>
                <c:pt idx="179">
                  <c:v>320</c:v>
                </c:pt>
                <c:pt idx="180">
                  <c:v>322.51</c:v>
                </c:pt>
                <c:pt idx="181">
                  <c:v>312.99</c:v>
                </c:pt>
                <c:pt idx="182">
                  <c:v>307.06</c:v>
                </c:pt>
                <c:pt idx="183">
                  <c:v>313.64999999999998</c:v>
                </c:pt>
                <c:pt idx="184">
                  <c:v>312.32</c:v>
                </c:pt>
                <c:pt idx="185">
                  <c:v>313.89</c:v>
                </c:pt>
                <c:pt idx="186">
                  <c:v>311.45</c:v>
                </c:pt>
                <c:pt idx="187">
                  <c:v>316.8</c:v>
                </c:pt>
                <c:pt idx="188">
                  <c:v>318.33</c:v>
                </c:pt>
                <c:pt idx="189">
                  <c:v>319.32</c:v>
                </c:pt>
                <c:pt idx="190">
                  <c:v>326.27999999999997</c:v>
                </c:pt>
                <c:pt idx="191">
                  <c:v>333.21</c:v>
                </c:pt>
                <c:pt idx="192">
                  <c:v>333.63</c:v>
                </c:pt>
                <c:pt idx="193">
                  <c:v>334.53</c:v>
                </c:pt>
                <c:pt idx="194">
                  <c:v>335.13</c:v>
                </c:pt>
                <c:pt idx="195">
                  <c:v>335.78</c:v>
                </c:pt>
                <c:pt idx="196">
                  <c:v>332.91</c:v>
                </c:pt>
                <c:pt idx="197">
                  <c:v>331.59</c:v>
                </c:pt>
                <c:pt idx="198">
                  <c:v>334.02</c:v>
                </c:pt>
                <c:pt idx="199">
                  <c:v>341.83</c:v>
                </c:pt>
                <c:pt idx="200">
                  <c:v>343.18</c:v>
                </c:pt>
                <c:pt idx="201">
                  <c:v>340.02</c:v>
                </c:pt>
                <c:pt idx="202">
                  <c:v>339.04</c:v>
                </c:pt>
                <c:pt idx="203">
                  <c:v>342.38</c:v>
                </c:pt>
                <c:pt idx="204">
                  <c:v>339</c:v>
                </c:pt>
                <c:pt idx="205">
                  <c:v>345.95</c:v>
                </c:pt>
                <c:pt idx="206">
                  <c:v>346.38</c:v>
                </c:pt>
                <c:pt idx="207">
                  <c:v>342.34</c:v>
                </c:pt>
                <c:pt idx="208">
                  <c:v>329.75</c:v>
                </c:pt>
                <c:pt idx="209">
                  <c:v>331.33</c:v>
                </c:pt>
                <c:pt idx="210">
                  <c:v>330.52</c:v>
                </c:pt>
                <c:pt idx="211">
                  <c:v>331.19</c:v>
                </c:pt>
                <c:pt idx="212">
                  <c:v>323.89</c:v>
                </c:pt>
                <c:pt idx="213">
                  <c:v>327.76</c:v>
                </c:pt>
                <c:pt idx="214">
                  <c:v>324</c:v>
                </c:pt>
                <c:pt idx="215">
                  <c:v>325</c:v>
                </c:pt>
                <c:pt idx="216">
                  <c:v>331.32</c:v>
                </c:pt>
                <c:pt idx="217">
                  <c:v>324.5</c:v>
                </c:pt>
                <c:pt idx="218">
                  <c:v>323.63</c:v>
                </c:pt>
                <c:pt idx="219">
                  <c:v>328.21</c:v>
                </c:pt>
                <c:pt idx="220">
                  <c:v>321.93</c:v>
                </c:pt>
                <c:pt idx="221">
                  <c:v>323.20999999999998</c:v>
                </c:pt>
                <c:pt idx="222">
                  <c:v>321.82</c:v>
                </c:pt>
                <c:pt idx="223">
                  <c:v>322.44</c:v>
                </c:pt>
                <c:pt idx="224">
                  <c:v>317.45999999999998</c:v>
                </c:pt>
                <c:pt idx="225">
                  <c:v>318.41000000000003</c:v>
                </c:pt>
                <c:pt idx="226">
                  <c:v>322.74</c:v>
                </c:pt>
                <c:pt idx="227">
                  <c:v>322.2</c:v>
                </c:pt>
                <c:pt idx="228">
                  <c:v>316.98</c:v>
                </c:pt>
                <c:pt idx="229">
                  <c:v>322.7</c:v>
                </c:pt>
                <c:pt idx="230">
                  <c:v>315.37</c:v>
                </c:pt>
                <c:pt idx="231">
                  <c:v>311.39</c:v>
                </c:pt>
                <c:pt idx="232">
                  <c:v>306.45</c:v>
                </c:pt>
                <c:pt idx="233">
                  <c:v>308.31</c:v>
                </c:pt>
                <c:pt idx="234">
                  <c:v>305.97000000000003</c:v>
                </c:pt>
                <c:pt idx="235">
                  <c:v>302.86</c:v>
                </c:pt>
                <c:pt idx="236">
                  <c:v>303.64</c:v>
                </c:pt>
                <c:pt idx="237">
                  <c:v>306.20999999999998</c:v>
                </c:pt>
                <c:pt idx="238">
                  <c:v>315.33</c:v>
                </c:pt>
                <c:pt idx="239">
                  <c:v>312.97000000000003</c:v>
                </c:pt>
                <c:pt idx="240">
                  <c:v>313.18</c:v>
                </c:pt>
                <c:pt idx="241">
                  <c:v>287.06</c:v>
                </c:pt>
                <c:pt idx="242">
                  <c:v>289.97000000000003</c:v>
                </c:pt>
                <c:pt idx="243">
                  <c:v>295.58999999999997</c:v>
                </c:pt>
                <c:pt idx="244">
                  <c:v>294.12</c:v>
                </c:pt>
                <c:pt idx="245">
                  <c:v>299.07</c:v>
                </c:pt>
                <c:pt idx="246">
                  <c:v>305.45999999999998</c:v>
                </c:pt>
                <c:pt idx="247">
                  <c:v>305.72000000000003</c:v>
                </c:pt>
                <c:pt idx="248">
                  <c:v>302.81</c:v>
                </c:pt>
                <c:pt idx="249">
                  <c:v>296.52</c:v>
                </c:pt>
                <c:pt idx="250">
                  <c:v>296.64</c:v>
                </c:pt>
                <c:pt idx="251">
                  <c:v>299.86</c:v>
                </c:pt>
                <c:pt idx="252">
                  <c:v>305.11</c:v>
                </c:pt>
                <c:pt idx="253">
                  <c:v>312.01</c:v>
                </c:pt>
                <c:pt idx="254">
                  <c:v>311.51</c:v>
                </c:pt>
                <c:pt idx="255">
                  <c:v>316.48</c:v>
                </c:pt>
                <c:pt idx="256">
                  <c:v>327.82</c:v>
                </c:pt>
                <c:pt idx="257">
                  <c:v>323.05</c:v>
                </c:pt>
                <c:pt idx="258">
                  <c:v>324.93</c:v>
                </c:pt>
                <c:pt idx="259">
                  <c:v>326.54000000000002</c:v>
                </c:pt>
                <c:pt idx="260">
                  <c:v>330.54</c:v>
                </c:pt>
                <c:pt idx="261">
                  <c:v>332.63</c:v>
                </c:pt>
                <c:pt idx="262">
                  <c:v>335.64</c:v>
                </c:pt>
                <c:pt idx="263">
                  <c:v>335.04</c:v>
                </c:pt>
                <c:pt idx="264">
                  <c:v>333.57</c:v>
                </c:pt>
                <c:pt idx="265">
                  <c:v>338.64</c:v>
                </c:pt>
                <c:pt idx="266">
                  <c:v>326</c:v>
                </c:pt>
                <c:pt idx="267">
                  <c:v>326.31</c:v>
                </c:pt>
                <c:pt idx="268">
                  <c:v>316.5</c:v>
                </c:pt>
                <c:pt idx="269">
                  <c:v>316.93</c:v>
                </c:pt>
                <c:pt idx="270">
                  <c:v>312.63</c:v>
                </c:pt>
                <c:pt idx="271">
                  <c:v>306.64</c:v>
                </c:pt>
                <c:pt idx="272">
                  <c:v>312.5</c:v>
                </c:pt>
                <c:pt idx="273">
                  <c:v>305.83999999999997</c:v>
                </c:pt>
                <c:pt idx="274">
                  <c:v>307.36</c:v>
                </c:pt>
                <c:pt idx="275">
                  <c:v>307.32</c:v>
                </c:pt>
                <c:pt idx="276">
                  <c:v>306.07</c:v>
                </c:pt>
                <c:pt idx="277">
                  <c:v>295.06</c:v>
                </c:pt>
                <c:pt idx="278">
                  <c:v>298.88</c:v>
                </c:pt>
                <c:pt idx="279">
                  <c:v>297.73</c:v>
                </c:pt>
                <c:pt idx="280">
                  <c:v>299.89999999999998</c:v>
                </c:pt>
                <c:pt idx="281">
                  <c:v>306.54000000000002</c:v>
                </c:pt>
                <c:pt idx="282">
                  <c:v>306.28500000000003</c:v>
                </c:pt>
                <c:pt idx="283">
                  <c:v>303.02999999999997</c:v>
                </c:pt>
                <c:pt idx="284">
                  <c:v>309.08999999999997</c:v>
                </c:pt>
                <c:pt idx="285">
                  <c:v>312.04000000000002</c:v>
                </c:pt>
                <c:pt idx="286">
                  <c:v>310.3</c:v>
                </c:pt>
                <c:pt idx="287">
                  <c:v>310.35000000000002</c:v>
                </c:pt>
                <c:pt idx="288">
                  <c:v>308.52</c:v>
                </c:pt>
                <c:pt idx="289">
                  <c:v>302.19</c:v>
                </c:pt>
                <c:pt idx="290">
                  <c:v>295.29000000000002</c:v>
                </c:pt>
                <c:pt idx="291">
                  <c:v>298.42</c:v>
                </c:pt>
                <c:pt idx="292">
                  <c:v>300.45999999999998</c:v>
                </c:pt>
                <c:pt idx="293">
                  <c:v>296.93</c:v>
                </c:pt>
                <c:pt idx="294">
                  <c:v>291.41000000000003</c:v>
                </c:pt>
                <c:pt idx="295">
                  <c:v>294.74</c:v>
                </c:pt>
                <c:pt idx="296">
                  <c:v>293.27</c:v>
                </c:pt>
                <c:pt idx="297">
                  <c:v>286.95</c:v>
                </c:pt>
                <c:pt idx="298">
                  <c:v>290.74</c:v>
                </c:pt>
                <c:pt idx="299">
                  <c:v>289.44</c:v>
                </c:pt>
                <c:pt idx="300">
                  <c:v>297.25</c:v>
                </c:pt>
                <c:pt idx="301">
                  <c:v>310.32</c:v>
                </c:pt>
                <c:pt idx="302">
                  <c:v>312.39</c:v>
                </c:pt>
                <c:pt idx="303">
                  <c:v>309.66000000000003</c:v>
                </c:pt>
                <c:pt idx="304">
                  <c:v>306.75</c:v>
                </c:pt>
                <c:pt idx="305">
                  <c:v>303.91000000000003</c:v>
                </c:pt>
                <c:pt idx="306">
                  <c:v>311.77999999999997</c:v>
                </c:pt>
                <c:pt idx="307">
                  <c:v>354.53</c:v>
                </c:pt>
                <c:pt idx="308">
                  <c:v>364.47</c:v>
                </c:pt>
                <c:pt idx="309">
                  <c:v>363.55</c:v>
                </c:pt>
                <c:pt idx="310">
                  <c:v>364.75</c:v>
                </c:pt>
                <c:pt idx="311">
                  <c:v>373.89</c:v>
                </c:pt>
                <c:pt idx="312">
                  <c:v>374.28</c:v>
                </c:pt>
                <c:pt idx="313">
                  <c:v>370.56</c:v>
                </c:pt>
                <c:pt idx="314">
                  <c:v>372.995</c:v>
                </c:pt>
                <c:pt idx="315">
                  <c:v>375.14</c:v>
                </c:pt>
                <c:pt idx="316">
                  <c:v>377.17</c:v>
                </c:pt>
                <c:pt idx="317">
                  <c:v>381.83</c:v>
                </c:pt>
                <c:pt idx="318">
                  <c:v>375.43</c:v>
                </c:pt>
                <c:pt idx="319">
                  <c:v>373.37</c:v>
                </c:pt>
                <c:pt idx="320">
                  <c:v>378.995</c:v>
                </c:pt>
                <c:pt idx="321">
                  <c:v>383.66</c:v>
                </c:pt>
                <c:pt idx="322">
                  <c:v>380.14</c:v>
                </c:pt>
                <c:pt idx="323">
                  <c:v>378.59</c:v>
                </c:pt>
                <c:pt idx="324">
                  <c:v>385.37</c:v>
                </c:pt>
                <c:pt idx="325">
                  <c:v>384.8</c:v>
                </c:pt>
                <c:pt idx="326">
                  <c:v>380.16</c:v>
                </c:pt>
                <c:pt idx="327">
                  <c:v>385.65499999999997</c:v>
                </c:pt>
                <c:pt idx="328">
                  <c:v>384.61</c:v>
                </c:pt>
                <c:pt idx="329">
                  <c:v>382.72</c:v>
                </c:pt>
                <c:pt idx="330">
                  <c:v>387.83</c:v>
                </c:pt>
                <c:pt idx="331">
                  <c:v>380.09</c:v>
                </c:pt>
                <c:pt idx="332">
                  <c:v>378.56</c:v>
                </c:pt>
                <c:pt idx="333">
                  <c:v>369.51</c:v>
                </c:pt>
                <c:pt idx="334">
                  <c:v>366.37</c:v>
                </c:pt>
                <c:pt idx="335">
                  <c:v>374.24</c:v>
                </c:pt>
                <c:pt idx="336">
                  <c:v>370.58</c:v>
                </c:pt>
                <c:pt idx="337">
                  <c:v>373.35</c:v>
                </c:pt>
                <c:pt idx="338">
                  <c:v>371.92</c:v>
                </c:pt>
                <c:pt idx="339">
                  <c:v>375.13499999999999</c:v>
                </c:pt>
                <c:pt idx="340">
                  <c:v>373.24</c:v>
                </c:pt>
                <c:pt idx="341">
                  <c:v>378.49</c:v>
                </c:pt>
                <c:pt idx="342">
                  <c:v>375.11</c:v>
                </c:pt>
                <c:pt idx="343">
                  <c:v>374.09</c:v>
                </c:pt>
                <c:pt idx="344">
                  <c:v>370.96</c:v>
                </c:pt>
                <c:pt idx="345">
                  <c:v>367.35</c:v>
                </c:pt>
                <c:pt idx="346">
                  <c:v>370.56</c:v>
                </c:pt>
                <c:pt idx="347">
                  <c:v>374.59</c:v>
                </c:pt>
                <c:pt idx="348">
                  <c:v>372.1</c:v>
                </c:pt>
                <c:pt idx="349">
                  <c:v>370.255</c:v>
                </c:pt>
                <c:pt idx="350">
                  <c:v>372.25</c:v>
                </c:pt>
                <c:pt idx="351">
                  <c:v>377.04</c:v>
                </c:pt>
                <c:pt idx="352">
                  <c:v>374.41</c:v>
                </c:pt>
                <c:pt idx="353">
                  <c:v>381.2</c:v>
                </c:pt>
                <c:pt idx="354">
                  <c:v>383.54</c:v>
                </c:pt>
                <c:pt idx="355">
                  <c:v>382.65</c:v>
                </c:pt>
                <c:pt idx="356">
                  <c:v>382.36</c:v>
                </c:pt>
                <c:pt idx="357">
                  <c:v>385.11</c:v>
                </c:pt>
                <c:pt idx="358">
                  <c:v>383.45</c:v>
                </c:pt>
                <c:pt idx="359">
                  <c:v>386.04</c:v>
                </c:pt>
                <c:pt idx="360">
                  <c:v>375.56</c:v>
                </c:pt>
                <c:pt idx="361">
                  <c:v>389.51</c:v>
                </c:pt>
                <c:pt idx="362">
                  <c:v>391.18</c:v>
                </c:pt>
                <c:pt idx="363">
                  <c:v>389.8</c:v>
                </c:pt>
                <c:pt idx="364">
                  <c:v>389.99</c:v>
                </c:pt>
                <c:pt idx="365">
                  <c:v>445.1</c:v>
                </c:pt>
                <c:pt idx="366">
                  <c:v>438.56</c:v>
                </c:pt>
                <c:pt idx="367">
                  <c:v>429.31</c:v>
                </c:pt>
                <c:pt idx="368">
                  <c:v>429.37</c:v>
                </c:pt>
                <c:pt idx="369">
                  <c:v>421.78</c:v>
                </c:pt>
                <c:pt idx="370">
                  <c:v>422.87</c:v>
                </c:pt>
                <c:pt idx="371">
                  <c:v>423.04</c:v>
                </c:pt>
                <c:pt idx="372">
                  <c:v>421.19</c:v>
                </c:pt>
                <c:pt idx="373">
                  <c:v>419.1</c:v>
                </c:pt>
                <c:pt idx="374">
                  <c:v>426.88</c:v>
                </c:pt>
                <c:pt idx="375">
                  <c:v>433.69</c:v>
                </c:pt>
                <c:pt idx="376">
                  <c:v>432.85</c:v>
                </c:pt>
                <c:pt idx="377">
                  <c:v>431.02</c:v>
                </c:pt>
                <c:pt idx="378">
                  <c:v>426.87</c:v>
                </c:pt>
                <c:pt idx="379">
                  <c:v>432.28</c:v>
                </c:pt>
                <c:pt idx="380">
                  <c:v>426</c:v>
                </c:pt>
                <c:pt idx="381">
                  <c:v>425.24</c:v>
                </c:pt>
                <c:pt idx="382">
                  <c:v>421.71</c:v>
                </c:pt>
                <c:pt idx="383">
                  <c:v>423.86</c:v>
                </c:pt>
                <c:pt idx="384">
                  <c:v>431.63</c:v>
                </c:pt>
                <c:pt idx="385">
                  <c:v>427.63</c:v>
                </c:pt>
                <c:pt idx="386">
                  <c:v>425.47</c:v>
                </c:pt>
                <c:pt idx="387">
                  <c:v>431.42</c:v>
                </c:pt>
                <c:pt idx="388">
                  <c:v>426.57</c:v>
                </c:pt>
                <c:pt idx="389">
                  <c:v>429.23</c:v>
                </c:pt>
                <c:pt idx="390">
                  <c:v>430.92</c:v>
                </c:pt>
                <c:pt idx="391">
                  <c:v>430.99</c:v>
                </c:pt>
                <c:pt idx="392">
                  <c:v>436.59</c:v>
                </c:pt>
                <c:pt idx="393">
                  <c:v>430.78</c:v>
                </c:pt>
                <c:pt idx="394">
                  <c:v>426.95</c:v>
                </c:pt>
                <c:pt idx="395">
                  <c:v>423.5</c:v>
                </c:pt>
                <c:pt idx="396">
                  <c:v>425.48</c:v>
                </c:pt>
                <c:pt idx="397">
                  <c:v>430.77</c:v>
                </c:pt>
                <c:pt idx="398">
                  <c:v>432.97</c:v>
                </c:pt>
                <c:pt idx="399">
                  <c:v>429.92</c:v>
                </c:pt>
                <c:pt idx="400">
                  <c:v>423.67</c:v>
                </c:pt>
                <c:pt idx="401">
                  <c:v>427.26</c:v>
                </c:pt>
                <c:pt idx="402">
                  <c:v>427.81</c:v>
                </c:pt>
                <c:pt idx="403">
                  <c:v>439.39</c:v>
                </c:pt>
                <c:pt idx="404">
                  <c:v>434.92</c:v>
                </c:pt>
                <c:pt idx="405">
                  <c:v>436.29</c:v>
                </c:pt>
                <c:pt idx="406">
                  <c:v>445.99</c:v>
                </c:pt>
                <c:pt idx="407">
                  <c:v>440.84</c:v>
                </c:pt>
                <c:pt idx="408">
                  <c:v>440.1</c:v>
                </c:pt>
                <c:pt idx="409">
                  <c:v>438.1</c:v>
                </c:pt>
                <c:pt idx="410">
                  <c:v>429.86</c:v>
                </c:pt>
                <c:pt idx="411">
                  <c:v>434.09</c:v>
                </c:pt>
                <c:pt idx="412">
                  <c:v>437.39</c:v>
                </c:pt>
                <c:pt idx="413">
                  <c:v>437.71</c:v>
                </c:pt>
                <c:pt idx="414">
                  <c:v>436.04</c:v>
                </c:pt>
                <c:pt idx="415">
                  <c:v>436.72</c:v>
                </c:pt>
                <c:pt idx="416">
                  <c:v>429.7</c:v>
                </c:pt>
                <c:pt idx="417">
                  <c:v>434.39</c:v>
                </c:pt>
                <c:pt idx="418">
                  <c:v>443.51</c:v>
                </c:pt>
                <c:pt idx="419">
                  <c:v>455.57</c:v>
                </c:pt>
                <c:pt idx="420">
                  <c:v>465.57</c:v>
                </c:pt>
                <c:pt idx="421">
                  <c:v>461.19</c:v>
                </c:pt>
                <c:pt idx="422">
                  <c:v>475.48</c:v>
                </c:pt>
                <c:pt idx="423">
                  <c:v>483.01</c:v>
                </c:pt>
                <c:pt idx="424">
                  <c:v>488.1</c:v>
                </c:pt>
                <c:pt idx="425">
                  <c:v>488</c:v>
                </c:pt>
                <c:pt idx="426">
                  <c:v>488.27</c:v>
                </c:pt>
                <c:pt idx="427">
                  <c:v>482.18</c:v>
                </c:pt>
                <c:pt idx="428">
                  <c:v>529.41999999999996</c:v>
                </c:pt>
                <c:pt idx="429">
                  <c:v>531.41</c:v>
                </c:pt>
                <c:pt idx="430">
                  <c:v>526.03</c:v>
                </c:pt>
                <c:pt idx="431">
                  <c:v>529</c:v>
                </c:pt>
                <c:pt idx="432">
                  <c:v>536.76</c:v>
                </c:pt>
                <c:pt idx="433">
                  <c:v>536.15</c:v>
                </c:pt>
                <c:pt idx="434">
                  <c:v>535.03</c:v>
                </c:pt>
                <c:pt idx="435">
                  <c:v>531.9</c:v>
                </c:pt>
                <c:pt idx="436">
                  <c:v>537.01</c:v>
                </c:pt>
                <c:pt idx="437">
                  <c:v>529.46</c:v>
                </c:pt>
                <c:pt idx="438">
                  <c:v>522.62</c:v>
                </c:pt>
                <c:pt idx="439">
                  <c:v>524</c:v>
                </c:pt>
                <c:pt idx="440">
                  <c:v>527.46</c:v>
                </c:pt>
                <c:pt idx="441">
                  <c:v>525.91</c:v>
                </c:pt>
                <c:pt idx="442">
                  <c:v>529.66</c:v>
                </c:pt>
                <c:pt idx="443">
                  <c:v>531.52</c:v>
                </c:pt>
                <c:pt idx="444">
                  <c:v>535.22</c:v>
                </c:pt>
                <c:pt idx="445">
                  <c:v>535.02</c:v>
                </c:pt>
                <c:pt idx="446">
                  <c:v>532.91999999999996</c:v>
                </c:pt>
                <c:pt idx="447">
                  <c:v>515.78</c:v>
                </c:pt>
                <c:pt idx="448">
                  <c:v>494.47</c:v>
                </c:pt>
                <c:pt idx="449">
                  <c:v>463.37</c:v>
                </c:pt>
                <c:pt idx="450">
                  <c:v>466.37</c:v>
                </c:pt>
                <c:pt idx="451">
                  <c:v>500.77</c:v>
                </c:pt>
                <c:pt idx="452">
                  <c:v>518.37</c:v>
                </c:pt>
                <c:pt idx="453">
                  <c:v>518.01</c:v>
                </c:pt>
                <c:pt idx="454">
                  <c:v>512.89</c:v>
                </c:pt>
                <c:pt idx="455">
                  <c:v>496.54</c:v>
                </c:pt>
                <c:pt idx="456">
                  <c:v>510.55</c:v>
                </c:pt>
                <c:pt idx="457">
                  <c:v>504.72</c:v>
                </c:pt>
                <c:pt idx="458">
                  <c:v>499</c:v>
                </c:pt>
                <c:pt idx="459">
                  <c:v>517.54</c:v>
                </c:pt>
                <c:pt idx="460">
                  <c:v>516.89</c:v>
                </c:pt>
                <c:pt idx="461">
                  <c:v>522.24</c:v>
                </c:pt>
                <c:pt idx="462">
                  <c:v>529.44000000000005</c:v>
                </c:pt>
                <c:pt idx="463">
                  <c:v>521.38</c:v>
                </c:pt>
                <c:pt idx="464">
                  <c:v>522.37</c:v>
                </c:pt>
                <c:pt idx="465">
                  <c:v>527.39</c:v>
                </c:pt>
                <c:pt idx="466">
                  <c:v>538.87</c:v>
                </c:pt>
                <c:pt idx="467">
                  <c:v>540.26</c:v>
                </c:pt>
                <c:pt idx="468">
                  <c:v>548.39</c:v>
                </c:pt>
                <c:pt idx="469">
                  <c:v>538.4</c:v>
                </c:pt>
                <c:pt idx="470">
                  <c:v>536.07000000000005</c:v>
                </c:pt>
                <c:pt idx="471">
                  <c:v>533.75</c:v>
                </c:pt>
                <c:pt idx="472">
                  <c:v>524.25</c:v>
                </c:pt>
                <c:pt idx="473">
                  <c:v>504.06</c:v>
                </c:pt>
                <c:pt idx="474">
                  <c:v>496.07</c:v>
                </c:pt>
                <c:pt idx="475">
                  <c:v>511.89</c:v>
                </c:pt>
                <c:pt idx="476">
                  <c:v>520.72</c:v>
                </c:pt>
                <c:pt idx="477">
                  <c:v>532.54</c:v>
                </c:pt>
                <c:pt idx="478">
                  <c:v>543.67999999999995</c:v>
                </c:pt>
                <c:pt idx="479">
                  <c:v>537.48</c:v>
                </c:pt>
                <c:pt idx="480">
                  <c:v>541.94000000000005</c:v>
                </c:pt>
                <c:pt idx="481">
                  <c:v>533.16</c:v>
                </c:pt>
                <c:pt idx="482">
                  <c:v>539.79999999999995</c:v>
                </c:pt>
                <c:pt idx="483">
                  <c:v>550.19000000000005</c:v>
                </c:pt>
                <c:pt idx="484">
                  <c:v>548.9</c:v>
                </c:pt>
                <c:pt idx="485">
                  <c:v>544.83000000000004</c:v>
                </c:pt>
                <c:pt idx="486">
                  <c:v>562.44000000000005</c:v>
                </c:pt>
                <c:pt idx="487">
                  <c:v>570.76</c:v>
                </c:pt>
                <c:pt idx="488">
                  <c:v>573.15</c:v>
                </c:pt>
                <c:pt idx="489">
                  <c:v>560.88</c:v>
                </c:pt>
                <c:pt idx="490">
                  <c:v>555.77</c:v>
                </c:pt>
                <c:pt idx="491">
                  <c:v>563.91</c:v>
                </c:pt>
                <c:pt idx="492">
                  <c:v>599.03</c:v>
                </c:pt>
                <c:pt idx="493">
                  <c:v>608.61</c:v>
                </c:pt>
                <c:pt idx="494">
                  <c:v>611.01</c:v>
                </c:pt>
                <c:pt idx="495">
                  <c:v>617.1</c:v>
                </c:pt>
                <c:pt idx="496">
                  <c:v>626.54999999999995</c:v>
                </c:pt>
                <c:pt idx="497">
                  <c:v>625.9</c:v>
                </c:pt>
                <c:pt idx="498">
                  <c:v>628.35</c:v>
                </c:pt>
                <c:pt idx="499">
                  <c:v>625.30999999999995</c:v>
                </c:pt>
                <c:pt idx="500">
                  <c:v>640.95000000000005</c:v>
                </c:pt>
                <c:pt idx="501">
                  <c:v>655.65</c:v>
                </c:pt>
                <c:pt idx="502">
                  <c:v>659.37</c:v>
                </c:pt>
                <c:pt idx="503">
                  <c:v>655.49</c:v>
                </c:pt>
                <c:pt idx="504">
                  <c:v>659.68</c:v>
                </c:pt>
                <c:pt idx="505">
                  <c:v>673.25</c:v>
                </c:pt>
                <c:pt idx="506">
                  <c:v>665.6</c:v>
                </c:pt>
                <c:pt idx="507">
                  <c:v>642.35</c:v>
                </c:pt>
                <c:pt idx="508">
                  <c:v>647.80999999999995</c:v>
                </c:pt>
                <c:pt idx="509">
                  <c:v>643.29999999999995</c:v>
                </c:pt>
                <c:pt idx="510">
                  <c:v>663.54</c:v>
                </c:pt>
                <c:pt idx="511">
                  <c:v>661.27</c:v>
                </c:pt>
                <c:pt idx="512">
                  <c:v>668.45</c:v>
                </c:pt>
                <c:pt idx="513">
                  <c:v>678.99</c:v>
                </c:pt>
                <c:pt idx="514">
                  <c:v>671.15</c:v>
                </c:pt>
                <c:pt idx="515">
                  <c:v>675.34</c:v>
                </c:pt>
                <c:pt idx="516">
                  <c:v>673.26</c:v>
                </c:pt>
                <c:pt idx="517">
                  <c:v>664.8</c:v>
                </c:pt>
                <c:pt idx="518">
                  <c:v>679.06</c:v>
                </c:pt>
                <c:pt idx="519">
                  <c:v>676.01</c:v>
                </c:pt>
                <c:pt idx="520">
                  <c:v>666.25</c:v>
                </c:pt>
                <c:pt idx="521">
                  <c:v>672.64</c:v>
                </c:pt>
                <c:pt idx="522">
                  <c:v>669.83</c:v>
                </c:pt>
                <c:pt idx="523">
                  <c:v>677.33</c:v>
                </c:pt>
                <c:pt idx="524">
                  <c:v>664.79</c:v>
                </c:pt>
                <c:pt idx="525">
                  <c:v>662.32</c:v>
                </c:pt>
                <c:pt idx="526">
                  <c:v>640.15</c:v>
                </c:pt>
                <c:pt idx="527">
                  <c:v>657.91</c:v>
                </c:pt>
                <c:pt idx="528">
                  <c:v>658.64</c:v>
                </c:pt>
                <c:pt idx="529">
                  <c:v>675.77</c:v>
                </c:pt>
                <c:pt idx="530">
                  <c:v>670.65</c:v>
                </c:pt>
                <c:pt idx="531">
                  <c:v>664.14</c:v>
                </c:pt>
                <c:pt idx="532">
                  <c:v>664.51</c:v>
                </c:pt>
                <c:pt idx="533">
                  <c:v>663.15</c:v>
                </c:pt>
                <c:pt idx="534">
                  <c:v>663.7</c:v>
                </c:pt>
                <c:pt idx="535">
                  <c:v>662.79</c:v>
                </c:pt>
                <c:pt idx="536">
                  <c:v>675.2</c:v>
                </c:pt>
                <c:pt idx="537">
                  <c:v>693.97</c:v>
                </c:pt>
                <c:pt idx="538">
                  <c:v>689.07</c:v>
                </c:pt>
                <c:pt idx="539">
                  <c:v>675.89</c:v>
                </c:pt>
                <c:pt idx="540">
                  <c:v>636.99</c:v>
                </c:pt>
                <c:pt idx="541">
                  <c:v>633.79</c:v>
                </c:pt>
                <c:pt idx="542">
                  <c:v>632.65</c:v>
                </c:pt>
                <c:pt idx="543">
                  <c:v>607.94000000000005</c:v>
                </c:pt>
                <c:pt idx="544">
                  <c:v>607.04999999999995</c:v>
                </c:pt>
                <c:pt idx="545">
                  <c:v>617.74</c:v>
                </c:pt>
                <c:pt idx="546">
                  <c:v>617.89</c:v>
                </c:pt>
                <c:pt idx="547">
                  <c:v>581.80999999999995</c:v>
                </c:pt>
                <c:pt idx="548">
                  <c:v>593</c:v>
                </c:pt>
                <c:pt idx="549">
                  <c:v>570.17999999999995</c:v>
                </c:pt>
                <c:pt idx="550">
                  <c:v>574.48</c:v>
                </c:pt>
                <c:pt idx="551">
                  <c:v>571.77</c:v>
                </c:pt>
                <c:pt idx="552">
                  <c:v>575.02</c:v>
                </c:pt>
                <c:pt idx="553">
                  <c:v>596.38</c:v>
                </c:pt>
                <c:pt idx="554">
                  <c:v>596.53</c:v>
                </c:pt>
                <c:pt idx="555">
                  <c:v>601.25</c:v>
                </c:pt>
                <c:pt idx="556">
                  <c:v>583.35</c:v>
                </c:pt>
                <c:pt idx="557">
                  <c:v>635.35</c:v>
                </c:pt>
                <c:pt idx="558">
                  <c:v>587</c:v>
                </c:pt>
                <c:pt idx="559">
                  <c:v>574.80999999999995</c:v>
                </c:pt>
                <c:pt idx="560">
                  <c:v>552.1</c:v>
                </c:pt>
                <c:pt idx="561">
                  <c:v>531.07000000000005</c:v>
                </c:pt>
                <c:pt idx="562">
                  <c:v>536.26</c:v>
                </c:pt>
                <c:pt idx="563">
                  <c:v>502.13</c:v>
                </c:pt>
                <c:pt idx="564">
                  <c:v>488.1</c:v>
                </c:pt>
                <c:pt idx="565">
                  <c:v>482.07</c:v>
                </c:pt>
                <c:pt idx="566">
                  <c:v>490.48</c:v>
                </c:pt>
                <c:pt idx="567">
                  <c:v>503.82</c:v>
                </c:pt>
                <c:pt idx="568">
                  <c:v>507.08</c:v>
                </c:pt>
                <c:pt idx="569">
                  <c:v>521.1</c:v>
                </c:pt>
                <c:pt idx="570">
                  <c:v>534.1</c:v>
                </c:pt>
                <c:pt idx="571">
                  <c:v>525</c:v>
                </c:pt>
                <c:pt idx="572">
                  <c:v>534.9</c:v>
                </c:pt>
                <c:pt idx="573">
                  <c:v>559.5</c:v>
                </c:pt>
                <c:pt idx="574">
                  <c:v>552.94000000000005</c:v>
                </c:pt>
                <c:pt idx="575">
                  <c:v>554.04</c:v>
                </c:pt>
                <c:pt idx="576">
                  <c:v>555.15</c:v>
                </c:pt>
                <c:pt idx="577">
                  <c:v>555.23</c:v>
                </c:pt>
                <c:pt idx="578">
                  <c:v>552.52</c:v>
                </c:pt>
                <c:pt idx="579">
                  <c:v>579.04</c:v>
                </c:pt>
                <c:pt idx="580">
                  <c:v>580.21</c:v>
                </c:pt>
                <c:pt idx="581">
                  <c:v>577.49</c:v>
                </c:pt>
                <c:pt idx="582">
                  <c:v>575.14</c:v>
                </c:pt>
                <c:pt idx="583">
                  <c:v>562.79999999999995</c:v>
                </c:pt>
                <c:pt idx="584">
                  <c:v>560.26</c:v>
                </c:pt>
                <c:pt idx="585">
                  <c:v>559.47</c:v>
                </c:pt>
                <c:pt idx="586">
                  <c:v>558.92999999999995</c:v>
                </c:pt>
                <c:pt idx="587">
                  <c:v>569.61</c:v>
                </c:pt>
                <c:pt idx="588">
                  <c:v>573.37</c:v>
                </c:pt>
                <c:pt idx="589">
                  <c:v>577.02</c:v>
                </c:pt>
                <c:pt idx="590">
                  <c:v>574.27</c:v>
                </c:pt>
                <c:pt idx="591">
                  <c:v>559.44000000000005</c:v>
                </c:pt>
                <c:pt idx="592">
                  <c:v>552.08000000000004</c:v>
                </c:pt>
                <c:pt idx="593">
                  <c:v>553.98</c:v>
                </c:pt>
                <c:pt idx="594">
                  <c:v>560.48</c:v>
                </c:pt>
                <c:pt idx="595">
                  <c:v>569.63</c:v>
                </c:pt>
                <c:pt idx="596">
                  <c:v>582.95000000000005</c:v>
                </c:pt>
                <c:pt idx="597">
                  <c:v>579.87</c:v>
                </c:pt>
                <c:pt idx="598">
                  <c:v>593.86</c:v>
                </c:pt>
                <c:pt idx="599">
                  <c:v>598.69000000000005</c:v>
                </c:pt>
                <c:pt idx="600">
                  <c:v>593.64</c:v>
                </c:pt>
                <c:pt idx="601">
                  <c:v>598.5</c:v>
                </c:pt>
                <c:pt idx="602">
                  <c:v>593.19000000000005</c:v>
                </c:pt>
                <c:pt idx="603">
                  <c:v>586.14</c:v>
                </c:pt>
                <c:pt idx="604">
                  <c:v>602.08000000000004</c:v>
                </c:pt>
                <c:pt idx="605">
                  <c:v>591.42999999999995</c:v>
                </c:pt>
                <c:pt idx="606">
                  <c:v>594.6</c:v>
                </c:pt>
                <c:pt idx="607">
                  <c:v>595.92999999999995</c:v>
                </c:pt>
                <c:pt idx="608">
                  <c:v>603.16999999999996</c:v>
                </c:pt>
                <c:pt idx="609">
                  <c:v>614.82000000000005</c:v>
                </c:pt>
                <c:pt idx="610">
                  <c:v>620.75</c:v>
                </c:pt>
                <c:pt idx="611">
                  <c:v>625.89</c:v>
                </c:pt>
                <c:pt idx="612">
                  <c:v>635.35</c:v>
                </c:pt>
                <c:pt idx="613">
                  <c:v>627.9</c:v>
                </c:pt>
                <c:pt idx="614">
                  <c:v>632.99</c:v>
                </c:pt>
                <c:pt idx="615">
                  <c:v>631</c:v>
                </c:pt>
                <c:pt idx="616">
                  <c:v>620.5</c:v>
                </c:pt>
                <c:pt idx="617">
                  <c:v>626.20000000000005</c:v>
                </c:pt>
                <c:pt idx="618">
                  <c:v>616.88</c:v>
                </c:pt>
                <c:pt idx="619">
                  <c:v>606.57000000000005</c:v>
                </c:pt>
                <c:pt idx="620">
                  <c:v>602</c:v>
                </c:pt>
                <c:pt idx="621">
                  <c:v>659.59</c:v>
                </c:pt>
                <c:pt idx="622">
                  <c:v>683.85</c:v>
                </c:pt>
                <c:pt idx="623">
                  <c:v>671.32</c:v>
                </c:pt>
                <c:pt idx="624">
                  <c:v>670.9</c:v>
                </c:pt>
                <c:pt idx="625">
                  <c:v>659.09</c:v>
                </c:pt>
                <c:pt idx="626">
                  <c:v>673.95</c:v>
                </c:pt>
                <c:pt idx="627">
                  <c:v>679.75</c:v>
                </c:pt>
                <c:pt idx="628">
                  <c:v>703.07</c:v>
                </c:pt>
                <c:pt idx="629">
                  <c:v>713.23</c:v>
                </c:pt>
                <c:pt idx="630">
                  <c:v>717.93</c:v>
                </c:pt>
                <c:pt idx="631">
                  <c:v>709.92</c:v>
                </c:pt>
                <c:pt idx="632">
                  <c:v>710.66</c:v>
                </c:pt>
                <c:pt idx="633">
                  <c:v>695.27</c:v>
                </c:pt>
                <c:pt idx="634">
                  <c:v>697.45</c:v>
                </c:pt>
                <c:pt idx="635">
                  <c:v>698.52</c:v>
                </c:pt>
                <c:pt idx="636">
                  <c:v>702.8</c:v>
                </c:pt>
                <c:pt idx="637">
                  <c:v>696.75</c:v>
                </c:pt>
                <c:pt idx="638">
                  <c:v>704.2</c:v>
                </c:pt>
                <c:pt idx="639">
                  <c:v>708.35</c:v>
                </c:pt>
                <c:pt idx="640">
                  <c:v>714.91</c:v>
                </c:pt>
                <c:pt idx="641">
                  <c:v>712.24</c:v>
                </c:pt>
                <c:pt idx="642">
                  <c:v>722.79</c:v>
                </c:pt>
                <c:pt idx="643">
                  <c:v>719.44</c:v>
                </c:pt>
                <c:pt idx="644">
                  <c:v>728.24</c:v>
                </c:pt>
                <c:pt idx="645">
                  <c:v>725.54</c:v>
                </c:pt>
                <c:pt idx="646">
                  <c:v>726.73</c:v>
                </c:pt>
                <c:pt idx="647">
                  <c:v>723.74</c:v>
                </c:pt>
                <c:pt idx="648">
                  <c:v>726.64</c:v>
                </c:pt>
                <c:pt idx="649">
                  <c:v>727.65</c:v>
                </c:pt>
                <c:pt idx="650">
                  <c:v>717.91</c:v>
                </c:pt>
                <c:pt idx="651">
                  <c:v>715.24</c:v>
                </c:pt>
                <c:pt idx="652">
                  <c:v>719.3</c:v>
                </c:pt>
                <c:pt idx="653">
                  <c:v>714.26</c:v>
                </c:pt>
                <c:pt idx="654">
                  <c:v>717.51</c:v>
                </c:pt>
                <c:pt idx="655">
                  <c:v>706.39</c:v>
                </c:pt>
                <c:pt idx="656">
                  <c:v>714.01</c:v>
                </c:pt>
                <c:pt idx="657">
                  <c:v>715.82</c:v>
                </c:pt>
                <c:pt idx="658">
                  <c:v>710.6</c:v>
                </c:pt>
                <c:pt idx="659">
                  <c:v>722.08</c:v>
                </c:pt>
                <c:pt idx="660">
                  <c:v>698.96</c:v>
                </c:pt>
                <c:pt idx="661">
                  <c:v>691.36</c:v>
                </c:pt>
                <c:pt idx="662">
                  <c:v>707.95</c:v>
                </c:pt>
                <c:pt idx="663">
                  <c:v>715.6</c:v>
                </c:pt>
                <c:pt idx="664">
                  <c:v>715.62</c:v>
                </c:pt>
                <c:pt idx="665">
                  <c:v>725.68</c:v>
                </c:pt>
                <c:pt idx="666">
                  <c:v>728.1</c:v>
                </c:pt>
                <c:pt idx="667">
                  <c:v>737.61</c:v>
                </c:pt>
                <c:pt idx="668">
                  <c:v>736.57</c:v>
                </c:pt>
                <c:pt idx="669">
                  <c:v>745.81</c:v>
                </c:pt>
                <c:pt idx="670">
                  <c:v>753.78</c:v>
                </c:pt>
                <c:pt idx="671">
                  <c:v>748.21</c:v>
                </c:pt>
                <c:pt idx="672">
                  <c:v>742.63</c:v>
                </c:pt>
                <c:pt idx="673">
                  <c:v>741.2</c:v>
                </c:pt>
                <c:pt idx="674">
                  <c:v>735.44</c:v>
                </c:pt>
                <c:pt idx="675">
                  <c:v>736.07</c:v>
                </c:pt>
                <c:pt idx="676">
                  <c:v>739.95</c:v>
                </c:pt>
                <c:pt idx="677">
                  <c:v>745.72</c:v>
                </c:pt>
                <c:pt idx="678">
                  <c:v>744.43</c:v>
                </c:pt>
                <c:pt idx="679">
                  <c:v>744.86</c:v>
                </c:pt>
                <c:pt idx="680">
                  <c:v>739.61</c:v>
                </c:pt>
                <c:pt idx="681">
                  <c:v>735.59</c:v>
                </c:pt>
                <c:pt idx="682">
                  <c:v>736.67</c:v>
                </c:pt>
                <c:pt idx="683">
                  <c:v>752.61</c:v>
                </c:pt>
                <c:pt idx="684">
                  <c:v>758.81</c:v>
                </c:pt>
                <c:pt idx="685">
                  <c:v>767.74</c:v>
                </c:pt>
                <c:pt idx="686">
                  <c:v>760.58</c:v>
                </c:pt>
                <c:pt idx="687">
                  <c:v>754.64</c:v>
                </c:pt>
                <c:pt idx="688">
                  <c:v>760.77</c:v>
                </c:pt>
                <c:pt idx="689">
                  <c:v>765.98</c:v>
                </c:pt>
                <c:pt idx="690">
                  <c:v>766.56</c:v>
                </c:pt>
                <c:pt idx="691">
                  <c:v>768.31</c:v>
                </c:pt>
                <c:pt idx="692">
                  <c:v>768.56</c:v>
                </c:pt>
                <c:pt idx="693">
                  <c:v>771.24</c:v>
                </c:pt>
                <c:pt idx="694">
                  <c:v>772.56</c:v>
                </c:pt>
                <c:pt idx="695">
                  <c:v>768.49</c:v>
                </c:pt>
                <c:pt idx="696">
                  <c:v>764.04</c:v>
                </c:pt>
                <c:pt idx="697">
                  <c:v>764.63</c:v>
                </c:pt>
                <c:pt idx="698">
                  <c:v>764.46</c:v>
                </c:pt>
                <c:pt idx="699">
                  <c:v>757.31</c:v>
                </c:pt>
                <c:pt idx="700">
                  <c:v>759.48</c:v>
                </c:pt>
                <c:pt idx="701">
                  <c:v>762.45</c:v>
                </c:pt>
                <c:pt idx="702">
                  <c:v>757.25</c:v>
                </c:pt>
                <c:pt idx="703">
                  <c:v>759.22</c:v>
                </c:pt>
                <c:pt idx="704">
                  <c:v>769</c:v>
                </c:pt>
                <c:pt idx="705">
                  <c:v>771.29</c:v>
                </c:pt>
                <c:pt idx="706">
                  <c:v>767.58</c:v>
                </c:pt>
                <c:pt idx="707">
                  <c:v>769.16</c:v>
                </c:pt>
                <c:pt idx="708">
                  <c:v>770.62</c:v>
                </c:pt>
                <c:pt idx="709">
                  <c:v>772.44</c:v>
                </c:pt>
                <c:pt idx="710">
                  <c:v>788.87</c:v>
                </c:pt>
                <c:pt idx="711">
                  <c:v>784.48</c:v>
                </c:pt>
                <c:pt idx="712">
                  <c:v>784.06</c:v>
                </c:pt>
                <c:pt idx="713">
                  <c:v>760.14</c:v>
                </c:pt>
                <c:pt idx="714">
                  <c:v>771.49</c:v>
                </c:pt>
                <c:pt idx="715">
                  <c:v>761.01</c:v>
                </c:pt>
                <c:pt idx="716">
                  <c:v>761.09</c:v>
                </c:pt>
                <c:pt idx="717">
                  <c:v>769.69</c:v>
                </c:pt>
                <c:pt idx="718">
                  <c:v>778.52</c:v>
                </c:pt>
                <c:pt idx="719">
                  <c:v>775.1</c:v>
                </c:pt>
                <c:pt idx="720">
                  <c:v>780.22</c:v>
                </c:pt>
                <c:pt idx="721">
                  <c:v>789.74</c:v>
                </c:pt>
                <c:pt idx="722">
                  <c:v>804.7</c:v>
                </c:pt>
                <c:pt idx="723">
                  <c:v>805.75</c:v>
                </c:pt>
                <c:pt idx="724">
                  <c:v>799.16</c:v>
                </c:pt>
                <c:pt idx="725">
                  <c:v>816.11</c:v>
                </c:pt>
                <c:pt idx="726">
                  <c:v>828.72</c:v>
                </c:pt>
                <c:pt idx="727">
                  <c:v>829.05</c:v>
                </c:pt>
                <c:pt idx="728">
                  <c:v>837.31</c:v>
                </c:pt>
                <c:pt idx="729">
                  <c:v>836.74</c:v>
                </c:pt>
                <c:pt idx="730">
                  <c:v>834.03</c:v>
                </c:pt>
                <c:pt idx="731">
                  <c:v>844.36</c:v>
                </c:pt>
                <c:pt idx="732">
                  <c:v>841.66</c:v>
                </c:pt>
                <c:pt idx="733">
                  <c:v>839.43</c:v>
                </c:pt>
                <c:pt idx="734">
                  <c:v>841.71</c:v>
                </c:pt>
                <c:pt idx="735">
                  <c:v>831</c:v>
                </c:pt>
                <c:pt idx="736">
                  <c:v>834.09</c:v>
                </c:pt>
                <c:pt idx="737">
                  <c:v>829.28</c:v>
                </c:pt>
                <c:pt idx="738">
                  <c:v>822.96</c:v>
                </c:pt>
                <c:pt idx="739">
                  <c:v>812.95</c:v>
                </c:pt>
                <c:pt idx="740">
                  <c:v>817.65</c:v>
                </c:pt>
                <c:pt idx="741">
                  <c:v>817.69</c:v>
                </c:pt>
                <c:pt idx="742">
                  <c:v>810.32</c:v>
                </c:pt>
                <c:pt idx="743">
                  <c:v>818.99</c:v>
                </c:pt>
                <c:pt idx="744">
                  <c:v>838.09</c:v>
                </c:pt>
                <c:pt idx="745">
                  <c:v>835.18</c:v>
                </c:pt>
                <c:pt idx="746">
                  <c:v>822.59</c:v>
                </c:pt>
                <c:pt idx="747">
                  <c:v>818.36</c:v>
                </c:pt>
                <c:pt idx="748">
                  <c:v>776.32</c:v>
                </c:pt>
                <c:pt idx="749">
                  <c:v>789.82</c:v>
                </c:pt>
                <c:pt idx="750">
                  <c:v>785.41</c:v>
                </c:pt>
                <c:pt idx="751">
                  <c:v>765.56</c:v>
                </c:pt>
                <c:pt idx="752">
                  <c:v>767.03</c:v>
                </c:pt>
                <c:pt idx="753">
                  <c:v>755.05</c:v>
                </c:pt>
                <c:pt idx="754">
                  <c:v>784.93</c:v>
                </c:pt>
                <c:pt idx="755">
                  <c:v>787.75</c:v>
                </c:pt>
                <c:pt idx="756">
                  <c:v>771.88</c:v>
                </c:pt>
                <c:pt idx="757">
                  <c:v>742.38</c:v>
                </c:pt>
                <c:pt idx="758">
                  <c:v>739.01</c:v>
                </c:pt>
                <c:pt idx="759">
                  <c:v>719.07</c:v>
                </c:pt>
                <c:pt idx="760">
                  <c:v>743.24</c:v>
                </c:pt>
                <c:pt idx="761">
                  <c:v>746.49</c:v>
                </c:pt>
                <c:pt idx="762">
                  <c:v>756.4</c:v>
                </c:pt>
                <c:pt idx="763">
                  <c:v>760.16</c:v>
                </c:pt>
                <c:pt idx="764">
                  <c:v>780</c:v>
                </c:pt>
                <c:pt idx="765">
                  <c:v>785.33</c:v>
                </c:pt>
                <c:pt idx="766">
                  <c:v>780.12</c:v>
                </c:pt>
                <c:pt idx="767">
                  <c:v>780.37</c:v>
                </c:pt>
                <c:pt idx="768">
                  <c:v>766.77</c:v>
                </c:pt>
                <c:pt idx="769">
                  <c:v>762.52</c:v>
                </c:pt>
                <c:pt idx="770">
                  <c:v>750.57</c:v>
                </c:pt>
                <c:pt idx="771">
                  <c:v>743.65</c:v>
                </c:pt>
                <c:pt idx="772">
                  <c:v>740.34</c:v>
                </c:pt>
                <c:pt idx="773">
                  <c:v>759.36</c:v>
                </c:pt>
                <c:pt idx="774">
                  <c:v>764.72</c:v>
                </c:pt>
                <c:pt idx="775">
                  <c:v>770.42</c:v>
                </c:pt>
                <c:pt idx="776">
                  <c:v>767.33</c:v>
                </c:pt>
                <c:pt idx="777">
                  <c:v>768.66</c:v>
                </c:pt>
                <c:pt idx="778">
                  <c:v>760.12</c:v>
                </c:pt>
                <c:pt idx="779">
                  <c:v>774.34</c:v>
                </c:pt>
                <c:pt idx="780">
                  <c:v>768.82</c:v>
                </c:pt>
                <c:pt idx="781">
                  <c:v>761</c:v>
                </c:pt>
                <c:pt idx="782">
                  <c:v>757.77</c:v>
                </c:pt>
                <c:pt idx="783">
                  <c:v>766</c:v>
                </c:pt>
                <c:pt idx="784">
                  <c:v>771.22</c:v>
                </c:pt>
                <c:pt idx="785">
                  <c:v>770.6</c:v>
                </c:pt>
                <c:pt idx="786">
                  <c:v>766.34</c:v>
                </c:pt>
                <c:pt idx="787">
                  <c:v>760.59</c:v>
                </c:pt>
                <c:pt idx="788">
                  <c:v>771.4</c:v>
                </c:pt>
                <c:pt idx="789">
                  <c:v>772.13</c:v>
                </c:pt>
                <c:pt idx="790">
                  <c:v>765.15</c:v>
                </c:pt>
                <c:pt idx="791">
                  <c:v>749.87</c:v>
                </c:pt>
                <c:pt idx="792">
                  <c:v>753.67</c:v>
                </c:pt>
                <c:pt idx="793">
                  <c:v>757.18</c:v>
                </c:pt>
                <c:pt idx="794">
                  <c:v>780.45</c:v>
                </c:pt>
                <c:pt idx="795">
                  <c:v>795.99</c:v>
                </c:pt>
                <c:pt idx="796">
                  <c:v>796.92</c:v>
                </c:pt>
                <c:pt idx="797">
                  <c:v>795.9</c:v>
                </c:pt>
                <c:pt idx="798">
                  <c:v>799.02</c:v>
                </c:pt>
                <c:pt idx="799">
                  <c:v>813.64</c:v>
                </c:pt>
                <c:pt idx="800">
                  <c:v>817.14</c:v>
                </c:pt>
                <c:pt idx="801">
                  <c:v>809.72</c:v>
                </c:pt>
                <c:pt idx="802">
                  <c:v>807.48</c:v>
                </c:pt>
                <c:pt idx="803">
                  <c:v>809.04</c:v>
                </c:pt>
                <c:pt idx="804">
                  <c:v>808.33</c:v>
                </c:pt>
                <c:pt idx="805">
                  <c:v>817.88</c:v>
                </c:pt>
                <c:pt idx="806">
                  <c:v>822.44</c:v>
                </c:pt>
                <c:pt idx="807">
                  <c:v>836.52</c:v>
                </c:pt>
                <c:pt idx="808">
                  <c:v>839.15</c:v>
                </c:pt>
                <c:pt idx="809">
                  <c:v>835.77</c:v>
                </c:pt>
                <c:pt idx="810">
                  <c:v>830.38</c:v>
                </c:pt>
                <c:pt idx="811">
                  <c:v>823.48</c:v>
                </c:pt>
                <c:pt idx="812">
                  <c:v>832.35</c:v>
                </c:pt>
                <c:pt idx="813">
                  <c:v>839.95</c:v>
                </c:pt>
                <c:pt idx="814">
                  <c:v>810.2</c:v>
                </c:pt>
                <c:pt idx="815">
                  <c:v>807.64</c:v>
                </c:pt>
                <c:pt idx="816">
                  <c:v>812.5</c:v>
                </c:pt>
                <c:pt idx="817">
                  <c:v>819.71</c:v>
                </c:pt>
                <c:pt idx="818">
                  <c:v>821.36</c:v>
                </c:pt>
                <c:pt idx="819">
                  <c:v>827.46</c:v>
                </c:pt>
                <c:pt idx="820">
                  <c:v>836.53</c:v>
                </c:pt>
                <c:pt idx="821">
                  <c:v>836.39</c:v>
                </c:pt>
                <c:pt idx="822">
                  <c:v>842.7</c:v>
                </c:pt>
                <c:pt idx="823">
                  <c:v>844.14</c:v>
                </c:pt>
                <c:pt idx="824">
                  <c:v>845.07</c:v>
                </c:pt>
                <c:pt idx="825">
                  <c:v>856.44</c:v>
                </c:pt>
                <c:pt idx="826">
                  <c:v>855.61</c:v>
                </c:pt>
                <c:pt idx="827">
                  <c:v>852.19</c:v>
                </c:pt>
                <c:pt idx="828">
                  <c:v>845.24</c:v>
                </c:pt>
                <c:pt idx="829">
                  <c:v>848.64</c:v>
                </c:pt>
                <c:pt idx="830">
                  <c:v>845.04</c:v>
                </c:pt>
                <c:pt idx="831">
                  <c:v>853.08</c:v>
                </c:pt>
                <c:pt idx="832">
                  <c:v>848.91</c:v>
                </c:pt>
                <c:pt idx="833">
                  <c:v>849.88</c:v>
                </c:pt>
                <c:pt idx="834">
                  <c:v>846.61</c:v>
                </c:pt>
                <c:pt idx="835">
                  <c:v>846.02</c:v>
                </c:pt>
                <c:pt idx="836">
                  <c:v>850.5</c:v>
                </c:pt>
                <c:pt idx="837">
                  <c:v>853</c:v>
                </c:pt>
                <c:pt idx="838">
                  <c:v>852.46</c:v>
                </c:pt>
                <c:pt idx="839">
                  <c:v>854.59</c:v>
                </c:pt>
                <c:pt idx="840">
                  <c:v>852.53</c:v>
                </c:pt>
                <c:pt idx="841">
                  <c:v>852.97</c:v>
                </c:pt>
                <c:pt idx="842">
                  <c:v>853.42</c:v>
                </c:pt>
                <c:pt idx="843">
                  <c:v>852.31</c:v>
                </c:pt>
                <c:pt idx="844">
                  <c:v>856.97</c:v>
                </c:pt>
                <c:pt idx="845">
                  <c:v>843.2</c:v>
                </c:pt>
                <c:pt idx="846">
                  <c:v>848.06</c:v>
                </c:pt>
                <c:pt idx="847">
                  <c:v>847.38</c:v>
                </c:pt>
                <c:pt idx="848">
                  <c:v>845.61</c:v>
                </c:pt>
                <c:pt idx="849">
                  <c:v>846.82</c:v>
                </c:pt>
                <c:pt idx="850">
                  <c:v>856</c:v>
                </c:pt>
                <c:pt idx="851">
                  <c:v>874.32</c:v>
                </c:pt>
                <c:pt idx="852">
                  <c:v>876.34</c:v>
                </c:pt>
                <c:pt idx="853">
                  <c:v>886.54</c:v>
                </c:pt>
                <c:pt idx="854">
                  <c:v>891.51</c:v>
                </c:pt>
                <c:pt idx="855">
                  <c:v>906.83</c:v>
                </c:pt>
                <c:pt idx="856">
                  <c:v>909.28</c:v>
                </c:pt>
                <c:pt idx="857">
                  <c:v>898.28</c:v>
                </c:pt>
                <c:pt idx="858">
                  <c:v>894.88</c:v>
                </c:pt>
                <c:pt idx="859">
                  <c:v>907.04</c:v>
                </c:pt>
                <c:pt idx="860">
                  <c:v>902.36</c:v>
                </c:pt>
                <c:pt idx="861">
                  <c:v>896.23</c:v>
                </c:pt>
                <c:pt idx="862">
                  <c:v>884.67</c:v>
                </c:pt>
                <c:pt idx="863">
                  <c:v>901.99</c:v>
                </c:pt>
                <c:pt idx="864">
                  <c:v>903.78</c:v>
                </c:pt>
                <c:pt idx="865">
                  <c:v>899.2</c:v>
                </c:pt>
                <c:pt idx="866">
                  <c:v>902.06</c:v>
                </c:pt>
                <c:pt idx="867">
                  <c:v>898.53</c:v>
                </c:pt>
                <c:pt idx="868">
                  <c:v>907.41</c:v>
                </c:pt>
                <c:pt idx="869">
                  <c:v>907.62</c:v>
                </c:pt>
                <c:pt idx="870">
                  <c:v>909.29</c:v>
                </c:pt>
                <c:pt idx="871">
                  <c:v>918.38</c:v>
                </c:pt>
                <c:pt idx="872">
                  <c:v>924.99</c:v>
                </c:pt>
                <c:pt idx="873">
                  <c:v>948.23</c:v>
                </c:pt>
                <c:pt idx="874">
                  <c:v>946.94</c:v>
                </c:pt>
                <c:pt idx="875">
                  <c:v>941.03</c:v>
                </c:pt>
                <c:pt idx="876">
                  <c:v>937.53</c:v>
                </c:pt>
                <c:pt idx="877">
                  <c:v>934.15</c:v>
                </c:pt>
                <c:pt idx="878">
                  <c:v>949.04</c:v>
                </c:pt>
                <c:pt idx="879">
                  <c:v>952.82</c:v>
                </c:pt>
                <c:pt idx="880">
                  <c:v>948.95</c:v>
                </c:pt>
                <c:pt idx="881">
                  <c:v>947.62</c:v>
                </c:pt>
                <c:pt idx="882">
                  <c:v>961.35</c:v>
                </c:pt>
                <c:pt idx="883">
                  <c:v>957.97</c:v>
                </c:pt>
                <c:pt idx="884">
                  <c:v>966.07</c:v>
                </c:pt>
                <c:pt idx="885">
                  <c:v>944.76</c:v>
                </c:pt>
                <c:pt idx="886">
                  <c:v>958.49</c:v>
                </c:pt>
                <c:pt idx="887">
                  <c:v>959.84</c:v>
                </c:pt>
                <c:pt idx="888">
                  <c:v>970.67</c:v>
                </c:pt>
                <c:pt idx="889">
                  <c:v>971.54</c:v>
                </c:pt>
                <c:pt idx="890">
                  <c:v>980.35</c:v>
                </c:pt>
                <c:pt idx="891">
                  <c:v>993.38</c:v>
                </c:pt>
                <c:pt idx="892">
                  <c:v>995.78</c:v>
                </c:pt>
                <c:pt idx="893">
                  <c:v>996.7</c:v>
                </c:pt>
                <c:pt idx="894">
                  <c:v>994.62</c:v>
                </c:pt>
                <c:pt idx="895">
                  <c:v>995.95</c:v>
                </c:pt>
                <c:pt idx="896">
                  <c:v>1006.73</c:v>
                </c:pt>
                <c:pt idx="897">
                  <c:v>1011.34</c:v>
                </c:pt>
                <c:pt idx="898">
                  <c:v>1003</c:v>
                </c:pt>
                <c:pt idx="899">
                  <c:v>1010.07</c:v>
                </c:pt>
                <c:pt idx="900">
                  <c:v>1010.27</c:v>
                </c:pt>
                <c:pt idx="901">
                  <c:v>978.31</c:v>
                </c:pt>
                <c:pt idx="902">
                  <c:v>964.91</c:v>
                </c:pt>
                <c:pt idx="903">
                  <c:v>980.79</c:v>
                </c:pt>
                <c:pt idx="904">
                  <c:v>976.47</c:v>
                </c:pt>
                <c:pt idx="905">
                  <c:v>964.17</c:v>
                </c:pt>
                <c:pt idx="906">
                  <c:v>987.71</c:v>
                </c:pt>
                <c:pt idx="907">
                  <c:v>995.17</c:v>
                </c:pt>
                <c:pt idx="908">
                  <c:v>992.59</c:v>
                </c:pt>
                <c:pt idx="909">
                  <c:v>1002.23</c:v>
                </c:pt>
                <c:pt idx="910">
                  <c:v>1001.3</c:v>
                </c:pt>
                <c:pt idx="911">
                  <c:v>1003.74</c:v>
                </c:pt>
                <c:pt idx="912">
                  <c:v>993.98</c:v>
                </c:pt>
                <c:pt idx="913">
                  <c:v>976.78</c:v>
                </c:pt>
                <c:pt idx="914">
                  <c:v>990.33</c:v>
                </c:pt>
                <c:pt idx="915">
                  <c:v>975.93</c:v>
                </c:pt>
                <c:pt idx="916">
                  <c:v>968</c:v>
                </c:pt>
                <c:pt idx="917">
                  <c:v>953.66</c:v>
                </c:pt>
                <c:pt idx="918">
                  <c:v>971.4</c:v>
                </c:pt>
                <c:pt idx="919">
                  <c:v>965.14</c:v>
                </c:pt>
                <c:pt idx="920">
                  <c:v>978.76</c:v>
                </c:pt>
                <c:pt idx="921">
                  <c:v>996.47</c:v>
                </c:pt>
                <c:pt idx="922">
                  <c:v>994.13</c:v>
                </c:pt>
                <c:pt idx="923">
                  <c:v>1006.51</c:v>
                </c:pt>
                <c:pt idx="924">
                  <c:v>1000.63</c:v>
                </c:pt>
                <c:pt idx="925">
                  <c:v>1001.81</c:v>
                </c:pt>
                <c:pt idx="926">
                  <c:v>1010.04</c:v>
                </c:pt>
                <c:pt idx="927">
                  <c:v>1024.45</c:v>
                </c:pt>
                <c:pt idx="928">
                  <c:v>1026.8699999999999</c:v>
                </c:pt>
                <c:pt idx="929">
                  <c:v>1028.7</c:v>
                </c:pt>
                <c:pt idx="930">
                  <c:v>1025.67</c:v>
                </c:pt>
                <c:pt idx="931">
                  <c:v>1038.95</c:v>
                </c:pt>
                <c:pt idx="932">
                  <c:v>1039.8699999999999</c:v>
                </c:pt>
                <c:pt idx="933">
                  <c:v>1052.8</c:v>
                </c:pt>
                <c:pt idx="934">
                  <c:v>1046</c:v>
                </c:pt>
                <c:pt idx="935">
                  <c:v>1020.04</c:v>
                </c:pt>
                <c:pt idx="936">
                  <c:v>987.78</c:v>
                </c:pt>
                <c:pt idx="937">
                  <c:v>996.19</c:v>
                </c:pt>
                <c:pt idx="938">
                  <c:v>995.89</c:v>
                </c:pt>
                <c:pt idx="939">
                  <c:v>986.92</c:v>
                </c:pt>
                <c:pt idx="940">
                  <c:v>987.58</c:v>
                </c:pt>
                <c:pt idx="941">
                  <c:v>992.27</c:v>
                </c:pt>
                <c:pt idx="942">
                  <c:v>989.84</c:v>
                </c:pt>
                <c:pt idx="943">
                  <c:v>982.01</c:v>
                </c:pt>
                <c:pt idx="944">
                  <c:v>956.92</c:v>
                </c:pt>
                <c:pt idx="945">
                  <c:v>967.99</c:v>
                </c:pt>
                <c:pt idx="946">
                  <c:v>983.3</c:v>
                </c:pt>
                <c:pt idx="947">
                  <c:v>982.74</c:v>
                </c:pt>
                <c:pt idx="948">
                  <c:v>978.18</c:v>
                </c:pt>
                <c:pt idx="949">
                  <c:v>960.57</c:v>
                </c:pt>
                <c:pt idx="950">
                  <c:v>958.47</c:v>
                </c:pt>
                <c:pt idx="951">
                  <c:v>953.29</c:v>
                </c:pt>
                <c:pt idx="952">
                  <c:v>966.9</c:v>
                </c:pt>
                <c:pt idx="953">
                  <c:v>958</c:v>
                </c:pt>
                <c:pt idx="954">
                  <c:v>952.45</c:v>
                </c:pt>
                <c:pt idx="955">
                  <c:v>945.26</c:v>
                </c:pt>
                <c:pt idx="956">
                  <c:v>946.02</c:v>
                </c:pt>
                <c:pt idx="957">
                  <c:v>954.06</c:v>
                </c:pt>
                <c:pt idx="958">
                  <c:v>967.59</c:v>
                </c:pt>
                <c:pt idx="959">
                  <c:v>980.6</c:v>
                </c:pt>
                <c:pt idx="960">
                  <c:v>978.25</c:v>
                </c:pt>
                <c:pt idx="961">
                  <c:v>965.27</c:v>
                </c:pt>
                <c:pt idx="962">
                  <c:v>967.8</c:v>
                </c:pt>
                <c:pt idx="963">
                  <c:v>979.47</c:v>
                </c:pt>
                <c:pt idx="964">
                  <c:v>965.9</c:v>
                </c:pt>
                <c:pt idx="965">
                  <c:v>977.96</c:v>
                </c:pt>
                <c:pt idx="966">
                  <c:v>982.58</c:v>
                </c:pt>
                <c:pt idx="967">
                  <c:v>999.6</c:v>
                </c:pt>
                <c:pt idx="968">
                  <c:v>992.21</c:v>
                </c:pt>
                <c:pt idx="969">
                  <c:v>986.79</c:v>
                </c:pt>
                <c:pt idx="970">
                  <c:v>974.19</c:v>
                </c:pt>
                <c:pt idx="971">
                  <c:v>969.86</c:v>
                </c:pt>
                <c:pt idx="972">
                  <c:v>973.21</c:v>
                </c:pt>
                <c:pt idx="973">
                  <c:v>964.65</c:v>
                </c:pt>
                <c:pt idx="974">
                  <c:v>955.1</c:v>
                </c:pt>
                <c:pt idx="975">
                  <c:v>939.79</c:v>
                </c:pt>
                <c:pt idx="976">
                  <c:v>938.6</c:v>
                </c:pt>
                <c:pt idx="977">
                  <c:v>950.87</c:v>
                </c:pt>
                <c:pt idx="978">
                  <c:v>956.4</c:v>
                </c:pt>
                <c:pt idx="979">
                  <c:v>961.35</c:v>
                </c:pt>
                <c:pt idx="980">
                  <c:v>959.19</c:v>
                </c:pt>
                <c:pt idx="981">
                  <c:v>957.1</c:v>
                </c:pt>
                <c:pt idx="982">
                  <c:v>965.45</c:v>
                </c:pt>
                <c:pt idx="983">
                  <c:v>980.85</c:v>
                </c:pt>
                <c:pt idx="984">
                  <c:v>989.58</c:v>
                </c:pt>
                <c:pt idx="985">
                  <c:v>990.99</c:v>
                </c:pt>
                <c:pt idx="986">
                  <c:v>987.2</c:v>
                </c:pt>
                <c:pt idx="987">
                  <c:v>995</c:v>
                </c:pt>
                <c:pt idx="988">
                  <c:v>1000.93</c:v>
                </c:pt>
                <c:pt idx="989">
                  <c:v>1002.94</c:v>
                </c:pt>
                <c:pt idx="990">
                  <c:v>1006.34</c:v>
                </c:pt>
                <c:pt idx="991">
                  <c:v>1009.13</c:v>
                </c:pt>
                <c:pt idx="992">
                  <c:v>997</c:v>
                </c:pt>
                <c:pt idx="993">
                  <c:v>986.61</c:v>
                </c:pt>
                <c:pt idx="994">
                  <c:v>982.91</c:v>
                </c:pt>
                <c:pt idx="995">
                  <c:v>966.3</c:v>
                </c:pt>
                <c:pt idx="996">
                  <c:v>975.9</c:v>
                </c:pt>
                <c:pt idx="997">
                  <c:v>972.91</c:v>
                </c:pt>
                <c:pt idx="998">
                  <c:v>972.43</c:v>
                </c:pt>
                <c:pt idx="999">
                  <c:v>1100.95</c:v>
                </c:pt>
                <c:pt idx="1000">
                  <c:v>1110.8499999999999</c:v>
                </c:pt>
                <c:pt idx="1001">
                  <c:v>1105.28</c:v>
                </c:pt>
                <c:pt idx="1002">
                  <c:v>1103.68</c:v>
                </c:pt>
                <c:pt idx="1003">
                  <c:v>1094.22</c:v>
                </c:pt>
                <c:pt idx="1004">
                  <c:v>1111.5999999999999</c:v>
                </c:pt>
                <c:pt idx="1005">
                  <c:v>1120.6600000000001</c:v>
                </c:pt>
                <c:pt idx="1006">
                  <c:v>1123.17</c:v>
                </c:pt>
                <c:pt idx="1007">
                  <c:v>1132.8800000000001</c:v>
                </c:pt>
                <c:pt idx="1008">
                  <c:v>1129.1300000000001</c:v>
                </c:pt>
                <c:pt idx="1009">
                  <c:v>1125.3499999999999</c:v>
                </c:pt>
                <c:pt idx="1010">
                  <c:v>1129.17</c:v>
                </c:pt>
                <c:pt idx="1011">
                  <c:v>1136.8399999999999</c:v>
                </c:pt>
                <c:pt idx="1012">
                  <c:v>1126.69</c:v>
                </c:pt>
                <c:pt idx="1013">
                  <c:v>1137.29</c:v>
                </c:pt>
                <c:pt idx="1014">
                  <c:v>1129.8800000000001</c:v>
                </c:pt>
                <c:pt idx="1015">
                  <c:v>1126.31</c:v>
                </c:pt>
                <c:pt idx="1016">
                  <c:v>1139.49</c:v>
                </c:pt>
                <c:pt idx="1017">
                  <c:v>1156.1600000000001</c:v>
                </c:pt>
                <c:pt idx="1018">
                  <c:v>1186</c:v>
                </c:pt>
                <c:pt idx="1019">
                  <c:v>1195.83</c:v>
                </c:pt>
                <c:pt idx="1020">
                  <c:v>1193.5999999999999</c:v>
                </c:pt>
                <c:pt idx="1021">
                  <c:v>1161.27</c:v>
                </c:pt>
                <c:pt idx="1022">
                  <c:v>1176.75</c:v>
                </c:pt>
                <c:pt idx="1023">
                  <c:v>1162.3499999999999</c:v>
                </c:pt>
                <c:pt idx="1024">
                  <c:v>1133.95</c:v>
                </c:pt>
                <c:pt idx="1025">
                  <c:v>1141.57</c:v>
                </c:pt>
                <c:pt idx="1026">
                  <c:v>1152.3499999999999</c:v>
                </c:pt>
                <c:pt idx="1027">
                  <c:v>1159.79</c:v>
                </c:pt>
                <c:pt idx="1028">
                  <c:v>1162</c:v>
                </c:pt>
                <c:pt idx="1029">
                  <c:v>1168.92</c:v>
                </c:pt>
                <c:pt idx="1030">
                  <c:v>1165.08</c:v>
                </c:pt>
                <c:pt idx="1031">
                  <c:v>1164.1300000000001</c:v>
                </c:pt>
                <c:pt idx="1032">
                  <c:v>1174.26</c:v>
                </c:pt>
                <c:pt idx="1033">
                  <c:v>1179.1400000000001</c:v>
                </c:pt>
                <c:pt idx="1034">
                  <c:v>1190.58</c:v>
                </c:pt>
                <c:pt idx="1035">
                  <c:v>1187.3800000000001</c:v>
                </c:pt>
                <c:pt idx="1036">
                  <c:v>1177.6199999999999</c:v>
                </c:pt>
                <c:pt idx="1037">
                  <c:v>1174.76</c:v>
                </c:pt>
                <c:pt idx="1038">
                  <c:v>1168.3599999999999</c:v>
                </c:pt>
                <c:pt idx="1039">
                  <c:v>1176.76</c:v>
                </c:pt>
                <c:pt idx="1040">
                  <c:v>1182.26</c:v>
                </c:pt>
                <c:pt idx="1041">
                  <c:v>1186.0999999999999</c:v>
                </c:pt>
                <c:pt idx="1042">
                  <c:v>1169.47</c:v>
                </c:pt>
                <c:pt idx="1043">
                  <c:v>1189.01</c:v>
                </c:pt>
                <c:pt idx="1044">
                  <c:v>1204.2</c:v>
                </c:pt>
                <c:pt idx="1045">
                  <c:v>1209.5899999999999</c:v>
                </c:pt>
                <c:pt idx="1046">
                  <c:v>1229.1400000000001</c:v>
                </c:pt>
                <c:pt idx="1047">
                  <c:v>1246.8699999999999</c:v>
                </c:pt>
                <c:pt idx="1048">
                  <c:v>1252.7</c:v>
                </c:pt>
                <c:pt idx="1049">
                  <c:v>1254.33</c:v>
                </c:pt>
                <c:pt idx="1050">
                  <c:v>1276.68</c:v>
                </c:pt>
                <c:pt idx="1051">
                  <c:v>1305.2</c:v>
                </c:pt>
                <c:pt idx="1052">
                  <c:v>1304.8599999999999</c:v>
                </c:pt>
                <c:pt idx="1053">
                  <c:v>1295</c:v>
                </c:pt>
                <c:pt idx="1054">
                  <c:v>1293.32</c:v>
                </c:pt>
                <c:pt idx="1055">
                  <c:v>1294.58</c:v>
                </c:pt>
                <c:pt idx="1056">
                  <c:v>1327.31</c:v>
                </c:pt>
                <c:pt idx="1057">
                  <c:v>1362.54</c:v>
                </c:pt>
                <c:pt idx="1058">
                  <c:v>1357.51</c:v>
                </c:pt>
                <c:pt idx="1059">
                  <c:v>1377.95</c:v>
                </c:pt>
                <c:pt idx="1060">
                  <c:v>1402.05</c:v>
                </c:pt>
                <c:pt idx="1061">
                  <c:v>1417.68</c:v>
                </c:pt>
                <c:pt idx="1062">
                  <c:v>1437.82</c:v>
                </c:pt>
                <c:pt idx="1063">
                  <c:v>1450.89</c:v>
                </c:pt>
                <c:pt idx="1064">
                  <c:v>1390</c:v>
                </c:pt>
                <c:pt idx="1065">
                  <c:v>1429.95</c:v>
                </c:pt>
                <c:pt idx="1066">
                  <c:v>1390</c:v>
                </c:pt>
                <c:pt idx="1067">
                  <c:v>1442.84</c:v>
                </c:pt>
                <c:pt idx="1068">
                  <c:v>1416.78</c:v>
                </c:pt>
                <c:pt idx="1069">
                  <c:v>1350.5</c:v>
                </c:pt>
                <c:pt idx="1070">
                  <c:v>1339.6</c:v>
                </c:pt>
                <c:pt idx="1071">
                  <c:v>1386.23</c:v>
                </c:pt>
                <c:pt idx="1072">
                  <c:v>1414.51</c:v>
                </c:pt>
                <c:pt idx="1073">
                  <c:v>1451.05</c:v>
                </c:pt>
                <c:pt idx="1074">
                  <c:v>1461.76</c:v>
                </c:pt>
                <c:pt idx="1075">
                  <c:v>1448.69</c:v>
                </c:pt>
                <c:pt idx="1076">
                  <c:v>1468.35</c:v>
                </c:pt>
                <c:pt idx="1077">
                  <c:v>1482.92</c:v>
                </c:pt>
                <c:pt idx="1078">
                  <c:v>1485.34</c:v>
                </c:pt>
                <c:pt idx="1079">
                  <c:v>1500</c:v>
                </c:pt>
                <c:pt idx="1080">
                  <c:v>1521.95</c:v>
                </c:pt>
                <c:pt idx="1081">
                  <c:v>1511.98</c:v>
                </c:pt>
                <c:pt idx="1082">
                  <c:v>1512.45</c:v>
                </c:pt>
                <c:pt idx="1083">
                  <c:v>1493.45</c:v>
                </c:pt>
                <c:pt idx="1084">
                  <c:v>1500.25</c:v>
                </c:pt>
                <c:pt idx="1085">
                  <c:v>1523.61</c:v>
                </c:pt>
                <c:pt idx="1086">
                  <c:v>1537.64</c:v>
                </c:pt>
                <c:pt idx="1087">
                  <c:v>1545</c:v>
                </c:pt>
                <c:pt idx="1088">
                  <c:v>1551.86</c:v>
                </c:pt>
                <c:pt idx="1089">
                  <c:v>1578.89</c:v>
                </c:pt>
                <c:pt idx="1090">
                  <c:v>1598.39</c:v>
                </c:pt>
                <c:pt idx="1091">
                  <c:v>1588.18</c:v>
                </c:pt>
                <c:pt idx="1092">
                  <c:v>1591</c:v>
                </c:pt>
                <c:pt idx="1093">
                  <c:v>1582.32</c:v>
                </c:pt>
                <c:pt idx="1094">
                  <c:v>1571.68</c:v>
                </c:pt>
                <c:pt idx="1095">
                  <c:v>1544.93</c:v>
                </c:pt>
                <c:pt idx="1096">
                  <c:v>1586.51</c:v>
                </c:pt>
                <c:pt idx="1097">
                  <c:v>1581.86</c:v>
                </c:pt>
                <c:pt idx="1098">
                  <c:v>1544.92</c:v>
                </c:pt>
                <c:pt idx="1099">
                  <c:v>1495.56</c:v>
                </c:pt>
                <c:pt idx="1100">
                  <c:v>1555.86</c:v>
                </c:pt>
                <c:pt idx="1101">
                  <c:v>1497.05</c:v>
                </c:pt>
                <c:pt idx="1102">
                  <c:v>1431.42</c:v>
                </c:pt>
                <c:pt idx="1103">
                  <c:v>1447.34</c:v>
                </c:pt>
                <c:pt idx="1104">
                  <c:v>1371.99</c:v>
                </c:pt>
                <c:pt idx="1105">
                  <c:v>1392.05</c:v>
                </c:pt>
                <c:pt idx="1106">
                  <c:v>1410.57</c:v>
                </c:pt>
                <c:pt idx="1107">
                  <c:v>1451.75</c:v>
                </c:pt>
                <c:pt idx="1108">
                  <c:v>1405.23</c:v>
                </c:pt>
                <c:pt idx="1109">
                  <c:v>1406.08</c:v>
                </c:pt>
                <c:pt idx="1110">
                  <c:v>1436.22</c:v>
                </c:pt>
                <c:pt idx="1111">
                  <c:v>1427.05</c:v>
                </c:pt>
                <c:pt idx="1112">
                  <c:v>1448.5</c:v>
                </c:pt>
                <c:pt idx="1113">
                  <c:v>1430.79</c:v>
                </c:pt>
                <c:pt idx="1114">
                  <c:v>1441.5</c:v>
                </c:pt>
                <c:pt idx="1115">
                  <c:v>1503.83</c:v>
                </c:pt>
                <c:pt idx="1116">
                  <c:v>1527.84</c:v>
                </c:pt>
                <c:pt idx="1117">
                  <c:v>1556.91</c:v>
                </c:pt>
                <c:pt idx="1118">
                  <c:v>1527.49</c:v>
                </c:pt>
                <c:pt idx="1119">
                  <c:v>1517.86</c:v>
                </c:pt>
                <c:pt idx="1120">
                  <c:v>1460.09</c:v>
                </c:pt>
                <c:pt idx="1121">
                  <c:v>1460.17</c:v>
                </c:pt>
                <c:pt idx="1122">
                  <c:v>1517.96</c:v>
                </c:pt>
                <c:pt idx="1123">
                  <c:v>1572.62</c:v>
                </c:pt>
                <c:pt idx="1124">
                  <c:v>1566.13</c:v>
                </c:pt>
                <c:pt idx="1125">
                  <c:v>1582.26</c:v>
                </c:pt>
                <c:pt idx="1126">
                  <c:v>1569.68</c:v>
                </c:pt>
                <c:pt idx="1127">
                  <c:v>1572.075</c:v>
                </c:pt>
                <c:pt idx="1128">
                  <c:v>1580.95</c:v>
                </c:pt>
                <c:pt idx="1129">
                  <c:v>1600.14</c:v>
                </c:pt>
                <c:pt idx="1130">
                  <c:v>1592.39</c:v>
                </c:pt>
                <c:pt idx="1131">
                  <c:v>1608</c:v>
                </c:pt>
                <c:pt idx="1132">
                  <c:v>1609.08</c:v>
                </c:pt>
                <c:pt idx="1133">
                  <c:v>1602.91</c:v>
                </c:pt>
                <c:pt idx="1134">
                  <c:v>1601.54</c:v>
                </c:pt>
                <c:pt idx="1135">
                  <c:v>1576.12</c:v>
                </c:pt>
                <c:pt idx="1136">
                  <c:v>1587.28</c:v>
                </c:pt>
                <c:pt idx="1137">
                  <c:v>1581.76</c:v>
                </c:pt>
                <c:pt idx="1138">
                  <c:v>1574.37</c:v>
                </c:pt>
                <c:pt idx="1139">
                  <c:v>1585.46</c:v>
                </c:pt>
                <c:pt idx="1140">
                  <c:v>1581.4</c:v>
                </c:pt>
                <c:pt idx="1141">
                  <c:v>1601.86</c:v>
                </c:pt>
                <c:pt idx="1142">
                  <c:v>1603.07</c:v>
                </c:pt>
                <c:pt idx="1143">
                  <c:v>1610.15</c:v>
                </c:pt>
                <c:pt idx="1144">
                  <c:v>1612.87</c:v>
                </c:pt>
                <c:pt idx="1145">
                  <c:v>1624.89</c:v>
                </c:pt>
                <c:pt idx="1146">
                  <c:v>1629.62</c:v>
                </c:pt>
                <c:pt idx="1147">
                  <c:v>1641.54</c:v>
                </c:pt>
                <c:pt idx="1148">
                  <c:v>1665.27</c:v>
                </c:pt>
                <c:pt idx="1149">
                  <c:v>1696.35</c:v>
                </c:pt>
                <c:pt idx="1150">
                  <c:v>1695.75</c:v>
                </c:pt>
                <c:pt idx="1151">
                  <c:v>1689.3</c:v>
                </c:pt>
                <c:pt idx="1152">
                  <c:v>1683.99</c:v>
                </c:pt>
                <c:pt idx="1153">
                  <c:v>1689.12</c:v>
                </c:pt>
                <c:pt idx="1154">
                  <c:v>1698.75</c:v>
                </c:pt>
                <c:pt idx="1155">
                  <c:v>1704.86</c:v>
                </c:pt>
                <c:pt idx="1156">
                  <c:v>1723.86</c:v>
                </c:pt>
                <c:pt idx="1157">
                  <c:v>1715.97</c:v>
                </c:pt>
                <c:pt idx="1158">
                  <c:v>1723.79</c:v>
                </c:pt>
                <c:pt idx="1159">
                  <c:v>1734.78</c:v>
                </c:pt>
                <c:pt idx="1160">
                  <c:v>1750.08</c:v>
                </c:pt>
                <c:pt idx="1161">
                  <c:v>1730.22</c:v>
                </c:pt>
                <c:pt idx="1162">
                  <c:v>1715.67</c:v>
                </c:pt>
                <c:pt idx="1163">
                  <c:v>1663.15</c:v>
                </c:pt>
                <c:pt idx="1164">
                  <c:v>1691.09</c:v>
                </c:pt>
                <c:pt idx="1165">
                  <c:v>1660.51</c:v>
                </c:pt>
                <c:pt idx="1166">
                  <c:v>1701.45</c:v>
                </c:pt>
                <c:pt idx="1167">
                  <c:v>1699.8</c:v>
                </c:pt>
                <c:pt idx="1168">
                  <c:v>1713.78</c:v>
                </c:pt>
                <c:pt idx="1169">
                  <c:v>1693.96</c:v>
                </c:pt>
                <c:pt idx="1170">
                  <c:v>1699.73</c:v>
                </c:pt>
                <c:pt idx="1171">
                  <c:v>1710.63</c:v>
                </c:pt>
                <c:pt idx="1172">
                  <c:v>1739.02</c:v>
                </c:pt>
                <c:pt idx="1173">
                  <c:v>1743.07</c:v>
                </c:pt>
                <c:pt idx="1174">
                  <c:v>1755</c:v>
                </c:pt>
                <c:pt idx="1175">
                  <c:v>1796.62</c:v>
                </c:pt>
                <c:pt idx="1176">
                  <c:v>1813.03</c:v>
                </c:pt>
                <c:pt idx="1177">
                  <c:v>1822.49</c:v>
                </c:pt>
                <c:pt idx="1178">
                  <c:v>1843.93</c:v>
                </c:pt>
                <c:pt idx="1179">
                  <c:v>1842.92</c:v>
                </c:pt>
                <c:pt idx="1180">
                  <c:v>1812.97</c:v>
                </c:pt>
                <c:pt idx="1181">
                  <c:v>1813.7</c:v>
                </c:pt>
                <c:pt idx="1182">
                  <c:v>1802</c:v>
                </c:pt>
                <c:pt idx="1183">
                  <c:v>1829.24</c:v>
                </c:pt>
                <c:pt idx="1184">
                  <c:v>1863.61</c:v>
                </c:pt>
                <c:pt idx="1185">
                  <c:v>1808</c:v>
                </c:pt>
                <c:pt idx="1186">
                  <c:v>1817.27</c:v>
                </c:pt>
                <c:pt idx="1187">
                  <c:v>1779.22</c:v>
                </c:pt>
                <c:pt idx="1188">
                  <c:v>1777.44</c:v>
                </c:pt>
                <c:pt idx="1189">
                  <c:v>1797.17</c:v>
                </c:pt>
                <c:pt idx="1190">
                  <c:v>1834.33</c:v>
                </c:pt>
                <c:pt idx="1191">
                  <c:v>1823.29</c:v>
                </c:pt>
                <c:pt idx="1192">
                  <c:v>1847.75</c:v>
                </c:pt>
                <c:pt idx="1193">
                  <c:v>1862.48</c:v>
                </c:pt>
                <c:pt idx="1194">
                  <c:v>1886.52</c:v>
                </c:pt>
                <c:pt idx="1195">
                  <c:v>1898.52</c:v>
                </c:pt>
                <c:pt idx="1196">
                  <c:v>1886.3</c:v>
                </c:pt>
                <c:pt idx="1197">
                  <c:v>1896.2</c:v>
                </c:pt>
                <c:pt idx="1198">
                  <c:v>1919.65</c:v>
                </c:pt>
                <c:pt idx="1199">
                  <c:v>1882.62</c:v>
                </c:pt>
                <c:pt idx="1200">
                  <c:v>1886.52</c:v>
                </c:pt>
                <c:pt idx="1201">
                  <c:v>1882.22</c:v>
                </c:pt>
                <c:pt idx="1202">
                  <c:v>1876.71</c:v>
                </c:pt>
                <c:pt idx="1203">
                  <c:v>1883.42</c:v>
                </c:pt>
                <c:pt idx="1204">
                  <c:v>1904.9</c:v>
                </c:pt>
                <c:pt idx="1205">
                  <c:v>1902.9</c:v>
                </c:pt>
                <c:pt idx="1206">
                  <c:v>1905.39</c:v>
                </c:pt>
                <c:pt idx="1207">
                  <c:v>1927.68</c:v>
                </c:pt>
                <c:pt idx="1208">
                  <c:v>1932.82</c:v>
                </c:pt>
                <c:pt idx="1209">
                  <c:v>1998.1</c:v>
                </c:pt>
                <c:pt idx="1210">
                  <c:v>2002.38</c:v>
                </c:pt>
                <c:pt idx="1211">
                  <c:v>2012.71</c:v>
                </c:pt>
                <c:pt idx="1212">
                  <c:v>2039.51</c:v>
                </c:pt>
                <c:pt idx="1213">
                  <c:v>1994.82</c:v>
                </c:pt>
                <c:pt idx="1214">
                  <c:v>1958.31</c:v>
                </c:pt>
                <c:pt idx="1215">
                  <c:v>1952.07</c:v>
                </c:pt>
                <c:pt idx="1216">
                  <c:v>1939.01</c:v>
                </c:pt>
                <c:pt idx="1217">
                  <c:v>1987.15</c:v>
                </c:pt>
                <c:pt idx="1218">
                  <c:v>1990</c:v>
                </c:pt>
                <c:pt idx="1219">
                  <c:v>1989.87</c:v>
                </c:pt>
                <c:pt idx="1220">
                  <c:v>1970.19</c:v>
                </c:pt>
                <c:pt idx="1221">
                  <c:v>1908.03</c:v>
                </c:pt>
                <c:pt idx="1222">
                  <c:v>1941.05</c:v>
                </c:pt>
                <c:pt idx="1223">
                  <c:v>1926.42</c:v>
                </c:pt>
                <c:pt idx="1224">
                  <c:v>1944.3</c:v>
                </c:pt>
                <c:pt idx="1225">
                  <c:v>1915.01</c:v>
                </c:pt>
                <c:pt idx="1226">
                  <c:v>1934.36</c:v>
                </c:pt>
                <c:pt idx="1227">
                  <c:v>1974.55</c:v>
                </c:pt>
                <c:pt idx="1228">
                  <c:v>1974.85</c:v>
                </c:pt>
                <c:pt idx="1229">
                  <c:v>2012.98</c:v>
                </c:pt>
                <c:pt idx="1230">
                  <c:v>2003</c:v>
                </c:pt>
                <c:pt idx="1231">
                  <c:v>2004.36</c:v>
                </c:pt>
                <c:pt idx="1232">
                  <c:v>1971.31</c:v>
                </c:pt>
                <c:pt idx="1233">
                  <c:v>1952.76</c:v>
                </c:pt>
                <c:pt idx="1234">
                  <c:v>1909.42</c:v>
                </c:pt>
                <c:pt idx="1235">
                  <c:v>1889.65</c:v>
                </c:pt>
                <c:pt idx="1236">
                  <c:v>1864.42</c:v>
                </c:pt>
                <c:pt idx="1237">
                  <c:v>1870.32</c:v>
                </c:pt>
                <c:pt idx="1238">
                  <c:v>1755.25</c:v>
                </c:pt>
                <c:pt idx="1239">
                  <c:v>1719.36</c:v>
                </c:pt>
                <c:pt idx="1240">
                  <c:v>1788.61</c:v>
                </c:pt>
                <c:pt idx="1241">
                  <c:v>1760.95</c:v>
                </c:pt>
                <c:pt idx="1242">
                  <c:v>1819.96</c:v>
                </c:pt>
                <c:pt idx="1243">
                  <c:v>1831.73</c:v>
                </c:pt>
                <c:pt idx="1244">
                  <c:v>1770.72</c:v>
                </c:pt>
                <c:pt idx="1245">
                  <c:v>1764.03</c:v>
                </c:pt>
                <c:pt idx="1246">
                  <c:v>1789.3</c:v>
                </c:pt>
                <c:pt idx="1247">
                  <c:v>1768.7</c:v>
                </c:pt>
                <c:pt idx="1248">
                  <c:v>1664.2</c:v>
                </c:pt>
                <c:pt idx="1249">
                  <c:v>1782.17</c:v>
                </c:pt>
                <c:pt idx="1250">
                  <c:v>1642.81</c:v>
                </c:pt>
                <c:pt idx="1251">
                  <c:v>1538.88</c:v>
                </c:pt>
                <c:pt idx="1252">
                  <c:v>1530.42</c:v>
                </c:pt>
                <c:pt idx="1253">
                  <c:v>1598.01</c:v>
                </c:pt>
                <c:pt idx="1254">
                  <c:v>1665.53</c:v>
                </c:pt>
                <c:pt idx="1255">
                  <c:v>1665.53</c:v>
                </c:pt>
                <c:pt idx="1256">
                  <c:v>1627.8</c:v>
                </c:pt>
                <c:pt idx="1257">
                  <c:v>1642.81</c:v>
                </c:pt>
                <c:pt idx="1258">
                  <c:v>1755.49</c:v>
                </c:pt>
                <c:pt idx="1259">
                  <c:v>1754.91</c:v>
                </c:pt>
                <c:pt idx="1260">
                  <c:v>1712.43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9-4AA0-81C4-EF64D5FC3666}"/>
            </c:ext>
          </c:extLst>
        </c:ser>
        <c:ser>
          <c:idx val="1"/>
          <c:order val="1"/>
          <c:tx>
            <c:strRef>
              <c:f>'Share Price'!$D$8</c:f>
              <c:strCache>
                <c:ptCount val="1"/>
                <c:pt idx="0">
                  <c:v>Bull</c:v>
                </c:pt>
              </c:strCache>
            </c:strRef>
          </c:tx>
          <c:spPr>
            <a:ln w="15875" cap="rnd">
              <a:solidFill>
                <a:srgbClr val="FA621C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 Price'!$A$9:$A$1280</c:f>
              <c:numCache>
                <c:formatCode>[$-409]mmm\-dd\-yyyy;@</c:formatCode>
                <c:ptCount val="1272"/>
                <c:pt idx="0">
                  <c:v>41586</c:v>
                </c:pt>
                <c:pt idx="1">
                  <c:v>41589</c:v>
                </c:pt>
                <c:pt idx="2">
                  <c:v>41590</c:v>
                </c:pt>
                <c:pt idx="3">
                  <c:v>41591</c:v>
                </c:pt>
                <c:pt idx="4">
                  <c:v>41592</c:v>
                </c:pt>
                <c:pt idx="5">
                  <c:v>41593</c:v>
                </c:pt>
                <c:pt idx="6">
                  <c:v>41596</c:v>
                </c:pt>
                <c:pt idx="7">
                  <c:v>41597</c:v>
                </c:pt>
                <c:pt idx="8">
                  <c:v>41598</c:v>
                </c:pt>
                <c:pt idx="9">
                  <c:v>41599</c:v>
                </c:pt>
                <c:pt idx="10">
                  <c:v>41600</c:v>
                </c:pt>
                <c:pt idx="11">
                  <c:v>41603</c:v>
                </c:pt>
                <c:pt idx="12">
                  <c:v>41604</c:v>
                </c:pt>
                <c:pt idx="13">
                  <c:v>41605</c:v>
                </c:pt>
                <c:pt idx="14">
                  <c:v>41607</c:v>
                </c:pt>
                <c:pt idx="15">
                  <c:v>41610</c:v>
                </c:pt>
                <c:pt idx="16">
                  <c:v>41611</c:v>
                </c:pt>
                <c:pt idx="17">
                  <c:v>41612</c:v>
                </c:pt>
                <c:pt idx="18">
                  <c:v>41613</c:v>
                </c:pt>
                <c:pt idx="19">
                  <c:v>41614</c:v>
                </c:pt>
                <c:pt idx="20">
                  <c:v>41617</c:v>
                </c:pt>
                <c:pt idx="21">
                  <c:v>41618</c:v>
                </c:pt>
                <c:pt idx="22">
                  <c:v>41619</c:v>
                </c:pt>
                <c:pt idx="23">
                  <c:v>41620</c:v>
                </c:pt>
                <c:pt idx="24">
                  <c:v>41621</c:v>
                </c:pt>
                <c:pt idx="25">
                  <c:v>41624</c:v>
                </c:pt>
                <c:pt idx="26">
                  <c:v>41625</c:v>
                </c:pt>
                <c:pt idx="27">
                  <c:v>41626</c:v>
                </c:pt>
                <c:pt idx="28">
                  <c:v>41627</c:v>
                </c:pt>
                <c:pt idx="29">
                  <c:v>41628</c:v>
                </c:pt>
                <c:pt idx="30">
                  <c:v>41631</c:v>
                </c:pt>
                <c:pt idx="31">
                  <c:v>41632</c:v>
                </c:pt>
                <c:pt idx="32">
                  <c:v>41634</c:v>
                </c:pt>
                <c:pt idx="33">
                  <c:v>41635</c:v>
                </c:pt>
                <c:pt idx="34">
                  <c:v>41638</c:v>
                </c:pt>
                <c:pt idx="35">
                  <c:v>41639</c:v>
                </c:pt>
                <c:pt idx="36">
                  <c:v>41641</c:v>
                </c:pt>
                <c:pt idx="37">
                  <c:v>41642</c:v>
                </c:pt>
                <c:pt idx="38">
                  <c:v>41645</c:v>
                </c:pt>
                <c:pt idx="39">
                  <c:v>41646</c:v>
                </c:pt>
                <c:pt idx="40">
                  <c:v>41647</c:v>
                </c:pt>
                <c:pt idx="41">
                  <c:v>41648</c:v>
                </c:pt>
                <c:pt idx="42">
                  <c:v>41649</c:v>
                </c:pt>
                <c:pt idx="43">
                  <c:v>41652</c:v>
                </c:pt>
                <c:pt idx="44">
                  <c:v>41653</c:v>
                </c:pt>
                <c:pt idx="45">
                  <c:v>41654</c:v>
                </c:pt>
                <c:pt idx="46">
                  <c:v>41655</c:v>
                </c:pt>
                <c:pt idx="47">
                  <c:v>41656</c:v>
                </c:pt>
                <c:pt idx="48">
                  <c:v>41660</c:v>
                </c:pt>
                <c:pt idx="49">
                  <c:v>41661</c:v>
                </c:pt>
                <c:pt idx="50">
                  <c:v>41662</c:v>
                </c:pt>
                <c:pt idx="51">
                  <c:v>41663</c:v>
                </c:pt>
                <c:pt idx="52">
                  <c:v>41666</c:v>
                </c:pt>
                <c:pt idx="53">
                  <c:v>41667</c:v>
                </c:pt>
                <c:pt idx="54">
                  <c:v>41668</c:v>
                </c:pt>
                <c:pt idx="55">
                  <c:v>41669</c:v>
                </c:pt>
                <c:pt idx="56">
                  <c:v>41670</c:v>
                </c:pt>
                <c:pt idx="57">
                  <c:v>41673</c:v>
                </c:pt>
                <c:pt idx="58">
                  <c:v>41674</c:v>
                </c:pt>
                <c:pt idx="59">
                  <c:v>41675</c:v>
                </c:pt>
                <c:pt idx="60">
                  <c:v>41676</c:v>
                </c:pt>
                <c:pt idx="61">
                  <c:v>41677</c:v>
                </c:pt>
                <c:pt idx="62">
                  <c:v>41680</c:v>
                </c:pt>
                <c:pt idx="63">
                  <c:v>41681</c:v>
                </c:pt>
                <c:pt idx="64">
                  <c:v>41682</c:v>
                </c:pt>
                <c:pt idx="65">
                  <c:v>41683</c:v>
                </c:pt>
                <c:pt idx="66">
                  <c:v>41684</c:v>
                </c:pt>
                <c:pt idx="67">
                  <c:v>41688</c:v>
                </c:pt>
                <c:pt idx="68">
                  <c:v>41689</c:v>
                </c:pt>
                <c:pt idx="69">
                  <c:v>41690</c:v>
                </c:pt>
                <c:pt idx="70">
                  <c:v>41691</c:v>
                </c:pt>
                <c:pt idx="71">
                  <c:v>41694</c:v>
                </c:pt>
                <c:pt idx="72">
                  <c:v>41695</c:v>
                </c:pt>
                <c:pt idx="73">
                  <c:v>41696</c:v>
                </c:pt>
                <c:pt idx="74">
                  <c:v>41697</c:v>
                </c:pt>
                <c:pt idx="75">
                  <c:v>41698</c:v>
                </c:pt>
                <c:pt idx="76">
                  <c:v>41701</c:v>
                </c:pt>
                <c:pt idx="77">
                  <c:v>41702</c:v>
                </c:pt>
                <c:pt idx="78">
                  <c:v>41703</c:v>
                </c:pt>
                <c:pt idx="79">
                  <c:v>41704</c:v>
                </c:pt>
                <c:pt idx="80">
                  <c:v>41705</c:v>
                </c:pt>
                <c:pt idx="81">
                  <c:v>41708</c:v>
                </c:pt>
                <c:pt idx="82">
                  <c:v>41709</c:v>
                </c:pt>
                <c:pt idx="83">
                  <c:v>41710</c:v>
                </c:pt>
                <c:pt idx="84">
                  <c:v>41711</c:v>
                </c:pt>
                <c:pt idx="85">
                  <c:v>41712</c:v>
                </c:pt>
                <c:pt idx="86">
                  <c:v>41715</c:v>
                </c:pt>
                <c:pt idx="87">
                  <c:v>41716</c:v>
                </c:pt>
                <c:pt idx="88">
                  <c:v>41717</c:v>
                </c:pt>
                <c:pt idx="89">
                  <c:v>41718</c:v>
                </c:pt>
                <c:pt idx="90">
                  <c:v>41719</c:v>
                </c:pt>
                <c:pt idx="91">
                  <c:v>41722</c:v>
                </c:pt>
                <c:pt idx="92">
                  <c:v>41723</c:v>
                </c:pt>
                <c:pt idx="93">
                  <c:v>41724</c:v>
                </c:pt>
                <c:pt idx="94">
                  <c:v>41725</c:v>
                </c:pt>
                <c:pt idx="95">
                  <c:v>41726</c:v>
                </c:pt>
                <c:pt idx="96">
                  <c:v>41729</c:v>
                </c:pt>
                <c:pt idx="97">
                  <c:v>41730</c:v>
                </c:pt>
                <c:pt idx="98">
                  <c:v>41731</c:v>
                </c:pt>
                <c:pt idx="99">
                  <c:v>41732</c:v>
                </c:pt>
                <c:pt idx="100">
                  <c:v>41733</c:v>
                </c:pt>
                <c:pt idx="101">
                  <c:v>41736</c:v>
                </c:pt>
                <c:pt idx="102">
                  <c:v>41737</c:v>
                </c:pt>
                <c:pt idx="103">
                  <c:v>41738</c:v>
                </c:pt>
                <c:pt idx="104">
                  <c:v>41739</c:v>
                </c:pt>
                <c:pt idx="105">
                  <c:v>41740</c:v>
                </c:pt>
                <c:pt idx="106">
                  <c:v>41743</c:v>
                </c:pt>
                <c:pt idx="107">
                  <c:v>41744</c:v>
                </c:pt>
                <c:pt idx="108">
                  <c:v>41745</c:v>
                </c:pt>
                <c:pt idx="109">
                  <c:v>41746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41757</c:v>
                </c:pt>
                <c:pt idx="116">
                  <c:v>41758</c:v>
                </c:pt>
                <c:pt idx="117">
                  <c:v>41759</c:v>
                </c:pt>
                <c:pt idx="118">
                  <c:v>41760</c:v>
                </c:pt>
                <c:pt idx="119">
                  <c:v>41761</c:v>
                </c:pt>
                <c:pt idx="120">
                  <c:v>41764</c:v>
                </c:pt>
                <c:pt idx="121">
                  <c:v>41765</c:v>
                </c:pt>
                <c:pt idx="122">
                  <c:v>41766</c:v>
                </c:pt>
                <c:pt idx="123">
                  <c:v>41767</c:v>
                </c:pt>
                <c:pt idx="124">
                  <c:v>41768</c:v>
                </c:pt>
                <c:pt idx="125">
                  <c:v>41771</c:v>
                </c:pt>
                <c:pt idx="126">
                  <c:v>41772</c:v>
                </c:pt>
                <c:pt idx="127">
                  <c:v>41773</c:v>
                </c:pt>
                <c:pt idx="128">
                  <c:v>41774</c:v>
                </c:pt>
                <c:pt idx="129">
                  <c:v>41775</c:v>
                </c:pt>
                <c:pt idx="130">
                  <c:v>41778</c:v>
                </c:pt>
                <c:pt idx="131">
                  <c:v>41779</c:v>
                </c:pt>
                <c:pt idx="132">
                  <c:v>41780</c:v>
                </c:pt>
                <c:pt idx="133">
                  <c:v>41781</c:v>
                </c:pt>
                <c:pt idx="134">
                  <c:v>41782</c:v>
                </c:pt>
                <c:pt idx="135">
                  <c:v>41786</c:v>
                </c:pt>
                <c:pt idx="136">
                  <c:v>41787</c:v>
                </c:pt>
                <c:pt idx="137">
                  <c:v>41788</c:v>
                </c:pt>
                <c:pt idx="138">
                  <c:v>41789</c:v>
                </c:pt>
                <c:pt idx="139">
                  <c:v>41792</c:v>
                </c:pt>
                <c:pt idx="140">
                  <c:v>41793</c:v>
                </c:pt>
                <c:pt idx="141">
                  <c:v>41794</c:v>
                </c:pt>
                <c:pt idx="142">
                  <c:v>41795</c:v>
                </c:pt>
                <c:pt idx="143">
                  <c:v>41796</c:v>
                </c:pt>
                <c:pt idx="144">
                  <c:v>41799</c:v>
                </c:pt>
                <c:pt idx="145">
                  <c:v>41800</c:v>
                </c:pt>
                <c:pt idx="146">
                  <c:v>41801</c:v>
                </c:pt>
                <c:pt idx="147">
                  <c:v>41802</c:v>
                </c:pt>
                <c:pt idx="148">
                  <c:v>41803</c:v>
                </c:pt>
                <c:pt idx="149">
                  <c:v>41806</c:v>
                </c:pt>
                <c:pt idx="150">
                  <c:v>41807</c:v>
                </c:pt>
                <c:pt idx="151">
                  <c:v>41808</c:v>
                </c:pt>
                <c:pt idx="152">
                  <c:v>41809</c:v>
                </c:pt>
                <c:pt idx="153">
                  <c:v>41810</c:v>
                </c:pt>
                <c:pt idx="154">
                  <c:v>41813</c:v>
                </c:pt>
                <c:pt idx="155">
                  <c:v>41814</c:v>
                </c:pt>
                <c:pt idx="156">
                  <c:v>41815</c:v>
                </c:pt>
                <c:pt idx="157">
                  <c:v>41816</c:v>
                </c:pt>
                <c:pt idx="158">
                  <c:v>41817</c:v>
                </c:pt>
                <c:pt idx="159">
                  <c:v>41820</c:v>
                </c:pt>
                <c:pt idx="160">
                  <c:v>41821</c:v>
                </c:pt>
                <c:pt idx="161">
                  <c:v>41822</c:v>
                </c:pt>
                <c:pt idx="162">
                  <c:v>41823</c:v>
                </c:pt>
                <c:pt idx="163">
                  <c:v>41827</c:v>
                </c:pt>
                <c:pt idx="164">
                  <c:v>41828</c:v>
                </c:pt>
                <c:pt idx="165">
                  <c:v>41829</c:v>
                </c:pt>
                <c:pt idx="166">
                  <c:v>41830</c:v>
                </c:pt>
                <c:pt idx="167">
                  <c:v>41831</c:v>
                </c:pt>
                <c:pt idx="168">
                  <c:v>41834</c:v>
                </c:pt>
                <c:pt idx="169">
                  <c:v>41835</c:v>
                </c:pt>
                <c:pt idx="170">
                  <c:v>41836</c:v>
                </c:pt>
                <c:pt idx="171">
                  <c:v>41837</c:v>
                </c:pt>
                <c:pt idx="172">
                  <c:v>41838</c:v>
                </c:pt>
                <c:pt idx="173">
                  <c:v>41841</c:v>
                </c:pt>
                <c:pt idx="174">
                  <c:v>41842</c:v>
                </c:pt>
                <c:pt idx="175">
                  <c:v>41843</c:v>
                </c:pt>
                <c:pt idx="176">
                  <c:v>41844</c:v>
                </c:pt>
                <c:pt idx="177">
                  <c:v>41845</c:v>
                </c:pt>
                <c:pt idx="178">
                  <c:v>41848</c:v>
                </c:pt>
                <c:pt idx="179">
                  <c:v>41849</c:v>
                </c:pt>
                <c:pt idx="180">
                  <c:v>41850</c:v>
                </c:pt>
                <c:pt idx="181">
                  <c:v>41851</c:v>
                </c:pt>
                <c:pt idx="182">
                  <c:v>41852</c:v>
                </c:pt>
                <c:pt idx="183">
                  <c:v>41855</c:v>
                </c:pt>
                <c:pt idx="184">
                  <c:v>41856</c:v>
                </c:pt>
                <c:pt idx="185">
                  <c:v>41857</c:v>
                </c:pt>
                <c:pt idx="186">
                  <c:v>41858</c:v>
                </c:pt>
                <c:pt idx="187">
                  <c:v>41859</c:v>
                </c:pt>
                <c:pt idx="188">
                  <c:v>41862</c:v>
                </c:pt>
                <c:pt idx="189">
                  <c:v>41863</c:v>
                </c:pt>
                <c:pt idx="190">
                  <c:v>41864</c:v>
                </c:pt>
                <c:pt idx="191">
                  <c:v>41865</c:v>
                </c:pt>
                <c:pt idx="192">
                  <c:v>41866</c:v>
                </c:pt>
                <c:pt idx="193">
                  <c:v>41869</c:v>
                </c:pt>
                <c:pt idx="194">
                  <c:v>41870</c:v>
                </c:pt>
                <c:pt idx="195">
                  <c:v>41871</c:v>
                </c:pt>
                <c:pt idx="196">
                  <c:v>41872</c:v>
                </c:pt>
                <c:pt idx="197">
                  <c:v>41873</c:v>
                </c:pt>
                <c:pt idx="198">
                  <c:v>41876</c:v>
                </c:pt>
                <c:pt idx="199">
                  <c:v>41877</c:v>
                </c:pt>
                <c:pt idx="200">
                  <c:v>41878</c:v>
                </c:pt>
                <c:pt idx="201">
                  <c:v>41879</c:v>
                </c:pt>
                <c:pt idx="202">
                  <c:v>41880</c:v>
                </c:pt>
                <c:pt idx="203">
                  <c:v>41884</c:v>
                </c:pt>
                <c:pt idx="204">
                  <c:v>41885</c:v>
                </c:pt>
                <c:pt idx="205">
                  <c:v>41886</c:v>
                </c:pt>
                <c:pt idx="206">
                  <c:v>41887</c:v>
                </c:pt>
                <c:pt idx="207">
                  <c:v>41890</c:v>
                </c:pt>
                <c:pt idx="208">
                  <c:v>41891</c:v>
                </c:pt>
                <c:pt idx="209">
                  <c:v>41892</c:v>
                </c:pt>
                <c:pt idx="210">
                  <c:v>41893</c:v>
                </c:pt>
                <c:pt idx="211">
                  <c:v>41894</c:v>
                </c:pt>
                <c:pt idx="212">
                  <c:v>41897</c:v>
                </c:pt>
                <c:pt idx="213">
                  <c:v>41898</c:v>
                </c:pt>
                <c:pt idx="214">
                  <c:v>41899</c:v>
                </c:pt>
                <c:pt idx="215">
                  <c:v>41900</c:v>
                </c:pt>
                <c:pt idx="216">
                  <c:v>41901</c:v>
                </c:pt>
                <c:pt idx="217">
                  <c:v>41904</c:v>
                </c:pt>
                <c:pt idx="218">
                  <c:v>41905</c:v>
                </c:pt>
                <c:pt idx="219">
                  <c:v>41906</c:v>
                </c:pt>
                <c:pt idx="220">
                  <c:v>41907</c:v>
                </c:pt>
                <c:pt idx="221">
                  <c:v>41908</c:v>
                </c:pt>
                <c:pt idx="222">
                  <c:v>41911</c:v>
                </c:pt>
                <c:pt idx="223">
                  <c:v>41912</c:v>
                </c:pt>
                <c:pt idx="224">
                  <c:v>41913</c:v>
                </c:pt>
                <c:pt idx="225">
                  <c:v>41914</c:v>
                </c:pt>
                <c:pt idx="226">
                  <c:v>41915</c:v>
                </c:pt>
                <c:pt idx="227">
                  <c:v>41918</c:v>
                </c:pt>
                <c:pt idx="228">
                  <c:v>41919</c:v>
                </c:pt>
                <c:pt idx="229">
                  <c:v>41920</c:v>
                </c:pt>
                <c:pt idx="230">
                  <c:v>41921</c:v>
                </c:pt>
                <c:pt idx="231">
                  <c:v>41922</c:v>
                </c:pt>
                <c:pt idx="232">
                  <c:v>41925</c:v>
                </c:pt>
                <c:pt idx="233">
                  <c:v>41926</c:v>
                </c:pt>
                <c:pt idx="234">
                  <c:v>41927</c:v>
                </c:pt>
                <c:pt idx="235">
                  <c:v>41928</c:v>
                </c:pt>
                <c:pt idx="236">
                  <c:v>41929</c:v>
                </c:pt>
                <c:pt idx="237">
                  <c:v>41932</c:v>
                </c:pt>
                <c:pt idx="238">
                  <c:v>41933</c:v>
                </c:pt>
                <c:pt idx="239">
                  <c:v>41934</c:v>
                </c:pt>
                <c:pt idx="240">
                  <c:v>41935</c:v>
                </c:pt>
                <c:pt idx="241">
                  <c:v>41936</c:v>
                </c:pt>
                <c:pt idx="242">
                  <c:v>41939</c:v>
                </c:pt>
                <c:pt idx="243">
                  <c:v>41940</c:v>
                </c:pt>
                <c:pt idx="244">
                  <c:v>41941</c:v>
                </c:pt>
                <c:pt idx="245">
                  <c:v>41942</c:v>
                </c:pt>
                <c:pt idx="246">
                  <c:v>41943</c:v>
                </c:pt>
                <c:pt idx="247">
                  <c:v>41946</c:v>
                </c:pt>
                <c:pt idx="248">
                  <c:v>41947</c:v>
                </c:pt>
                <c:pt idx="249">
                  <c:v>41948</c:v>
                </c:pt>
                <c:pt idx="250">
                  <c:v>41949</c:v>
                </c:pt>
                <c:pt idx="251">
                  <c:v>41950</c:v>
                </c:pt>
                <c:pt idx="252">
                  <c:v>41953</c:v>
                </c:pt>
                <c:pt idx="253">
                  <c:v>41954</c:v>
                </c:pt>
                <c:pt idx="254">
                  <c:v>41955</c:v>
                </c:pt>
                <c:pt idx="255">
                  <c:v>41956</c:v>
                </c:pt>
                <c:pt idx="256">
                  <c:v>41957</c:v>
                </c:pt>
                <c:pt idx="257">
                  <c:v>41960</c:v>
                </c:pt>
                <c:pt idx="258">
                  <c:v>41961</c:v>
                </c:pt>
                <c:pt idx="259">
                  <c:v>41962</c:v>
                </c:pt>
                <c:pt idx="260">
                  <c:v>41963</c:v>
                </c:pt>
                <c:pt idx="261">
                  <c:v>41964</c:v>
                </c:pt>
                <c:pt idx="262">
                  <c:v>41967</c:v>
                </c:pt>
                <c:pt idx="263">
                  <c:v>41968</c:v>
                </c:pt>
                <c:pt idx="264">
                  <c:v>41969</c:v>
                </c:pt>
                <c:pt idx="265">
                  <c:v>41971</c:v>
                </c:pt>
                <c:pt idx="266">
                  <c:v>41974</c:v>
                </c:pt>
                <c:pt idx="267">
                  <c:v>41975</c:v>
                </c:pt>
                <c:pt idx="268">
                  <c:v>41976</c:v>
                </c:pt>
                <c:pt idx="269">
                  <c:v>41977</c:v>
                </c:pt>
                <c:pt idx="270">
                  <c:v>41978</c:v>
                </c:pt>
                <c:pt idx="271">
                  <c:v>41981</c:v>
                </c:pt>
                <c:pt idx="272">
                  <c:v>41982</c:v>
                </c:pt>
                <c:pt idx="273">
                  <c:v>41983</c:v>
                </c:pt>
                <c:pt idx="274">
                  <c:v>41984</c:v>
                </c:pt>
                <c:pt idx="275">
                  <c:v>41985</c:v>
                </c:pt>
                <c:pt idx="276">
                  <c:v>41988</c:v>
                </c:pt>
                <c:pt idx="277">
                  <c:v>41989</c:v>
                </c:pt>
                <c:pt idx="278">
                  <c:v>41990</c:v>
                </c:pt>
                <c:pt idx="279">
                  <c:v>41991</c:v>
                </c:pt>
                <c:pt idx="280">
                  <c:v>41992</c:v>
                </c:pt>
                <c:pt idx="281">
                  <c:v>41995</c:v>
                </c:pt>
                <c:pt idx="282">
                  <c:v>41996</c:v>
                </c:pt>
                <c:pt idx="283">
                  <c:v>41997</c:v>
                </c:pt>
                <c:pt idx="284">
                  <c:v>41999</c:v>
                </c:pt>
                <c:pt idx="285">
                  <c:v>42002</c:v>
                </c:pt>
                <c:pt idx="286">
                  <c:v>42003</c:v>
                </c:pt>
                <c:pt idx="287">
                  <c:v>42004</c:v>
                </c:pt>
                <c:pt idx="288">
                  <c:v>42006</c:v>
                </c:pt>
                <c:pt idx="289">
                  <c:v>42009</c:v>
                </c:pt>
                <c:pt idx="290">
                  <c:v>42010</c:v>
                </c:pt>
                <c:pt idx="291">
                  <c:v>42011</c:v>
                </c:pt>
                <c:pt idx="292">
                  <c:v>42012</c:v>
                </c:pt>
                <c:pt idx="293">
                  <c:v>42013</c:v>
                </c:pt>
                <c:pt idx="294">
                  <c:v>42016</c:v>
                </c:pt>
                <c:pt idx="295">
                  <c:v>42017</c:v>
                </c:pt>
                <c:pt idx="296">
                  <c:v>42018</c:v>
                </c:pt>
                <c:pt idx="297">
                  <c:v>42019</c:v>
                </c:pt>
                <c:pt idx="298">
                  <c:v>42020</c:v>
                </c:pt>
                <c:pt idx="299">
                  <c:v>42024</c:v>
                </c:pt>
                <c:pt idx="300">
                  <c:v>42025</c:v>
                </c:pt>
                <c:pt idx="301">
                  <c:v>42026</c:v>
                </c:pt>
                <c:pt idx="302">
                  <c:v>42027</c:v>
                </c:pt>
                <c:pt idx="303">
                  <c:v>42030</c:v>
                </c:pt>
                <c:pt idx="304">
                  <c:v>42031</c:v>
                </c:pt>
                <c:pt idx="305">
                  <c:v>42032</c:v>
                </c:pt>
                <c:pt idx="306">
                  <c:v>42033</c:v>
                </c:pt>
                <c:pt idx="307">
                  <c:v>42034</c:v>
                </c:pt>
                <c:pt idx="308">
                  <c:v>42037</c:v>
                </c:pt>
                <c:pt idx="309">
                  <c:v>42038</c:v>
                </c:pt>
                <c:pt idx="310">
                  <c:v>42039</c:v>
                </c:pt>
                <c:pt idx="311">
                  <c:v>42040</c:v>
                </c:pt>
                <c:pt idx="312">
                  <c:v>42041</c:v>
                </c:pt>
                <c:pt idx="313">
                  <c:v>42044</c:v>
                </c:pt>
                <c:pt idx="314">
                  <c:v>42045</c:v>
                </c:pt>
                <c:pt idx="315">
                  <c:v>42046</c:v>
                </c:pt>
                <c:pt idx="316">
                  <c:v>42047</c:v>
                </c:pt>
                <c:pt idx="317">
                  <c:v>42048</c:v>
                </c:pt>
                <c:pt idx="318">
                  <c:v>42052</c:v>
                </c:pt>
                <c:pt idx="319">
                  <c:v>42053</c:v>
                </c:pt>
                <c:pt idx="320">
                  <c:v>42054</c:v>
                </c:pt>
                <c:pt idx="321">
                  <c:v>42055</c:v>
                </c:pt>
                <c:pt idx="322">
                  <c:v>42058</c:v>
                </c:pt>
                <c:pt idx="323">
                  <c:v>42059</c:v>
                </c:pt>
                <c:pt idx="324">
                  <c:v>42060</c:v>
                </c:pt>
                <c:pt idx="325">
                  <c:v>42061</c:v>
                </c:pt>
                <c:pt idx="326">
                  <c:v>42062</c:v>
                </c:pt>
                <c:pt idx="327">
                  <c:v>42065</c:v>
                </c:pt>
                <c:pt idx="328">
                  <c:v>42066</c:v>
                </c:pt>
                <c:pt idx="329">
                  <c:v>42067</c:v>
                </c:pt>
                <c:pt idx="330">
                  <c:v>42068</c:v>
                </c:pt>
                <c:pt idx="331">
                  <c:v>42069</c:v>
                </c:pt>
                <c:pt idx="332">
                  <c:v>42072</c:v>
                </c:pt>
                <c:pt idx="333">
                  <c:v>42073</c:v>
                </c:pt>
                <c:pt idx="334">
                  <c:v>42074</c:v>
                </c:pt>
                <c:pt idx="335">
                  <c:v>42075</c:v>
                </c:pt>
                <c:pt idx="336">
                  <c:v>42076</c:v>
                </c:pt>
                <c:pt idx="337">
                  <c:v>42079</c:v>
                </c:pt>
                <c:pt idx="338">
                  <c:v>42080</c:v>
                </c:pt>
                <c:pt idx="339">
                  <c:v>42081</c:v>
                </c:pt>
                <c:pt idx="340">
                  <c:v>42082</c:v>
                </c:pt>
                <c:pt idx="341">
                  <c:v>42083</c:v>
                </c:pt>
                <c:pt idx="342">
                  <c:v>42086</c:v>
                </c:pt>
                <c:pt idx="343">
                  <c:v>42087</c:v>
                </c:pt>
                <c:pt idx="344">
                  <c:v>42088</c:v>
                </c:pt>
                <c:pt idx="345">
                  <c:v>42089</c:v>
                </c:pt>
                <c:pt idx="346">
                  <c:v>42090</c:v>
                </c:pt>
                <c:pt idx="347">
                  <c:v>42093</c:v>
                </c:pt>
                <c:pt idx="348">
                  <c:v>42094</c:v>
                </c:pt>
                <c:pt idx="349">
                  <c:v>42095</c:v>
                </c:pt>
                <c:pt idx="350">
                  <c:v>42096</c:v>
                </c:pt>
                <c:pt idx="351">
                  <c:v>42100</c:v>
                </c:pt>
                <c:pt idx="352">
                  <c:v>42101</c:v>
                </c:pt>
                <c:pt idx="353">
                  <c:v>42102</c:v>
                </c:pt>
                <c:pt idx="354">
                  <c:v>42103</c:v>
                </c:pt>
                <c:pt idx="355">
                  <c:v>42104</c:v>
                </c:pt>
                <c:pt idx="356">
                  <c:v>42107</c:v>
                </c:pt>
                <c:pt idx="357">
                  <c:v>42108</c:v>
                </c:pt>
                <c:pt idx="358">
                  <c:v>42109</c:v>
                </c:pt>
                <c:pt idx="359">
                  <c:v>42110</c:v>
                </c:pt>
                <c:pt idx="360">
                  <c:v>42111</c:v>
                </c:pt>
                <c:pt idx="361">
                  <c:v>42114</c:v>
                </c:pt>
                <c:pt idx="362">
                  <c:v>42115</c:v>
                </c:pt>
                <c:pt idx="363">
                  <c:v>42116</c:v>
                </c:pt>
                <c:pt idx="364">
                  <c:v>42117</c:v>
                </c:pt>
                <c:pt idx="365">
                  <c:v>42118</c:v>
                </c:pt>
                <c:pt idx="366">
                  <c:v>42121</c:v>
                </c:pt>
                <c:pt idx="367">
                  <c:v>42122</c:v>
                </c:pt>
                <c:pt idx="368">
                  <c:v>42123</c:v>
                </c:pt>
                <c:pt idx="369">
                  <c:v>42124</c:v>
                </c:pt>
                <c:pt idx="370">
                  <c:v>42125</c:v>
                </c:pt>
                <c:pt idx="371">
                  <c:v>42128</c:v>
                </c:pt>
                <c:pt idx="372">
                  <c:v>42129</c:v>
                </c:pt>
                <c:pt idx="373">
                  <c:v>42130</c:v>
                </c:pt>
                <c:pt idx="374">
                  <c:v>42131</c:v>
                </c:pt>
                <c:pt idx="375">
                  <c:v>42132</c:v>
                </c:pt>
                <c:pt idx="376">
                  <c:v>42135</c:v>
                </c:pt>
                <c:pt idx="377">
                  <c:v>42136</c:v>
                </c:pt>
                <c:pt idx="378">
                  <c:v>42137</c:v>
                </c:pt>
                <c:pt idx="379">
                  <c:v>42138</c:v>
                </c:pt>
                <c:pt idx="380">
                  <c:v>42139</c:v>
                </c:pt>
                <c:pt idx="381">
                  <c:v>42142</c:v>
                </c:pt>
                <c:pt idx="382">
                  <c:v>42143</c:v>
                </c:pt>
                <c:pt idx="383">
                  <c:v>42144</c:v>
                </c:pt>
                <c:pt idx="384">
                  <c:v>42145</c:v>
                </c:pt>
                <c:pt idx="385">
                  <c:v>42146</c:v>
                </c:pt>
                <c:pt idx="386">
                  <c:v>42150</c:v>
                </c:pt>
                <c:pt idx="387">
                  <c:v>42151</c:v>
                </c:pt>
                <c:pt idx="388">
                  <c:v>42152</c:v>
                </c:pt>
                <c:pt idx="389">
                  <c:v>42153</c:v>
                </c:pt>
                <c:pt idx="390">
                  <c:v>42156</c:v>
                </c:pt>
                <c:pt idx="391">
                  <c:v>42157</c:v>
                </c:pt>
                <c:pt idx="392">
                  <c:v>42158</c:v>
                </c:pt>
                <c:pt idx="393">
                  <c:v>42159</c:v>
                </c:pt>
                <c:pt idx="394">
                  <c:v>42160</c:v>
                </c:pt>
                <c:pt idx="395">
                  <c:v>42163</c:v>
                </c:pt>
                <c:pt idx="396">
                  <c:v>42164</c:v>
                </c:pt>
                <c:pt idx="397">
                  <c:v>42165</c:v>
                </c:pt>
                <c:pt idx="398">
                  <c:v>42166</c:v>
                </c:pt>
                <c:pt idx="399">
                  <c:v>42167</c:v>
                </c:pt>
                <c:pt idx="400">
                  <c:v>42170</c:v>
                </c:pt>
                <c:pt idx="401">
                  <c:v>42171</c:v>
                </c:pt>
                <c:pt idx="402">
                  <c:v>42172</c:v>
                </c:pt>
                <c:pt idx="403">
                  <c:v>42173</c:v>
                </c:pt>
                <c:pt idx="404">
                  <c:v>42174</c:v>
                </c:pt>
                <c:pt idx="405">
                  <c:v>42177</c:v>
                </c:pt>
                <c:pt idx="406">
                  <c:v>42178</c:v>
                </c:pt>
                <c:pt idx="407">
                  <c:v>42179</c:v>
                </c:pt>
                <c:pt idx="408">
                  <c:v>42180</c:v>
                </c:pt>
                <c:pt idx="409">
                  <c:v>42181</c:v>
                </c:pt>
                <c:pt idx="410">
                  <c:v>42184</c:v>
                </c:pt>
                <c:pt idx="411">
                  <c:v>42185</c:v>
                </c:pt>
                <c:pt idx="412">
                  <c:v>42186</c:v>
                </c:pt>
                <c:pt idx="413">
                  <c:v>42187</c:v>
                </c:pt>
                <c:pt idx="414">
                  <c:v>42191</c:v>
                </c:pt>
                <c:pt idx="415">
                  <c:v>42192</c:v>
                </c:pt>
                <c:pt idx="416">
                  <c:v>42193</c:v>
                </c:pt>
                <c:pt idx="417">
                  <c:v>42194</c:v>
                </c:pt>
                <c:pt idx="418">
                  <c:v>42195</c:v>
                </c:pt>
                <c:pt idx="419">
                  <c:v>42198</c:v>
                </c:pt>
                <c:pt idx="420">
                  <c:v>42199</c:v>
                </c:pt>
                <c:pt idx="421">
                  <c:v>42200</c:v>
                </c:pt>
                <c:pt idx="422">
                  <c:v>42201</c:v>
                </c:pt>
                <c:pt idx="423">
                  <c:v>42202</c:v>
                </c:pt>
                <c:pt idx="424">
                  <c:v>42205</c:v>
                </c:pt>
                <c:pt idx="425">
                  <c:v>42206</c:v>
                </c:pt>
                <c:pt idx="426">
                  <c:v>42207</c:v>
                </c:pt>
                <c:pt idx="427">
                  <c:v>42208</c:v>
                </c:pt>
                <c:pt idx="428">
                  <c:v>42209</c:v>
                </c:pt>
                <c:pt idx="429">
                  <c:v>42212</c:v>
                </c:pt>
                <c:pt idx="430">
                  <c:v>42213</c:v>
                </c:pt>
                <c:pt idx="431">
                  <c:v>42214</c:v>
                </c:pt>
                <c:pt idx="432">
                  <c:v>42215</c:v>
                </c:pt>
                <c:pt idx="433">
                  <c:v>42216</c:v>
                </c:pt>
                <c:pt idx="434">
                  <c:v>42219</c:v>
                </c:pt>
                <c:pt idx="435">
                  <c:v>42220</c:v>
                </c:pt>
                <c:pt idx="436">
                  <c:v>42221</c:v>
                </c:pt>
                <c:pt idx="437">
                  <c:v>42222</c:v>
                </c:pt>
                <c:pt idx="438">
                  <c:v>42223</c:v>
                </c:pt>
                <c:pt idx="439">
                  <c:v>42226</c:v>
                </c:pt>
                <c:pt idx="440">
                  <c:v>42227</c:v>
                </c:pt>
                <c:pt idx="441">
                  <c:v>42228</c:v>
                </c:pt>
                <c:pt idx="442">
                  <c:v>42229</c:v>
                </c:pt>
                <c:pt idx="443">
                  <c:v>42230</c:v>
                </c:pt>
                <c:pt idx="444">
                  <c:v>42233</c:v>
                </c:pt>
                <c:pt idx="445">
                  <c:v>42234</c:v>
                </c:pt>
                <c:pt idx="446">
                  <c:v>42235</c:v>
                </c:pt>
                <c:pt idx="447">
                  <c:v>42236</c:v>
                </c:pt>
                <c:pt idx="448">
                  <c:v>42237</c:v>
                </c:pt>
                <c:pt idx="449">
                  <c:v>42240</c:v>
                </c:pt>
                <c:pt idx="450">
                  <c:v>42241</c:v>
                </c:pt>
                <c:pt idx="451">
                  <c:v>42242</c:v>
                </c:pt>
                <c:pt idx="452">
                  <c:v>42243</c:v>
                </c:pt>
                <c:pt idx="453">
                  <c:v>42244</c:v>
                </c:pt>
                <c:pt idx="454">
                  <c:v>42247</c:v>
                </c:pt>
                <c:pt idx="455">
                  <c:v>42248</c:v>
                </c:pt>
                <c:pt idx="456">
                  <c:v>42249</c:v>
                </c:pt>
                <c:pt idx="457">
                  <c:v>42250</c:v>
                </c:pt>
                <c:pt idx="458">
                  <c:v>42251</c:v>
                </c:pt>
                <c:pt idx="459">
                  <c:v>42255</c:v>
                </c:pt>
                <c:pt idx="460">
                  <c:v>42256</c:v>
                </c:pt>
                <c:pt idx="461">
                  <c:v>42257</c:v>
                </c:pt>
                <c:pt idx="462">
                  <c:v>42258</c:v>
                </c:pt>
                <c:pt idx="463">
                  <c:v>42261</c:v>
                </c:pt>
                <c:pt idx="464">
                  <c:v>42262</c:v>
                </c:pt>
                <c:pt idx="465">
                  <c:v>42263</c:v>
                </c:pt>
                <c:pt idx="466">
                  <c:v>42264</c:v>
                </c:pt>
                <c:pt idx="467">
                  <c:v>42265</c:v>
                </c:pt>
                <c:pt idx="468">
                  <c:v>42268</c:v>
                </c:pt>
                <c:pt idx="469">
                  <c:v>42269</c:v>
                </c:pt>
                <c:pt idx="470">
                  <c:v>42270</c:v>
                </c:pt>
                <c:pt idx="471">
                  <c:v>42271</c:v>
                </c:pt>
                <c:pt idx="472">
                  <c:v>42272</c:v>
                </c:pt>
                <c:pt idx="473">
                  <c:v>42275</c:v>
                </c:pt>
                <c:pt idx="474">
                  <c:v>42276</c:v>
                </c:pt>
                <c:pt idx="475">
                  <c:v>42277</c:v>
                </c:pt>
                <c:pt idx="476">
                  <c:v>42278</c:v>
                </c:pt>
                <c:pt idx="477">
                  <c:v>42279</c:v>
                </c:pt>
                <c:pt idx="478">
                  <c:v>42282</c:v>
                </c:pt>
                <c:pt idx="479">
                  <c:v>42283</c:v>
                </c:pt>
                <c:pt idx="480">
                  <c:v>42284</c:v>
                </c:pt>
                <c:pt idx="481">
                  <c:v>42285</c:v>
                </c:pt>
                <c:pt idx="482">
                  <c:v>42286</c:v>
                </c:pt>
                <c:pt idx="483">
                  <c:v>42289</c:v>
                </c:pt>
                <c:pt idx="484">
                  <c:v>42290</c:v>
                </c:pt>
                <c:pt idx="485">
                  <c:v>42291</c:v>
                </c:pt>
                <c:pt idx="486">
                  <c:v>42292</c:v>
                </c:pt>
                <c:pt idx="487">
                  <c:v>42293</c:v>
                </c:pt>
                <c:pt idx="488">
                  <c:v>42296</c:v>
                </c:pt>
                <c:pt idx="489">
                  <c:v>42297</c:v>
                </c:pt>
                <c:pt idx="490">
                  <c:v>42298</c:v>
                </c:pt>
                <c:pt idx="491">
                  <c:v>42299</c:v>
                </c:pt>
                <c:pt idx="492">
                  <c:v>42300</c:v>
                </c:pt>
                <c:pt idx="493">
                  <c:v>42303</c:v>
                </c:pt>
                <c:pt idx="494">
                  <c:v>42304</c:v>
                </c:pt>
                <c:pt idx="495">
                  <c:v>42305</c:v>
                </c:pt>
                <c:pt idx="496">
                  <c:v>42306</c:v>
                </c:pt>
                <c:pt idx="497">
                  <c:v>42307</c:v>
                </c:pt>
                <c:pt idx="498">
                  <c:v>42310</c:v>
                </c:pt>
                <c:pt idx="499">
                  <c:v>42311</c:v>
                </c:pt>
                <c:pt idx="500">
                  <c:v>42312</c:v>
                </c:pt>
                <c:pt idx="501">
                  <c:v>42313</c:v>
                </c:pt>
                <c:pt idx="502">
                  <c:v>42314</c:v>
                </c:pt>
                <c:pt idx="503">
                  <c:v>42317</c:v>
                </c:pt>
                <c:pt idx="504">
                  <c:v>42318</c:v>
                </c:pt>
                <c:pt idx="505">
                  <c:v>42319</c:v>
                </c:pt>
                <c:pt idx="506">
                  <c:v>42320</c:v>
                </c:pt>
                <c:pt idx="507">
                  <c:v>42321</c:v>
                </c:pt>
                <c:pt idx="508">
                  <c:v>42324</c:v>
                </c:pt>
                <c:pt idx="509">
                  <c:v>42325</c:v>
                </c:pt>
                <c:pt idx="510">
                  <c:v>42326</c:v>
                </c:pt>
                <c:pt idx="511">
                  <c:v>42327</c:v>
                </c:pt>
                <c:pt idx="512">
                  <c:v>42328</c:v>
                </c:pt>
                <c:pt idx="513">
                  <c:v>42331</c:v>
                </c:pt>
                <c:pt idx="514">
                  <c:v>42332</c:v>
                </c:pt>
                <c:pt idx="515">
                  <c:v>42333</c:v>
                </c:pt>
                <c:pt idx="516">
                  <c:v>42335</c:v>
                </c:pt>
                <c:pt idx="517">
                  <c:v>42338</c:v>
                </c:pt>
                <c:pt idx="518">
                  <c:v>42339</c:v>
                </c:pt>
                <c:pt idx="519">
                  <c:v>42340</c:v>
                </c:pt>
                <c:pt idx="520">
                  <c:v>42341</c:v>
                </c:pt>
                <c:pt idx="521">
                  <c:v>42342</c:v>
                </c:pt>
                <c:pt idx="522">
                  <c:v>42345</c:v>
                </c:pt>
                <c:pt idx="523">
                  <c:v>42346</c:v>
                </c:pt>
                <c:pt idx="524">
                  <c:v>42347</c:v>
                </c:pt>
                <c:pt idx="525">
                  <c:v>42348</c:v>
                </c:pt>
                <c:pt idx="526">
                  <c:v>42349</c:v>
                </c:pt>
                <c:pt idx="527">
                  <c:v>42352</c:v>
                </c:pt>
                <c:pt idx="528">
                  <c:v>42353</c:v>
                </c:pt>
                <c:pt idx="529">
                  <c:v>42354</c:v>
                </c:pt>
                <c:pt idx="530">
                  <c:v>42355</c:v>
                </c:pt>
                <c:pt idx="531">
                  <c:v>42356</c:v>
                </c:pt>
                <c:pt idx="532">
                  <c:v>42359</c:v>
                </c:pt>
                <c:pt idx="533">
                  <c:v>42360</c:v>
                </c:pt>
                <c:pt idx="534">
                  <c:v>42361</c:v>
                </c:pt>
                <c:pt idx="535">
                  <c:v>42362</c:v>
                </c:pt>
                <c:pt idx="536">
                  <c:v>42366</c:v>
                </c:pt>
                <c:pt idx="537">
                  <c:v>42367</c:v>
                </c:pt>
                <c:pt idx="538">
                  <c:v>42368</c:v>
                </c:pt>
                <c:pt idx="539">
                  <c:v>42369</c:v>
                </c:pt>
                <c:pt idx="540">
                  <c:v>42373</c:v>
                </c:pt>
                <c:pt idx="541">
                  <c:v>42374</c:v>
                </c:pt>
                <c:pt idx="542">
                  <c:v>42375</c:v>
                </c:pt>
                <c:pt idx="543">
                  <c:v>42376</c:v>
                </c:pt>
                <c:pt idx="544">
                  <c:v>42377</c:v>
                </c:pt>
                <c:pt idx="545">
                  <c:v>42380</c:v>
                </c:pt>
                <c:pt idx="546">
                  <c:v>42381</c:v>
                </c:pt>
                <c:pt idx="547">
                  <c:v>42382</c:v>
                </c:pt>
                <c:pt idx="548">
                  <c:v>42383</c:v>
                </c:pt>
                <c:pt idx="549">
                  <c:v>42384</c:v>
                </c:pt>
                <c:pt idx="550">
                  <c:v>42388</c:v>
                </c:pt>
                <c:pt idx="551">
                  <c:v>42389</c:v>
                </c:pt>
                <c:pt idx="552">
                  <c:v>42390</c:v>
                </c:pt>
                <c:pt idx="553">
                  <c:v>42391</c:v>
                </c:pt>
                <c:pt idx="554">
                  <c:v>42394</c:v>
                </c:pt>
                <c:pt idx="555">
                  <c:v>42395</c:v>
                </c:pt>
                <c:pt idx="556">
                  <c:v>42396</c:v>
                </c:pt>
                <c:pt idx="557">
                  <c:v>42397</c:v>
                </c:pt>
                <c:pt idx="558">
                  <c:v>42398</c:v>
                </c:pt>
                <c:pt idx="559">
                  <c:v>42401</c:v>
                </c:pt>
                <c:pt idx="560">
                  <c:v>42402</c:v>
                </c:pt>
                <c:pt idx="561">
                  <c:v>42403</c:v>
                </c:pt>
                <c:pt idx="562">
                  <c:v>42404</c:v>
                </c:pt>
                <c:pt idx="563">
                  <c:v>42405</c:v>
                </c:pt>
                <c:pt idx="564">
                  <c:v>42408</c:v>
                </c:pt>
                <c:pt idx="565">
                  <c:v>42409</c:v>
                </c:pt>
                <c:pt idx="566">
                  <c:v>42410</c:v>
                </c:pt>
                <c:pt idx="567">
                  <c:v>42411</c:v>
                </c:pt>
                <c:pt idx="568">
                  <c:v>42412</c:v>
                </c:pt>
                <c:pt idx="569">
                  <c:v>42416</c:v>
                </c:pt>
                <c:pt idx="570">
                  <c:v>42417</c:v>
                </c:pt>
                <c:pt idx="571">
                  <c:v>42418</c:v>
                </c:pt>
                <c:pt idx="572">
                  <c:v>42419</c:v>
                </c:pt>
                <c:pt idx="573">
                  <c:v>42422</c:v>
                </c:pt>
                <c:pt idx="574">
                  <c:v>42423</c:v>
                </c:pt>
                <c:pt idx="575">
                  <c:v>42424</c:v>
                </c:pt>
                <c:pt idx="576">
                  <c:v>42425</c:v>
                </c:pt>
                <c:pt idx="577">
                  <c:v>42426</c:v>
                </c:pt>
                <c:pt idx="578">
                  <c:v>42429</c:v>
                </c:pt>
                <c:pt idx="579">
                  <c:v>42430</c:v>
                </c:pt>
                <c:pt idx="580">
                  <c:v>42431</c:v>
                </c:pt>
                <c:pt idx="581">
                  <c:v>42432</c:v>
                </c:pt>
                <c:pt idx="582">
                  <c:v>42433</c:v>
                </c:pt>
                <c:pt idx="583">
                  <c:v>42436</c:v>
                </c:pt>
                <c:pt idx="584">
                  <c:v>42437</c:v>
                </c:pt>
                <c:pt idx="585">
                  <c:v>42438</c:v>
                </c:pt>
                <c:pt idx="586">
                  <c:v>42439</c:v>
                </c:pt>
                <c:pt idx="587">
                  <c:v>42440</c:v>
                </c:pt>
                <c:pt idx="588">
                  <c:v>42443</c:v>
                </c:pt>
                <c:pt idx="589">
                  <c:v>42444</c:v>
                </c:pt>
                <c:pt idx="590">
                  <c:v>42445</c:v>
                </c:pt>
                <c:pt idx="591">
                  <c:v>42446</c:v>
                </c:pt>
                <c:pt idx="592">
                  <c:v>42447</c:v>
                </c:pt>
                <c:pt idx="593">
                  <c:v>42450</c:v>
                </c:pt>
                <c:pt idx="594">
                  <c:v>42451</c:v>
                </c:pt>
                <c:pt idx="595">
                  <c:v>42452</c:v>
                </c:pt>
                <c:pt idx="596">
                  <c:v>42453</c:v>
                </c:pt>
                <c:pt idx="597">
                  <c:v>42457</c:v>
                </c:pt>
                <c:pt idx="598">
                  <c:v>42458</c:v>
                </c:pt>
                <c:pt idx="599">
                  <c:v>42459</c:v>
                </c:pt>
                <c:pt idx="600">
                  <c:v>42460</c:v>
                </c:pt>
                <c:pt idx="601">
                  <c:v>42461</c:v>
                </c:pt>
                <c:pt idx="602">
                  <c:v>42464</c:v>
                </c:pt>
                <c:pt idx="603">
                  <c:v>42465</c:v>
                </c:pt>
                <c:pt idx="604">
                  <c:v>42466</c:v>
                </c:pt>
                <c:pt idx="605">
                  <c:v>42467</c:v>
                </c:pt>
                <c:pt idx="606">
                  <c:v>42468</c:v>
                </c:pt>
                <c:pt idx="607">
                  <c:v>42471</c:v>
                </c:pt>
                <c:pt idx="608">
                  <c:v>42472</c:v>
                </c:pt>
                <c:pt idx="609">
                  <c:v>42473</c:v>
                </c:pt>
                <c:pt idx="610">
                  <c:v>42474</c:v>
                </c:pt>
                <c:pt idx="611">
                  <c:v>42475</c:v>
                </c:pt>
                <c:pt idx="612">
                  <c:v>42478</c:v>
                </c:pt>
                <c:pt idx="613">
                  <c:v>42479</c:v>
                </c:pt>
                <c:pt idx="614">
                  <c:v>42480</c:v>
                </c:pt>
                <c:pt idx="615">
                  <c:v>42481</c:v>
                </c:pt>
                <c:pt idx="616">
                  <c:v>42482</c:v>
                </c:pt>
                <c:pt idx="617">
                  <c:v>42485</c:v>
                </c:pt>
                <c:pt idx="618">
                  <c:v>42486</c:v>
                </c:pt>
                <c:pt idx="619">
                  <c:v>42487</c:v>
                </c:pt>
                <c:pt idx="620">
                  <c:v>42488</c:v>
                </c:pt>
                <c:pt idx="621">
                  <c:v>42489</c:v>
                </c:pt>
                <c:pt idx="622">
                  <c:v>42492</c:v>
                </c:pt>
                <c:pt idx="623">
                  <c:v>42493</c:v>
                </c:pt>
                <c:pt idx="624">
                  <c:v>42494</c:v>
                </c:pt>
                <c:pt idx="625">
                  <c:v>42495</c:v>
                </c:pt>
                <c:pt idx="626">
                  <c:v>42496</c:v>
                </c:pt>
                <c:pt idx="627">
                  <c:v>42499</c:v>
                </c:pt>
                <c:pt idx="628">
                  <c:v>42500</c:v>
                </c:pt>
                <c:pt idx="629">
                  <c:v>42501</c:v>
                </c:pt>
                <c:pt idx="630">
                  <c:v>42502</c:v>
                </c:pt>
                <c:pt idx="631">
                  <c:v>42503</c:v>
                </c:pt>
                <c:pt idx="632">
                  <c:v>42506</c:v>
                </c:pt>
                <c:pt idx="633">
                  <c:v>42507</c:v>
                </c:pt>
                <c:pt idx="634">
                  <c:v>42508</c:v>
                </c:pt>
                <c:pt idx="635">
                  <c:v>42509</c:v>
                </c:pt>
                <c:pt idx="636">
                  <c:v>42510</c:v>
                </c:pt>
                <c:pt idx="637">
                  <c:v>42513</c:v>
                </c:pt>
                <c:pt idx="638">
                  <c:v>42514</c:v>
                </c:pt>
                <c:pt idx="639">
                  <c:v>42515</c:v>
                </c:pt>
                <c:pt idx="640">
                  <c:v>42516</c:v>
                </c:pt>
                <c:pt idx="641">
                  <c:v>42517</c:v>
                </c:pt>
                <c:pt idx="642">
                  <c:v>42521</c:v>
                </c:pt>
                <c:pt idx="643">
                  <c:v>42522</c:v>
                </c:pt>
                <c:pt idx="644">
                  <c:v>42523</c:v>
                </c:pt>
                <c:pt idx="645">
                  <c:v>42524</c:v>
                </c:pt>
                <c:pt idx="646">
                  <c:v>42527</c:v>
                </c:pt>
                <c:pt idx="647">
                  <c:v>42528</c:v>
                </c:pt>
                <c:pt idx="648">
                  <c:v>42529</c:v>
                </c:pt>
                <c:pt idx="649">
                  <c:v>42530</c:v>
                </c:pt>
                <c:pt idx="650">
                  <c:v>42531</c:v>
                </c:pt>
                <c:pt idx="651">
                  <c:v>42534</c:v>
                </c:pt>
                <c:pt idx="652">
                  <c:v>42535</c:v>
                </c:pt>
                <c:pt idx="653">
                  <c:v>42536</c:v>
                </c:pt>
                <c:pt idx="654">
                  <c:v>42537</c:v>
                </c:pt>
                <c:pt idx="655">
                  <c:v>42538</c:v>
                </c:pt>
                <c:pt idx="656">
                  <c:v>42541</c:v>
                </c:pt>
                <c:pt idx="657">
                  <c:v>42542</c:v>
                </c:pt>
                <c:pt idx="658">
                  <c:v>42543</c:v>
                </c:pt>
                <c:pt idx="659">
                  <c:v>42544</c:v>
                </c:pt>
                <c:pt idx="660">
                  <c:v>42545</c:v>
                </c:pt>
                <c:pt idx="661">
                  <c:v>42548</c:v>
                </c:pt>
                <c:pt idx="662">
                  <c:v>42549</c:v>
                </c:pt>
                <c:pt idx="663">
                  <c:v>42550</c:v>
                </c:pt>
                <c:pt idx="664">
                  <c:v>42551</c:v>
                </c:pt>
                <c:pt idx="665">
                  <c:v>42552</c:v>
                </c:pt>
                <c:pt idx="666">
                  <c:v>42556</c:v>
                </c:pt>
                <c:pt idx="667">
                  <c:v>42557</c:v>
                </c:pt>
                <c:pt idx="668">
                  <c:v>42558</c:v>
                </c:pt>
                <c:pt idx="669">
                  <c:v>42559</c:v>
                </c:pt>
                <c:pt idx="670">
                  <c:v>42562</c:v>
                </c:pt>
                <c:pt idx="671">
                  <c:v>42563</c:v>
                </c:pt>
                <c:pt idx="672">
                  <c:v>42564</c:v>
                </c:pt>
                <c:pt idx="673">
                  <c:v>42565</c:v>
                </c:pt>
                <c:pt idx="674">
                  <c:v>42566</c:v>
                </c:pt>
                <c:pt idx="675">
                  <c:v>42569</c:v>
                </c:pt>
                <c:pt idx="676">
                  <c:v>42570</c:v>
                </c:pt>
                <c:pt idx="677">
                  <c:v>42571</c:v>
                </c:pt>
                <c:pt idx="678">
                  <c:v>42572</c:v>
                </c:pt>
                <c:pt idx="679">
                  <c:v>42573</c:v>
                </c:pt>
                <c:pt idx="680">
                  <c:v>42576</c:v>
                </c:pt>
                <c:pt idx="681">
                  <c:v>42577</c:v>
                </c:pt>
                <c:pt idx="682">
                  <c:v>42578</c:v>
                </c:pt>
                <c:pt idx="683">
                  <c:v>42579</c:v>
                </c:pt>
                <c:pt idx="684">
                  <c:v>42580</c:v>
                </c:pt>
                <c:pt idx="685">
                  <c:v>42583</c:v>
                </c:pt>
                <c:pt idx="686">
                  <c:v>42584</c:v>
                </c:pt>
                <c:pt idx="687">
                  <c:v>42585</c:v>
                </c:pt>
                <c:pt idx="688">
                  <c:v>42586</c:v>
                </c:pt>
                <c:pt idx="689">
                  <c:v>42587</c:v>
                </c:pt>
                <c:pt idx="690">
                  <c:v>42590</c:v>
                </c:pt>
                <c:pt idx="691">
                  <c:v>42591</c:v>
                </c:pt>
                <c:pt idx="692">
                  <c:v>42592</c:v>
                </c:pt>
                <c:pt idx="693">
                  <c:v>42593</c:v>
                </c:pt>
                <c:pt idx="694">
                  <c:v>42594</c:v>
                </c:pt>
                <c:pt idx="695">
                  <c:v>42597</c:v>
                </c:pt>
                <c:pt idx="696">
                  <c:v>42598</c:v>
                </c:pt>
                <c:pt idx="697">
                  <c:v>42599</c:v>
                </c:pt>
                <c:pt idx="698">
                  <c:v>42600</c:v>
                </c:pt>
                <c:pt idx="699">
                  <c:v>42601</c:v>
                </c:pt>
                <c:pt idx="700">
                  <c:v>42604</c:v>
                </c:pt>
                <c:pt idx="701">
                  <c:v>42605</c:v>
                </c:pt>
                <c:pt idx="702">
                  <c:v>42606</c:v>
                </c:pt>
                <c:pt idx="703">
                  <c:v>42607</c:v>
                </c:pt>
                <c:pt idx="704">
                  <c:v>42608</c:v>
                </c:pt>
                <c:pt idx="705">
                  <c:v>42611</c:v>
                </c:pt>
                <c:pt idx="706">
                  <c:v>42612</c:v>
                </c:pt>
                <c:pt idx="707">
                  <c:v>42613</c:v>
                </c:pt>
                <c:pt idx="708">
                  <c:v>42614</c:v>
                </c:pt>
                <c:pt idx="709">
                  <c:v>42615</c:v>
                </c:pt>
                <c:pt idx="710">
                  <c:v>42619</c:v>
                </c:pt>
                <c:pt idx="711">
                  <c:v>42620</c:v>
                </c:pt>
                <c:pt idx="712">
                  <c:v>42621</c:v>
                </c:pt>
                <c:pt idx="713">
                  <c:v>42622</c:v>
                </c:pt>
                <c:pt idx="714">
                  <c:v>42625</c:v>
                </c:pt>
                <c:pt idx="715">
                  <c:v>42626</c:v>
                </c:pt>
                <c:pt idx="716">
                  <c:v>42627</c:v>
                </c:pt>
                <c:pt idx="717">
                  <c:v>42628</c:v>
                </c:pt>
                <c:pt idx="718">
                  <c:v>42629</c:v>
                </c:pt>
                <c:pt idx="719">
                  <c:v>42632</c:v>
                </c:pt>
                <c:pt idx="720">
                  <c:v>42633</c:v>
                </c:pt>
                <c:pt idx="721">
                  <c:v>42634</c:v>
                </c:pt>
                <c:pt idx="722">
                  <c:v>42635</c:v>
                </c:pt>
                <c:pt idx="723">
                  <c:v>42636</c:v>
                </c:pt>
                <c:pt idx="724">
                  <c:v>42639</c:v>
                </c:pt>
                <c:pt idx="725">
                  <c:v>42640</c:v>
                </c:pt>
                <c:pt idx="726">
                  <c:v>42641</c:v>
                </c:pt>
                <c:pt idx="727">
                  <c:v>42642</c:v>
                </c:pt>
                <c:pt idx="728">
                  <c:v>42643</c:v>
                </c:pt>
                <c:pt idx="729">
                  <c:v>42646</c:v>
                </c:pt>
                <c:pt idx="730">
                  <c:v>42647</c:v>
                </c:pt>
                <c:pt idx="731">
                  <c:v>42648</c:v>
                </c:pt>
                <c:pt idx="732">
                  <c:v>42649</c:v>
                </c:pt>
                <c:pt idx="733">
                  <c:v>42650</c:v>
                </c:pt>
                <c:pt idx="734">
                  <c:v>42653</c:v>
                </c:pt>
                <c:pt idx="735">
                  <c:v>42654</c:v>
                </c:pt>
                <c:pt idx="736">
                  <c:v>42655</c:v>
                </c:pt>
                <c:pt idx="737">
                  <c:v>42656</c:v>
                </c:pt>
                <c:pt idx="738">
                  <c:v>42657</c:v>
                </c:pt>
                <c:pt idx="739">
                  <c:v>42660</c:v>
                </c:pt>
                <c:pt idx="740">
                  <c:v>42661</c:v>
                </c:pt>
                <c:pt idx="741">
                  <c:v>42662</c:v>
                </c:pt>
                <c:pt idx="742">
                  <c:v>42663</c:v>
                </c:pt>
                <c:pt idx="743">
                  <c:v>42664</c:v>
                </c:pt>
                <c:pt idx="744">
                  <c:v>42667</c:v>
                </c:pt>
                <c:pt idx="745">
                  <c:v>42668</c:v>
                </c:pt>
                <c:pt idx="746">
                  <c:v>42669</c:v>
                </c:pt>
                <c:pt idx="747">
                  <c:v>42670</c:v>
                </c:pt>
                <c:pt idx="748">
                  <c:v>42671</c:v>
                </c:pt>
                <c:pt idx="749">
                  <c:v>42674</c:v>
                </c:pt>
                <c:pt idx="750">
                  <c:v>42675</c:v>
                </c:pt>
                <c:pt idx="751">
                  <c:v>42676</c:v>
                </c:pt>
                <c:pt idx="752">
                  <c:v>42677</c:v>
                </c:pt>
                <c:pt idx="753">
                  <c:v>42678</c:v>
                </c:pt>
                <c:pt idx="754">
                  <c:v>42681</c:v>
                </c:pt>
                <c:pt idx="755">
                  <c:v>42682</c:v>
                </c:pt>
                <c:pt idx="756">
                  <c:v>42683</c:v>
                </c:pt>
                <c:pt idx="757">
                  <c:v>42684</c:v>
                </c:pt>
                <c:pt idx="758">
                  <c:v>42685</c:v>
                </c:pt>
                <c:pt idx="759">
                  <c:v>42688</c:v>
                </c:pt>
                <c:pt idx="760">
                  <c:v>42689</c:v>
                </c:pt>
                <c:pt idx="761">
                  <c:v>42690</c:v>
                </c:pt>
                <c:pt idx="762">
                  <c:v>42691</c:v>
                </c:pt>
                <c:pt idx="763">
                  <c:v>42692</c:v>
                </c:pt>
                <c:pt idx="764">
                  <c:v>42695</c:v>
                </c:pt>
                <c:pt idx="765">
                  <c:v>42696</c:v>
                </c:pt>
                <c:pt idx="766">
                  <c:v>42697</c:v>
                </c:pt>
                <c:pt idx="767">
                  <c:v>42699</c:v>
                </c:pt>
                <c:pt idx="768">
                  <c:v>42702</c:v>
                </c:pt>
                <c:pt idx="769">
                  <c:v>42703</c:v>
                </c:pt>
                <c:pt idx="770">
                  <c:v>42704</c:v>
                </c:pt>
                <c:pt idx="771">
                  <c:v>42705</c:v>
                </c:pt>
                <c:pt idx="772">
                  <c:v>42706</c:v>
                </c:pt>
                <c:pt idx="773">
                  <c:v>42709</c:v>
                </c:pt>
                <c:pt idx="774">
                  <c:v>42710</c:v>
                </c:pt>
                <c:pt idx="775">
                  <c:v>42711</c:v>
                </c:pt>
                <c:pt idx="776">
                  <c:v>42712</c:v>
                </c:pt>
                <c:pt idx="777">
                  <c:v>42713</c:v>
                </c:pt>
                <c:pt idx="778">
                  <c:v>42716</c:v>
                </c:pt>
                <c:pt idx="779">
                  <c:v>42717</c:v>
                </c:pt>
                <c:pt idx="780">
                  <c:v>42718</c:v>
                </c:pt>
                <c:pt idx="781">
                  <c:v>42719</c:v>
                </c:pt>
                <c:pt idx="782">
                  <c:v>42720</c:v>
                </c:pt>
                <c:pt idx="783">
                  <c:v>42723</c:v>
                </c:pt>
                <c:pt idx="784">
                  <c:v>42724</c:v>
                </c:pt>
                <c:pt idx="785">
                  <c:v>42725</c:v>
                </c:pt>
                <c:pt idx="786">
                  <c:v>42726</c:v>
                </c:pt>
                <c:pt idx="787">
                  <c:v>42727</c:v>
                </c:pt>
                <c:pt idx="788">
                  <c:v>42731</c:v>
                </c:pt>
                <c:pt idx="789">
                  <c:v>42732</c:v>
                </c:pt>
                <c:pt idx="790">
                  <c:v>42733</c:v>
                </c:pt>
                <c:pt idx="791">
                  <c:v>42734</c:v>
                </c:pt>
                <c:pt idx="792">
                  <c:v>42738</c:v>
                </c:pt>
                <c:pt idx="793">
                  <c:v>42739</c:v>
                </c:pt>
                <c:pt idx="794">
                  <c:v>42740</c:v>
                </c:pt>
                <c:pt idx="795">
                  <c:v>42741</c:v>
                </c:pt>
                <c:pt idx="796">
                  <c:v>42744</c:v>
                </c:pt>
                <c:pt idx="797">
                  <c:v>42745</c:v>
                </c:pt>
                <c:pt idx="798">
                  <c:v>42746</c:v>
                </c:pt>
                <c:pt idx="799">
                  <c:v>42747</c:v>
                </c:pt>
                <c:pt idx="800">
                  <c:v>42748</c:v>
                </c:pt>
                <c:pt idx="801">
                  <c:v>42752</c:v>
                </c:pt>
                <c:pt idx="802">
                  <c:v>42753</c:v>
                </c:pt>
                <c:pt idx="803">
                  <c:v>42754</c:v>
                </c:pt>
                <c:pt idx="804">
                  <c:v>42755</c:v>
                </c:pt>
                <c:pt idx="805">
                  <c:v>42758</c:v>
                </c:pt>
                <c:pt idx="806">
                  <c:v>42759</c:v>
                </c:pt>
                <c:pt idx="807">
                  <c:v>42760</c:v>
                </c:pt>
                <c:pt idx="808">
                  <c:v>42761</c:v>
                </c:pt>
                <c:pt idx="809">
                  <c:v>42762</c:v>
                </c:pt>
                <c:pt idx="810">
                  <c:v>42765</c:v>
                </c:pt>
                <c:pt idx="811">
                  <c:v>42766</c:v>
                </c:pt>
                <c:pt idx="812">
                  <c:v>42767</c:v>
                </c:pt>
                <c:pt idx="813">
                  <c:v>42768</c:v>
                </c:pt>
                <c:pt idx="814">
                  <c:v>42769</c:v>
                </c:pt>
                <c:pt idx="815">
                  <c:v>42772</c:v>
                </c:pt>
                <c:pt idx="816">
                  <c:v>42773</c:v>
                </c:pt>
                <c:pt idx="817">
                  <c:v>42774</c:v>
                </c:pt>
                <c:pt idx="818">
                  <c:v>42775</c:v>
                </c:pt>
                <c:pt idx="819">
                  <c:v>42776</c:v>
                </c:pt>
                <c:pt idx="820">
                  <c:v>42779</c:v>
                </c:pt>
                <c:pt idx="821">
                  <c:v>42780</c:v>
                </c:pt>
                <c:pt idx="822">
                  <c:v>42781</c:v>
                </c:pt>
                <c:pt idx="823">
                  <c:v>42782</c:v>
                </c:pt>
                <c:pt idx="824">
                  <c:v>42783</c:v>
                </c:pt>
                <c:pt idx="825">
                  <c:v>42787</c:v>
                </c:pt>
                <c:pt idx="826">
                  <c:v>42788</c:v>
                </c:pt>
                <c:pt idx="827">
                  <c:v>42789</c:v>
                </c:pt>
                <c:pt idx="828">
                  <c:v>42790</c:v>
                </c:pt>
                <c:pt idx="829">
                  <c:v>42793</c:v>
                </c:pt>
                <c:pt idx="830">
                  <c:v>42794</c:v>
                </c:pt>
                <c:pt idx="831">
                  <c:v>42795</c:v>
                </c:pt>
                <c:pt idx="832">
                  <c:v>42796</c:v>
                </c:pt>
                <c:pt idx="833">
                  <c:v>42797</c:v>
                </c:pt>
                <c:pt idx="834">
                  <c:v>42800</c:v>
                </c:pt>
                <c:pt idx="835">
                  <c:v>42801</c:v>
                </c:pt>
                <c:pt idx="836">
                  <c:v>42802</c:v>
                </c:pt>
                <c:pt idx="837">
                  <c:v>42803</c:v>
                </c:pt>
                <c:pt idx="838">
                  <c:v>42804</c:v>
                </c:pt>
                <c:pt idx="839">
                  <c:v>42807</c:v>
                </c:pt>
                <c:pt idx="840">
                  <c:v>42808</c:v>
                </c:pt>
                <c:pt idx="841">
                  <c:v>42809</c:v>
                </c:pt>
                <c:pt idx="842">
                  <c:v>42810</c:v>
                </c:pt>
                <c:pt idx="843">
                  <c:v>42811</c:v>
                </c:pt>
                <c:pt idx="844">
                  <c:v>42814</c:v>
                </c:pt>
                <c:pt idx="845">
                  <c:v>42815</c:v>
                </c:pt>
                <c:pt idx="846">
                  <c:v>42816</c:v>
                </c:pt>
                <c:pt idx="847">
                  <c:v>42817</c:v>
                </c:pt>
                <c:pt idx="848">
                  <c:v>42818</c:v>
                </c:pt>
                <c:pt idx="849">
                  <c:v>42821</c:v>
                </c:pt>
                <c:pt idx="850">
                  <c:v>42822</c:v>
                </c:pt>
                <c:pt idx="851">
                  <c:v>42823</c:v>
                </c:pt>
                <c:pt idx="852">
                  <c:v>42824</c:v>
                </c:pt>
                <c:pt idx="853">
                  <c:v>42825</c:v>
                </c:pt>
                <c:pt idx="854">
                  <c:v>42828</c:v>
                </c:pt>
                <c:pt idx="855">
                  <c:v>42829</c:v>
                </c:pt>
                <c:pt idx="856">
                  <c:v>42830</c:v>
                </c:pt>
                <c:pt idx="857">
                  <c:v>42831</c:v>
                </c:pt>
                <c:pt idx="858">
                  <c:v>42832</c:v>
                </c:pt>
                <c:pt idx="859">
                  <c:v>42835</c:v>
                </c:pt>
                <c:pt idx="860">
                  <c:v>42836</c:v>
                </c:pt>
                <c:pt idx="861">
                  <c:v>42837</c:v>
                </c:pt>
                <c:pt idx="862">
                  <c:v>42838</c:v>
                </c:pt>
                <c:pt idx="863">
                  <c:v>42842</c:v>
                </c:pt>
                <c:pt idx="864">
                  <c:v>42843</c:v>
                </c:pt>
                <c:pt idx="865">
                  <c:v>42844</c:v>
                </c:pt>
                <c:pt idx="866">
                  <c:v>42845</c:v>
                </c:pt>
                <c:pt idx="867">
                  <c:v>42846</c:v>
                </c:pt>
                <c:pt idx="868">
                  <c:v>42849</c:v>
                </c:pt>
                <c:pt idx="869">
                  <c:v>42850</c:v>
                </c:pt>
                <c:pt idx="870">
                  <c:v>42851</c:v>
                </c:pt>
                <c:pt idx="871">
                  <c:v>42852</c:v>
                </c:pt>
                <c:pt idx="872">
                  <c:v>42853</c:v>
                </c:pt>
                <c:pt idx="873">
                  <c:v>42856</c:v>
                </c:pt>
                <c:pt idx="874">
                  <c:v>42857</c:v>
                </c:pt>
                <c:pt idx="875">
                  <c:v>42858</c:v>
                </c:pt>
                <c:pt idx="876">
                  <c:v>42859</c:v>
                </c:pt>
                <c:pt idx="877">
                  <c:v>42860</c:v>
                </c:pt>
                <c:pt idx="878">
                  <c:v>42863</c:v>
                </c:pt>
                <c:pt idx="879">
                  <c:v>42864</c:v>
                </c:pt>
                <c:pt idx="880">
                  <c:v>42865</c:v>
                </c:pt>
                <c:pt idx="881">
                  <c:v>42866</c:v>
                </c:pt>
                <c:pt idx="882">
                  <c:v>42867</c:v>
                </c:pt>
                <c:pt idx="883">
                  <c:v>42870</c:v>
                </c:pt>
                <c:pt idx="884">
                  <c:v>42871</c:v>
                </c:pt>
                <c:pt idx="885">
                  <c:v>42872</c:v>
                </c:pt>
                <c:pt idx="886">
                  <c:v>42873</c:v>
                </c:pt>
                <c:pt idx="887">
                  <c:v>42874</c:v>
                </c:pt>
                <c:pt idx="888">
                  <c:v>42877</c:v>
                </c:pt>
                <c:pt idx="889">
                  <c:v>42878</c:v>
                </c:pt>
                <c:pt idx="890">
                  <c:v>42879</c:v>
                </c:pt>
                <c:pt idx="891">
                  <c:v>42880</c:v>
                </c:pt>
                <c:pt idx="892">
                  <c:v>42881</c:v>
                </c:pt>
                <c:pt idx="893">
                  <c:v>42885</c:v>
                </c:pt>
                <c:pt idx="894">
                  <c:v>42886</c:v>
                </c:pt>
                <c:pt idx="895">
                  <c:v>42887</c:v>
                </c:pt>
                <c:pt idx="896">
                  <c:v>42888</c:v>
                </c:pt>
                <c:pt idx="897">
                  <c:v>42891</c:v>
                </c:pt>
                <c:pt idx="898">
                  <c:v>42892</c:v>
                </c:pt>
                <c:pt idx="899">
                  <c:v>42893</c:v>
                </c:pt>
                <c:pt idx="900">
                  <c:v>42894</c:v>
                </c:pt>
                <c:pt idx="901">
                  <c:v>42895</c:v>
                </c:pt>
                <c:pt idx="902">
                  <c:v>42898</c:v>
                </c:pt>
                <c:pt idx="903">
                  <c:v>42899</c:v>
                </c:pt>
                <c:pt idx="904">
                  <c:v>42900</c:v>
                </c:pt>
                <c:pt idx="905">
                  <c:v>42901</c:v>
                </c:pt>
                <c:pt idx="906">
                  <c:v>42902</c:v>
                </c:pt>
                <c:pt idx="907">
                  <c:v>42905</c:v>
                </c:pt>
                <c:pt idx="908">
                  <c:v>42906</c:v>
                </c:pt>
                <c:pt idx="909">
                  <c:v>42907</c:v>
                </c:pt>
                <c:pt idx="910">
                  <c:v>42908</c:v>
                </c:pt>
                <c:pt idx="911">
                  <c:v>42909</c:v>
                </c:pt>
                <c:pt idx="912">
                  <c:v>42912</c:v>
                </c:pt>
                <c:pt idx="913">
                  <c:v>42913</c:v>
                </c:pt>
                <c:pt idx="914">
                  <c:v>42914</c:v>
                </c:pt>
                <c:pt idx="915">
                  <c:v>42915</c:v>
                </c:pt>
                <c:pt idx="916">
                  <c:v>42916</c:v>
                </c:pt>
                <c:pt idx="917">
                  <c:v>42919</c:v>
                </c:pt>
                <c:pt idx="918">
                  <c:v>42921</c:v>
                </c:pt>
                <c:pt idx="919">
                  <c:v>42922</c:v>
                </c:pt>
                <c:pt idx="920">
                  <c:v>42923</c:v>
                </c:pt>
                <c:pt idx="921">
                  <c:v>42926</c:v>
                </c:pt>
                <c:pt idx="922">
                  <c:v>42927</c:v>
                </c:pt>
                <c:pt idx="923">
                  <c:v>42928</c:v>
                </c:pt>
                <c:pt idx="924">
                  <c:v>42929</c:v>
                </c:pt>
                <c:pt idx="925">
                  <c:v>42930</c:v>
                </c:pt>
                <c:pt idx="926">
                  <c:v>42933</c:v>
                </c:pt>
                <c:pt idx="927">
                  <c:v>42934</c:v>
                </c:pt>
                <c:pt idx="928">
                  <c:v>42935</c:v>
                </c:pt>
                <c:pt idx="929">
                  <c:v>42936</c:v>
                </c:pt>
                <c:pt idx="930">
                  <c:v>42937</c:v>
                </c:pt>
                <c:pt idx="931">
                  <c:v>42940</c:v>
                </c:pt>
                <c:pt idx="932">
                  <c:v>42941</c:v>
                </c:pt>
                <c:pt idx="933">
                  <c:v>42942</c:v>
                </c:pt>
                <c:pt idx="934">
                  <c:v>42943</c:v>
                </c:pt>
                <c:pt idx="935">
                  <c:v>42944</c:v>
                </c:pt>
                <c:pt idx="936">
                  <c:v>42947</c:v>
                </c:pt>
                <c:pt idx="937">
                  <c:v>42948</c:v>
                </c:pt>
                <c:pt idx="938">
                  <c:v>42949</c:v>
                </c:pt>
                <c:pt idx="939">
                  <c:v>42950</c:v>
                </c:pt>
                <c:pt idx="940">
                  <c:v>42951</c:v>
                </c:pt>
                <c:pt idx="941">
                  <c:v>42954</c:v>
                </c:pt>
                <c:pt idx="942">
                  <c:v>42955</c:v>
                </c:pt>
                <c:pt idx="943">
                  <c:v>42956</c:v>
                </c:pt>
                <c:pt idx="944">
                  <c:v>42957</c:v>
                </c:pt>
                <c:pt idx="945">
                  <c:v>42958</c:v>
                </c:pt>
                <c:pt idx="946">
                  <c:v>42961</c:v>
                </c:pt>
                <c:pt idx="947">
                  <c:v>42962</c:v>
                </c:pt>
                <c:pt idx="948">
                  <c:v>42963</c:v>
                </c:pt>
                <c:pt idx="949">
                  <c:v>42964</c:v>
                </c:pt>
                <c:pt idx="950">
                  <c:v>42965</c:v>
                </c:pt>
                <c:pt idx="951">
                  <c:v>42968</c:v>
                </c:pt>
                <c:pt idx="952">
                  <c:v>42969</c:v>
                </c:pt>
                <c:pt idx="953">
                  <c:v>42970</c:v>
                </c:pt>
                <c:pt idx="954">
                  <c:v>42971</c:v>
                </c:pt>
                <c:pt idx="955">
                  <c:v>42972</c:v>
                </c:pt>
                <c:pt idx="956">
                  <c:v>42975</c:v>
                </c:pt>
                <c:pt idx="957">
                  <c:v>42976</c:v>
                </c:pt>
                <c:pt idx="958">
                  <c:v>42977</c:v>
                </c:pt>
                <c:pt idx="959">
                  <c:v>42978</c:v>
                </c:pt>
                <c:pt idx="960">
                  <c:v>42979</c:v>
                </c:pt>
                <c:pt idx="961">
                  <c:v>42983</c:v>
                </c:pt>
                <c:pt idx="962">
                  <c:v>42984</c:v>
                </c:pt>
                <c:pt idx="963">
                  <c:v>42985</c:v>
                </c:pt>
                <c:pt idx="964">
                  <c:v>42986</c:v>
                </c:pt>
                <c:pt idx="965">
                  <c:v>42989</c:v>
                </c:pt>
                <c:pt idx="966">
                  <c:v>42990</c:v>
                </c:pt>
                <c:pt idx="967">
                  <c:v>42991</c:v>
                </c:pt>
                <c:pt idx="968">
                  <c:v>42992</c:v>
                </c:pt>
                <c:pt idx="969">
                  <c:v>42993</c:v>
                </c:pt>
                <c:pt idx="970">
                  <c:v>42996</c:v>
                </c:pt>
                <c:pt idx="971">
                  <c:v>42997</c:v>
                </c:pt>
                <c:pt idx="972">
                  <c:v>42998</c:v>
                </c:pt>
                <c:pt idx="973">
                  <c:v>42999</c:v>
                </c:pt>
                <c:pt idx="974">
                  <c:v>43000</c:v>
                </c:pt>
                <c:pt idx="975">
                  <c:v>43003</c:v>
                </c:pt>
                <c:pt idx="976">
                  <c:v>43004</c:v>
                </c:pt>
                <c:pt idx="977">
                  <c:v>43005</c:v>
                </c:pt>
                <c:pt idx="978">
                  <c:v>43006</c:v>
                </c:pt>
                <c:pt idx="979">
                  <c:v>43007</c:v>
                </c:pt>
                <c:pt idx="980">
                  <c:v>43010</c:v>
                </c:pt>
                <c:pt idx="981">
                  <c:v>43011</c:v>
                </c:pt>
                <c:pt idx="982">
                  <c:v>43012</c:v>
                </c:pt>
                <c:pt idx="983">
                  <c:v>43013</c:v>
                </c:pt>
                <c:pt idx="984">
                  <c:v>43014</c:v>
                </c:pt>
                <c:pt idx="985">
                  <c:v>43017</c:v>
                </c:pt>
                <c:pt idx="986">
                  <c:v>43018</c:v>
                </c:pt>
                <c:pt idx="987">
                  <c:v>43019</c:v>
                </c:pt>
                <c:pt idx="988">
                  <c:v>43020</c:v>
                </c:pt>
                <c:pt idx="989">
                  <c:v>43021</c:v>
                </c:pt>
                <c:pt idx="990">
                  <c:v>43024</c:v>
                </c:pt>
                <c:pt idx="991">
                  <c:v>43025</c:v>
                </c:pt>
                <c:pt idx="992">
                  <c:v>43026</c:v>
                </c:pt>
                <c:pt idx="993">
                  <c:v>43027</c:v>
                </c:pt>
                <c:pt idx="994">
                  <c:v>43028</c:v>
                </c:pt>
                <c:pt idx="995">
                  <c:v>43031</c:v>
                </c:pt>
                <c:pt idx="996">
                  <c:v>43032</c:v>
                </c:pt>
                <c:pt idx="997">
                  <c:v>43033</c:v>
                </c:pt>
                <c:pt idx="998">
                  <c:v>43034</c:v>
                </c:pt>
                <c:pt idx="999">
                  <c:v>43035</c:v>
                </c:pt>
                <c:pt idx="1000">
                  <c:v>43038</c:v>
                </c:pt>
                <c:pt idx="1001">
                  <c:v>43039</c:v>
                </c:pt>
                <c:pt idx="1002">
                  <c:v>43040</c:v>
                </c:pt>
                <c:pt idx="1003">
                  <c:v>43041</c:v>
                </c:pt>
                <c:pt idx="1004">
                  <c:v>43042</c:v>
                </c:pt>
                <c:pt idx="1005">
                  <c:v>43045</c:v>
                </c:pt>
                <c:pt idx="1006">
                  <c:v>43046</c:v>
                </c:pt>
                <c:pt idx="1007">
                  <c:v>43047</c:v>
                </c:pt>
                <c:pt idx="1008">
                  <c:v>43048</c:v>
                </c:pt>
                <c:pt idx="1009">
                  <c:v>43049</c:v>
                </c:pt>
                <c:pt idx="1010">
                  <c:v>43052</c:v>
                </c:pt>
                <c:pt idx="1011">
                  <c:v>43053</c:v>
                </c:pt>
                <c:pt idx="1012">
                  <c:v>43054</c:v>
                </c:pt>
                <c:pt idx="1013">
                  <c:v>43055</c:v>
                </c:pt>
                <c:pt idx="1014">
                  <c:v>43056</c:v>
                </c:pt>
                <c:pt idx="1015">
                  <c:v>43059</c:v>
                </c:pt>
                <c:pt idx="1016">
                  <c:v>43060</c:v>
                </c:pt>
                <c:pt idx="1017">
                  <c:v>43061</c:v>
                </c:pt>
                <c:pt idx="1018">
                  <c:v>43063</c:v>
                </c:pt>
                <c:pt idx="1019">
                  <c:v>43066</c:v>
                </c:pt>
                <c:pt idx="1020">
                  <c:v>43067</c:v>
                </c:pt>
                <c:pt idx="1021">
                  <c:v>43068</c:v>
                </c:pt>
                <c:pt idx="1022">
                  <c:v>43069</c:v>
                </c:pt>
                <c:pt idx="1023">
                  <c:v>43070</c:v>
                </c:pt>
                <c:pt idx="1024">
                  <c:v>43073</c:v>
                </c:pt>
                <c:pt idx="1025">
                  <c:v>43074</c:v>
                </c:pt>
                <c:pt idx="1026">
                  <c:v>43075</c:v>
                </c:pt>
                <c:pt idx="1027">
                  <c:v>43076</c:v>
                </c:pt>
                <c:pt idx="1028">
                  <c:v>43077</c:v>
                </c:pt>
                <c:pt idx="1029">
                  <c:v>43080</c:v>
                </c:pt>
                <c:pt idx="1030">
                  <c:v>43081</c:v>
                </c:pt>
                <c:pt idx="1031">
                  <c:v>43082</c:v>
                </c:pt>
                <c:pt idx="1032">
                  <c:v>43083</c:v>
                </c:pt>
                <c:pt idx="1033">
                  <c:v>43084</c:v>
                </c:pt>
                <c:pt idx="1034">
                  <c:v>43087</c:v>
                </c:pt>
                <c:pt idx="1035">
                  <c:v>43088</c:v>
                </c:pt>
                <c:pt idx="1036">
                  <c:v>43089</c:v>
                </c:pt>
                <c:pt idx="1037">
                  <c:v>43090</c:v>
                </c:pt>
                <c:pt idx="1038">
                  <c:v>43091</c:v>
                </c:pt>
                <c:pt idx="1039">
                  <c:v>43095</c:v>
                </c:pt>
                <c:pt idx="1040">
                  <c:v>43096</c:v>
                </c:pt>
                <c:pt idx="1041">
                  <c:v>43097</c:v>
                </c:pt>
                <c:pt idx="1042">
                  <c:v>43098</c:v>
                </c:pt>
                <c:pt idx="1043">
                  <c:v>43102</c:v>
                </c:pt>
                <c:pt idx="1044">
                  <c:v>43103</c:v>
                </c:pt>
                <c:pt idx="1045">
                  <c:v>43104</c:v>
                </c:pt>
                <c:pt idx="1046">
                  <c:v>43105</c:v>
                </c:pt>
                <c:pt idx="1047">
                  <c:v>43108</c:v>
                </c:pt>
                <c:pt idx="1048">
                  <c:v>43109</c:v>
                </c:pt>
                <c:pt idx="1049">
                  <c:v>43110</c:v>
                </c:pt>
                <c:pt idx="1050">
                  <c:v>43111</c:v>
                </c:pt>
                <c:pt idx="1051">
                  <c:v>43112</c:v>
                </c:pt>
                <c:pt idx="1052">
                  <c:v>43116</c:v>
                </c:pt>
                <c:pt idx="1053">
                  <c:v>43117</c:v>
                </c:pt>
                <c:pt idx="1054">
                  <c:v>43118</c:v>
                </c:pt>
                <c:pt idx="1055">
                  <c:v>43119</c:v>
                </c:pt>
                <c:pt idx="1056">
                  <c:v>43122</c:v>
                </c:pt>
                <c:pt idx="1057">
                  <c:v>43123</c:v>
                </c:pt>
                <c:pt idx="1058">
                  <c:v>43124</c:v>
                </c:pt>
                <c:pt idx="1059">
                  <c:v>43125</c:v>
                </c:pt>
                <c:pt idx="1060">
                  <c:v>43126</c:v>
                </c:pt>
                <c:pt idx="1061">
                  <c:v>43129</c:v>
                </c:pt>
                <c:pt idx="1062">
                  <c:v>43130</c:v>
                </c:pt>
                <c:pt idx="1063">
                  <c:v>43131</c:v>
                </c:pt>
                <c:pt idx="1064">
                  <c:v>43132</c:v>
                </c:pt>
                <c:pt idx="1065">
                  <c:v>43133</c:v>
                </c:pt>
                <c:pt idx="1066">
                  <c:v>43136</c:v>
                </c:pt>
                <c:pt idx="1067">
                  <c:v>43137</c:v>
                </c:pt>
                <c:pt idx="1068">
                  <c:v>43138</c:v>
                </c:pt>
                <c:pt idx="1069">
                  <c:v>43139</c:v>
                </c:pt>
                <c:pt idx="1070">
                  <c:v>43140</c:v>
                </c:pt>
                <c:pt idx="1071">
                  <c:v>43143</c:v>
                </c:pt>
                <c:pt idx="1072">
                  <c:v>43144</c:v>
                </c:pt>
                <c:pt idx="1073">
                  <c:v>43145</c:v>
                </c:pt>
                <c:pt idx="1074">
                  <c:v>43146</c:v>
                </c:pt>
                <c:pt idx="1075">
                  <c:v>43147</c:v>
                </c:pt>
                <c:pt idx="1076">
                  <c:v>43151</c:v>
                </c:pt>
                <c:pt idx="1077">
                  <c:v>43152</c:v>
                </c:pt>
                <c:pt idx="1078">
                  <c:v>43153</c:v>
                </c:pt>
                <c:pt idx="1079">
                  <c:v>43154</c:v>
                </c:pt>
                <c:pt idx="1080">
                  <c:v>43157</c:v>
                </c:pt>
                <c:pt idx="1081">
                  <c:v>43158</c:v>
                </c:pt>
                <c:pt idx="1082">
                  <c:v>43159</c:v>
                </c:pt>
                <c:pt idx="1083">
                  <c:v>43160</c:v>
                </c:pt>
                <c:pt idx="1084">
                  <c:v>43161</c:v>
                </c:pt>
                <c:pt idx="1085">
                  <c:v>43164</c:v>
                </c:pt>
                <c:pt idx="1086">
                  <c:v>43165</c:v>
                </c:pt>
                <c:pt idx="1087">
                  <c:v>43166</c:v>
                </c:pt>
                <c:pt idx="1088">
                  <c:v>43167</c:v>
                </c:pt>
                <c:pt idx="1089">
                  <c:v>43168</c:v>
                </c:pt>
                <c:pt idx="1090">
                  <c:v>43171</c:v>
                </c:pt>
                <c:pt idx="1091">
                  <c:v>43172</c:v>
                </c:pt>
                <c:pt idx="1092">
                  <c:v>43173</c:v>
                </c:pt>
                <c:pt idx="1093">
                  <c:v>43174</c:v>
                </c:pt>
                <c:pt idx="1094">
                  <c:v>43175</c:v>
                </c:pt>
                <c:pt idx="1095">
                  <c:v>43178</c:v>
                </c:pt>
                <c:pt idx="1096">
                  <c:v>43179</c:v>
                </c:pt>
                <c:pt idx="1097">
                  <c:v>43180</c:v>
                </c:pt>
                <c:pt idx="1098">
                  <c:v>43181</c:v>
                </c:pt>
                <c:pt idx="1099">
                  <c:v>43182</c:v>
                </c:pt>
                <c:pt idx="1100">
                  <c:v>43185</c:v>
                </c:pt>
                <c:pt idx="1101">
                  <c:v>43186</c:v>
                </c:pt>
                <c:pt idx="1102">
                  <c:v>43187</c:v>
                </c:pt>
                <c:pt idx="1103">
                  <c:v>43188</c:v>
                </c:pt>
                <c:pt idx="1104">
                  <c:v>43192</c:v>
                </c:pt>
                <c:pt idx="1105">
                  <c:v>43193</c:v>
                </c:pt>
                <c:pt idx="1106">
                  <c:v>43194</c:v>
                </c:pt>
                <c:pt idx="1107">
                  <c:v>43195</c:v>
                </c:pt>
                <c:pt idx="1108">
                  <c:v>43196</c:v>
                </c:pt>
                <c:pt idx="1109">
                  <c:v>43199</c:v>
                </c:pt>
                <c:pt idx="1110">
                  <c:v>43200</c:v>
                </c:pt>
                <c:pt idx="1111">
                  <c:v>43201</c:v>
                </c:pt>
                <c:pt idx="1112">
                  <c:v>43202</c:v>
                </c:pt>
                <c:pt idx="1113">
                  <c:v>43203</c:v>
                </c:pt>
                <c:pt idx="1114">
                  <c:v>43206</c:v>
                </c:pt>
                <c:pt idx="1115">
                  <c:v>43207</c:v>
                </c:pt>
                <c:pt idx="1116">
                  <c:v>43208</c:v>
                </c:pt>
                <c:pt idx="1117">
                  <c:v>43209</c:v>
                </c:pt>
                <c:pt idx="1118">
                  <c:v>43210</c:v>
                </c:pt>
                <c:pt idx="1119">
                  <c:v>43213</c:v>
                </c:pt>
                <c:pt idx="1120">
                  <c:v>43214</c:v>
                </c:pt>
                <c:pt idx="1121">
                  <c:v>43215</c:v>
                </c:pt>
                <c:pt idx="1122">
                  <c:v>43216</c:v>
                </c:pt>
                <c:pt idx="1123">
                  <c:v>43217</c:v>
                </c:pt>
                <c:pt idx="1124">
                  <c:v>43220</c:v>
                </c:pt>
                <c:pt idx="1125">
                  <c:v>43221</c:v>
                </c:pt>
                <c:pt idx="1126">
                  <c:v>43222</c:v>
                </c:pt>
                <c:pt idx="1127">
                  <c:v>43223</c:v>
                </c:pt>
                <c:pt idx="1128">
                  <c:v>43224</c:v>
                </c:pt>
                <c:pt idx="1129">
                  <c:v>43227</c:v>
                </c:pt>
                <c:pt idx="1130">
                  <c:v>43228</c:v>
                </c:pt>
                <c:pt idx="1131">
                  <c:v>43229</c:v>
                </c:pt>
                <c:pt idx="1132">
                  <c:v>43230</c:v>
                </c:pt>
                <c:pt idx="1133">
                  <c:v>43231</c:v>
                </c:pt>
                <c:pt idx="1134">
                  <c:v>43234</c:v>
                </c:pt>
                <c:pt idx="1135">
                  <c:v>43235</c:v>
                </c:pt>
                <c:pt idx="1136">
                  <c:v>43236</c:v>
                </c:pt>
                <c:pt idx="1137">
                  <c:v>43237</c:v>
                </c:pt>
                <c:pt idx="1138">
                  <c:v>43238</c:v>
                </c:pt>
                <c:pt idx="1139">
                  <c:v>43241</c:v>
                </c:pt>
                <c:pt idx="1140">
                  <c:v>43242</c:v>
                </c:pt>
                <c:pt idx="1141">
                  <c:v>43243</c:v>
                </c:pt>
                <c:pt idx="1142">
                  <c:v>43244</c:v>
                </c:pt>
                <c:pt idx="1143">
                  <c:v>43245</c:v>
                </c:pt>
                <c:pt idx="1144">
                  <c:v>43249</c:v>
                </c:pt>
                <c:pt idx="1145">
                  <c:v>43250</c:v>
                </c:pt>
                <c:pt idx="1146">
                  <c:v>43251</c:v>
                </c:pt>
                <c:pt idx="1147">
                  <c:v>43252</c:v>
                </c:pt>
                <c:pt idx="1148">
                  <c:v>43255</c:v>
                </c:pt>
                <c:pt idx="1149">
                  <c:v>43256</c:v>
                </c:pt>
                <c:pt idx="1150">
                  <c:v>43257</c:v>
                </c:pt>
                <c:pt idx="1151">
                  <c:v>43258</c:v>
                </c:pt>
                <c:pt idx="1152">
                  <c:v>43259</c:v>
                </c:pt>
                <c:pt idx="1153">
                  <c:v>43262</c:v>
                </c:pt>
                <c:pt idx="1154">
                  <c:v>43263</c:v>
                </c:pt>
                <c:pt idx="1155">
                  <c:v>43264</c:v>
                </c:pt>
                <c:pt idx="1156">
                  <c:v>43265</c:v>
                </c:pt>
                <c:pt idx="1157">
                  <c:v>43266</c:v>
                </c:pt>
                <c:pt idx="1158">
                  <c:v>43269</c:v>
                </c:pt>
                <c:pt idx="1159">
                  <c:v>43270</c:v>
                </c:pt>
                <c:pt idx="1160">
                  <c:v>43271</c:v>
                </c:pt>
                <c:pt idx="1161">
                  <c:v>43272</c:v>
                </c:pt>
                <c:pt idx="1162">
                  <c:v>43273</c:v>
                </c:pt>
                <c:pt idx="1163">
                  <c:v>43276</c:v>
                </c:pt>
                <c:pt idx="1164">
                  <c:v>43277</c:v>
                </c:pt>
                <c:pt idx="1165">
                  <c:v>43278</c:v>
                </c:pt>
                <c:pt idx="1166">
                  <c:v>43279</c:v>
                </c:pt>
                <c:pt idx="1167">
                  <c:v>43280</c:v>
                </c:pt>
                <c:pt idx="1168">
                  <c:v>43283</c:v>
                </c:pt>
                <c:pt idx="1169">
                  <c:v>43284</c:v>
                </c:pt>
                <c:pt idx="1170">
                  <c:v>43286</c:v>
                </c:pt>
                <c:pt idx="1171">
                  <c:v>43287</c:v>
                </c:pt>
                <c:pt idx="1172">
                  <c:v>43290</c:v>
                </c:pt>
                <c:pt idx="1173">
                  <c:v>43291</c:v>
                </c:pt>
                <c:pt idx="1174">
                  <c:v>43292</c:v>
                </c:pt>
                <c:pt idx="1175">
                  <c:v>43293</c:v>
                </c:pt>
                <c:pt idx="1176">
                  <c:v>43294</c:v>
                </c:pt>
                <c:pt idx="1177">
                  <c:v>43297</c:v>
                </c:pt>
                <c:pt idx="1178">
                  <c:v>43298</c:v>
                </c:pt>
                <c:pt idx="1179">
                  <c:v>43299</c:v>
                </c:pt>
                <c:pt idx="1180">
                  <c:v>43300</c:v>
                </c:pt>
                <c:pt idx="1181">
                  <c:v>43301</c:v>
                </c:pt>
                <c:pt idx="1182">
                  <c:v>43304</c:v>
                </c:pt>
                <c:pt idx="1183">
                  <c:v>43305</c:v>
                </c:pt>
                <c:pt idx="1184">
                  <c:v>43306</c:v>
                </c:pt>
                <c:pt idx="1185">
                  <c:v>43307</c:v>
                </c:pt>
                <c:pt idx="1186">
                  <c:v>43308</c:v>
                </c:pt>
                <c:pt idx="1187">
                  <c:v>43311</c:v>
                </c:pt>
                <c:pt idx="1188">
                  <c:v>43312</c:v>
                </c:pt>
                <c:pt idx="1189">
                  <c:v>43313</c:v>
                </c:pt>
                <c:pt idx="1190">
                  <c:v>43314</c:v>
                </c:pt>
                <c:pt idx="1191">
                  <c:v>43315</c:v>
                </c:pt>
                <c:pt idx="1192">
                  <c:v>43318</c:v>
                </c:pt>
                <c:pt idx="1193">
                  <c:v>43319</c:v>
                </c:pt>
                <c:pt idx="1194">
                  <c:v>43320</c:v>
                </c:pt>
                <c:pt idx="1195">
                  <c:v>43321</c:v>
                </c:pt>
                <c:pt idx="1196">
                  <c:v>43322</c:v>
                </c:pt>
                <c:pt idx="1197">
                  <c:v>43325</c:v>
                </c:pt>
                <c:pt idx="1198">
                  <c:v>43326</c:v>
                </c:pt>
                <c:pt idx="1199">
                  <c:v>43327</c:v>
                </c:pt>
                <c:pt idx="1200">
                  <c:v>43328</c:v>
                </c:pt>
                <c:pt idx="1201">
                  <c:v>43329</c:v>
                </c:pt>
                <c:pt idx="1202">
                  <c:v>43332</c:v>
                </c:pt>
                <c:pt idx="1203">
                  <c:v>43333</c:v>
                </c:pt>
                <c:pt idx="1204">
                  <c:v>43334</c:v>
                </c:pt>
                <c:pt idx="1205">
                  <c:v>43335</c:v>
                </c:pt>
                <c:pt idx="1206">
                  <c:v>43336</c:v>
                </c:pt>
                <c:pt idx="1207">
                  <c:v>43339</c:v>
                </c:pt>
                <c:pt idx="1208">
                  <c:v>43340</c:v>
                </c:pt>
                <c:pt idx="1209">
                  <c:v>43341</c:v>
                </c:pt>
                <c:pt idx="1210">
                  <c:v>43342</c:v>
                </c:pt>
                <c:pt idx="1211">
                  <c:v>43343</c:v>
                </c:pt>
                <c:pt idx="1212">
                  <c:v>43347</c:v>
                </c:pt>
                <c:pt idx="1213">
                  <c:v>43348</c:v>
                </c:pt>
                <c:pt idx="1214">
                  <c:v>43349</c:v>
                </c:pt>
                <c:pt idx="1215">
                  <c:v>43350</c:v>
                </c:pt>
                <c:pt idx="1216">
                  <c:v>43353</c:v>
                </c:pt>
                <c:pt idx="1217">
                  <c:v>43354</c:v>
                </c:pt>
                <c:pt idx="1218">
                  <c:v>43355</c:v>
                </c:pt>
                <c:pt idx="1219">
                  <c:v>43356</c:v>
                </c:pt>
                <c:pt idx="1220">
                  <c:v>43357</c:v>
                </c:pt>
                <c:pt idx="1221">
                  <c:v>43360</c:v>
                </c:pt>
                <c:pt idx="1222">
                  <c:v>43361</c:v>
                </c:pt>
                <c:pt idx="1223">
                  <c:v>43362</c:v>
                </c:pt>
                <c:pt idx="1224">
                  <c:v>43363</c:v>
                </c:pt>
                <c:pt idx="1225">
                  <c:v>43364</c:v>
                </c:pt>
                <c:pt idx="1226">
                  <c:v>43367</c:v>
                </c:pt>
                <c:pt idx="1227">
                  <c:v>43368</c:v>
                </c:pt>
                <c:pt idx="1228">
                  <c:v>43369</c:v>
                </c:pt>
                <c:pt idx="1229">
                  <c:v>43370</c:v>
                </c:pt>
                <c:pt idx="1230">
                  <c:v>43371</c:v>
                </c:pt>
                <c:pt idx="1231">
                  <c:v>43374</c:v>
                </c:pt>
                <c:pt idx="1232">
                  <c:v>43375</c:v>
                </c:pt>
                <c:pt idx="1233">
                  <c:v>43376</c:v>
                </c:pt>
                <c:pt idx="1234">
                  <c:v>43377</c:v>
                </c:pt>
                <c:pt idx="1235">
                  <c:v>43378</c:v>
                </c:pt>
                <c:pt idx="1236">
                  <c:v>43381</c:v>
                </c:pt>
                <c:pt idx="1237">
                  <c:v>43382</c:v>
                </c:pt>
                <c:pt idx="1238">
                  <c:v>43383</c:v>
                </c:pt>
                <c:pt idx="1239">
                  <c:v>43384</c:v>
                </c:pt>
                <c:pt idx="1240">
                  <c:v>43385</c:v>
                </c:pt>
                <c:pt idx="1241">
                  <c:v>43388</c:v>
                </c:pt>
                <c:pt idx="1242">
                  <c:v>43389</c:v>
                </c:pt>
                <c:pt idx="1243">
                  <c:v>43390</c:v>
                </c:pt>
                <c:pt idx="1244">
                  <c:v>43391</c:v>
                </c:pt>
                <c:pt idx="1245">
                  <c:v>43392</c:v>
                </c:pt>
                <c:pt idx="1246">
                  <c:v>43395</c:v>
                </c:pt>
                <c:pt idx="1247">
                  <c:v>43396</c:v>
                </c:pt>
                <c:pt idx="1248">
                  <c:v>43397</c:v>
                </c:pt>
                <c:pt idx="1249">
                  <c:v>43398</c:v>
                </c:pt>
                <c:pt idx="1250">
                  <c:v>43399</c:v>
                </c:pt>
                <c:pt idx="1251">
                  <c:v>43402</c:v>
                </c:pt>
                <c:pt idx="1252">
                  <c:v>43403</c:v>
                </c:pt>
                <c:pt idx="1253">
                  <c:v>43404</c:v>
                </c:pt>
                <c:pt idx="1254">
                  <c:v>43405</c:v>
                </c:pt>
                <c:pt idx="1255">
                  <c:v>43406</c:v>
                </c:pt>
                <c:pt idx="1256">
                  <c:v>43409</c:v>
                </c:pt>
                <c:pt idx="1257">
                  <c:v>43410</c:v>
                </c:pt>
                <c:pt idx="1258">
                  <c:v>43411</c:v>
                </c:pt>
                <c:pt idx="1259">
                  <c:v>43412</c:v>
                </c:pt>
                <c:pt idx="1260">
                  <c:v>43413</c:v>
                </c:pt>
                <c:pt idx="1261">
                  <c:v>43465</c:v>
                </c:pt>
                <c:pt idx="1262">
                  <c:v>43830</c:v>
                </c:pt>
                <c:pt idx="1263">
                  <c:v>44196</c:v>
                </c:pt>
                <c:pt idx="1264">
                  <c:v>44561</c:v>
                </c:pt>
                <c:pt idx="1265">
                  <c:v>44926</c:v>
                </c:pt>
                <c:pt idx="1266">
                  <c:v>45291</c:v>
                </c:pt>
                <c:pt idx="1267">
                  <c:v>45657</c:v>
                </c:pt>
                <c:pt idx="1268">
                  <c:v>46022</c:v>
                </c:pt>
                <c:pt idx="1269">
                  <c:v>46387</c:v>
                </c:pt>
                <c:pt idx="1270">
                  <c:v>46752</c:v>
                </c:pt>
                <c:pt idx="1271">
                  <c:v>47118</c:v>
                </c:pt>
              </c:numCache>
            </c:numRef>
          </c:cat>
          <c:val>
            <c:numRef>
              <c:f>'Share Price'!$D$9:$D$1280</c:f>
              <c:numCache>
                <c:formatCode>General</c:formatCode>
                <c:ptCount val="1272"/>
                <c:pt idx="1260" formatCode="_(* #,##0_);_(* \(#,##0\);_(* &quot;-&quot;??_);_(@_)">
                  <c:v>1712.43</c:v>
                </c:pt>
                <c:pt idx="1261" formatCode="_(* #,##0_);_(* \(#,##0\);_(* &quot;-&quot;??_);_(@_)">
                  <c:v>2862.2482252524301</c:v>
                </c:pt>
                <c:pt idx="1262" formatCode="_(* #,##0_);_(* \(#,##0\);_(* &quot;-&quot;??_);_(@_)">
                  <c:v>3093.8889597558914</c:v>
                </c:pt>
                <c:pt idx="1263" formatCode="_(* #,##0_);_(* \(#,##0\);_(* &quot;-&quot;??_);_(@_)">
                  <c:v>3312.2881484729078</c:v>
                </c:pt>
                <c:pt idx="1264" formatCode="_(* #,##0_);_(* \(#,##0\);_(* &quot;-&quot;??_);_(@_)">
                  <c:v>3532.3951392770059</c:v>
                </c:pt>
                <c:pt idx="1265" formatCode="_(* #,##0_);_(* \(#,##0\);_(* &quot;-&quot;??_);_(@_)">
                  <c:v>3757.2650844587306</c:v>
                </c:pt>
                <c:pt idx="1266" formatCode="_(* #,##0_);_(* \(#,##0\);_(* &quot;-&quot;??_);_(@_)">
                  <c:v>4000.7117824753782</c:v>
                </c:pt>
                <c:pt idx="1267" formatCode="_(* #,##0_);_(* \(#,##0\);_(* &quot;-&quot;??_);_(@_)">
                  <c:v>4246.9508794691419</c:v>
                </c:pt>
                <c:pt idx="1268" formatCode="_(* #,##0_);_(* \(#,##0\);_(* &quot;-&quot;??_);_(@_)">
                  <c:v>4498.7771954634673</c:v>
                </c:pt>
                <c:pt idx="1269" formatCode="_(* #,##0_);_(* \(#,##0\);_(* &quot;-&quot;??_);_(@_)">
                  <c:v>4777.8815486734675</c:v>
                </c:pt>
                <c:pt idx="1270" formatCode="_(* #,##0_);_(* \(#,##0\);_(* &quot;-&quot;??_);_(@_)">
                  <c:v>5050.8070356389308</c:v>
                </c:pt>
                <c:pt idx="1271" formatCode="_(* #,##0_);_(* \(#,##0\);_(* &quot;-&quot;??_);_(@_)">
                  <c:v>5333.8712646341801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9-4AA0-81C4-EF64D5FC3666}"/>
            </c:ext>
          </c:extLst>
        </c:ser>
        <c:ser>
          <c:idx val="0"/>
          <c:order val="2"/>
          <c:tx>
            <c:strRef>
              <c:f>'Share Price'!$C$8</c:f>
              <c:strCache>
                <c:ptCount val="1"/>
                <c:pt idx="0">
                  <c:v>Consensus</c:v>
                </c:pt>
              </c:strCache>
            </c:strRef>
          </c:tx>
          <c:spPr>
            <a:ln w="15875" cap="rnd">
              <a:solidFill>
                <a:srgbClr val="1E849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 Price'!$A$9:$A$1280</c:f>
              <c:numCache>
                <c:formatCode>[$-409]mmm\-dd\-yyyy;@</c:formatCode>
                <c:ptCount val="1272"/>
                <c:pt idx="0">
                  <c:v>41586</c:v>
                </c:pt>
                <c:pt idx="1">
                  <c:v>41589</c:v>
                </c:pt>
                <c:pt idx="2">
                  <c:v>41590</c:v>
                </c:pt>
                <c:pt idx="3">
                  <c:v>41591</c:v>
                </c:pt>
                <c:pt idx="4">
                  <c:v>41592</c:v>
                </c:pt>
                <c:pt idx="5">
                  <c:v>41593</c:v>
                </c:pt>
                <c:pt idx="6">
                  <c:v>41596</c:v>
                </c:pt>
                <c:pt idx="7">
                  <c:v>41597</c:v>
                </c:pt>
                <c:pt idx="8">
                  <c:v>41598</c:v>
                </c:pt>
                <c:pt idx="9">
                  <c:v>41599</c:v>
                </c:pt>
                <c:pt idx="10">
                  <c:v>41600</c:v>
                </c:pt>
                <c:pt idx="11">
                  <c:v>41603</c:v>
                </c:pt>
                <c:pt idx="12">
                  <c:v>41604</c:v>
                </c:pt>
                <c:pt idx="13">
                  <c:v>41605</c:v>
                </c:pt>
                <c:pt idx="14">
                  <c:v>41607</c:v>
                </c:pt>
                <c:pt idx="15">
                  <c:v>41610</c:v>
                </c:pt>
                <c:pt idx="16">
                  <c:v>41611</c:v>
                </c:pt>
                <c:pt idx="17">
                  <c:v>41612</c:v>
                </c:pt>
                <c:pt idx="18">
                  <c:v>41613</c:v>
                </c:pt>
                <c:pt idx="19">
                  <c:v>41614</c:v>
                </c:pt>
                <c:pt idx="20">
                  <c:v>41617</c:v>
                </c:pt>
                <c:pt idx="21">
                  <c:v>41618</c:v>
                </c:pt>
                <c:pt idx="22">
                  <c:v>41619</c:v>
                </c:pt>
                <c:pt idx="23">
                  <c:v>41620</c:v>
                </c:pt>
                <c:pt idx="24">
                  <c:v>41621</c:v>
                </c:pt>
                <c:pt idx="25">
                  <c:v>41624</c:v>
                </c:pt>
                <c:pt idx="26">
                  <c:v>41625</c:v>
                </c:pt>
                <c:pt idx="27">
                  <c:v>41626</c:v>
                </c:pt>
                <c:pt idx="28">
                  <c:v>41627</c:v>
                </c:pt>
                <c:pt idx="29">
                  <c:v>41628</c:v>
                </c:pt>
                <c:pt idx="30">
                  <c:v>41631</c:v>
                </c:pt>
                <c:pt idx="31">
                  <c:v>41632</c:v>
                </c:pt>
                <c:pt idx="32">
                  <c:v>41634</c:v>
                </c:pt>
                <c:pt idx="33">
                  <c:v>41635</c:v>
                </c:pt>
                <c:pt idx="34">
                  <c:v>41638</c:v>
                </c:pt>
                <c:pt idx="35">
                  <c:v>41639</c:v>
                </c:pt>
                <c:pt idx="36">
                  <c:v>41641</c:v>
                </c:pt>
                <c:pt idx="37">
                  <c:v>41642</c:v>
                </c:pt>
                <c:pt idx="38">
                  <c:v>41645</c:v>
                </c:pt>
                <c:pt idx="39">
                  <c:v>41646</c:v>
                </c:pt>
                <c:pt idx="40">
                  <c:v>41647</c:v>
                </c:pt>
                <c:pt idx="41">
                  <c:v>41648</c:v>
                </c:pt>
                <c:pt idx="42">
                  <c:v>41649</c:v>
                </c:pt>
                <c:pt idx="43">
                  <c:v>41652</c:v>
                </c:pt>
                <c:pt idx="44">
                  <c:v>41653</c:v>
                </c:pt>
                <c:pt idx="45">
                  <c:v>41654</c:v>
                </c:pt>
                <c:pt idx="46">
                  <c:v>41655</c:v>
                </c:pt>
                <c:pt idx="47">
                  <c:v>41656</c:v>
                </c:pt>
                <c:pt idx="48">
                  <c:v>41660</c:v>
                </c:pt>
                <c:pt idx="49">
                  <c:v>41661</c:v>
                </c:pt>
                <c:pt idx="50">
                  <c:v>41662</c:v>
                </c:pt>
                <c:pt idx="51">
                  <c:v>41663</c:v>
                </c:pt>
                <c:pt idx="52">
                  <c:v>41666</c:v>
                </c:pt>
                <c:pt idx="53">
                  <c:v>41667</c:v>
                </c:pt>
                <c:pt idx="54">
                  <c:v>41668</c:v>
                </c:pt>
                <c:pt idx="55">
                  <c:v>41669</c:v>
                </c:pt>
                <c:pt idx="56">
                  <c:v>41670</c:v>
                </c:pt>
                <c:pt idx="57">
                  <c:v>41673</c:v>
                </c:pt>
                <c:pt idx="58">
                  <c:v>41674</c:v>
                </c:pt>
                <c:pt idx="59">
                  <c:v>41675</c:v>
                </c:pt>
                <c:pt idx="60">
                  <c:v>41676</c:v>
                </c:pt>
                <c:pt idx="61">
                  <c:v>41677</c:v>
                </c:pt>
                <c:pt idx="62">
                  <c:v>41680</c:v>
                </c:pt>
                <c:pt idx="63">
                  <c:v>41681</c:v>
                </c:pt>
                <c:pt idx="64">
                  <c:v>41682</c:v>
                </c:pt>
                <c:pt idx="65">
                  <c:v>41683</c:v>
                </c:pt>
                <c:pt idx="66">
                  <c:v>41684</c:v>
                </c:pt>
                <c:pt idx="67">
                  <c:v>41688</c:v>
                </c:pt>
                <c:pt idx="68">
                  <c:v>41689</c:v>
                </c:pt>
                <c:pt idx="69">
                  <c:v>41690</c:v>
                </c:pt>
                <c:pt idx="70">
                  <c:v>41691</c:v>
                </c:pt>
                <c:pt idx="71">
                  <c:v>41694</c:v>
                </c:pt>
                <c:pt idx="72">
                  <c:v>41695</c:v>
                </c:pt>
                <c:pt idx="73">
                  <c:v>41696</c:v>
                </c:pt>
                <c:pt idx="74">
                  <c:v>41697</c:v>
                </c:pt>
                <c:pt idx="75">
                  <c:v>41698</c:v>
                </c:pt>
                <c:pt idx="76">
                  <c:v>41701</c:v>
                </c:pt>
                <c:pt idx="77">
                  <c:v>41702</c:v>
                </c:pt>
                <c:pt idx="78">
                  <c:v>41703</c:v>
                </c:pt>
                <c:pt idx="79">
                  <c:v>41704</c:v>
                </c:pt>
                <c:pt idx="80">
                  <c:v>41705</c:v>
                </c:pt>
                <c:pt idx="81">
                  <c:v>41708</c:v>
                </c:pt>
                <c:pt idx="82">
                  <c:v>41709</c:v>
                </c:pt>
                <c:pt idx="83">
                  <c:v>41710</c:v>
                </c:pt>
                <c:pt idx="84">
                  <c:v>41711</c:v>
                </c:pt>
                <c:pt idx="85">
                  <c:v>41712</c:v>
                </c:pt>
                <c:pt idx="86">
                  <c:v>41715</c:v>
                </c:pt>
                <c:pt idx="87">
                  <c:v>41716</c:v>
                </c:pt>
                <c:pt idx="88">
                  <c:v>41717</c:v>
                </c:pt>
                <c:pt idx="89">
                  <c:v>41718</c:v>
                </c:pt>
                <c:pt idx="90">
                  <c:v>41719</c:v>
                </c:pt>
                <c:pt idx="91">
                  <c:v>41722</c:v>
                </c:pt>
                <c:pt idx="92">
                  <c:v>41723</c:v>
                </c:pt>
                <c:pt idx="93">
                  <c:v>41724</c:v>
                </c:pt>
                <c:pt idx="94">
                  <c:v>41725</c:v>
                </c:pt>
                <c:pt idx="95">
                  <c:v>41726</c:v>
                </c:pt>
                <c:pt idx="96">
                  <c:v>41729</c:v>
                </c:pt>
                <c:pt idx="97">
                  <c:v>41730</c:v>
                </c:pt>
                <c:pt idx="98">
                  <c:v>41731</c:v>
                </c:pt>
                <c:pt idx="99">
                  <c:v>41732</c:v>
                </c:pt>
                <c:pt idx="100">
                  <c:v>41733</c:v>
                </c:pt>
                <c:pt idx="101">
                  <c:v>41736</c:v>
                </c:pt>
                <c:pt idx="102">
                  <c:v>41737</c:v>
                </c:pt>
                <c:pt idx="103">
                  <c:v>41738</c:v>
                </c:pt>
                <c:pt idx="104">
                  <c:v>41739</c:v>
                </c:pt>
                <c:pt idx="105">
                  <c:v>41740</c:v>
                </c:pt>
                <c:pt idx="106">
                  <c:v>41743</c:v>
                </c:pt>
                <c:pt idx="107">
                  <c:v>41744</c:v>
                </c:pt>
                <c:pt idx="108">
                  <c:v>41745</c:v>
                </c:pt>
                <c:pt idx="109">
                  <c:v>41746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41757</c:v>
                </c:pt>
                <c:pt idx="116">
                  <c:v>41758</c:v>
                </c:pt>
                <c:pt idx="117">
                  <c:v>41759</c:v>
                </c:pt>
                <c:pt idx="118">
                  <c:v>41760</c:v>
                </c:pt>
                <c:pt idx="119">
                  <c:v>41761</c:v>
                </c:pt>
                <c:pt idx="120">
                  <c:v>41764</c:v>
                </c:pt>
                <c:pt idx="121">
                  <c:v>41765</c:v>
                </c:pt>
                <c:pt idx="122">
                  <c:v>41766</c:v>
                </c:pt>
                <c:pt idx="123">
                  <c:v>41767</c:v>
                </c:pt>
                <c:pt idx="124">
                  <c:v>41768</c:v>
                </c:pt>
                <c:pt idx="125">
                  <c:v>41771</c:v>
                </c:pt>
                <c:pt idx="126">
                  <c:v>41772</c:v>
                </c:pt>
                <c:pt idx="127">
                  <c:v>41773</c:v>
                </c:pt>
                <c:pt idx="128">
                  <c:v>41774</c:v>
                </c:pt>
                <c:pt idx="129">
                  <c:v>41775</c:v>
                </c:pt>
                <c:pt idx="130">
                  <c:v>41778</c:v>
                </c:pt>
                <c:pt idx="131">
                  <c:v>41779</c:v>
                </c:pt>
                <c:pt idx="132">
                  <c:v>41780</c:v>
                </c:pt>
                <c:pt idx="133">
                  <c:v>41781</c:v>
                </c:pt>
                <c:pt idx="134">
                  <c:v>41782</c:v>
                </c:pt>
                <c:pt idx="135">
                  <c:v>41786</c:v>
                </c:pt>
                <c:pt idx="136">
                  <c:v>41787</c:v>
                </c:pt>
                <c:pt idx="137">
                  <c:v>41788</c:v>
                </c:pt>
                <c:pt idx="138">
                  <c:v>41789</c:v>
                </c:pt>
                <c:pt idx="139">
                  <c:v>41792</c:v>
                </c:pt>
                <c:pt idx="140">
                  <c:v>41793</c:v>
                </c:pt>
                <c:pt idx="141">
                  <c:v>41794</c:v>
                </c:pt>
                <c:pt idx="142">
                  <c:v>41795</c:v>
                </c:pt>
                <c:pt idx="143">
                  <c:v>41796</c:v>
                </c:pt>
                <c:pt idx="144">
                  <c:v>41799</c:v>
                </c:pt>
                <c:pt idx="145">
                  <c:v>41800</c:v>
                </c:pt>
                <c:pt idx="146">
                  <c:v>41801</c:v>
                </c:pt>
                <c:pt idx="147">
                  <c:v>41802</c:v>
                </c:pt>
                <c:pt idx="148">
                  <c:v>41803</c:v>
                </c:pt>
                <c:pt idx="149">
                  <c:v>41806</c:v>
                </c:pt>
                <c:pt idx="150">
                  <c:v>41807</c:v>
                </c:pt>
                <c:pt idx="151">
                  <c:v>41808</c:v>
                </c:pt>
                <c:pt idx="152">
                  <c:v>41809</c:v>
                </c:pt>
                <c:pt idx="153">
                  <c:v>41810</c:v>
                </c:pt>
                <c:pt idx="154">
                  <c:v>41813</c:v>
                </c:pt>
                <c:pt idx="155">
                  <c:v>41814</c:v>
                </c:pt>
                <c:pt idx="156">
                  <c:v>41815</c:v>
                </c:pt>
                <c:pt idx="157">
                  <c:v>41816</c:v>
                </c:pt>
                <c:pt idx="158">
                  <c:v>41817</c:v>
                </c:pt>
                <c:pt idx="159">
                  <c:v>41820</c:v>
                </c:pt>
                <c:pt idx="160">
                  <c:v>41821</c:v>
                </c:pt>
                <c:pt idx="161">
                  <c:v>41822</c:v>
                </c:pt>
                <c:pt idx="162">
                  <c:v>41823</c:v>
                </c:pt>
                <c:pt idx="163">
                  <c:v>41827</c:v>
                </c:pt>
                <c:pt idx="164">
                  <c:v>41828</c:v>
                </c:pt>
                <c:pt idx="165">
                  <c:v>41829</c:v>
                </c:pt>
                <c:pt idx="166">
                  <c:v>41830</c:v>
                </c:pt>
                <c:pt idx="167">
                  <c:v>41831</c:v>
                </c:pt>
                <c:pt idx="168">
                  <c:v>41834</c:v>
                </c:pt>
                <c:pt idx="169">
                  <c:v>41835</c:v>
                </c:pt>
                <c:pt idx="170">
                  <c:v>41836</c:v>
                </c:pt>
                <c:pt idx="171">
                  <c:v>41837</c:v>
                </c:pt>
                <c:pt idx="172">
                  <c:v>41838</c:v>
                </c:pt>
                <c:pt idx="173">
                  <c:v>41841</c:v>
                </c:pt>
                <c:pt idx="174">
                  <c:v>41842</c:v>
                </c:pt>
                <c:pt idx="175">
                  <c:v>41843</c:v>
                </c:pt>
                <c:pt idx="176">
                  <c:v>41844</c:v>
                </c:pt>
                <c:pt idx="177">
                  <c:v>41845</c:v>
                </c:pt>
                <c:pt idx="178">
                  <c:v>41848</c:v>
                </c:pt>
                <c:pt idx="179">
                  <c:v>41849</c:v>
                </c:pt>
                <c:pt idx="180">
                  <c:v>41850</c:v>
                </c:pt>
                <c:pt idx="181">
                  <c:v>41851</c:v>
                </c:pt>
                <c:pt idx="182">
                  <c:v>41852</c:v>
                </c:pt>
                <c:pt idx="183">
                  <c:v>41855</c:v>
                </c:pt>
                <c:pt idx="184">
                  <c:v>41856</c:v>
                </c:pt>
                <c:pt idx="185">
                  <c:v>41857</c:v>
                </c:pt>
                <c:pt idx="186">
                  <c:v>41858</c:v>
                </c:pt>
                <c:pt idx="187">
                  <c:v>41859</c:v>
                </c:pt>
                <c:pt idx="188">
                  <c:v>41862</c:v>
                </c:pt>
                <c:pt idx="189">
                  <c:v>41863</c:v>
                </c:pt>
                <c:pt idx="190">
                  <c:v>41864</c:v>
                </c:pt>
                <c:pt idx="191">
                  <c:v>41865</c:v>
                </c:pt>
                <c:pt idx="192">
                  <c:v>41866</c:v>
                </c:pt>
                <c:pt idx="193">
                  <c:v>41869</c:v>
                </c:pt>
                <c:pt idx="194">
                  <c:v>41870</c:v>
                </c:pt>
                <c:pt idx="195">
                  <c:v>41871</c:v>
                </c:pt>
                <c:pt idx="196">
                  <c:v>41872</c:v>
                </c:pt>
                <c:pt idx="197">
                  <c:v>41873</c:v>
                </c:pt>
                <c:pt idx="198">
                  <c:v>41876</c:v>
                </c:pt>
                <c:pt idx="199">
                  <c:v>41877</c:v>
                </c:pt>
                <c:pt idx="200">
                  <c:v>41878</c:v>
                </c:pt>
                <c:pt idx="201">
                  <c:v>41879</c:v>
                </c:pt>
                <c:pt idx="202">
                  <c:v>41880</c:v>
                </c:pt>
                <c:pt idx="203">
                  <c:v>41884</c:v>
                </c:pt>
                <c:pt idx="204">
                  <c:v>41885</c:v>
                </c:pt>
                <c:pt idx="205">
                  <c:v>41886</c:v>
                </c:pt>
                <c:pt idx="206">
                  <c:v>41887</c:v>
                </c:pt>
                <c:pt idx="207">
                  <c:v>41890</c:v>
                </c:pt>
                <c:pt idx="208">
                  <c:v>41891</c:v>
                </c:pt>
                <c:pt idx="209">
                  <c:v>41892</c:v>
                </c:pt>
                <c:pt idx="210">
                  <c:v>41893</c:v>
                </c:pt>
                <c:pt idx="211">
                  <c:v>41894</c:v>
                </c:pt>
                <c:pt idx="212">
                  <c:v>41897</c:v>
                </c:pt>
                <c:pt idx="213">
                  <c:v>41898</c:v>
                </c:pt>
                <c:pt idx="214">
                  <c:v>41899</c:v>
                </c:pt>
                <c:pt idx="215">
                  <c:v>41900</c:v>
                </c:pt>
                <c:pt idx="216">
                  <c:v>41901</c:v>
                </c:pt>
                <c:pt idx="217">
                  <c:v>41904</c:v>
                </c:pt>
                <c:pt idx="218">
                  <c:v>41905</c:v>
                </c:pt>
                <c:pt idx="219">
                  <c:v>41906</c:v>
                </c:pt>
                <c:pt idx="220">
                  <c:v>41907</c:v>
                </c:pt>
                <c:pt idx="221">
                  <c:v>41908</c:v>
                </c:pt>
                <c:pt idx="222">
                  <c:v>41911</c:v>
                </c:pt>
                <c:pt idx="223">
                  <c:v>41912</c:v>
                </c:pt>
                <c:pt idx="224">
                  <c:v>41913</c:v>
                </c:pt>
                <c:pt idx="225">
                  <c:v>41914</c:v>
                </c:pt>
                <c:pt idx="226">
                  <c:v>41915</c:v>
                </c:pt>
                <c:pt idx="227">
                  <c:v>41918</c:v>
                </c:pt>
                <c:pt idx="228">
                  <c:v>41919</c:v>
                </c:pt>
                <c:pt idx="229">
                  <c:v>41920</c:v>
                </c:pt>
                <c:pt idx="230">
                  <c:v>41921</c:v>
                </c:pt>
                <c:pt idx="231">
                  <c:v>41922</c:v>
                </c:pt>
                <c:pt idx="232">
                  <c:v>41925</c:v>
                </c:pt>
                <c:pt idx="233">
                  <c:v>41926</c:v>
                </c:pt>
                <c:pt idx="234">
                  <c:v>41927</c:v>
                </c:pt>
                <c:pt idx="235">
                  <c:v>41928</c:v>
                </c:pt>
                <c:pt idx="236">
                  <c:v>41929</c:v>
                </c:pt>
                <c:pt idx="237">
                  <c:v>41932</c:v>
                </c:pt>
                <c:pt idx="238">
                  <c:v>41933</c:v>
                </c:pt>
                <c:pt idx="239">
                  <c:v>41934</c:v>
                </c:pt>
                <c:pt idx="240">
                  <c:v>41935</c:v>
                </c:pt>
                <c:pt idx="241">
                  <c:v>41936</c:v>
                </c:pt>
                <c:pt idx="242">
                  <c:v>41939</c:v>
                </c:pt>
                <c:pt idx="243">
                  <c:v>41940</c:v>
                </c:pt>
                <c:pt idx="244">
                  <c:v>41941</c:v>
                </c:pt>
                <c:pt idx="245">
                  <c:v>41942</c:v>
                </c:pt>
                <c:pt idx="246">
                  <c:v>41943</c:v>
                </c:pt>
                <c:pt idx="247">
                  <c:v>41946</c:v>
                </c:pt>
                <c:pt idx="248">
                  <c:v>41947</c:v>
                </c:pt>
                <c:pt idx="249">
                  <c:v>41948</c:v>
                </c:pt>
                <c:pt idx="250">
                  <c:v>41949</c:v>
                </c:pt>
                <c:pt idx="251">
                  <c:v>41950</c:v>
                </c:pt>
                <c:pt idx="252">
                  <c:v>41953</c:v>
                </c:pt>
                <c:pt idx="253">
                  <c:v>41954</c:v>
                </c:pt>
                <c:pt idx="254">
                  <c:v>41955</c:v>
                </c:pt>
                <c:pt idx="255">
                  <c:v>41956</c:v>
                </c:pt>
                <c:pt idx="256">
                  <c:v>41957</c:v>
                </c:pt>
                <c:pt idx="257">
                  <c:v>41960</c:v>
                </c:pt>
                <c:pt idx="258">
                  <c:v>41961</c:v>
                </c:pt>
                <c:pt idx="259">
                  <c:v>41962</c:v>
                </c:pt>
                <c:pt idx="260">
                  <c:v>41963</c:v>
                </c:pt>
                <c:pt idx="261">
                  <c:v>41964</c:v>
                </c:pt>
                <c:pt idx="262">
                  <c:v>41967</c:v>
                </c:pt>
                <c:pt idx="263">
                  <c:v>41968</c:v>
                </c:pt>
                <c:pt idx="264">
                  <c:v>41969</c:v>
                </c:pt>
                <c:pt idx="265">
                  <c:v>41971</c:v>
                </c:pt>
                <c:pt idx="266">
                  <c:v>41974</c:v>
                </c:pt>
                <c:pt idx="267">
                  <c:v>41975</c:v>
                </c:pt>
                <c:pt idx="268">
                  <c:v>41976</c:v>
                </c:pt>
                <c:pt idx="269">
                  <c:v>41977</c:v>
                </c:pt>
                <c:pt idx="270">
                  <c:v>41978</c:v>
                </c:pt>
                <c:pt idx="271">
                  <c:v>41981</c:v>
                </c:pt>
                <c:pt idx="272">
                  <c:v>41982</c:v>
                </c:pt>
                <c:pt idx="273">
                  <c:v>41983</c:v>
                </c:pt>
                <c:pt idx="274">
                  <c:v>41984</c:v>
                </c:pt>
                <c:pt idx="275">
                  <c:v>41985</c:v>
                </c:pt>
                <c:pt idx="276">
                  <c:v>41988</c:v>
                </c:pt>
                <c:pt idx="277">
                  <c:v>41989</c:v>
                </c:pt>
                <c:pt idx="278">
                  <c:v>41990</c:v>
                </c:pt>
                <c:pt idx="279">
                  <c:v>41991</c:v>
                </c:pt>
                <c:pt idx="280">
                  <c:v>41992</c:v>
                </c:pt>
                <c:pt idx="281">
                  <c:v>41995</c:v>
                </c:pt>
                <c:pt idx="282">
                  <c:v>41996</c:v>
                </c:pt>
                <c:pt idx="283">
                  <c:v>41997</c:v>
                </c:pt>
                <c:pt idx="284">
                  <c:v>41999</c:v>
                </c:pt>
                <c:pt idx="285">
                  <c:v>42002</c:v>
                </c:pt>
                <c:pt idx="286">
                  <c:v>42003</c:v>
                </c:pt>
                <c:pt idx="287">
                  <c:v>42004</c:v>
                </c:pt>
                <c:pt idx="288">
                  <c:v>42006</c:v>
                </c:pt>
                <c:pt idx="289">
                  <c:v>42009</c:v>
                </c:pt>
                <c:pt idx="290">
                  <c:v>42010</c:v>
                </c:pt>
                <c:pt idx="291">
                  <c:v>42011</c:v>
                </c:pt>
                <c:pt idx="292">
                  <c:v>42012</c:v>
                </c:pt>
                <c:pt idx="293">
                  <c:v>42013</c:v>
                </c:pt>
                <c:pt idx="294">
                  <c:v>42016</c:v>
                </c:pt>
                <c:pt idx="295">
                  <c:v>42017</c:v>
                </c:pt>
                <c:pt idx="296">
                  <c:v>42018</c:v>
                </c:pt>
                <c:pt idx="297">
                  <c:v>42019</c:v>
                </c:pt>
                <c:pt idx="298">
                  <c:v>42020</c:v>
                </c:pt>
                <c:pt idx="299">
                  <c:v>42024</c:v>
                </c:pt>
                <c:pt idx="300">
                  <c:v>42025</c:v>
                </c:pt>
                <c:pt idx="301">
                  <c:v>42026</c:v>
                </c:pt>
                <c:pt idx="302">
                  <c:v>42027</c:v>
                </c:pt>
                <c:pt idx="303">
                  <c:v>42030</c:v>
                </c:pt>
                <c:pt idx="304">
                  <c:v>42031</c:v>
                </c:pt>
                <c:pt idx="305">
                  <c:v>42032</c:v>
                </c:pt>
                <c:pt idx="306">
                  <c:v>42033</c:v>
                </c:pt>
                <c:pt idx="307">
                  <c:v>42034</c:v>
                </c:pt>
                <c:pt idx="308">
                  <c:v>42037</c:v>
                </c:pt>
                <c:pt idx="309">
                  <c:v>42038</c:v>
                </c:pt>
                <c:pt idx="310">
                  <c:v>42039</c:v>
                </c:pt>
                <c:pt idx="311">
                  <c:v>42040</c:v>
                </c:pt>
                <c:pt idx="312">
                  <c:v>42041</c:v>
                </c:pt>
                <c:pt idx="313">
                  <c:v>42044</c:v>
                </c:pt>
                <c:pt idx="314">
                  <c:v>42045</c:v>
                </c:pt>
                <c:pt idx="315">
                  <c:v>42046</c:v>
                </c:pt>
                <c:pt idx="316">
                  <c:v>42047</c:v>
                </c:pt>
                <c:pt idx="317">
                  <c:v>42048</c:v>
                </c:pt>
                <c:pt idx="318">
                  <c:v>42052</c:v>
                </c:pt>
                <c:pt idx="319">
                  <c:v>42053</c:v>
                </c:pt>
                <c:pt idx="320">
                  <c:v>42054</c:v>
                </c:pt>
                <c:pt idx="321">
                  <c:v>42055</c:v>
                </c:pt>
                <c:pt idx="322">
                  <c:v>42058</c:v>
                </c:pt>
                <c:pt idx="323">
                  <c:v>42059</c:v>
                </c:pt>
                <c:pt idx="324">
                  <c:v>42060</c:v>
                </c:pt>
                <c:pt idx="325">
                  <c:v>42061</c:v>
                </c:pt>
                <c:pt idx="326">
                  <c:v>42062</c:v>
                </c:pt>
                <c:pt idx="327">
                  <c:v>42065</c:v>
                </c:pt>
                <c:pt idx="328">
                  <c:v>42066</c:v>
                </c:pt>
                <c:pt idx="329">
                  <c:v>42067</c:v>
                </c:pt>
                <c:pt idx="330">
                  <c:v>42068</c:v>
                </c:pt>
                <c:pt idx="331">
                  <c:v>42069</c:v>
                </c:pt>
                <c:pt idx="332">
                  <c:v>42072</c:v>
                </c:pt>
                <c:pt idx="333">
                  <c:v>42073</c:v>
                </c:pt>
                <c:pt idx="334">
                  <c:v>42074</c:v>
                </c:pt>
                <c:pt idx="335">
                  <c:v>42075</c:v>
                </c:pt>
                <c:pt idx="336">
                  <c:v>42076</c:v>
                </c:pt>
                <c:pt idx="337">
                  <c:v>42079</c:v>
                </c:pt>
                <c:pt idx="338">
                  <c:v>42080</c:v>
                </c:pt>
                <c:pt idx="339">
                  <c:v>42081</c:v>
                </c:pt>
                <c:pt idx="340">
                  <c:v>42082</c:v>
                </c:pt>
                <c:pt idx="341">
                  <c:v>42083</c:v>
                </c:pt>
                <c:pt idx="342">
                  <c:v>42086</c:v>
                </c:pt>
                <c:pt idx="343">
                  <c:v>42087</c:v>
                </c:pt>
                <c:pt idx="344">
                  <c:v>42088</c:v>
                </c:pt>
                <c:pt idx="345">
                  <c:v>42089</c:v>
                </c:pt>
                <c:pt idx="346">
                  <c:v>42090</c:v>
                </c:pt>
                <c:pt idx="347">
                  <c:v>42093</c:v>
                </c:pt>
                <c:pt idx="348">
                  <c:v>42094</c:v>
                </c:pt>
                <c:pt idx="349">
                  <c:v>42095</c:v>
                </c:pt>
                <c:pt idx="350">
                  <c:v>42096</c:v>
                </c:pt>
                <c:pt idx="351">
                  <c:v>42100</c:v>
                </c:pt>
                <c:pt idx="352">
                  <c:v>42101</c:v>
                </c:pt>
                <c:pt idx="353">
                  <c:v>42102</c:v>
                </c:pt>
                <c:pt idx="354">
                  <c:v>42103</c:v>
                </c:pt>
                <c:pt idx="355">
                  <c:v>42104</c:v>
                </c:pt>
                <c:pt idx="356">
                  <c:v>42107</c:v>
                </c:pt>
                <c:pt idx="357">
                  <c:v>42108</c:v>
                </c:pt>
                <c:pt idx="358">
                  <c:v>42109</c:v>
                </c:pt>
                <c:pt idx="359">
                  <c:v>42110</c:v>
                </c:pt>
                <c:pt idx="360">
                  <c:v>42111</c:v>
                </c:pt>
                <c:pt idx="361">
                  <c:v>42114</c:v>
                </c:pt>
                <c:pt idx="362">
                  <c:v>42115</c:v>
                </c:pt>
                <c:pt idx="363">
                  <c:v>42116</c:v>
                </c:pt>
                <c:pt idx="364">
                  <c:v>42117</c:v>
                </c:pt>
                <c:pt idx="365">
                  <c:v>42118</c:v>
                </c:pt>
                <c:pt idx="366">
                  <c:v>42121</c:v>
                </c:pt>
                <c:pt idx="367">
                  <c:v>42122</c:v>
                </c:pt>
                <c:pt idx="368">
                  <c:v>42123</c:v>
                </c:pt>
                <c:pt idx="369">
                  <c:v>42124</c:v>
                </c:pt>
                <c:pt idx="370">
                  <c:v>42125</c:v>
                </c:pt>
                <c:pt idx="371">
                  <c:v>42128</c:v>
                </c:pt>
                <c:pt idx="372">
                  <c:v>42129</c:v>
                </c:pt>
                <c:pt idx="373">
                  <c:v>42130</c:v>
                </c:pt>
                <c:pt idx="374">
                  <c:v>42131</c:v>
                </c:pt>
                <c:pt idx="375">
                  <c:v>42132</c:v>
                </c:pt>
                <c:pt idx="376">
                  <c:v>42135</c:v>
                </c:pt>
                <c:pt idx="377">
                  <c:v>42136</c:v>
                </c:pt>
                <c:pt idx="378">
                  <c:v>42137</c:v>
                </c:pt>
                <c:pt idx="379">
                  <c:v>42138</c:v>
                </c:pt>
                <c:pt idx="380">
                  <c:v>42139</c:v>
                </c:pt>
                <c:pt idx="381">
                  <c:v>42142</c:v>
                </c:pt>
                <c:pt idx="382">
                  <c:v>42143</c:v>
                </c:pt>
                <c:pt idx="383">
                  <c:v>42144</c:v>
                </c:pt>
                <c:pt idx="384">
                  <c:v>42145</c:v>
                </c:pt>
                <c:pt idx="385">
                  <c:v>42146</c:v>
                </c:pt>
                <c:pt idx="386">
                  <c:v>42150</c:v>
                </c:pt>
                <c:pt idx="387">
                  <c:v>42151</c:v>
                </c:pt>
                <c:pt idx="388">
                  <c:v>42152</c:v>
                </c:pt>
                <c:pt idx="389">
                  <c:v>42153</c:v>
                </c:pt>
                <c:pt idx="390">
                  <c:v>42156</c:v>
                </c:pt>
                <c:pt idx="391">
                  <c:v>42157</c:v>
                </c:pt>
                <c:pt idx="392">
                  <c:v>42158</c:v>
                </c:pt>
                <c:pt idx="393">
                  <c:v>42159</c:v>
                </c:pt>
                <c:pt idx="394">
                  <c:v>42160</c:v>
                </c:pt>
                <c:pt idx="395">
                  <c:v>42163</c:v>
                </c:pt>
                <c:pt idx="396">
                  <c:v>42164</c:v>
                </c:pt>
                <c:pt idx="397">
                  <c:v>42165</c:v>
                </c:pt>
                <c:pt idx="398">
                  <c:v>42166</c:v>
                </c:pt>
                <c:pt idx="399">
                  <c:v>42167</c:v>
                </c:pt>
                <c:pt idx="400">
                  <c:v>42170</c:v>
                </c:pt>
                <c:pt idx="401">
                  <c:v>42171</c:v>
                </c:pt>
                <c:pt idx="402">
                  <c:v>42172</c:v>
                </c:pt>
                <c:pt idx="403">
                  <c:v>42173</c:v>
                </c:pt>
                <c:pt idx="404">
                  <c:v>42174</c:v>
                </c:pt>
                <c:pt idx="405">
                  <c:v>42177</c:v>
                </c:pt>
                <c:pt idx="406">
                  <c:v>42178</c:v>
                </c:pt>
                <c:pt idx="407">
                  <c:v>42179</c:v>
                </c:pt>
                <c:pt idx="408">
                  <c:v>42180</c:v>
                </c:pt>
                <c:pt idx="409">
                  <c:v>42181</c:v>
                </c:pt>
                <c:pt idx="410">
                  <c:v>42184</c:v>
                </c:pt>
                <c:pt idx="411">
                  <c:v>42185</c:v>
                </c:pt>
                <c:pt idx="412">
                  <c:v>42186</c:v>
                </c:pt>
                <c:pt idx="413">
                  <c:v>42187</c:v>
                </c:pt>
                <c:pt idx="414">
                  <c:v>42191</c:v>
                </c:pt>
                <c:pt idx="415">
                  <c:v>42192</c:v>
                </c:pt>
                <c:pt idx="416">
                  <c:v>42193</c:v>
                </c:pt>
                <c:pt idx="417">
                  <c:v>42194</c:v>
                </c:pt>
                <c:pt idx="418">
                  <c:v>42195</c:v>
                </c:pt>
                <c:pt idx="419">
                  <c:v>42198</c:v>
                </c:pt>
                <c:pt idx="420">
                  <c:v>42199</c:v>
                </c:pt>
                <c:pt idx="421">
                  <c:v>42200</c:v>
                </c:pt>
                <c:pt idx="422">
                  <c:v>42201</c:v>
                </c:pt>
                <c:pt idx="423">
                  <c:v>42202</c:v>
                </c:pt>
                <c:pt idx="424">
                  <c:v>42205</c:v>
                </c:pt>
                <c:pt idx="425">
                  <c:v>42206</c:v>
                </c:pt>
                <c:pt idx="426">
                  <c:v>42207</c:v>
                </c:pt>
                <c:pt idx="427">
                  <c:v>42208</c:v>
                </c:pt>
                <c:pt idx="428">
                  <c:v>42209</c:v>
                </c:pt>
                <c:pt idx="429">
                  <c:v>42212</c:v>
                </c:pt>
                <c:pt idx="430">
                  <c:v>42213</c:v>
                </c:pt>
                <c:pt idx="431">
                  <c:v>42214</c:v>
                </c:pt>
                <c:pt idx="432">
                  <c:v>42215</c:v>
                </c:pt>
                <c:pt idx="433">
                  <c:v>42216</c:v>
                </c:pt>
                <c:pt idx="434">
                  <c:v>42219</c:v>
                </c:pt>
                <c:pt idx="435">
                  <c:v>42220</c:v>
                </c:pt>
                <c:pt idx="436">
                  <c:v>42221</c:v>
                </c:pt>
                <c:pt idx="437">
                  <c:v>42222</c:v>
                </c:pt>
                <c:pt idx="438">
                  <c:v>42223</c:v>
                </c:pt>
                <c:pt idx="439">
                  <c:v>42226</c:v>
                </c:pt>
                <c:pt idx="440">
                  <c:v>42227</c:v>
                </c:pt>
                <c:pt idx="441">
                  <c:v>42228</c:v>
                </c:pt>
                <c:pt idx="442">
                  <c:v>42229</c:v>
                </c:pt>
                <c:pt idx="443">
                  <c:v>42230</c:v>
                </c:pt>
                <c:pt idx="444">
                  <c:v>42233</c:v>
                </c:pt>
                <c:pt idx="445">
                  <c:v>42234</c:v>
                </c:pt>
                <c:pt idx="446">
                  <c:v>42235</c:v>
                </c:pt>
                <c:pt idx="447">
                  <c:v>42236</c:v>
                </c:pt>
                <c:pt idx="448">
                  <c:v>42237</c:v>
                </c:pt>
                <c:pt idx="449">
                  <c:v>42240</c:v>
                </c:pt>
                <c:pt idx="450">
                  <c:v>42241</c:v>
                </c:pt>
                <c:pt idx="451">
                  <c:v>42242</c:v>
                </c:pt>
                <c:pt idx="452">
                  <c:v>42243</c:v>
                </c:pt>
                <c:pt idx="453">
                  <c:v>42244</c:v>
                </c:pt>
                <c:pt idx="454">
                  <c:v>42247</c:v>
                </c:pt>
                <c:pt idx="455">
                  <c:v>42248</c:v>
                </c:pt>
                <c:pt idx="456">
                  <c:v>42249</c:v>
                </c:pt>
                <c:pt idx="457">
                  <c:v>42250</c:v>
                </c:pt>
                <c:pt idx="458">
                  <c:v>42251</c:v>
                </c:pt>
                <c:pt idx="459">
                  <c:v>42255</c:v>
                </c:pt>
                <c:pt idx="460">
                  <c:v>42256</c:v>
                </c:pt>
                <c:pt idx="461">
                  <c:v>42257</c:v>
                </c:pt>
                <c:pt idx="462">
                  <c:v>42258</c:v>
                </c:pt>
                <c:pt idx="463">
                  <c:v>42261</c:v>
                </c:pt>
                <c:pt idx="464">
                  <c:v>42262</c:v>
                </c:pt>
                <c:pt idx="465">
                  <c:v>42263</c:v>
                </c:pt>
                <c:pt idx="466">
                  <c:v>42264</c:v>
                </c:pt>
                <c:pt idx="467">
                  <c:v>42265</c:v>
                </c:pt>
                <c:pt idx="468">
                  <c:v>42268</c:v>
                </c:pt>
                <c:pt idx="469">
                  <c:v>42269</c:v>
                </c:pt>
                <c:pt idx="470">
                  <c:v>42270</c:v>
                </c:pt>
                <c:pt idx="471">
                  <c:v>42271</c:v>
                </c:pt>
                <c:pt idx="472">
                  <c:v>42272</c:v>
                </c:pt>
                <c:pt idx="473">
                  <c:v>42275</c:v>
                </c:pt>
                <c:pt idx="474">
                  <c:v>42276</c:v>
                </c:pt>
                <c:pt idx="475">
                  <c:v>42277</c:v>
                </c:pt>
                <c:pt idx="476">
                  <c:v>42278</c:v>
                </c:pt>
                <c:pt idx="477">
                  <c:v>42279</c:v>
                </c:pt>
                <c:pt idx="478">
                  <c:v>42282</c:v>
                </c:pt>
                <c:pt idx="479">
                  <c:v>42283</c:v>
                </c:pt>
                <c:pt idx="480">
                  <c:v>42284</c:v>
                </c:pt>
                <c:pt idx="481">
                  <c:v>42285</c:v>
                </c:pt>
                <c:pt idx="482">
                  <c:v>42286</c:v>
                </c:pt>
                <c:pt idx="483">
                  <c:v>42289</c:v>
                </c:pt>
                <c:pt idx="484">
                  <c:v>42290</c:v>
                </c:pt>
                <c:pt idx="485">
                  <c:v>42291</c:v>
                </c:pt>
                <c:pt idx="486">
                  <c:v>42292</c:v>
                </c:pt>
                <c:pt idx="487">
                  <c:v>42293</c:v>
                </c:pt>
                <c:pt idx="488">
                  <c:v>42296</c:v>
                </c:pt>
                <c:pt idx="489">
                  <c:v>42297</c:v>
                </c:pt>
                <c:pt idx="490">
                  <c:v>42298</c:v>
                </c:pt>
                <c:pt idx="491">
                  <c:v>42299</c:v>
                </c:pt>
                <c:pt idx="492">
                  <c:v>42300</c:v>
                </c:pt>
                <c:pt idx="493">
                  <c:v>42303</c:v>
                </c:pt>
                <c:pt idx="494">
                  <c:v>42304</c:v>
                </c:pt>
                <c:pt idx="495">
                  <c:v>42305</c:v>
                </c:pt>
                <c:pt idx="496">
                  <c:v>42306</c:v>
                </c:pt>
                <c:pt idx="497">
                  <c:v>42307</c:v>
                </c:pt>
                <c:pt idx="498">
                  <c:v>42310</c:v>
                </c:pt>
                <c:pt idx="499">
                  <c:v>42311</c:v>
                </c:pt>
                <c:pt idx="500">
                  <c:v>42312</c:v>
                </c:pt>
                <c:pt idx="501">
                  <c:v>42313</c:v>
                </c:pt>
                <c:pt idx="502">
                  <c:v>42314</c:v>
                </c:pt>
                <c:pt idx="503">
                  <c:v>42317</c:v>
                </c:pt>
                <c:pt idx="504">
                  <c:v>42318</c:v>
                </c:pt>
                <c:pt idx="505">
                  <c:v>42319</c:v>
                </c:pt>
                <c:pt idx="506">
                  <c:v>42320</c:v>
                </c:pt>
                <c:pt idx="507">
                  <c:v>42321</c:v>
                </c:pt>
                <c:pt idx="508">
                  <c:v>42324</c:v>
                </c:pt>
                <c:pt idx="509">
                  <c:v>42325</c:v>
                </c:pt>
                <c:pt idx="510">
                  <c:v>42326</c:v>
                </c:pt>
                <c:pt idx="511">
                  <c:v>42327</c:v>
                </c:pt>
                <c:pt idx="512">
                  <c:v>42328</c:v>
                </c:pt>
                <c:pt idx="513">
                  <c:v>42331</c:v>
                </c:pt>
                <c:pt idx="514">
                  <c:v>42332</c:v>
                </c:pt>
                <c:pt idx="515">
                  <c:v>42333</c:v>
                </c:pt>
                <c:pt idx="516">
                  <c:v>42335</c:v>
                </c:pt>
                <c:pt idx="517">
                  <c:v>42338</c:v>
                </c:pt>
                <c:pt idx="518">
                  <c:v>42339</c:v>
                </c:pt>
                <c:pt idx="519">
                  <c:v>42340</c:v>
                </c:pt>
                <c:pt idx="520">
                  <c:v>42341</c:v>
                </c:pt>
                <c:pt idx="521">
                  <c:v>42342</c:v>
                </c:pt>
                <c:pt idx="522">
                  <c:v>42345</c:v>
                </c:pt>
                <c:pt idx="523">
                  <c:v>42346</c:v>
                </c:pt>
                <c:pt idx="524">
                  <c:v>42347</c:v>
                </c:pt>
                <c:pt idx="525">
                  <c:v>42348</c:v>
                </c:pt>
                <c:pt idx="526">
                  <c:v>42349</c:v>
                </c:pt>
                <c:pt idx="527">
                  <c:v>42352</c:v>
                </c:pt>
                <c:pt idx="528">
                  <c:v>42353</c:v>
                </c:pt>
                <c:pt idx="529">
                  <c:v>42354</c:v>
                </c:pt>
                <c:pt idx="530">
                  <c:v>42355</c:v>
                </c:pt>
                <c:pt idx="531">
                  <c:v>42356</c:v>
                </c:pt>
                <c:pt idx="532">
                  <c:v>42359</c:v>
                </c:pt>
                <c:pt idx="533">
                  <c:v>42360</c:v>
                </c:pt>
                <c:pt idx="534">
                  <c:v>42361</c:v>
                </c:pt>
                <c:pt idx="535">
                  <c:v>42362</c:v>
                </c:pt>
                <c:pt idx="536">
                  <c:v>42366</c:v>
                </c:pt>
                <c:pt idx="537">
                  <c:v>42367</c:v>
                </c:pt>
                <c:pt idx="538">
                  <c:v>42368</c:v>
                </c:pt>
                <c:pt idx="539">
                  <c:v>42369</c:v>
                </c:pt>
                <c:pt idx="540">
                  <c:v>42373</c:v>
                </c:pt>
                <c:pt idx="541">
                  <c:v>42374</c:v>
                </c:pt>
                <c:pt idx="542">
                  <c:v>42375</c:v>
                </c:pt>
                <c:pt idx="543">
                  <c:v>42376</c:v>
                </c:pt>
                <c:pt idx="544">
                  <c:v>42377</c:v>
                </c:pt>
                <c:pt idx="545">
                  <c:v>42380</c:v>
                </c:pt>
                <c:pt idx="546">
                  <c:v>42381</c:v>
                </c:pt>
                <c:pt idx="547">
                  <c:v>42382</c:v>
                </c:pt>
                <c:pt idx="548">
                  <c:v>42383</c:v>
                </c:pt>
                <c:pt idx="549">
                  <c:v>42384</c:v>
                </c:pt>
                <c:pt idx="550">
                  <c:v>42388</c:v>
                </c:pt>
                <c:pt idx="551">
                  <c:v>42389</c:v>
                </c:pt>
                <c:pt idx="552">
                  <c:v>42390</c:v>
                </c:pt>
                <c:pt idx="553">
                  <c:v>42391</c:v>
                </c:pt>
                <c:pt idx="554">
                  <c:v>42394</c:v>
                </c:pt>
                <c:pt idx="555">
                  <c:v>42395</c:v>
                </c:pt>
                <c:pt idx="556">
                  <c:v>42396</c:v>
                </c:pt>
                <c:pt idx="557">
                  <c:v>42397</c:v>
                </c:pt>
                <c:pt idx="558">
                  <c:v>42398</c:v>
                </c:pt>
                <c:pt idx="559">
                  <c:v>42401</c:v>
                </c:pt>
                <c:pt idx="560">
                  <c:v>42402</c:v>
                </c:pt>
                <c:pt idx="561">
                  <c:v>42403</c:v>
                </c:pt>
                <c:pt idx="562">
                  <c:v>42404</c:v>
                </c:pt>
                <c:pt idx="563">
                  <c:v>42405</c:v>
                </c:pt>
                <c:pt idx="564">
                  <c:v>42408</c:v>
                </c:pt>
                <c:pt idx="565">
                  <c:v>42409</c:v>
                </c:pt>
                <c:pt idx="566">
                  <c:v>42410</c:v>
                </c:pt>
                <c:pt idx="567">
                  <c:v>42411</c:v>
                </c:pt>
                <c:pt idx="568">
                  <c:v>42412</c:v>
                </c:pt>
                <c:pt idx="569">
                  <c:v>42416</c:v>
                </c:pt>
                <c:pt idx="570">
                  <c:v>42417</c:v>
                </c:pt>
                <c:pt idx="571">
                  <c:v>42418</c:v>
                </c:pt>
                <c:pt idx="572">
                  <c:v>42419</c:v>
                </c:pt>
                <c:pt idx="573">
                  <c:v>42422</c:v>
                </c:pt>
                <c:pt idx="574">
                  <c:v>42423</c:v>
                </c:pt>
                <c:pt idx="575">
                  <c:v>42424</c:v>
                </c:pt>
                <c:pt idx="576">
                  <c:v>42425</c:v>
                </c:pt>
                <c:pt idx="577">
                  <c:v>42426</c:v>
                </c:pt>
                <c:pt idx="578">
                  <c:v>42429</c:v>
                </c:pt>
                <c:pt idx="579">
                  <c:v>42430</c:v>
                </c:pt>
                <c:pt idx="580">
                  <c:v>42431</c:v>
                </c:pt>
                <c:pt idx="581">
                  <c:v>42432</c:v>
                </c:pt>
                <c:pt idx="582">
                  <c:v>42433</c:v>
                </c:pt>
                <c:pt idx="583">
                  <c:v>42436</c:v>
                </c:pt>
                <c:pt idx="584">
                  <c:v>42437</c:v>
                </c:pt>
                <c:pt idx="585">
                  <c:v>42438</c:v>
                </c:pt>
                <c:pt idx="586">
                  <c:v>42439</c:v>
                </c:pt>
                <c:pt idx="587">
                  <c:v>42440</c:v>
                </c:pt>
                <c:pt idx="588">
                  <c:v>42443</c:v>
                </c:pt>
                <c:pt idx="589">
                  <c:v>42444</c:v>
                </c:pt>
                <c:pt idx="590">
                  <c:v>42445</c:v>
                </c:pt>
                <c:pt idx="591">
                  <c:v>42446</c:v>
                </c:pt>
                <c:pt idx="592">
                  <c:v>42447</c:v>
                </c:pt>
                <c:pt idx="593">
                  <c:v>42450</c:v>
                </c:pt>
                <c:pt idx="594">
                  <c:v>42451</c:v>
                </c:pt>
                <c:pt idx="595">
                  <c:v>42452</c:v>
                </c:pt>
                <c:pt idx="596">
                  <c:v>42453</c:v>
                </c:pt>
                <c:pt idx="597">
                  <c:v>42457</c:v>
                </c:pt>
                <c:pt idx="598">
                  <c:v>42458</c:v>
                </c:pt>
                <c:pt idx="599">
                  <c:v>42459</c:v>
                </c:pt>
                <c:pt idx="600">
                  <c:v>42460</c:v>
                </c:pt>
                <c:pt idx="601">
                  <c:v>42461</c:v>
                </c:pt>
                <c:pt idx="602">
                  <c:v>42464</c:v>
                </c:pt>
                <c:pt idx="603">
                  <c:v>42465</c:v>
                </c:pt>
                <c:pt idx="604">
                  <c:v>42466</c:v>
                </c:pt>
                <c:pt idx="605">
                  <c:v>42467</c:v>
                </c:pt>
                <c:pt idx="606">
                  <c:v>42468</c:v>
                </c:pt>
                <c:pt idx="607">
                  <c:v>42471</c:v>
                </c:pt>
                <c:pt idx="608">
                  <c:v>42472</c:v>
                </c:pt>
                <c:pt idx="609">
                  <c:v>42473</c:v>
                </c:pt>
                <c:pt idx="610">
                  <c:v>42474</c:v>
                </c:pt>
                <c:pt idx="611">
                  <c:v>42475</c:v>
                </c:pt>
                <c:pt idx="612">
                  <c:v>42478</c:v>
                </c:pt>
                <c:pt idx="613">
                  <c:v>42479</c:v>
                </c:pt>
                <c:pt idx="614">
                  <c:v>42480</c:v>
                </c:pt>
                <c:pt idx="615">
                  <c:v>42481</c:v>
                </c:pt>
                <c:pt idx="616">
                  <c:v>42482</c:v>
                </c:pt>
                <c:pt idx="617">
                  <c:v>42485</c:v>
                </c:pt>
                <c:pt idx="618">
                  <c:v>42486</c:v>
                </c:pt>
                <c:pt idx="619">
                  <c:v>42487</c:v>
                </c:pt>
                <c:pt idx="620">
                  <c:v>42488</c:v>
                </c:pt>
                <c:pt idx="621">
                  <c:v>42489</c:v>
                </c:pt>
                <c:pt idx="622">
                  <c:v>42492</c:v>
                </c:pt>
                <c:pt idx="623">
                  <c:v>42493</c:v>
                </c:pt>
                <c:pt idx="624">
                  <c:v>42494</c:v>
                </c:pt>
                <c:pt idx="625">
                  <c:v>42495</c:v>
                </c:pt>
                <c:pt idx="626">
                  <c:v>42496</c:v>
                </c:pt>
                <c:pt idx="627">
                  <c:v>42499</c:v>
                </c:pt>
                <c:pt idx="628">
                  <c:v>42500</c:v>
                </c:pt>
                <c:pt idx="629">
                  <c:v>42501</c:v>
                </c:pt>
                <c:pt idx="630">
                  <c:v>42502</c:v>
                </c:pt>
                <c:pt idx="631">
                  <c:v>42503</c:v>
                </c:pt>
                <c:pt idx="632">
                  <c:v>42506</c:v>
                </c:pt>
                <c:pt idx="633">
                  <c:v>42507</c:v>
                </c:pt>
                <c:pt idx="634">
                  <c:v>42508</c:v>
                </c:pt>
                <c:pt idx="635">
                  <c:v>42509</c:v>
                </c:pt>
                <c:pt idx="636">
                  <c:v>42510</c:v>
                </c:pt>
                <c:pt idx="637">
                  <c:v>42513</c:v>
                </c:pt>
                <c:pt idx="638">
                  <c:v>42514</c:v>
                </c:pt>
                <c:pt idx="639">
                  <c:v>42515</c:v>
                </c:pt>
                <c:pt idx="640">
                  <c:v>42516</c:v>
                </c:pt>
                <c:pt idx="641">
                  <c:v>42517</c:v>
                </c:pt>
                <c:pt idx="642">
                  <c:v>42521</c:v>
                </c:pt>
                <c:pt idx="643">
                  <c:v>42522</c:v>
                </c:pt>
                <c:pt idx="644">
                  <c:v>42523</c:v>
                </c:pt>
                <c:pt idx="645">
                  <c:v>42524</c:v>
                </c:pt>
                <c:pt idx="646">
                  <c:v>42527</c:v>
                </c:pt>
                <c:pt idx="647">
                  <c:v>42528</c:v>
                </c:pt>
                <c:pt idx="648">
                  <c:v>42529</c:v>
                </c:pt>
                <c:pt idx="649">
                  <c:v>42530</c:v>
                </c:pt>
                <c:pt idx="650">
                  <c:v>42531</c:v>
                </c:pt>
                <c:pt idx="651">
                  <c:v>42534</c:v>
                </c:pt>
                <c:pt idx="652">
                  <c:v>42535</c:v>
                </c:pt>
                <c:pt idx="653">
                  <c:v>42536</c:v>
                </c:pt>
                <c:pt idx="654">
                  <c:v>42537</c:v>
                </c:pt>
                <c:pt idx="655">
                  <c:v>42538</c:v>
                </c:pt>
                <c:pt idx="656">
                  <c:v>42541</c:v>
                </c:pt>
                <c:pt idx="657">
                  <c:v>42542</c:v>
                </c:pt>
                <c:pt idx="658">
                  <c:v>42543</c:v>
                </c:pt>
                <c:pt idx="659">
                  <c:v>42544</c:v>
                </c:pt>
                <c:pt idx="660">
                  <c:v>42545</c:v>
                </c:pt>
                <c:pt idx="661">
                  <c:v>42548</c:v>
                </c:pt>
                <c:pt idx="662">
                  <c:v>42549</c:v>
                </c:pt>
                <c:pt idx="663">
                  <c:v>42550</c:v>
                </c:pt>
                <c:pt idx="664">
                  <c:v>42551</c:v>
                </c:pt>
                <c:pt idx="665">
                  <c:v>42552</c:v>
                </c:pt>
                <c:pt idx="666">
                  <c:v>42556</c:v>
                </c:pt>
                <c:pt idx="667">
                  <c:v>42557</c:v>
                </c:pt>
                <c:pt idx="668">
                  <c:v>42558</c:v>
                </c:pt>
                <c:pt idx="669">
                  <c:v>42559</c:v>
                </c:pt>
                <c:pt idx="670">
                  <c:v>42562</c:v>
                </c:pt>
                <c:pt idx="671">
                  <c:v>42563</c:v>
                </c:pt>
                <c:pt idx="672">
                  <c:v>42564</c:v>
                </c:pt>
                <c:pt idx="673">
                  <c:v>42565</c:v>
                </c:pt>
                <c:pt idx="674">
                  <c:v>42566</c:v>
                </c:pt>
                <c:pt idx="675">
                  <c:v>42569</c:v>
                </c:pt>
                <c:pt idx="676">
                  <c:v>42570</c:v>
                </c:pt>
                <c:pt idx="677">
                  <c:v>42571</c:v>
                </c:pt>
                <c:pt idx="678">
                  <c:v>42572</c:v>
                </c:pt>
                <c:pt idx="679">
                  <c:v>42573</c:v>
                </c:pt>
                <c:pt idx="680">
                  <c:v>42576</c:v>
                </c:pt>
                <c:pt idx="681">
                  <c:v>42577</c:v>
                </c:pt>
                <c:pt idx="682">
                  <c:v>42578</c:v>
                </c:pt>
                <c:pt idx="683">
                  <c:v>42579</c:v>
                </c:pt>
                <c:pt idx="684">
                  <c:v>42580</c:v>
                </c:pt>
                <c:pt idx="685">
                  <c:v>42583</c:v>
                </c:pt>
                <c:pt idx="686">
                  <c:v>42584</c:v>
                </c:pt>
                <c:pt idx="687">
                  <c:v>42585</c:v>
                </c:pt>
                <c:pt idx="688">
                  <c:v>42586</c:v>
                </c:pt>
                <c:pt idx="689">
                  <c:v>42587</c:v>
                </c:pt>
                <c:pt idx="690">
                  <c:v>42590</c:v>
                </c:pt>
                <c:pt idx="691">
                  <c:v>42591</c:v>
                </c:pt>
                <c:pt idx="692">
                  <c:v>42592</c:v>
                </c:pt>
                <c:pt idx="693">
                  <c:v>42593</c:v>
                </c:pt>
                <c:pt idx="694">
                  <c:v>42594</c:v>
                </c:pt>
                <c:pt idx="695">
                  <c:v>42597</c:v>
                </c:pt>
                <c:pt idx="696">
                  <c:v>42598</c:v>
                </c:pt>
                <c:pt idx="697">
                  <c:v>42599</c:v>
                </c:pt>
                <c:pt idx="698">
                  <c:v>42600</c:v>
                </c:pt>
                <c:pt idx="699">
                  <c:v>42601</c:v>
                </c:pt>
                <c:pt idx="700">
                  <c:v>42604</c:v>
                </c:pt>
                <c:pt idx="701">
                  <c:v>42605</c:v>
                </c:pt>
                <c:pt idx="702">
                  <c:v>42606</c:v>
                </c:pt>
                <c:pt idx="703">
                  <c:v>42607</c:v>
                </c:pt>
                <c:pt idx="704">
                  <c:v>42608</c:v>
                </c:pt>
                <c:pt idx="705">
                  <c:v>42611</c:v>
                </c:pt>
                <c:pt idx="706">
                  <c:v>42612</c:v>
                </c:pt>
                <c:pt idx="707">
                  <c:v>42613</c:v>
                </c:pt>
                <c:pt idx="708">
                  <c:v>42614</c:v>
                </c:pt>
                <c:pt idx="709">
                  <c:v>42615</c:v>
                </c:pt>
                <c:pt idx="710">
                  <c:v>42619</c:v>
                </c:pt>
                <c:pt idx="711">
                  <c:v>42620</c:v>
                </c:pt>
                <c:pt idx="712">
                  <c:v>42621</c:v>
                </c:pt>
                <c:pt idx="713">
                  <c:v>42622</c:v>
                </c:pt>
                <c:pt idx="714">
                  <c:v>42625</c:v>
                </c:pt>
                <c:pt idx="715">
                  <c:v>42626</c:v>
                </c:pt>
                <c:pt idx="716">
                  <c:v>42627</c:v>
                </c:pt>
                <c:pt idx="717">
                  <c:v>42628</c:v>
                </c:pt>
                <c:pt idx="718">
                  <c:v>42629</c:v>
                </c:pt>
                <c:pt idx="719">
                  <c:v>42632</c:v>
                </c:pt>
                <c:pt idx="720">
                  <c:v>42633</c:v>
                </c:pt>
                <c:pt idx="721">
                  <c:v>42634</c:v>
                </c:pt>
                <c:pt idx="722">
                  <c:v>42635</c:v>
                </c:pt>
                <c:pt idx="723">
                  <c:v>42636</c:v>
                </c:pt>
                <c:pt idx="724">
                  <c:v>42639</c:v>
                </c:pt>
                <c:pt idx="725">
                  <c:v>42640</c:v>
                </c:pt>
                <c:pt idx="726">
                  <c:v>42641</c:v>
                </c:pt>
                <c:pt idx="727">
                  <c:v>42642</c:v>
                </c:pt>
                <c:pt idx="728">
                  <c:v>42643</c:v>
                </c:pt>
                <c:pt idx="729">
                  <c:v>42646</c:v>
                </c:pt>
                <c:pt idx="730">
                  <c:v>42647</c:v>
                </c:pt>
                <c:pt idx="731">
                  <c:v>42648</c:v>
                </c:pt>
                <c:pt idx="732">
                  <c:v>42649</c:v>
                </c:pt>
                <c:pt idx="733">
                  <c:v>42650</c:v>
                </c:pt>
                <c:pt idx="734">
                  <c:v>42653</c:v>
                </c:pt>
                <c:pt idx="735">
                  <c:v>42654</c:v>
                </c:pt>
                <c:pt idx="736">
                  <c:v>42655</c:v>
                </c:pt>
                <c:pt idx="737">
                  <c:v>42656</c:v>
                </c:pt>
                <c:pt idx="738">
                  <c:v>42657</c:v>
                </c:pt>
                <c:pt idx="739">
                  <c:v>42660</c:v>
                </c:pt>
                <c:pt idx="740">
                  <c:v>42661</c:v>
                </c:pt>
                <c:pt idx="741">
                  <c:v>42662</c:v>
                </c:pt>
                <c:pt idx="742">
                  <c:v>42663</c:v>
                </c:pt>
                <c:pt idx="743">
                  <c:v>42664</c:v>
                </c:pt>
                <c:pt idx="744">
                  <c:v>42667</c:v>
                </c:pt>
                <c:pt idx="745">
                  <c:v>42668</c:v>
                </c:pt>
                <c:pt idx="746">
                  <c:v>42669</c:v>
                </c:pt>
                <c:pt idx="747">
                  <c:v>42670</c:v>
                </c:pt>
                <c:pt idx="748">
                  <c:v>42671</c:v>
                </c:pt>
                <c:pt idx="749">
                  <c:v>42674</c:v>
                </c:pt>
                <c:pt idx="750">
                  <c:v>42675</c:v>
                </c:pt>
                <c:pt idx="751">
                  <c:v>42676</c:v>
                </c:pt>
                <c:pt idx="752">
                  <c:v>42677</c:v>
                </c:pt>
                <c:pt idx="753">
                  <c:v>42678</c:v>
                </c:pt>
                <c:pt idx="754">
                  <c:v>42681</c:v>
                </c:pt>
                <c:pt idx="755">
                  <c:v>42682</c:v>
                </c:pt>
                <c:pt idx="756">
                  <c:v>42683</c:v>
                </c:pt>
                <c:pt idx="757">
                  <c:v>42684</c:v>
                </c:pt>
                <c:pt idx="758">
                  <c:v>42685</c:v>
                </c:pt>
                <c:pt idx="759">
                  <c:v>42688</c:v>
                </c:pt>
                <c:pt idx="760">
                  <c:v>42689</c:v>
                </c:pt>
                <c:pt idx="761">
                  <c:v>42690</c:v>
                </c:pt>
                <c:pt idx="762">
                  <c:v>42691</c:v>
                </c:pt>
                <c:pt idx="763">
                  <c:v>42692</c:v>
                </c:pt>
                <c:pt idx="764">
                  <c:v>42695</c:v>
                </c:pt>
                <c:pt idx="765">
                  <c:v>42696</c:v>
                </c:pt>
                <c:pt idx="766">
                  <c:v>42697</c:v>
                </c:pt>
                <c:pt idx="767">
                  <c:v>42699</c:v>
                </c:pt>
                <c:pt idx="768">
                  <c:v>42702</c:v>
                </c:pt>
                <c:pt idx="769">
                  <c:v>42703</c:v>
                </c:pt>
                <c:pt idx="770">
                  <c:v>42704</c:v>
                </c:pt>
                <c:pt idx="771">
                  <c:v>42705</c:v>
                </c:pt>
                <c:pt idx="772">
                  <c:v>42706</c:v>
                </c:pt>
                <c:pt idx="773">
                  <c:v>42709</c:v>
                </c:pt>
                <c:pt idx="774">
                  <c:v>42710</c:v>
                </c:pt>
                <c:pt idx="775">
                  <c:v>42711</c:v>
                </c:pt>
                <c:pt idx="776">
                  <c:v>42712</c:v>
                </c:pt>
                <c:pt idx="777">
                  <c:v>42713</c:v>
                </c:pt>
                <c:pt idx="778">
                  <c:v>42716</c:v>
                </c:pt>
                <c:pt idx="779">
                  <c:v>42717</c:v>
                </c:pt>
                <c:pt idx="780">
                  <c:v>42718</c:v>
                </c:pt>
                <c:pt idx="781">
                  <c:v>42719</c:v>
                </c:pt>
                <c:pt idx="782">
                  <c:v>42720</c:v>
                </c:pt>
                <c:pt idx="783">
                  <c:v>42723</c:v>
                </c:pt>
                <c:pt idx="784">
                  <c:v>42724</c:v>
                </c:pt>
                <c:pt idx="785">
                  <c:v>42725</c:v>
                </c:pt>
                <c:pt idx="786">
                  <c:v>42726</c:v>
                </c:pt>
                <c:pt idx="787">
                  <c:v>42727</c:v>
                </c:pt>
                <c:pt idx="788">
                  <c:v>42731</c:v>
                </c:pt>
                <c:pt idx="789">
                  <c:v>42732</c:v>
                </c:pt>
                <c:pt idx="790">
                  <c:v>42733</c:v>
                </c:pt>
                <c:pt idx="791">
                  <c:v>42734</c:v>
                </c:pt>
                <c:pt idx="792">
                  <c:v>42738</c:v>
                </c:pt>
                <c:pt idx="793">
                  <c:v>42739</c:v>
                </c:pt>
                <c:pt idx="794">
                  <c:v>42740</c:v>
                </c:pt>
                <c:pt idx="795">
                  <c:v>42741</c:v>
                </c:pt>
                <c:pt idx="796">
                  <c:v>42744</c:v>
                </c:pt>
                <c:pt idx="797">
                  <c:v>42745</c:v>
                </c:pt>
                <c:pt idx="798">
                  <c:v>42746</c:v>
                </c:pt>
                <c:pt idx="799">
                  <c:v>42747</c:v>
                </c:pt>
                <c:pt idx="800">
                  <c:v>42748</c:v>
                </c:pt>
                <c:pt idx="801">
                  <c:v>42752</c:v>
                </c:pt>
                <c:pt idx="802">
                  <c:v>42753</c:v>
                </c:pt>
                <c:pt idx="803">
                  <c:v>42754</c:v>
                </c:pt>
                <c:pt idx="804">
                  <c:v>42755</c:v>
                </c:pt>
                <c:pt idx="805">
                  <c:v>42758</c:v>
                </c:pt>
                <c:pt idx="806">
                  <c:v>42759</c:v>
                </c:pt>
                <c:pt idx="807">
                  <c:v>42760</c:v>
                </c:pt>
                <c:pt idx="808">
                  <c:v>42761</c:v>
                </c:pt>
                <c:pt idx="809">
                  <c:v>42762</c:v>
                </c:pt>
                <c:pt idx="810">
                  <c:v>42765</c:v>
                </c:pt>
                <c:pt idx="811">
                  <c:v>42766</c:v>
                </c:pt>
                <c:pt idx="812">
                  <c:v>42767</c:v>
                </c:pt>
                <c:pt idx="813">
                  <c:v>42768</c:v>
                </c:pt>
                <c:pt idx="814">
                  <c:v>42769</c:v>
                </c:pt>
                <c:pt idx="815">
                  <c:v>42772</c:v>
                </c:pt>
                <c:pt idx="816">
                  <c:v>42773</c:v>
                </c:pt>
                <c:pt idx="817">
                  <c:v>42774</c:v>
                </c:pt>
                <c:pt idx="818">
                  <c:v>42775</c:v>
                </c:pt>
                <c:pt idx="819">
                  <c:v>42776</c:v>
                </c:pt>
                <c:pt idx="820">
                  <c:v>42779</c:v>
                </c:pt>
                <c:pt idx="821">
                  <c:v>42780</c:v>
                </c:pt>
                <c:pt idx="822">
                  <c:v>42781</c:v>
                </c:pt>
                <c:pt idx="823">
                  <c:v>42782</c:v>
                </c:pt>
                <c:pt idx="824">
                  <c:v>42783</c:v>
                </c:pt>
                <c:pt idx="825">
                  <c:v>42787</c:v>
                </c:pt>
                <c:pt idx="826">
                  <c:v>42788</c:v>
                </c:pt>
                <c:pt idx="827">
                  <c:v>42789</c:v>
                </c:pt>
                <c:pt idx="828">
                  <c:v>42790</c:v>
                </c:pt>
                <c:pt idx="829">
                  <c:v>42793</c:v>
                </c:pt>
                <c:pt idx="830">
                  <c:v>42794</c:v>
                </c:pt>
                <c:pt idx="831">
                  <c:v>42795</c:v>
                </c:pt>
                <c:pt idx="832">
                  <c:v>42796</c:v>
                </c:pt>
                <c:pt idx="833">
                  <c:v>42797</c:v>
                </c:pt>
                <c:pt idx="834">
                  <c:v>42800</c:v>
                </c:pt>
                <c:pt idx="835">
                  <c:v>42801</c:v>
                </c:pt>
                <c:pt idx="836">
                  <c:v>42802</c:v>
                </c:pt>
                <c:pt idx="837">
                  <c:v>42803</c:v>
                </c:pt>
                <c:pt idx="838">
                  <c:v>42804</c:v>
                </c:pt>
                <c:pt idx="839">
                  <c:v>42807</c:v>
                </c:pt>
                <c:pt idx="840">
                  <c:v>42808</c:v>
                </c:pt>
                <c:pt idx="841">
                  <c:v>42809</c:v>
                </c:pt>
                <c:pt idx="842">
                  <c:v>42810</c:v>
                </c:pt>
                <c:pt idx="843">
                  <c:v>42811</c:v>
                </c:pt>
                <c:pt idx="844">
                  <c:v>42814</c:v>
                </c:pt>
                <c:pt idx="845">
                  <c:v>42815</c:v>
                </c:pt>
                <c:pt idx="846">
                  <c:v>42816</c:v>
                </c:pt>
                <c:pt idx="847">
                  <c:v>42817</c:v>
                </c:pt>
                <c:pt idx="848">
                  <c:v>42818</c:v>
                </c:pt>
                <c:pt idx="849">
                  <c:v>42821</c:v>
                </c:pt>
                <c:pt idx="850">
                  <c:v>42822</c:v>
                </c:pt>
                <c:pt idx="851">
                  <c:v>42823</c:v>
                </c:pt>
                <c:pt idx="852">
                  <c:v>42824</c:v>
                </c:pt>
                <c:pt idx="853">
                  <c:v>42825</c:v>
                </c:pt>
                <c:pt idx="854">
                  <c:v>42828</c:v>
                </c:pt>
                <c:pt idx="855">
                  <c:v>42829</c:v>
                </c:pt>
                <c:pt idx="856">
                  <c:v>42830</c:v>
                </c:pt>
                <c:pt idx="857">
                  <c:v>42831</c:v>
                </c:pt>
                <c:pt idx="858">
                  <c:v>42832</c:v>
                </c:pt>
                <c:pt idx="859">
                  <c:v>42835</c:v>
                </c:pt>
                <c:pt idx="860">
                  <c:v>42836</c:v>
                </c:pt>
                <c:pt idx="861">
                  <c:v>42837</c:v>
                </c:pt>
                <c:pt idx="862">
                  <c:v>42838</c:v>
                </c:pt>
                <c:pt idx="863">
                  <c:v>42842</c:v>
                </c:pt>
                <c:pt idx="864">
                  <c:v>42843</c:v>
                </c:pt>
                <c:pt idx="865">
                  <c:v>42844</c:v>
                </c:pt>
                <c:pt idx="866">
                  <c:v>42845</c:v>
                </c:pt>
                <c:pt idx="867">
                  <c:v>42846</c:v>
                </c:pt>
                <c:pt idx="868">
                  <c:v>42849</c:v>
                </c:pt>
                <c:pt idx="869">
                  <c:v>42850</c:v>
                </c:pt>
                <c:pt idx="870">
                  <c:v>42851</c:v>
                </c:pt>
                <c:pt idx="871">
                  <c:v>42852</c:v>
                </c:pt>
                <c:pt idx="872">
                  <c:v>42853</c:v>
                </c:pt>
                <c:pt idx="873">
                  <c:v>42856</c:v>
                </c:pt>
                <c:pt idx="874">
                  <c:v>42857</c:v>
                </c:pt>
                <c:pt idx="875">
                  <c:v>42858</c:v>
                </c:pt>
                <c:pt idx="876">
                  <c:v>42859</c:v>
                </c:pt>
                <c:pt idx="877">
                  <c:v>42860</c:v>
                </c:pt>
                <c:pt idx="878">
                  <c:v>42863</c:v>
                </c:pt>
                <c:pt idx="879">
                  <c:v>42864</c:v>
                </c:pt>
                <c:pt idx="880">
                  <c:v>42865</c:v>
                </c:pt>
                <c:pt idx="881">
                  <c:v>42866</c:v>
                </c:pt>
                <c:pt idx="882">
                  <c:v>42867</c:v>
                </c:pt>
                <c:pt idx="883">
                  <c:v>42870</c:v>
                </c:pt>
                <c:pt idx="884">
                  <c:v>42871</c:v>
                </c:pt>
                <c:pt idx="885">
                  <c:v>42872</c:v>
                </c:pt>
                <c:pt idx="886">
                  <c:v>42873</c:v>
                </c:pt>
                <c:pt idx="887">
                  <c:v>42874</c:v>
                </c:pt>
                <c:pt idx="888">
                  <c:v>42877</c:v>
                </c:pt>
                <c:pt idx="889">
                  <c:v>42878</c:v>
                </c:pt>
                <c:pt idx="890">
                  <c:v>42879</c:v>
                </c:pt>
                <c:pt idx="891">
                  <c:v>42880</c:v>
                </c:pt>
                <c:pt idx="892">
                  <c:v>42881</c:v>
                </c:pt>
                <c:pt idx="893">
                  <c:v>42885</c:v>
                </c:pt>
                <c:pt idx="894">
                  <c:v>42886</c:v>
                </c:pt>
                <c:pt idx="895">
                  <c:v>42887</c:v>
                </c:pt>
                <c:pt idx="896">
                  <c:v>42888</c:v>
                </c:pt>
                <c:pt idx="897">
                  <c:v>42891</c:v>
                </c:pt>
                <c:pt idx="898">
                  <c:v>42892</c:v>
                </c:pt>
                <c:pt idx="899">
                  <c:v>42893</c:v>
                </c:pt>
                <c:pt idx="900">
                  <c:v>42894</c:v>
                </c:pt>
                <c:pt idx="901">
                  <c:v>42895</c:v>
                </c:pt>
                <c:pt idx="902">
                  <c:v>42898</c:v>
                </c:pt>
                <c:pt idx="903">
                  <c:v>42899</c:v>
                </c:pt>
                <c:pt idx="904">
                  <c:v>42900</c:v>
                </c:pt>
                <c:pt idx="905">
                  <c:v>42901</c:v>
                </c:pt>
                <c:pt idx="906">
                  <c:v>42902</c:v>
                </c:pt>
                <c:pt idx="907">
                  <c:v>42905</c:v>
                </c:pt>
                <c:pt idx="908">
                  <c:v>42906</c:v>
                </c:pt>
                <c:pt idx="909">
                  <c:v>42907</c:v>
                </c:pt>
                <c:pt idx="910">
                  <c:v>42908</c:v>
                </c:pt>
                <c:pt idx="911">
                  <c:v>42909</c:v>
                </c:pt>
                <c:pt idx="912">
                  <c:v>42912</c:v>
                </c:pt>
                <c:pt idx="913">
                  <c:v>42913</c:v>
                </c:pt>
                <c:pt idx="914">
                  <c:v>42914</c:v>
                </c:pt>
                <c:pt idx="915">
                  <c:v>42915</c:v>
                </c:pt>
                <c:pt idx="916">
                  <c:v>42916</c:v>
                </c:pt>
                <c:pt idx="917">
                  <c:v>42919</c:v>
                </c:pt>
                <c:pt idx="918">
                  <c:v>42921</c:v>
                </c:pt>
                <c:pt idx="919">
                  <c:v>42922</c:v>
                </c:pt>
                <c:pt idx="920">
                  <c:v>42923</c:v>
                </c:pt>
                <c:pt idx="921">
                  <c:v>42926</c:v>
                </c:pt>
                <c:pt idx="922">
                  <c:v>42927</c:v>
                </c:pt>
                <c:pt idx="923">
                  <c:v>42928</c:v>
                </c:pt>
                <c:pt idx="924">
                  <c:v>42929</c:v>
                </c:pt>
                <c:pt idx="925">
                  <c:v>42930</c:v>
                </c:pt>
                <c:pt idx="926">
                  <c:v>42933</c:v>
                </c:pt>
                <c:pt idx="927">
                  <c:v>42934</c:v>
                </c:pt>
                <c:pt idx="928">
                  <c:v>42935</c:v>
                </c:pt>
                <c:pt idx="929">
                  <c:v>42936</c:v>
                </c:pt>
                <c:pt idx="930">
                  <c:v>42937</c:v>
                </c:pt>
                <c:pt idx="931">
                  <c:v>42940</c:v>
                </c:pt>
                <c:pt idx="932">
                  <c:v>42941</c:v>
                </c:pt>
                <c:pt idx="933">
                  <c:v>42942</c:v>
                </c:pt>
                <c:pt idx="934">
                  <c:v>42943</c:v>
                </c:pt>
                <c:pt idx="935">
                  <c:v>42944</c:v>
                </c:pt>
                <c:pt idx="936">
                  <c:v>42947</c:v>
                </c:pt>
                <c:pt idx="937">
                  <c:v>42948</c:v>
                </c:pt>
                <c:pt idx="938">
                  <c:v>42949</c:v>
                </c:pt>
                <c:pt idx="939">
                  <c:v>42950</c:v>
                </c:pt>
                <c:pt idx="940">
                  <c:v>42951</c:v>
                </c:pt>
                <c:pt idx="941">
                  <c:v>42954</c:v>
                </c:pt>
                <c:pt idx="942">
                  <c:v>42955</c:v>
                </c:pt>
                <c:pt idx="943">
                  <c:v>42956</c:v>
                </c:pt>
                <c:pt idx="944">
                  <c:v>42957</c:v>
                </c:pt>
                <c:pt idx="945">
                  <c:v>42958</c:v>
                </c:pt>
                <c:pt idx="946">
                  <c:v>42961</c:v>
                </c:pt>
                <c:pt idx="947">
                  <c:v>42962</c:v>
                </c:pt>
                <c:pt idx="948">
                  <c:v>42963</c:v>
                </c:pt>
                <c:pt idx="949">
                  <c:v>42964</c:v>
                </c:pt>
                <c:pt idx="950">
                  <c:v>42965</c:v>
                </c:pt>
                <c:pt idx="951">
                  <c:v>42968</c:v>
                </c:pt>
                <c:pt idx="952">
                  <c:v>42969</c:v>
                </c:pt>
                <c:pt idx="953">
                  <c:v>42970</c:v>
                </c:pt>
                <c:pt idx="954">
                  <c:v>42971</c:v>
                </c:pt>
                <c:pt idx="955">
                  <c:v>42972</c:v>
                </c:pt>
                <c:pt idx="956">
                  <c:v>42975</c:v>
                </c:pt>
                <c:pt idx="957">
                  <c:v>42976</c:v>
                </c:pt>
                <c:pt idx="958">
                  <c:v>42977</c:v>
                </c:pt>
                <c:pt idx="959">
                  <c:v>42978</c:v>
                </c:pt>
                <c:pt idx="960">
                  <c:v>42979</c:v>
                </c:pt>
                <c:pt idx="961">
                  <c:v>42983</c:v>
                </c:pt>
                <c:pt idx="962">
                  <c:v>42984</c:v>
                </c:pt>
                <c:pt idx="963">
                  <c:v>42985</c:v>
                </c:pt>
                <c:pt idx="964">
                  <c:v>42986</c:v>
                </c:pt>
                <c:pt idx="965">
                  <c:v>42989</c:v>
                </c:pt>
                <c:pt idx="966">
                  <c:v>42990</c:v>
                </c:pt>
                <c:pt idx="967">
                  <c:v>42991</c:v>
                </c:pt>
                <c:pt idx="968">
                  <c:v>42992</c:v>
                </c:pt>
                <c:pt idx="969">
                  <c:v>42993</c:v>
                </c:pt>
                <c:pt idx="970">
                  <c:v>42996</c:v>
                </c:pt>
                <c:pt idx="971">
                  <c:v>42997</c:v>
                </c:pt>
                <c:pt idx="972">
                  <c:v>42998</c:v>
                </c:pt>
                <c:pt idx="973">
                  <c:v>42999</c:v>
                </c:pt>
                <c:pt idx="974">
                  <c:v>43000</c:v>
                </c:pt>
                <c:pt idx="975">
                  <c:v>43003</c:v>
                </c:pt>
                <c:pt idx="976">
                  <c:v>43004</c:v>
                </c:pt>
                <c:pt idx="977">
                  <c:v>43005</c:v>
                </c:pt>
                <c:pt idx="978">
                  <c:v>43006</c:v>
                </c:pt>
                <c:pt idx="979">
                  <c:v>43007</c:v>
                </c:pt>
                <c:pt idx="980">
                  <c:v>43010</c:v>
                </c:pt>
                <c:pt idx="981">
                  <c:v>43011</c:v>
                </c:pt>
                <c:pt idx="982">
                  <c:v>43012</c:v>
                </c:pt>
                <c:pt idx="983">
                  <c:v>43013</c:v>
                </c:pt>
                <c:pt idx="984">
                  <c:v>43014</c:v>
                </c:pt>
                <c:pt idx="985">
                  <c:v>43017</c:v>
                </c:pt>
                <c:pt idx="986">
                  <c:v>43018</c:v>
                </c:pt>
                <c:pt idx="987">
                  <c:v>43019</c:v>
                </c:pt>
                <c:pt idx="988">
                  <c:v>43020</c:v>
                </c:pt>
                <c:pt idx="989">
                  <c:v>43021</c:v>
                </c:pt>
                <c:pt idx="990">
                  <c:v>43024</c:v>
                </c:pt>
                <c:pt idx="991">
                  <c:v>43025</c:v>
                </c:pt>
                <c:pt idx="992">
                  <c:v>43026</c:v>
                </c:pt>
                <c:pt idx="993">
                  <c:v>43027</c:v>
                </c:pt>
                <c:pt idx="994">
                  <c:v>43028</c:v>
                </c:pt>
                <c:pt idx="995">
                  <c:v>43031</c:v>
                </c:pt>
                <c:pt idx="996">
                  <c:v>43032</c:v>
                </c:pt>
                <c:pt idx="997">
                  <c:v>43033</c:v>
                </c:pt>
                <c:pt idx="998">
                  <c:v>43034</c:v>
                </c:pt>
                <c:pt idx="999">
                  <c:v>43035</c:v>
                </c:pt>
                <c:pt idx="1000">
                  <c:v>43038</c:v>
                </c:pt>
                <c:pt idx="1001">
                  <c:v>43039</c:v>
                </c:pt>
                <c:pt idx="1002">
                  <c:v>43040</c:v>
                </c:pt>
                <c:pt idx="1003">
                  <c:v>43041</c:v>
                </c:pt>
                <c:pt idx="1004">
                  <c:v>43042</c:v>
                </c:pt>
                <c:pt idx="1005">
                  <c:v>43045</c:v>
                </c:pt>
                <c:pt idx="1006">
                  <c:v>43046</c:v>
                </c:pt>
                <c:pt idx="1007">
                  <c:v>43047</c:v>
                </c:pt>
                <c:pt idx="1008">
                  <c:v>43048</c:v>
                </c:pt>
                <c:pt idx="1009">
                  <c:v>43049</c:v>
                </c:pt>
                <c:pt idx="1010">
                  <c:v>43052</c:v>
                </c:pt>
                <c:pt idx="1011">
                  <c:v>43053</c:v>
                </c:pt>
                <c:pt idx="1012">
                  <c:v>43054</c:v>
                </c:pt>
                <c:pt idx="1013">
                  <c:v>43055</c:v>
                </c:pt>
                <c:pt idx="1014">
                  <c:v>43056</c:v>
                </c:pt>
                <c:pt idx="1015">
                  <c:v>43059</c:v>
                </c:pt>
                <c:pt idx="1016">
                  <c:v>43060</c:v>
                </c:pt>
                <c:pt idx="1017">
                  <c:v>43061</c:v>
                </c:pt>
                <c:pt idx="1018">
                  <c:v>43063</c:v>
                </c:pt>
                <c:pt idx="1019">
                  <c:v>43066</c:v>
                </c:pt>
                <c:pt idx="1020">
                  <c:v>43067</c:v>
                </c:pt>
                <c:pt idx="1021">
                  <c:v>43068</c:v>
                </c:pt>
                <c:pt idx="1022">
                  <c:v>43069</c:v>
                </c:pt>
                <c:pt idx="1023">
                  <c:v>43070</c:v>
                </c:pt>
                <c:pt idx="1024">
                  <c:v>43073</c:v>
                </c:pt>
                <c:pt idx="1025">
                  <c:v>43074</c:v>
                </c:pt>
                <c:pt idx="1026">
                  <c:v>43075</c:v>
                </c:pt>
                <c:pt idx="1027">
                  <c:v>43076</c:v>
                </c:pt>
                <c:pt idx="1028">
                  <c:v>43077</c:v>
                </c:pt>
                <c:pt idx="1029">
                  <c:v>43080</c:v>
                </c:pt>
                <c:pt idx="1030">
                  <c:v>43081</c:v>
                </c:pt>
                <c:pt idx="1031">
                  <c:v>43082</c:v>
                </c:pt>
                <c:pt idx="1032">
                  <c:v>43083</c:v>
                </c:pt>
                <c:pt idx="1033">
                  <c:v>43084</c:v>
                </c:pt>
                <c:pt idx="1034">
                  <c:v>43087</c:v>
                </c:pt>
                <c:pt idx="1035">
                  <c:v>43088</c:v>
                </c:pt>
                <c:pt idx="1036">
                  <c:v>43089</c:v>
                </c:pt>
                <c:pt idx="1037">
                  <c:v>43090</c:v>
                </c:pt>
                <c:pt idx="1038">
                  <c:v>43091</c:v>
                </c:pt>
                <c:pt idx="1039">
                  <c:v>43095</c:v>
                </c:pt>
                <c:pt idx="1040">
                  <c:v>43096</c:v>
                </c:pt>
                <c:pt idx="1041">
                  <c:v>43097</c:v>
                </c:pt>
                <c:pt idx="1042">
                  <c:v>43098</c:v>
                </c:pt>
                <c:pt idx="1043">
                  <c:v>43102</c:v>
                </c:pt>
                <c:pt idx="1044">
                  <c:v>43103</c:v>
                </c:pt>
                <c:pt idx="1045">
                  <c:v>43104</c:v>
                </c:pt>
                <c:pt idx="1046">
                  <c:v>43105</c:v>
                </c:pt>
                <c:pt idx="1047">
                  <c:v>43108</c:v>
                </c:pt>
                <c:pt idx="1048">
                  <c:v>43109</c:v>
                </c:pt>
                <c:pt idx="1049">
                  <c:v>43110</c:v>
                </c:pt>
                <c:pt idx="1050">
                  <c:v>43111</c:v>
                </c:pt>
                <c:pt idx="1051">
                  <c:v>43112</c:v>
                </c:pt>
                <c:pt idx="1052">
                  <c:v>43116</c:v>
                </c:pt>
                <c:pt idx="1053">
                  <c:v>43117</c:v>
                </c:pt>
                <c:pt idx="1054">
                  <c:v>43118</c:v>
                </c:pt>
                <c:pt idx="1055">
                  <c:v>43119</c:v>
                </c:pt>
                <c:pt idx="1056">
                  <c:v>43122</c:v>
                </c:pt>
                <c:pt idx="1057">
                  <c:v>43123</c:v>
                </c:pt>
                <c:pt idx="1058">
                  <c:v>43124</c:v>
                </c:pt>
                <c:pt idx="1059">
                  <c:v>43125</c:v>
                </c:pt>
                <c:pt idx="1060">
                  <c:v>43126</c:v>
                </c:pt>
                <c:pt idx="1061">
                  <c:v>43129</c:v>
                </c:pt>
                <c:pt idx="1062">
                  <c:v>43130</c:v>
                </c:pt>
                <c:pt idx="1063">
                  <c:v>43131</c:v>
                </c:pt>
                <c:pt idx="1064">
                  <c:v>43132</c:v>
                </c:pt>
                <c:pt idx="1065">
                  <c:v>43133</c:v>
                </c:pt>
                <c:pt idx="1066">
                  <c:v>43136</c:v>
                </c:pt>
                <c:pt idx="1067">
                  <c:v>43137</c:v>
                </c:pt>
                <c:pt idx="1068">
                  <c:v>43138</c:v>
                </c:pt>
                <c:pt idx="1069">
                  <c:v>43139</c:v>
                </c:pt>
                <c:pt idx="1070">
                  <c:v>43140</c:v>
                </c:pt>
                <c:pt idx="1071">
                  <c:v>43143</c:v>
                </c:pt>
                <c:pt idx="1072">
                  <c:v>43144</c:v>
                </c:pt>
                <c:pt idx="1073">
                  <c:v>43145</c:v>
                </c:pt>
                <c:pt idx="1074">
                  <c:v>43146</c:v>
                </c:pt>
                <c:pt idx="1075">
                  <c:v>43147</c:v>
                </c:pt>
                <c:pt idx="1076">
                  <c:v>43151</c:v>
                </c:pt>
                <c:pt idx="1077">
                  <c:v>43152</c:v>
                </c:pt>
                <c:pt idx="1078">
                  <c:v>43153</c:v>
                </c:pt>
                <c:pt idx="1079">
                  <c:v>43154</c:v>
                </c:pt>
                <c:pt idx="1080">
                  <c:v>43157</c:v>
                </c:pt>
                <c:pt idx="1081">
                  <c:v>43158</c:v>
                </c:pt>
                <c:pt idx="1082">
                  <c:v>43159</c:v>
                </c:pt>
                <c:pt idx="1083">
                  <c:v>43160</c:v>
                </c:pt>
                <c:pt idx="1084">
                  <c:v>43161</c:v>
                </c:pt>
                <c:pt idx="1085">
                  <c:v>43164</c:v>
                </c:pt>
                <c:pt idx="1086">
                  <c:v>43165</c:v>
                </c:pt>
                <c:pt idx="1087">
                  <c:v>43166</c:v>
                </c:pt>
                <c:pt idx="1088">
                  <c:v>43167</c:v>
                </c:pt>
                <c:pt idx="1089">
                  <c:v>43168</c:v>
                </c:pt>
                <c:pt idx="1090">
                  <c:v>43171</c:v>
                </c:pt>
                <c:pt idx="1091">
                  <c:v>43172</c:v>
                </c:pt>
                <c:pt idx="1092">
                  <c:v>43173</c:v>
                </c:pt>
                <c:pt idx="1093">
                  <c:v>43174</c:v>
                </c:pt>
                <c:pt idx="1094">
                  <c:v>43175</c:v>
                </c:pt>
                <c:pt idx="1095">
                  <c:v>43178</c:v>
                </c:pt>
                <c:pt idx="1096">
                  <c:v>43179</c:v>
                </c:pt>
                <c:pt idx="1097">
                  <c:v>43180</c:v>
                </c:pt>
                <c:pt idx="1098">
                  <c:v>43181</c:v>
                </c:pt>
                <c:pt idx="1099">
                  <c:v>43182</c:v>
                </c:pt>
                <c:pt idx="1100">
                  <c:v>43185</c:v>
                </c:pt>
                <c:pt idx="1101">
                  <c:v>43186</c:v>
                </c:pt>
                <c:pt idx="1102">
                  <c:v>43187</c:v>
                </c:pt>
                <c:pt idx="1103">
                  <c:v>43188</c:v>
                </c:pt>
                <c:pt idx="1104">
                  <c:v>43192</c:v>
                </c:pt>
                <c:pt idx="1105">
                  <c:v>43193</c:v>
                </c:pt>
                <c:pt idx="1106">
                  <c:v>43194</c:v>
                </c:pt>
                <c:pt idx="1107">
                  <c:v>43195</c:v>
                </c:pt>
                <c:pt idx="1108">
                  <c:v>43196</c:v>
                </c:pt>
                <c:pt idx="1109">
                  <c:v>43199</c:v>
                </c:pt>
                <c:pt idx="1110">
                  <c:v>43200</c:v>
                </c:pt>
                <c:pt idx="1111">
                  <c:v>43201</c:v>
                </c:pt>
                <c:pt idx="1112">
                  <c:v>43202</c:v>
                </c:pt>
                <c:pt idx="1113">
                  <c:v>43203</c:v>
                </c:pt>
                <c:pt idx="1114">
                  <c:v>43206</c:v>
                </c:pt>
                <c:pt idx="1115">
                  <c:v>43207</c:v>
                </c:pt>
                <c:pt idx="1116">
                  <c:v>43208</c:v>
                </c:pt>
                <c:pt idx="1117">
                  <c:v>43209</c:v>
                </c:pt>
                <c:pt idx="1118">
                  <c:v>43210</c:v>
                </c:pt>
                <c:pt idx="1119">
                  <c:v>43213</c:v>
                </c:pt>
                <c:pt idx="1120">
                  <c:v>43214</c:v>
                </c:pt>
                <c:pt idx="1121">
                  <c:v>43215</c:v>
                </c:pt>
                <c:pt idx="1122">
                  <c:v>43216</c:v>
                </c:pt>
                <c:pt idx="1123">
                  <c:v>43217</c:v>
                </c:pt>
                <c:pt idx="1124">
                  <c:v>43220</c:v>
                </c:pt>
                <c:pt idx="1125">
                  <c:v>43221</c:v>
                </c:pt>
                <c:pt idx="1126">
                  <c:v>43222</c:v>
                </c:pt>
                <c:pt idx="1127">
                  <c:v>43223</c:v>
                </c:pt>
                <c:pt idx="1128">
                  <c:v>43224</c:v>
                </c:pt>
                <c:pt idx="1129">
                  <c:v>43227</c:v>
                </c:pt>
                <c:pt idx="1130">
                  <c:v>43228</c:v>
                </c:pt>
                <c:pt idx="1131">
                  <c:v>43229</c:v>
                </c:pt>
                <c:pt idx="1132">
                  <c:v>43230</c:v>
                </c:pt>
                <c:pt idx="1133">
                  <c:v>43231</c:v>
                </c:pt>
                <c:pt idx="1134">
                  <c:v>43234</c:v>
                </c:pt>
                <c:pt idx="1135">
                  <c:v>43235</c:v>
                </c:pt>
                <c:pt idx="1136">
                  <c:v>43236</c:v>
                </c:pt>
                <c:pt idx="1137">
                  <c:v>43237</c:v>
                </c:pt>
                <c:pt idx="1138">
                  <c:v>43238</c:v>
                </c:pt>
                <c:pt idx="1139">
                  <c:v>43241</c:v>
                </c:pt>
                <c:pt idx="1140">
                  <c:v>43242</c:v>
                </c:pt>
                <c:pt idx="1141">
                  <c:v>43243</c:v>
                </c:pt>
                <c:pt idx="1142">
                  <c:v>43244</c:v>
                </c:pt>
                <c:pt idx="1143">
                  <c:v>43245</c:v>
                </c:pt>
                <c:pt idx="1144">
                  <c:v>43249</c:v>
                </c:pt>
                <c:pt idx="1145">
                  <c:v>43250</c:v>
                </c:pt>
                <c:pt idx="1146">
                  <c:v>43251</c:v>
                </c:pt>
                <c:pt idx="1147">
                  <c:v>43252</c:v>
                </c:pt>
                <c:pt idx="1148">
                  <c:v>43255</c:v>
                </c:pt>
                <c:pt idx="1149">
                  <c:v>43256</c:v>
                </c:pt>
                <c:pt idx="1150">
                  <c:v>43257</c:v>
                </c:pt>
                <c:pt idx="1151">
                  <c:v>43258</c:v>
                </c:pt>
                <c:pt idx="1152">
                  <c:v>43259</c:v>
                </c:pt>
                <c:pt idx="1153">
                  <c:v>43262</c:v>
                </c:pt>
                <c:pt idx="1154">
                  <c:v>43263</c:v>
                </c:pt>
                <c:pt idx="1155">
                  <c:v>43264</c:v>
                </c:pt>
                <c:pt idx="1156">
                  <c:v>43265</c:v>
                </c:pt>
                <c:pt idx="1157">
                  <c:v>43266</c:v>
                </c:pt>
                <c:pt idx="1158">
                  <c:v>43269</c:v>
                </c:pt>
                <c:pt idx="1159">
                  <c:v>43270</c:v>
                </c:pt>
                <c:pt idx="1160">
                  <c:v>43271</c:v>
                </c:pt>
                <c:pt idx="1161">
                  <c:v>43272</c:v>
                </c:pt>
                <c:pt idx="1162">
                  <c:v>43273</c:v>
                </c:pt>
                <c:pt idx="1163">
                  <c:v>43276</c:v>
                </c:pt>
                <c:pt idx="1164">
                  <c:v>43277</c:v>
                </c:pt>
                <c:pt idx="1165">
                  <c:v>43278</c:v>
                </c:pt>
                <c:pt idx="1166">
                  <c:v>43279</c:v>
                </c:pt>
                <c:pt idx="1167">
                  <c:v>43280</c:v>
                </c:pt>
                <c:pt idx="1168">
                  <c:v>43283</c:v>
                </c:pt>
                <c:pt idx="1169">
                  <c:v>43284</c:v>
                </c:pt>
                <c:pt idx="1170">
                  <c:v>43286</c:v>
                </c:pt>
                <c:pt idx="1171">
                  <c:v>43287</c:v>
                </c:pt>
                <c:pt idx="1172">
                  <c:v>43290</c:v>
                </c:pt>
                <c:pt idx="1173">
                  <c:v>43291</c:v>
                </c:pt>
                <c:pt idx="1174">
                  <c:v>43292</c:v>
                </c:pt>
                <c:pt idx="1175">
                  <c:v>43293</c:v>
                </c:pt>
                <c:pt idx="1176">
                  <c:v>43294</c:v>
                </c:pt>
                <c:pt idx="1177">
                  <c:v>43297</c:v>
                </c:pt>
                <c:pt idx="1178">
                  <c:v>43298</c:v>
                </c:pt>
                <c:pt idx="1179">
                  <c:v>43299</c:v>
                </c:pt>
                <c:pt idx="1180">
                  <c:v>43300</c:v>
                </c:pt>
                <c:pt idx="1181">
                  <c:v>43301</c:v>
                </c:pt>
                <c:pt idx="1182">
                  <c:v>43304</c:v>
                </c:pt>
                <c:pt idx="1183">
                  <c:v>43305</c:v>
                </c:pt>
                <c:pt idx="1184">
                  <c:v>43306</c:v>
                </c:pt>
                <c:pt idx="1185">
                  <c:v>43307</c:v>
                </c:pt>
                <c:pt idx="1186">
                  <c:v>43308</c:v>
                </c:pt>
                <c:pt idx="1187">
                  <c:v>43311</c:v>
                </c:pt>
                <c:pt idx="1188">
                  <c:v>43312</c:v>
                </c:pt>
                <c:pt idx="1189">
                  <c:v>43313</c:v>
                </c:pt>
                <c:pt idx="1190">
                  <c:v>43314</c:v>
                </c:pt>
                <c:pt idx="1191">
                  <c:v>43315</c:v>
                </c:pt>
                <c:pt idx="1192">
                  <c:v>43318</c:v>
                </c:pt>
                <c:pt idx="1193">
                  <c:v>43319</c:v>
                </c:pt>
                <c:pt idx="1194">
                  <c:v>43320</c:v>
                </c:pt>
                <c:pt idx="1195">
                  <c:v>43321</c:v>
                </c:pt>
                <c:pt idx="1196">
                  <c:v>43322</c:v>
                </c:pt>
                <c:pt idx="1197">
                  <c:v>43325</c:v>
                </c:pt>
                <c:pt idx="1198">
                  <c:v>43326</c:v>
                </c:pt>
                <c:pt idx="1199">
                  <c:v>43327</c:v>
                </c:pt>
                <c:pt idx="1200">
                  <c:v>43328</c:v>
                </c:pt>
                <c:pt idx="1201">
                  <c:v>43329</c:v>
                </c:pt>
                <c:pt idx="1202">
                  <c:v>43332</c:v>
                </c:pt>
                <c:pt idx="1203">
                  <c:v>43333</c:v>
                </c:pt>
                <c:pt idx="1204">
                  <c:v>43334</c:v>
                </c:pt>
                <c:pt idx="1205">
                  <c:v>43335</c:v>
                </c:pt>
                <c:pt idx="1206">
                  <c:v>43336</c:v>
                </c:pt>
                <c:pt idx="1207">
                  <c:v>43339</c:v>
                </c:pt>
                <c:pt idx="1208">
                  <c:v>43340</c:v>
                </c:pt>
                <c:pt idx="1209">
                  <c:v>43341</c:v>
                </c:pt>
                <c:pt idx="1210">
                  <c:v>43342</c:v>
                </c:pt>
                <c:pt idx="1211">
                  <c:v>43343</c:v>
                </c:pt>
                <c:pt idx="1212">
                  <c:v>43347</c:v>
                </c:pt>
                <c:pt idx="1213">
                  <c:v>43348</c:v>
                </c:pt>
                <c:pt idx="1214">
                  <c:v>43349</c:v>
                </c:pt>
                <c:pt idx="1215">
                  <c:v>43350</c:v>
                </c:pt>
                <c:pt idx="1216">
                  <c:v>43353</c:v>
                </c:pt>
                <c:pt idx="1217">
                  <c:v>43354</c:v>
                </c:pt>
                <c:pt idx="1218">
                  <c:v>43355</c:v>
                </c:pt>
                <c:pt idx="1219">
                  <c:v>43356</c:v>
                </c:pt>
                <c:pt idx="1220">
                  <c:v>43357</c:v>
                </c:pt>
                <c:pt idx="1221">
                  <c:v>43360</c:v>
                </c:pt>
                <c:pt idx="1222">
                  <c:v>43361</c:v>
                </c:pt>
                <c:pt idx="1223">
                  <c:v>43362</c:v>
                </c:pt>
                <c:pt idx="1224">
                  <c:v>43363</c:v>
                </c:pt>
                <c:pt idx="1225">
                  <c:v>43364</c:v>
                </c:pt>
                <c:pt idx="1226">
                  <c:v>43367</c:v>
                </c:pt>
                <c:pt idx="1227">
                  <c:v>43368</c:v>
                </c:pt>
                <c:pt idx="1228">
                  <c:v>43369</c:v>
                </c:pt>
                <c:pt idx="1229">
                  <c:v>43370</c:v>
                </c:pt>
                <c:pt idx="1230">
                  <c:v>43371</c:v>
                </c:pt>
                <c:pt idx="1231">
                  <c:v>43374</c:v>
                </c:pt>
                <c:pt idx="1232">
                  <c:v>43375</c:v>
                </c:pt>
                <c:pt idx="1233">
                  <c:v>43376</c:v>
                </c:pt>
                <c:pt idx="1234">
                  <c:v>43377</c:v>
                </c:pt>
                <c:pt idx="1235">
                  <c:v>43378</c:v>
                </c:pt>
                <c:pt idx="1236">
                  <c:v>43381</c:v>
                </c:pt>
                <c:pt idx="1237">
                  <c:v>43382</c:v>
                </c:pt>
                <c:pt idx="1238">
                  <c:v>43383</c:v>
                </c:pt>
                <c:pt idx="1239">
                  <c:v>43384</c:v>
                </c:pt>
                <c:pt idx="1240">
                  <c:v>43385</c:v>
                </c:pt>
                <c:pt idx="1241">
                  <c:v>43388</c:v>
                </c:pt>
                <c:pt idx="1242">
                  <c:v>43389</c:v>
                </c:pt>
                <c:pt idx="1243">
                  <c:v>43390</c:v>
                </c:pt>
                <c:pt idx="1244">
                  <c:v>43391</c:v>
                </c:pt>
                <c:pt idx="1245">
                  <c:v>43392</c:v>
                </c:pt>
                <c:pt idx="1246">
                  <c:v>43395</c:v>
                </c:pt>
                <c:pt idx="1247">
                  <c:v>43396</c:v>
                </c:pt>
                <c:pt idx="1248">
                  <c:v>43397</c:v>
                </c:pt>
                <c:pt idx="1249">
                  <c:v>43398</c:v>
                </c:pt>
                <c:pt idx="1250">
                  <c:v>43399</c:v>
                </c:pt>
                <c:pt idx="1251">
                  <c:v>43402</c:v>
                </c:pt>
                <c:pt idx="1252">
                  <c:v>43403</c:v>
                </c:pt>
                <c:pt idx="1253">
                  <c:v>43404</c:v>
                </c:pt>
                <c:pt idx="1254">
                  <c:v>43405</c:v>
                </c:pt>
                <c:pt idx="1255">
                  <c:v>43406</c:v>
                </c:pt>
                <c:pt idx="1256">
                  <c:v>43409</c:v>
                </c:pt>
                <c:pt idx="1257">
                  <c:v>43410</c:v>
                </c:pt>
                <c:pt idx="1258">
                  <c:v>43411</c:v>
                </c:pt>
                <c:pt idx="1259">
                  <c:v>43412</c:v>
                </c:pt>
                <c:pt idx="1260">
                  <c:v>43413</c:v>
                </c:pt>
                <c:pt idx="1261">
                  <c:v>43465</c:v>
                </c:pt>
                <c:pt idx="1262">
                  <c:v>43830</c:v>
                </c:pt>
                <c:pt idx="1263">
                  <c:v>44196</c:v>
                </c:pt>
                <c:pt idx="1264">
                  <c:v>44561</c:v>
                </c:pt>
                <c:pt idx="1265">
                  <c:v>44926</c:v>
                </c:pt>
                <c:pt idx="1266">
                  <c:v>45291</c:v>
                </c:pt>
                <c:pt idx="1267">
                  <c:v>45657</c:v>
                </c:pt>
                <c:pt idx="1268">
                  <c:v>46022</c:v>
                </c:pt>
                <c:pt idx="1269">
                  <c:v>46387</c:v>
                </c:pt>
                <c:pt idx="1270">
                  <c:v>46752</c:v>
                </c:pt>
                <c:pt idx="1271">
                  <c:v>47118</c:v>
                </c:pt>
              </c:numCache>
            </c:numRef>
          </c:cat>
          <c:val>
            <c:numRef>
              <c:f>'Share Price'!$C$9:$C$1280</c:f>
              <c:numCache>
                <c:formatCode>General</c:formatCode>
                <c:ptCount val="1272"/>
                <c:pt idx="1260" formatCode="_(* #,##0_);_(* \(#,##0\);_(* &quot;-&quot;??_);_(@_)">
                  <c:v>1712.43</c:v>
                </c:pt>
                <c:pt idx="1261" formatCode="_(* #,##0_);_(* \(#,##0\);_(* &quot;-&quot;??_);_(@_)">
                  <c:v>2071.0351800329709</c:v>
                </c:pt>
                <c:pt idx="1262" formatCode="_(* #,##0_);_(* \(#,##0\);_(* &quot;-&quot;??_);_(@_)">
                  <c:v>2242.508923986195</c:v>
                </c:pt>
                <c:pt idx="1263" formatCode="_(* #,##0_);_(* \(#,##0\);_(* &quot;-&quot;??_);_(@_)">
                  <c:v>2391.5500893990134</c:v>
                </c:pt>
                <c:pt idx="1264" formatCode="_(* #,##0_);_(* \(#,##0\);_(* &quot;-&quot;??_);_(@_)">
                  <c:v>2546.5233107809609</c:v>
                </c:pt>
                <c:pt idx="1265" formatCode="_(* #,##0_);_(* \(#,##0\);_(* &quot;-&quot;??_);_(@_)">
                  <c:v>2694.7719472911745</c:v>
                </c:pt>
                <c:pt idx="1266" formatCode="_(* #,##0_);_(* \(#,##0\);_(* &quot;-&quot;??_);_(@_)">
                  <c:v>2854.2593669776052</c:v>
                </c:pt>
                <c:pt idx="1267" formatCode="_(* #,##0_);_(* \(#,##0\);_(* &quot;-&quot;??_);_(@_)">
                  <c:v>3012.0501005528058</c:v>
                </c:pt>
                <c:pt idx="1268" formatCode="_(* #,##0_);_(* \(#,##0\);_(* &quot;-&quot;??_);_(@_)">
                  <c:v>3174.7910483832538</c:v>
                </c:pt>
                <c:pt idx="1269" formatCode="_(* #,##0_);_(* \(#,##0\);_(* &quot;-&quot;??_);_(@_)">
                  <c:v>3354.8404980001269</c:v>
                </c:pt>
                <c:pt idx="1270" formatCode="_(* #,##0_);_(* \(#,##0\);_(* &quot;-&quot;??_);_(@_)">
                  <c:v>3538.9702744960537</c:v>
                </c:pt>
                <c:pt idx="1271" formatCode="_(* #,##0_);_(* \(#,##0\);_(* &quot;-&quot;??_);_(@_)">
                  <c:v>3719.92160691558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9-4AA0-81C4-EF64D5FC3666}"/>
            </c:ext>
          </c:extLst>
        </c:ser>
        <c:ser>
          <c:idx val="2"/>
          <c:order val="3"/>
          <c:tx>
            <c:strRef>
              <c:f>'Share Price'!$E$8</c:f>
              <c:strCache>
                <c:ptCount val="1"/>
                <c:pt idx="0">
                  <c:v>Bear</c:v>
                </c:pt>
              </c:strCache>
            </c:strRef>
          </c:tx>
          <c:spPr>
            <a:ln w="15875" cap="rnd">
              <a:solidFill>
                <a:srgbClr val="ED942D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 Price'!$A$9:$A$1280</c:f>
              <c:numCache>
                <c:formatCode>[$-409]mmm\-dd\-yyyy;@</c:formatCode>
                <c:ptCount val="1272"/>
                <c:pt idx="0">
                  <c:v>41586</c:v>
                </c:pt>
                <c:pt idx="1">
                  <c:v>41589</c:v>
                </c:pt>
                <c:pt idx="2">
                  <c:v>41590</c:v>
                </c:pt>
                <c:pt idx="3">
                  <c:v>41591</c:v>
                </c:pt>
                <c:pt idx="4">
                  <c:v>41592</c:v>
                </c:pt>
                <c:pt idx="5">
                  <c:v>41593</c:v>
                </c:pt>
                <c:pt idx="6">
                  <c:v>41596</c:v>
                </c:pt>
                <c:pt idx="7">
                  <c:v>41597</c:v>
                </c:pt>
                <c:pt idx="8">
                  <c:v>41598</c:v>
                </c:pt>
                <c:pt idx="9">
                  <c:v>41599</c:v>
                </c:pt>
                <c:pt idx="10">
                  <c:v>41600</c:v>
                </c:pt>
                <c:pt idx="11">
                  <c:v>41603</c:v>
                </c:pt>
                <c:pt idx="12">
                  <c:v>41604</c:v>
                </c:pt>
                <c:pt idx="13">
                  <c:v>41605</c:v>
                </c:pt>
                <c:pt idx="14">
                  <c:v>41607</c:v>
                </c:pt>
                <c:pt idx="15">
                  <c:v>41610</c:v>
                </c:pt>
                <c:pt idx="16">
                  <c:v>41611</c:v>
                </c:pt>
                <c:pt idx="17">
                  <c:v>41612</c:v>
                </c:pt>
                <c:pt idx="18">
                  <c:v>41613</c:v>
                </c:pt>
                <c:pt idx="19">
                  <c:v>41614</c:v>
                </c:pt>
                <c:pt idx="20">
                  <c:v>41617</c:v>
                </c:pt>
                <c:pt idx="21">
                  <c:v>41618</c:v>
                </c:pt>
                <c:pt idx="22">
                  <c:v>41619</c:v>
                </c:pt>
                <c:pt idx="23">
                  <c:v>41620</c:v>
                </c:pt>
                <c:pt idx="24">
                  <c:v>41621</c:v>
                </c:pt>
                <c:pt idx="25">
                  <c:v>41624</c:v>
                </c:pt>
                <c:pt idx="26">
                  <c:v>41625</c:v>
                </c:pt>
                <c:pt idx="27">
                  <c:v>41626</c:v>
                </c:pt>
                <c:pt idx="28">
                  <c:v>41627</c:v>
                </c:pt>
                <c:pt idx="29">
                  <c:v>41628</c:v>
                </c:pt>
                <c:pt idx="30">
                  <c:v>41631</c:v>
                </c:pt>
                <c:pt idx="31">
                  <c:v>41632</c:v>
                </c:pt>
                <c:pt idx="32">
                  <c:v>41634</c:v>
                </c:pt>
                <c:pt idx="33">
                  <c:v>41635</c:v>
                </c:pt>
                <c:pt idx="34">
                  <c:v>41638</c:v>
                </c:pt>
                <c:pt idx="35">
                  <c:v>41639</c:v>
                </c:pt>
                <c:pt idx="36">
                  <c:v>41641</c:v>
                </c:pt>
                <c:pt idx="37">
                  <c:v>41642</c:v>
                </c:pt>
                <c:pt idx="38">
                  <c:v>41645</c:v>
                </c:pt>
                <c:pt idx="39">
                  <c:v>41646</c:v>
                </c:pt>
                <c:pt idx="40">
                  <c:v>41647</c:v>
                </c:pt>
                <c:pt idx="41">
                  <c:v>41648</c:v>
                </c:pt>
                <c:pt idx="42">
                  <c:v>41649</c:v>
                </c:pt>
                <c:pt idx="43">
                  <c:v>41652</c:v>
                </c:pt>
                <c:pt idx="44">
                  <c:v>41653</c:v>
                </c:pt>
                <c:pt idx="45">
                  <c:v>41654</c:v>
                </c:pt>
                <c:pt idx="46">
                  <c:v>41655</c:v>
                </c:pt>
                <c:pt idx="47">
                  <c:v>41656</c:v>
                </c:pt>
                <c:pt idx="48">
                  <c:v>41660</c:v>
                </c:pt>
                <c:pt idx="49">
                  <c:v>41661</c:v>
                </c:pt>
                <c:pt idx="50">
                  <c:v>41662</c:v>
                </c:pt>
                <c:pt idx="51">
                  <c:v>41663</c:v>
                </c:pt>
                <c:pt idx="52">
                  <c:v>41666</c:v>
                </c:pt>
                <c:pt idx="53">
                  <c:v>41667</c:v>
                </c:pt>
                <c:pt idx="54">
                  <c:v>41668</c:v>
                </c:pt>
                <c:pt idx="55">
                  <c:v>41669</c:v>
                </c:pt>
                <c:pt idx="56">
                  <c:v>41670</c:v>
                </c:pt>
                <c:pt idx="57">
                  <c:v>41673</c:v>
                </c:pt>
                <c:pt idx="58">
                  <c:v>41674</c:v>
                </c:pt>
                <c:pt idx="59">
                  <c:v>41675</c:v>
                </c:pt>
                <c:pt idx="60">
                  <c:v>41676</c:v>
                </c:pt>
                <c:pt idx="61">
                  <c:v>41677</c:v>
                </c:pt>
                <c:pt idx="62">
                  <c:v>41680</c:v>
                </c:pt>
                <c:pt idx="63">
                  <c:v>41681</c:v>
                </c:pt>
                <c:pt idx="64">
                  <c:v>41682</c:v>
                </c:pt>
                <c:pt idx="65">
                  <c:v>41683</c:v>
                </c:pt>
                <c:pt idx="66">
                  <c:v>41684</c:v>
                </c:pt>
                <c:pt idx="67">
                  <c:v>41688</c:v>
                </c:pt>
                <c:pt idx="68">
                  <c:v>41689</c:v>
                </c:pt>
                <c:pt idx="69">
                  <c:v>41690</c:v>
                </c:pt>
                <c:pt idx="70">
                  <c:v>41691</c:v>
                </c:pt>
                <c:pt idx="71">
                  <c:v>41694</c:v>
                </c:pt>
                <c:pt idx="72">
                  <c:v>41695</c:v>
                </c:pt>
                <c:pt idx="73">
                  <c:v>41696</c:v>
                </c:pt>
                <c:pt idx="74">
                  <c:v>41697</c:v>
                </c:pt>
                <c:pt idx="75">
                  <c:v>41698</c:v>
                </c:pt>
                <c:pt idx="76">
                  <c:v>41701</c:v>
                </c:pt>
                <c:pt idx="77">
                  <c:v>41702</c:v>
                </c:pt>
                <c:pt idx="78">
                  <c:v>41703</c:v>
                </c:pt>
                <c:pt idx="79">
                  <c:v>41704</c:v>
                </c:pt>
                <c:pt idx="80">
                  <c:v>41705</c:v>
                </c:pt>
                <c:pt idx="81">
                  <c:v>41708</c:v>
                </c:pt>
                <c:pt idx="82">
                  <c:v>41709</c:v>
                </c:pt>
                <c:pt idx="83">
                  <c:v>41710</c:v>
                </c:pt>
                <c:pt idx="84">
                  <c:v>41711</c:v>
                </c:pt>
                <c:pt idx="85">
                  <c:v>41712</c:v>
                </c:pt>
                <c:pt idx="86">
                  <c:v>41715</c:v>
                </c:pt>
                <c:pt idx="87">
                  <c:v>41716</c:v>
                </c:pt>
                <c:pt idx="88">
                  <c:v>41717</c:v>
                </c:pt>
                <c:pt idx="89">
                  <c:v>41718</c:v>
                </c:pt>
                <c:pt idx="90">
                  <c:v>41719</c:v>
                </c:pt>
                <c:pt idx="91">
                  <c:v>41722</c:v>
                </c:pt>
                <c:pt idx="92">
                  <c:v>41723</c:v>
                </c:pt>
                <c:pt idx="93">
                  <c:v>41724</c:v>
                </c:pt>
                <c:pt idx="94">
                  <c:v>41725</c:v>
                </c:pt>
                <c:pt idx="95">
                  <c:v>41726</c:v>
                </c:pt>
                <c:pt idx="96">
                  <c:v>41729</c:v>
                </c:pt>
                <c:pt idx="97">
                  <c:v>41730</c:v>
                </c:pt>
                <c:pt idx="98">
                  <c:v>41731</c:v>
                </c:pt>
                <c:pt idx="99">
                  <c:v>41732</c:v>
                </c:pt>
                <c:pt idx="100">
                  <c:v>41733</c:v>
                </c:pt>
                <c:pt idx="101">
                  <c:v>41736</c:v>
                </c:pt>
                <c:pt idx="102">
                  <c:v>41737</c:v>
                </c:pt>
                <c:pt idx="103">
                  <c:v>41738</c:v>
                </c:pt>
                <c:pt idx="104">
                  <c:v>41739</c:v>
                </c:pt>
                <c:pt idx="105">
                  <c:v>41740</c:v>
                </c:pt>
                <c:pt idx="106">
                  <c:v>41743</c:v>
                </c:pt>
                <c:pt idx="107">
                  <c:v>41744</c:v>
                </c:pt>
                <c:pt idx="108">
                  <c:v>41745</c:v>
                </c:pt>
                <c:pt idx="109">
                  <c:v>41746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41757</c:v>
                </c:pt>
                <c:pt idx="116">
                  <c:v>41758</c:v>
                </c:pt>
                <c:pt idx="117">
                  <c:v>41759</c:v>
                </c:pt>
                <c:pt idx="118">
                  <c:v>41760</c:v>
                </c:pt>
                <c:pt idx="119">
                  <c:v>41761</c:v>
                </c:pt>
                <c:pt idx="120">
                  <c:v>41764</c:v>
                </c:pt>
                <c:pt idx="121">
                  <c:v>41765</c:v>
                </c:pt>
                <c:pt idx="122">
                  <c:v>41766</c:v>
                </c:pt>
                <c:pt idx="123">
                  <c:v>41767</c:v>
                </c:pt>
                <c:pt idx="124">
                  <c:v>41768</c:v>
                </c:pt>
                <c:pt idx="125">
                  <c:v>41771</c:v>
                </c:pt>
                <c:pt idx="126">
                  <c:v>41772</c:v>
                </c:pt>
                <c:pt idx="127">
                  <c:v>41773</c:v>
                </c:pt>
                <c:pt idx="128">
                  <c:v>41774</c:v>
                </c:pt>
                <c:pt idx="129">
                  <c:v>41775</c:v>
                </c:pt>
                <c:pt idx="130">
                  <c:v>41778</c:v>
                </c:pt>
                <c:pt idx="131">
                  <c:v>41779</c:v>
                </c:pt>
                <c:pt idx="132">
                  <c:v>41780</c:v>
                </c:pt>
                <c:pt idx="133">
                  <c:v>41781</c:v>
                </c:pt>
                <c:pt idx="134">
                  <c:v>41782</c:v>
                </c:pt>
                <c:pt idx="135">
                  <c:v>41786</c:v>
                </c:pt>
                <c:pt idx="136">
                  <c:v>41787</c:v>
                </c:pt>
                <c:pt idx="137">
                  <c:v>41788</c:v>
                </c:pt>
                <c:pt idx="138">
                  <c:v>41789</c:v>
                </c:pt>
                <c:pt idx="139">
                  <c:v>41792</c:v>
                </c:pt>
                <c:pt idx="140">
                  <c:v>41793</c:v>
                </c:pt>
                <c:pt idx="141">
                  <c:v>41794</c:v>
                </c:pt>
                <c:pt idx="142">
                  <c:v>41795</c:v>
                </c:pt>
                <c:pt idx="143">
                  <c:v>41796</c:v>
                </c:pt>
                <c:pt idx="144">
                  <c:v>41799</c:v>
                </c:pt>
                <c:pt idx="145">
                  <c:v>41800</c:v>
                </c:pt>
                <c:pt idx="146">
                  <c:v>41801</c:v>
                </c:pt>
                <c:pt idx="147">
                  <c:v>41802</c:v>
                </c:pt>
                <c:pt idx="148">
                  <c:v>41803</c:v>
                </c:pt>
                <c:pt idx="149">
                  <c:v>41806</c:v>
                </c:pt>
                <c:pt idx="150">
                  <c:v>41807</c:v>
                </c:pt>
                <c:pt idx="151">
                  <c:v>41808</c:v>
                </c:pt>
                <c:pt idx="152">
                  <c:v>41809</c:v>
                </c:pt>
                <c:pt idx="153">
                  <c:v>41810</c:v>
                </c:pt>
                <c:pt idx="154">
                  <c:v>41813</c:v>
                </c:pt>
                <c:pt idx="155">
                  <c:v>41814</c:v>
                </c:pt>
                <c:pt idx="156">
                  <c:v>41815</c:v>
                </c:pt>
                <c:pt idx="157">
                  <c:v>41816</c:v>
                </c:pt>
                <c:pt idx="158">
                  <c:v>41817</c:v>
                </c:pt>
                <c:pt idx="159">
                  <c:v>41820</c:v>
                </c:pt>
                <c:pt idx="160">
                  <c:v>41821</c:v>
                </c:pt>
                <c:pt idx="161">
                  <c:v>41822</c:v>
                </c:pt>
                <c:pt idx="162">
                  <c:v>41823</c:v>
                </c:pt>
                <c:pt idx="163">
                  <c:v>41827</c:v>
                </c:pt>
                <c:pt idx="164">
                  <c:v>41828</c:v>
                </c:pt>
                <c:pt idx="165">
                  <c:v>41829</c:v>
                </c:pt>
                <c:pt idx="166">
                  <c:v>41830</c:v>
                </c:pt>
                <c:pt idx="167">
                  <c:v>41831</c:v>
                </c:pt>
                <c:pt idx="168">
                  <c:v>41834</c:v>
                </c:pt>
                <c:pt idx="169">
                  <c:v>41835</c:v>
                </c:pt>
                <c:pt idx="170">
                  <c:v>41836</c:v>
                </c:pt>
                <c:pt idx="171">
                  <c:v>41837</c:v>
                </c:pt>
                <c:pt idx="172">
                  <c:v>41838</c:v>
                </c:pt>
                <c:pt idx="173">
                  <c:v>41841</c:v>
                </c:pt>
                <c:pt idx="174">
                  <c:v>41842</c:v>
                </c:pt>
                <c:pt idx="175">
                  <c:v>41843</c:v>
                </c:pt>
                <c:pt idx="176">
                  <c:v>41844</c:v>
                </c:pt>
                <c:pt idx="177">
                  <c:v>41845</c:v>
                </c:pt>
                <c:pt idx="178">
                  <c:v>41848</c:v>
                </c:pt>
                <c:pt idx="179">
                  <c:v>41849</c:v>
                </c:pt>
                <c:pt idx="180">
                  <c:v>41850</c:v>
                </c:pt>
                <c:pt idx="181">
                  <c:v>41851</c:v>
                </c:pt>
                <c:pt idx="182">
                  <c:v>41852</c:v>
                </c:pt>
                <c:pt idx="183">
                  <c:v>41855</c:v>
                </c:pt>
                <c:pt idx="184">
                  <c:v>41856</c:v>
                </c:pt>
                <c:pt idx="185">
                  <c:v>41857</c:v>
                </c:pt>
                <c:pt idx="186">
                  <c:v>41858</c:v>
                </c:pt>
                <c:pt idx="187">
                  <c:v>41859</c:v>
                </c:pt>
                <c:pt idx="188">
                  <c:v>41862</c:v>
                </c:pt>
                <c:pt idx="189">
                  <c:v>41863</c:v>
                </c:pt>
                <c:pt idx="190">
                  <c:v>41864</c:v>
                </c:pt>
                <c:pt idx="191">
                  <c:v>41865</c:v>
                </c:pt>
                <c:pt idx="192">
                  <c:v>41866</c:v>
                </c:pt>
                <c:pt idx="193">
                  <c:v>41869</c:v>
                </c:pt>
                <c:pt idx="194">
                  <c:v>41870</c:v>
                </c:pt>
                <c:pt idx="195">
                  <c:v>41871</c:v>
                </c:pt>
                <c:pt idx="196">
                  <c:v>41872</c:v>
                </c:pt>
                <c:pt idx="197">
                  <c:v>41873</c:v>
                </c:pt>
                <c:pt idx="198">
                  <c:v>41876</c:v>
                </c:pt>
                <c:pt idx="199">
                  <c:v>41877</c:v>
                </c:pt>
                <c:pt idx="200">
                  <c:v>41878</c:v>
                </c:pt>
                <c:pt idx="201">
                  <c:v>41879</c:v>
                </c:pt>
                <c:pt idx="202">
                  <c:v>41880</c:v>
                </c:pt>
                <c:pt idx="203">
                  <c:v>41884</c:v>
                </c:pt>
                <c:pt idx="204">
                  <c:v>41885</c:v>
                </c:pt>
                <c:pt idx="205">
                  <c:v>41886</c:v>
                </c:pt>
                <c:pt idx="206">
                  <c:v>41887</c:v>
                </c:pt>
                <c:pt idx="207">
                  <c:v>41890</c:v>
                </c:pt>
                <c:pt idx="208">
                  <c:v>41891</c:v>
                </c:pt>
                <c:pt idx="209">
                  <c:v>41892</c:v>
                </c:pt>
                <c:pt idx="210">
                  <c:v>41893</c:v>
                </c:pt>
                <c:pt idx="211">
                  <c:v>41894</c:v>
                </c:pt>
                <c:pt idx="212">
                  <c:v>41897</c:v>
                </c:pt>
                <c:pt idx="213">
                  <c:v>41898</c:v>
                </c:pt>
                <c:pt idx="214">
                  <c:v>41899</c:v>
                </c:pt>
                <c:pt idx="215">
                  <c:v>41900</c:v>
                </c:pt>
                <c:pt idx="216">
                  <c:v>41901</c:v>
                </c:pt>
                <c:pt idx="217">
                  <c:v>41904</c:v>
                </c:pt>
                <c:pt idx="218">
                  <c:v>41905</c:v>
                </c:pt>
                <c:pt idx="219">
                  <c:v>41906</c:v>
                </c:pt>
                <c:pt idx="220">
                  <c:v>41907</c:v>
                </c:pt>
                <c:pt idx="221">
                  <c:v>41908</c:v>
                </c:pt>
                <c:pt idx="222">
                  <c:v>41911</c:v>
                </c:pt>
                <c:pt idx="223">
                  <c:v>41912</c:v>
                </c:pt>
                <c:pt idx="224">
                  <c:v>41913</c:v>
                </c:pt>
                <c:pt idx="225">
                  <c:v>41914</c:v>
                </c:pt>
                <c:pt idx="226">
                  <c:v>41915</c:v>
                </c:pt>
                <c:pt idx="227">
                  <c:v>41918</c:v>
                </c:pt>
                <c:pt idx="228">
                  <c:v>41919</c:v>
                </c:pt>
                <c:pt idx="229">
                  <c:v>41920</c:v>
                </c:pt>
                <c:pt idx="230">
                  <c:v>41921</c:v>
                </c:pt>
                <c:pt idx="231">
                  <c:v>41922</c:v>
                </c:pt>
                <c:pt idx="232">
                  <c:v>41925</c:v>
                </c:pt>
                <c:pt idx="233">
                  <c:v>41926</c:v>
                </c:pt>
                <c:pt idx="234">
                  <c:v>41927</c:v>
                </c:pt>
                <c:pt idx="235">
                  <c:v>41928</c:v>
                </c:pt>
                <c:pt idx="236">
                  <c:v>41929</c:v>
                </c:pt>
                <c:pt idx="237">
                  <c:v>41932</c:v>
                </c:pt>
                <c:pt idx="238">
                  <c:v>41933</c:v>
                </c:pt>
                <c:pt idx="239">
                  <c:v>41934</c:v>
                </c:pt>
                <c:pt idx="240">
                  <c:v>41935</c:v>
                </c:pt>
                <c:pt idx="241">
                  <c:v>41936</c:v>
                </c:pt>
                <c:pt idx="242">
                  <c:v>41939</c:v>
                </c:pt>
                <c:pt idx="243">
                  <c:v>41940</c:v>
                </c:pt>
                <c:pt idx="244">
                  <c:v>41941</c:v>
                </c:pt>
                <c:pt idx="245">
                  <c:v>41942</c:v>
                </c:pt>
                <c:pt idx="246">
                  <c:v>41943</c:v>
                </c:pt>
                <c:pt idx="247">
                  <c:v>41946</c:v>
                </c:pt>
                <c:pt idx="248">
                  <c:v>41947</c:v>
                </c:pt>
                <c:pt idx="249">
                  <c:v>41948</c:v>
                </c:pt>
                <c:pt idx="250">
                  <c:v>41949</c:v>
                </c:pt>
                <c:pt idx="251">
                  <c:v>41950</c:v>
                </c:pt>
                <c:pt idx="252">
                  <c:v>41953</c:v>
                </c:pt>
                <c:pt idx="253">
                  <c:v>41954</c:v>
                </c:pt>
                <c:pt idx="254">
                  <c:v>41955</c:v>
                </c:pt>
                <c:pt idx="255">
                  <c:v>41956</c:v>
                </c:pt>
                <c:pt idx="256">
                  <c:v>41957</c:v>
                </c:pt>
                <c:pt idx="257">
                  <c:v>41960</c:v>
                </c:pt>
                <c:pt idx="258">
                  <c:v>41961</c:v>
                </c:pt>
                <c:pt idx="259">
                  <c:v>41962</c:v>
                </c:pt>
                <c:pt idx="260">
                  <c:v>41963</c:v>
                </c:pt>
                <c:pt idx="261">
                  <c:v>41964</c:v>
                </c:pt>
                <c:pt idx="262">
                  <c:v>41967</c:v>
                </c:pt>
                <c:pt idx="263">
                  <c:v>41968</c:v>
                </c:pt>
                <c:pt idx="264">
                  <c:v>41969</c:v>
                </c:pt>
                <c:pt idx="265">
                  <c:v>41971</c:v>
                </c:pt>
                <c:pt idx="266">
                  <c:v>41974</c:v>
                </c:pt>
                <c:pt idx="267">
                  <c:v>41975</c:v>
                </c:pt>
                <c:pt idx="268">
                  <c:v>41976</c:v>
                </c:pt>
                <c:pt idx="269">
                  <c:v>41977</c:v>
                </c:pt>
                <c:pt idx="270">
                  <c:v>41978</c:v>
                </c:pt>
                <c:pt idx="271">
                  <c:v>41981</c:v>
                </c:pt>
                <c:pt idx="272">
                  <c:v>41982</c:v>
                </c:pt>
                <c:pt idx="273">
                  <c:v>41983</c:v>
                </c:pt>
                <c:pt idx="274">
                  <c:v>41984</c:v>
                </c:pt>
                <c:pt idx="275">
                  <c:v>41985</c:v>
                </c:pt>
                <c:pt idx="276">
                  <c:v>41988</c:v>
                </c:pt>
                <c:pt idx="277">
                  <c:v>41989</c:v>
                </c:pt>
                <c:pt idx="278">
                  <c:v>41990</c:v>
                </c:pt>
                <c:pt idx="279">
                  <c:v>41991</c:v>
                </c:pt>
                <c:pt idx="280">
                  <c:v>41992</c:v>
                </c:pt>
                <c:pt idx="281">
                  <c:v>41995</c:v>
                </c:pt>
                <c:pt idx="282">
                  <c:v>41996</c:v>
                </c:pt>
                <c:pt idx="283">
                  <c:v>41997</c:v>
                </c:pt>
                <c:pt idx="284">
                  <c:v>41999</c:v>
                </c:pt>
                <c:pt idx="285">
                  <c:v>42002</c:v>
                </c:pt>
                <c:pt idx="286">
                  <c:v>42003</c:v>
                </c:pt>
                <c:pt idx="287">
                  <c:v>42004</c:v>
                </c:pt>
                <c:pt idx="288">
                  <c:v>42006</c:v>
                </c:pt>
                <c:pt idx="289">
                  <c:v>42009</c:v>
                </c:pt>
                <c:pt idx="290">
                  <c:v>42010</c:v>
                </c:pt>
                <c:pt idx="291">
                  <c:v>42011</c:v>
                </c:pt>
                <c:pt idx="292">
                  <c:v>42012</c:v>
                </c:pt>
                <c:pt idx="293">
                  <c:v>42013</c:v>
                </c:pt>
                <c:pt idx="294">
                  <c:v>42016</c:v>
                </c:pt>
                <c:pt idx="295">
                  <c:v>42017</c:v>
                </c:pt>
                <c:pt idx="296">
                  <c:v>42018</c:v>
                </c:pt>
                <c:pt idx="297">
                  <c:v>42019</c:v>
                </c:pt>
                <c:pt idx="298">
                  <c:v>42020</c:v>
                </c:pt>
                <c:pt idx="299">
                  <c:v>42024</c:v>
                </c:pt>
                <c:pt idx="300">
                  <c:v>42025</c:v>
                </c:pt>
                <c:pt idx="301">
                  <c:v>42026</c:v>
                </c:pt>
                <c:pt idx="302">
                  <c:v>42027</c:v>
                </c:pt>
                <c:pt idx="303">
                  <c:v>42030</c:v>
                </c:pt>
                <c:pt idx="304">
                  <c:v>42031</c:v>
                </c:pt>
                <c:pt idx="305">
                  <c:v>42032</c:v>
                </c:pt>
                <c:pt idx="306">
                  <c:v>42033</c:v>
                </c:pt>
                <c:pt idx="307">
                  <c:v>42034</c:v>
                </c:pt>
                <c:pt idx="308">
                  <c:v>42037</c:v>
                </c:pt>
                <c:pt idx="309">
                  <c:v>42038</c:v>
                </c:pt>
                <c:pt idx="310">
                  <c:v>42039</c:v>
                </c:pt>
                <c:pt idx="311">
                  <c:v>42040</c:v>
                </c:pt>
                <c:pt idx="312">
                  <c:v>42041</c:v>
                </c:pt>
                <c:pt idx="313">
                  <c:v>42044</c:v>
                </c:pt>
                <c:pt idx="314">
                  <c:v>42045</c:v>
                </c:pt>
                <c:pt idx="315">
                  <c:v>42046</c:v>
                </c:pt>
                <c:pt idx="316">
                  <c:v>42047</c:v>
                </c:pt>
                <c:pt idx="317">
                  <c:v>42048</c:v>
                </c:pt>
                <c:pt idx="318">
                  <c:v>42052</c:v>
                </c:pt>
                <c:pt idx="319">
                  <c:v>42053</c:v>
                </c:pt>
                <c:pt idx="320">
                  <c:v>42054</c:v>
                </c:pt>
                <c:pt idx="321">
                  <c:v>42055</c:v>
                </c:pt>
                <c:pt idx="322">
                  <c:v>42058</c:v>
                </c:pt>
                <c:pt idx="323">
                  <c:v>42059</c:v>
                </c:pt>
                <c:pt idx="324">
                  <c:v>42060</c:v>
                </c:pt>
                <c:pt idx="325">
                  <c:v>42061</c:v>
                </c:pt>
                <c:pt idx="326">
                  <c:v>42062</c:v>
                </c:pt>
                <c:pt idx="327">
                  <c:v>42065</c:v>
                </c:pt>
                <c:pt idx="328">
                  <c:v>42066</c:v>
                </c:pt>
                <c:pt idx="329">
                  <c:v>42067</c:v>
                </c:pt>
                <c:pt idx="330">
                  <c:v>42068</c:v>
                </c:pt>
                <c:pt idx="331">
                  <c:v>42069</c:v>
                </c:pt>
                <c:pt idx="332">
                  <c:v>42072</c:v>
                </c:pt>
                <c:pt idx="333">
                  <c:v>42073</c:v>
                </c:pt>
                <c:pt idx="334">
                  <c:v>42074</c:v>
                </c:pt>
                <c:pt idx="335">
                  <c:v>42075</c:v>
                </c:pt>
                <c:pt idx="336">
                  <c:v>42076</c:v>
                </c:pt>
                <c:pt idx="337">
                  <c:v>42079</c:v>
                </c:pt>
                <c:pt idx="338">
                  <c:v>42080</c:v>
                </c:pt>
                <c:pt idx="339">
                  <c:v>42081</c:v>
                </c:pt>
                <c:pt idx="340">
                  <c:v>42082</c:v>
                </c:pt>
                <c:pt idx="341">
                  <c:v>42083</c:v>
                </c:pt>
                <c:pt idx="342">
                  <c:v>42086</c:v>
                </c:pt>
                <c:pt idx="343">
                  <c:v>42087</c:v>
                </c:pt>
                <c:pt idx="344">
                  <c:v>42088</c:v>
                </c:pt>
                <c:pt idx="345">
                  <c:v>42089</c:v>
                </c:pt>
                <c:pt idx="346">
                  <c:v>42090</c:v>
                </c:pt>
                <c:pt idx="347">
                  <c:v>42093</c:v>
                </c:pt>
                <c:pt idx="348">
                  <c:v>42094</c:v>
                </c:pt>
                <c:pt idx="349">
                  <c:v>42095</c:v>
                </c:pt>
                <c:pt idx="350">
                  <c:v>42096</c:v>
                </c:pt>
                <c:pt idx="351">
                  <c:v>42100</c:v>
                </c:pt>
                <c:pt idx="352">
                  <c:v>42101</c:v>
                </c:pt>
                <c:pt idx="353">
                  <c:v>42102</c:v>
                </c:pt>
                <c:pt idx="354">
                  <c:v>42103</c:v>
                </c:pt>
                <c:pt idx="355">
                  <c:v>42104</c:v>
                </c:pt>
                <c:pt idx="356">
                  <c:v>42107</c:v>
                </c:pt>
                <c:pt idx="357">
                  <c:v>42108</c:v>
                </c:pt>
                <c:pt idx="358">
                  <c:v>42109</c:v>
                </c:pt>
                <c:pt idx="359">
                  <c:v>42110</c:v>
                </c:pt>
                <c:pt idx="360">
                  <c:v>42111</c:v>
                </c:pt>
                <c:pt idx="361">
                  <c:v>42114</c:v>
                </c:pt>
                <c:pt idx="362">
                  <c:v>42115</c:v>
                </c:pt>
                <c:pt idx="363">
                  <c:v>42116</c:v>
                </c:pt>
                <c:pt idx="364">
                  <c:v>42117</c:v>
                </c:pt>
                <c:pt idx="365">
                  <c:v>42118</c:v>
                </c:pt>
                <c:pt idx="366">
                  <c:v>42121</c:v>
                </c:pt>
                <c:pt idx="367">
                  <c:v>42122</c:v>
                </c:pt>
                <c:pt idx="368">
                  <c:v>42123</c:v>
                </c:pt>
                <c:pt idx="369">
                  <c:v>42124</c:v>
                </c:pt>
                <c:pt idx="370">
                  <c:v>42125</c:v>
                </c:pt>
                <c:pt idx="371">
                  <c:v>42128</c:v>
                </c:pt>
                <c:pt idx="372">
                  <c:v>42129</c:v>
                </c:pt>
                <c:pt idx="373">
                  <c:v>42130</c:v>
                </c:pt>
                <c:pt idx="374">
                  <c:v>42131</c:v>
                </c:pt>
                <c:pt idx="375">
                  <c:v>42132</c:v>
                </c:pt>
                <c:pt idx="376">
                  <c:v>42135</c:v>
                </c:pt>
                <c:pt idx="377">
                  <c:v>42136</c:v>
                </c:pt>
                <c:pt idx="378">
                  <c:v>42137</c:v>
                </c:pt>
                <c:pt idx="379">
                  <c:v>42138</c:v>
                </c:pt>
                <c:pt idx="380">
                  <c:v>42139</c:v>
                </c:pt>
                <c:pt idx="381">
                  <c:v>42142</c:v>
                </c:pt>
                <c:pt idx="382">
                  <c:v>42143</c:v>
                </c:pt>
                <c:pt idx="383">
                  <c:v>42144</c:v>
                </c:pt>
                <c:pt idx="384">
                  <c:v>42145</c:v>
                </c:pt>
                <c:pt idx="385">
                  <c:v>42146</c:v>
                </c:pt>
                <c:pt idx="386">
                  <c:v>42150</c:v>
                </c:pt>
                <c:pt idx="387">
                  <c:v>42151</c:v>
                </c:pt>
                <c:pt idx="388">
                  <c:v>42152</c:v>
                </c:pt>
                <c:pt idx="389">
                  <c:v>42153</c:v>
                </c:pt>
                <c:pt idx="390">
                  <c:v>42156</c:v>
                </c:pt>
                <c:pt idx="391">
                  <c:v>42157</c:v>
                </c:pt>
                <c:pt idx="392">
                  <c:v>42158</c:v>
                </c:pt>
                <c:pt idx="393">
                  <c:v>42159</c:v>
                </c:pt>
                <c:pt idx="394">
                  <c:v>42160</c:v>
                </c:pt>
                <c:pt idx="395">
                  <c:v>42163</c:v>
                </c:pt>
                <c:pt idx="396">
                  <c:v>42164</c:v>
                </c:pt>
                <c:pt idx="397">
                  <c:v>42165</c:v>
                </c:pt>
                <c:pt idx="398">
                  <c:v>42166</c:v>
                </c:pt>
                <c:pt idx="399">
                  <c:v>42167</c:v>
                </c:pt>
                <c:pt idx="400">
                  <c:v>42170</c:v>
                </c:pt>
                <c:pt idx="401">
                  <c:v>42171</c:v>
                </c:pt>
                <c:pt idx="402">
                  <c:v>42172</c:v>
                </c:pt>
                <c:pt idx="403">
                  <c:v>42173</c:v>
                </c:pt>
                <c:pt idx="404">
                  <c:v>42174</c:v>
                </c:pt>
                <c:pt idx="405">
                  <c:v>42177</c:v>
                </c:pt>
                <c:pt idx="406">
                  <c:v>42178</c:v>
                </c:pt>
                <c:pt idx="407">
                  <c:v>42179</c:v>
                </c:pt>
                <c:pt idx="408">
                  <c:v>42180</c:v>
                </c:pt>
                <c:pt idx="409">
                  <c:v>42181</c:v>
                </c:pt>
                <c:pt idx="410">
                  <c:v>42184</c:v>
                </c:pt>
                <c:pt idx="411">
                  <c:v>42185</c:v>
                </c:pt>
                <c:pt idx="412">
                  <c:v>42186</c:v>
                </c:pt>
                <c:pt idx="413">
                  <c:v>42187</c:v>
                </c:pt>
                <c:pt idx="414">
                  <c:v>42191</c:v>
                </c:pt>
                <c:pt idx="415">
                  <c:v>42192</c:v>
                </c:pt>
                <c:pt idx="416">
                  <c:v>42193</c:v>
                </c:pt>
                <c:pt idx="417">
                  <c:v>42194</c:v>
                </c:pt>
                <c:pt idx="418">
                  <c:v>42195</c:v>
                </c:pt>
                <c:pt idx="419">
                  <c:v>42198</c:v>
                </c:pt>
                <c:pt idx="420">
                  <c:v>42199</c:v>
                </c:pt>
                <c:pt idx="421">
                  <c:v>42200</c:v>
                </c:pt>
                <c:pt idx="422">
                  <c:v>42201</c:v>
                </c:pt>
                <c:pt idx="423">
                  <c:v>42202</c:v>
                </c:pt>
                <c:pt idx="424">
                  <c:v>42205</c:v>
                </c:pt>
                <c:pt idx="425">
                  <c:v>42206</c:v>
                </c:pt>
                <c:pt idx="426">
                  <c:v>42207</c:v>
                </c:pt>
                <c:pt idx="427">
                  <c:v>42208</c:v>
                </c:pt>
                <c:pt idx="428">
                  <c:v>42209</c:v>
                </c:pt>
                <c:pt idx="429">
                  <c:v>42212</c:v>
                </c:pt>
                <c:pt idx="430">
                  <c:v>42213</c:v>
                </c:pt>
                <c:pt idx="431">
                  <c:v>42214</c:v>
                </c:pt>
                <c:pt idx="432">
                  <c:v>42215</c:v>
                </c:pt>
                <c:pt idx="433">
                  <c:v>42216</c:v>
                </c:pt>
                <c:pt idx="434">
                  <c:v>42219</c:v>
                </c:pt>
                <c:pt idx="435">
                  <c:v>42220</c:v>
                </c:pt>
                <c:pt idx="436">
                  <c:v>42221</c:v>
                </c:pt>
                <c:pt idx="437">
                  <c:v>42222</c:v>
                </c:pt>
                <c:pt idx="438">
                  <c:v>42223</c:v>
                </c:pt>
                <c:pt idx="439">
                  <c:v>42226</c:v>
                </c:pt>
                <c:pt idx="440">
                  <c:v>42227</c:v>
                </c:pt>
                <c:pt idx="441">
                  <c:v>42228</c:v>
                </c:pt>
                <c:pt idx="442">
                  <c:v>42229</c:v>
                </c:pt>
                <c:pt idx="443">
                  <c:v>42230</c:v>
                </c:pt>
                <c:pt idx="444">
                  <c:v>42233</c:v>
                </c:pt>
                <c:pt idx="445">
                  <c:v>42234</c:v>
                </c:pt>
                <c:pt idx="446">
                  <c:v>42235</c:v>
                </c:pt>
                <c:pt idx="447">
                  <c:v>42236</c:v>
                </c:pt>
                <c:pt idx="448">
                  <c:v>42237</c:v>
                </c:pt>
                <c:pt idx="449">
                  <c:v>42240</c:v>
                </c:pt>
                <c:pt idx="450">
                  <c:v>42241</c:v>
                </c:pt>
                <c:pt idx="451">
                  <c:v>42242</c:v>
                </c:pt>
                <c:pt idx="452">
                  <c:v>42243</c:v>
                </c:pt>
                <c:pt idx="453">
                  <c:v>42244</c:v>
                </c:pt>
                <c:pt idx="454">
                  <c:v>42247</c:v>
                </c:pt>
                <c:pt idx="455">
                  <c:v>42248</c:v>
                </c:pt>
                <c:pt idx="456">
                  <c:v>42249</c:v>
                </c:pt>
                <c:pt idx="457">
                  <c:v>42250</c:v>
                </c:pt>
                <c:pt idx="458">
                  <c:v>42251</c:v>
                </c:pt>
                <c:pt idx="459">
                  <c:v>42255</c:v>
                </c:pt>
                <c:pt idx="460">
                  <c:v>42256</c:v>
                </c:pt>
                <c:pt idx="461">
                  <c:v>42257</c:v>
                </c:pt>
                <c:pt idx="462">
                  <c:v>42258</c:v>
                </c:pt>
                <c:pt idx="463">
                  <c:v>42261</c:v>
                </c:pt>
                <c:pt idx="464">
                  <c:v>42262</c:v>
                </c:pt>
                <c:pt idx="465">
                  <c:v>42263</c:v>
                </c:pt>
                <c:pt idx="466">
                  <c:v>42264</c:v>
                </c:pt>
                <c:pt idx="467">
                  <c:v>42265</c:v>
                </c:pt>
                <c:pt idx="468">
                  <c:v>42268</c:v>
                </c:pt>
                <c:pt idx="469">
                  <c:v>42269</c:v>
                </c:pt>
                <c:pt idx="470">
                  <c:v>42270</c:v>
                </c:pt>
                <c:pt idx="471">
                  <c:v>42271</c:v>
                </c:pt>
                <c:pt idx="472">
                  <c:v>42272</c:v>
                </c:pt>
                <c:pt idx="473">
                  <c:v>42275</c:v>
                </c:pt>
                <c:pt idx="474">
                  <c:v>42276</c:v>
                </c:pt>
                <c:pt idx="475">
                  <c:v>42277</c:v>
                </c:pt>
                <c:pt idx="476">
                  <c:v>42278</c:v>
                </c:pt>
                <c:pt idx="477">
                  <c:v>42279</c:v>
                </c:pt>
                <c:pt idx="478">
                  <c:v>42282</c:v>
                </c:pt>
                <c:pt idx="479">
                  <c:v>42283</c:v>
                </c:pt>
                <c:pt idx="480">
                  <c:v>42284</c:v>
                </c:pt>
                <c:pt idx="481">
                  <c:v>42285</c:v>
                </c:pt>
                <c:pt idx="482">
                  <c:v>42286</c:v>
                </c:pt>
                <c:pt idx="483">
                  <c:v>42289</c:v>
                </c:pt>
                <c:pt idx="484">
                  <c:v>42290</c:v>
                </c:pt>
                <c:pt idx="485">
                  <c:v>42291</c:v>
                </c:pt>
                <c:pt idx="486">
                  <c:v>42292</c:v>
                </c:pt>
                <c:pt idx="487">
                  <c:v>42293</c:v>
                </c:pt>
                <c:pt idx="488">
                  <c:v>42296</c:v>
                </c:pt>
                <c:pt idx="489">
                  <c:v>42297</c:v>
                </c:pt>
                <c:pt idx="490">
                  <c:v>42298</c:v>
                </c:pt>
                <c:pt idx="491">
                  <c:v>42299</c:v>
                </c:pt>
                <c:pt idx="492">
                  <c:v>42300</c:v>
                </c:pt>
                <c:pt idx="493">
                  <c:v>42303</c:v>
                </c:pt>
                <c:pt idx="494">
                  <c:v>42304</c:v>
                </c:pt>
                <c:pt idx="495">
                  <c:v>42305</c:v>
                </c:pt>
                <c:pt idx="496">
                  <c:v>42306</c:v>
                </c:pt>
                <c:pt idx="497">
                  <c:v>42307</c:v>
                </c:pt>
                <c:pt idx="498">
                  <c:v>42310</c:v>
                </c:pt>
                <c:pt idx="499">
                  <c:v>42311</c:v>
                </c:pt>
                <c:pt idx="500">
                  <c:v>42312</c:v>
                </c:pt>
                <c:pt idx="501">
                  <c:v>42313</c:v>
                </c:pt>
                <c:pt idx="502">
                  <c:v>42314</c:v>
                </c:pt>
                <c:pt idx="503">
                  <c:v>42317</c:v>
                </c:pt>
                <c:pt idx="504">
                  <c:v>42318</c:v>
                </c:pt>
                <c:pt idx="505">
                  <c:v>42319</c:v>
                </c:pt>
                <c:pt idx="506">
                  <c:v>42320</c:v>
                </c:pt>
                <c:pt idx="507">
                  <c:v>42321</c:v>
                </c:pt>
                <c:pt idx="508">
                  <c:v>42324</c:v>
                </c:pt>
                <c:pt idx="509">
                  <c:v>42325</c:v>
                </c:pt>
                <c:pt idx="510">
                  <c:v>42326</c:v>
                </c:pt>
                <c:pt idx="511">
                  <c:v>42327</c:v>
                </c:pt>
                <c:pt idx="512">
                  <c:v>42328</c:v>
                </c:pt>
                <c:pt idx="513">
                  <c:v>42331</c:v>
                </c:pt>
                <c:pt idx="514">
                  <c:v>42332</c:v>
                </c:pt>
                <c:pt idx="515">
                  <c:v>42333</c:v>
                </c:pt>
                <c:pt idx="516">
                  <c:v>42335</c:v>
                </c:pt>
                <c:pt idx="517">
                  <c:v>42338</c:v>
                </c:pt>
                <c:pt idx="518">
                  <c:v>42339</c:v>
                </c:pt>
                <c:pt idx="519">
                  <c:v>42340</c:v>
                </c:pt>
                <c:pt idx="520">
                  <c:v>42341</c:v>
                </c:pt>
                <c:pt idx="521">
                  <c:v>42342</c:v>
                </c:pt>
                <c:pt idx="522">
                  <c:v>42345</c:v>
                </c:pt>
                <c:pt idx="523">
                  <c:v>42346</c:v>
                </c:pt>
                <c:pt idx="524">
                  <c:v>42347</c:v>
                </c:pt>
                <c:pt idx="525">
                  <c:v>42348</c:v>
                </c:pt>
                <c:pt idx="526">
                  <c:v>42349</c:v>
                </c:pt>
                <c:pt idx="527">
                  <c:v>42352</c:v>
                </c:pt>
                <c:pt idx="528">
                  <c:v>42353</c:v>
                </c:pt>
                <c:pt idx="529">
                  <c:v>42354</c:v>
                </c:pt>
                <c:pt idx="530">
                  <c:v>42355</c:v>
                </c:pt>
                <c:pt idx="531">
                  <c:v>42356</c:v>
                </c:pt>
                <c:pt idx="532">
                  <c:v>42359</c:v>
                </c:pt>
                <c:pt idx="533">
                  <c:v>42360</c:v>
                </c:pt>
                <c:pt idx="534">
                  <c:v>42361</c:v>
                </c:pt>
                <c:pt idx="535">
                  <c:v>42362</c:v>
                </c:pt>
                <c:pt idx="536">
                  <c:v>42366</c:v>
                </c:pt>
                <c:pt idx="537">
                  <c:v>42367</c:v>
                </c:pt>
                <c:pt idx="538">
                  <c:v>42368</c:v>
                </c:pt>
                <c:pt idx="539">
                  <c:v>42369</c:v>
                </c:pt>
                <c:pt idx="540">
                  <c:v>42373</c:v>
                </c:pt>
                <c:pt idx="541">
                  <c:v>42374</c:v>
                </c:pt>
                <c:pt idx="542">
                  <c:v>42375</c:v>
                </c:pt>
                <c:pt idx="543">
                  <c:v>42376</c:v>
                </c:pt>
                <c:pt idx="544">
                  <c:v>42377</c:v>
                </c:pt>
                <c:pt idx="545">
                  <c:v>42380</c:v>
                </c:pt>
                <c:pt idx="546">
                  <c:v>42381</c:v>
                </c:pt>
                <c:pt idx="547">
                  <c:v>42382</c:v>
                </c:pt>
                <c:pt idx="548">
                  <c:v>42383</c:v>
                </c:pt>
                <c:pt idx="549">
                  <c:v>42384</c:v>
                </c:pt>
                <c:pt idx="550">
                  <c:v>42388</c:v>
                </c:pt>
                <c:pt idx="551">
                  <c:v>42389</c:v>
                </c:pt>
                <c:pt idx="552">
                  <c:v>42390</c:v>
                </c:pt>
                <c:pt idx="553">
                  <c:v>42391</c:v>
                </c:pt>
                <c:pt idx="554">
                  <c:v>42394</c:v>
                </c:pt>
                <c:pt idx="555">
                  <c:v>42395</c:v>
                </c:pt>
                <c:pt idx="556">
                  <c:v>42396</c:v>
                </c:pt>
                <c:pt idx="557">
                  <c:v>42397</c:v>
                </c:pt>
                <c:pt idx="558">
                  <c:v>42398</c:v>
                </c:pt>
                <c:pt idx="559">
                  <c:v>42401</c:v>
                </c:pt>
                <c:pt idx="560">
                  <c:v>42402</c:v>
                </c:pt>
                <c:pt idx="561">
                  <c:v>42403</c:v>
                </c:pt>
                <c:pt idx="562">
                  <c:v>42404</c:v>
                </c:pt>
                <c:pt idx="563">
                  <c:v>42405</c:v>
                </c:pt>
                <c:pt idx="564">
                  <c:v>42408</c:v>
                </c:pt>
                <c:pt idx="565">
                  <c:v>42409</c:v>
                </c:pt>
                <c:pt idx="566">
                  <c:v>42410</c:v>
                </c:pt>
                <c:pt idx="567">
                  <c:v>42411</c:v>
                </c:pt>
                <c:pt idx="568">
                  <c:v>42412</c:v>
                </c:pt>
                <c:pt idx="569">
                  <c:v>42416</c:v>
                </c:pt>
                <c:pt idx="570">
                  <c:v>42417</c:v>
                </c:pt>
                <c:pt idx="571">
                  <c:v>42418</c:v>
                </c:pt>
                <c:pt idx="572">
                  <c:v>42419</c:v>
                </c:pt>
                <c:pt idx="573">
                  <c:v>42422</c:v>
                </c:pt>
                <c:pt idx="574">
                  <c:v>42423</c:v>
                </c:pt>
                <c:pt idx="575">
                  <c:v>42424</c:v>
                </c:pt>
                <c:pt idx="576">
                  <c:v>42425</c:v>
                </c:pt>
                <c:pt idx="577">
                  <c:v>42426</c:v>
                </c:pt>
                <c:pt idx="578">
                  <c:v>42429</c:v>
                </c:pt>
                <c:pt idx="579">
                  <c:v>42430</c:v>
                </c:pt>
                <c:pt idx="580">
                  <c:v>42431</c:v>
                </c:pt>
                <c:pt idx="581">
                  <c:v>42432</c:v>
                </c:pt>
                <c:pt idx="582">
                  <c:v>42433</c:v>
                </c:pt>
                <c:pt idx="583">
                  <c:v>42436</c:v>
                </c:pt>
                <c:pt idx="584">
                  <c:v>42437</c:v>
                </c:pt>
                <c:pt idx="585">
                  <c:v>42438</c:v>
                </c:pt>
                <c:pt idx="586">
                  <c:v>42439</c:v>
                </c:pt>
                <c:pt idx="587">
                  <c:v>42440</c:v>
                </c:pt>
                <c:pt idx="588">
                  <c:v>42443</c:v>
                </c:pt>
                <c:pt idx="589">
                  <c:v>42444</c:v>
                </c:pt>
                <c:pt idx="590">
                  <c:v>42445</c:v>
                </c:pt>
                <c:pt idx="591">
                  <c:v>42446</c:v>
                </c:pt>
                <c:pt idx="592">
                  <c:v>42447</c:v>
                </c:pt>
                <c:pt idx="593">
                  <c:v>42450</c:v>
                </c:pt>
                <c:pt idx="594">
                  <c:v>42451</c:v>
                </c:pt>
                <c:pt idx="595">
                  <c:v>42452</c:v>
                </c:pt>
                <c:pt idx="596">
                  <c:v>42453</c:v>
                </c:pt>
                <c:pt idx="597">
                  <c:v>42457</c:v>
                </c:pt>
                <c:pt idx="598">
                  <c:v>42458</c:v>
                </c:pt>
                <c:pt idx="599">
                  <c:v>42459</c:v>
                </c:pt>
                <c:pt idx="600">
                  <c:v>42460</c:v>
                </c:pt>
                <c:pt idx="601">
                  <c:v>42461</c:v>
                </c:pt>
                <c:pt idx="602">
                  <c:v>42464</c:v>
                </c:pt>
                <c:pt idx="603">
                  <c:v>42465</c:v>
                </c:pt>
                <c:pt idx="604">
                  <c:v>42466</c:v>
                </c:pt>
                <c:pt idx="605">
                  <c:v>42467</c:v>
                </c:pt>
                <c:pt idx="606">
                  <c:v>42468</c:v>
                </c:pt>
                <c:pt idx="607">
                  <c:v>42471</c:v>
                </c:pt>
                <c:pt idx="608">
                  <c:v>42472</c:v>
                </c:pt>
                <c:pt idx="609">
                  <c:v>42473</c:v>
                </c:pt>
                <c:pt idx="610">
                  <c:v>42474</c:v>
                </c:pt>
                <c:pt idx="611">
                  <c:v>42475</c:v>
                </c:pt>
                <c:pt idx="612">
                  <c:v>42478</c:v>
                </c:pt>
                <c:pt idx="613">
                  <c:v>42479</c:v>
                </c:pt>
                <c:pt idx="614">
                  <c:v>42480</c:v>
                </c:pt>
                <c:pt idx="615">
                  <c:v>42481</c:v>
                </c:pt>
                <c:pt idx="616">
                  <c:v>42482</c:v>
                </c:pt>
                <c:pt idx="617">
                  <c:v>42485</c:v>
                </c:pt>
                <c:pt idx="618">
                  <c:v>42486</c:v>
                </c:pt>
                <c:pt idx="619">
                  <c:v>42487</c:v>
                </c:pt>
                <c:pt idx="620">
                  <c:v>42488</c:v>
                </c:pt>
                <c:pt idx="621">
                  <c:v>42489</c:v>
                </c:pt>
                <c:pt idx="622">
                  <c:v>42492</c:v>
                </c:pt>
                <c:pt idx="623">
                  <c:v>42493</c:v>
                </c:pt>
                <c:pt idx="624">
                  <c:v>42494</c:v>
                </c:pt>
                <c:pt idx="625">
                  <c:v>42495</c:v>
                </c:pt>
                <c:pt idx="626">
                  <c:v>42496</c:v>
                </c:pt>
                <c:pt idx="627">
                  <c:v>42499</c:v>
                </c:pt>
                <c:pt idx="628">
                  <c:v>42500</c:v>
                </c:pt>
                <c:pt idx="629">
                  <c:v>42501</c:v>
                </c:pt>
                <c:pt idx="630">
                  <c:v>42502</c:v>
                </c:pt>
                <c:pt idx="631">
                  <c:v>42503</c:v>
                </c:pt>
                <c:pt idx="632">
                  <c:v>42506</c:v>
                </c:pt>
                <c:pt idx="633">
                  <c:v>42507</c:v>
                </c:pt>
                <c:pt idx="634">
                  <c:v>42508</c:v>
                </c:pt>
                <c:pt idx="635">
                  <c:v>42509</c:v>
                </c:pt>
                <c:pt idx="636">
                  <c:v>42510</c:v>
                </c:pt>
                <c:pt idx="637">
                  <c:v>42513</c:v>
                </c:pt>
                <c:pt idx="638">
                  <c:v>42514</c:v>
                </c:pt>
                <c:pt idx="639">
                  <c:v>42515</c:v>
                </c:pt>
                <c:pt idx="640">
                  <c:v>42516</c:v>
                </c:pt>
                <c:pt idx="641">
                  <c:v>42517</c:v>
                </c:pt>
                <c:pt idx="642">
                  <c:v>42521</c:v>
                </c:pt>
                <c:pt idx="643">
                  <c:v>42522</c:v>
                </c:pt>
                <c:pt idx="644">
                  <c:v>42523</c:v>
                </c:pt>
                <c:pt idx="645">
                  <c:v>42524</c:v>
                </c:pt>
                <c:pt idx="646">
                  <c:v>42527</c:v>
                </c:pt>
                <c:pt idx="647">
                  <c:v>42528</c:v>
                </c:pt>
                <c:pt idx="648">
                  <c:v>42529</c:v>
                </c:pt>
                <c:pt idx="649">
                  <c:v>42530</c:v>
                </c:pt>
                <c:pt idx="650">
                  <c:v>42531</c:v>
                </c:pt>
                <c:pt idx="651">
                  <c:v>42534</c:v>
                </c:pt>
                <c:pt idx="652">
                  <c:v>42535</c:v>
                </c:pt>
                <c:pt idx="653">
                  <c:v>42536</c:v>
                </c:pt>
                <c:pt idx="654">
                  <c:v>42537</c:v>
                </c:pt>
                <c:pt idx="655">
                  <c:v>42538</c:v>
                </c:pt>
                <c:pt idx="656">
                  <c:v>42541</c:v>
                </c:pt>
                <c:pt idx="657">
                  <c:v>42542</c:v>
                </c:pt>
                <c:pt idx="658">
                  <c:v>42543</c:v>
                </c:pt>
                <c:pt idx="659">
                  <c:v>42544</c:v>
                </c:pt>
                <c:pt idx="660">
                  <c:v>42545</c:v>
                </c:pt>
                <c:pt idx="661">
                  <c:v>42548</c:v>
                </c:pt>
                <c:pt idx="662">
                  <c:v>42549</c:v>
                </c:pt>
                <c:pt idx="663">
                  <c:v>42550</c:v>
                </c:pt>
                <c:pt idx="664">
                  <c:v>42551</c:v>
                </c:pt>
                <c:pt idx="665">
                  <c:v>42552</c:v>
                </c:pt>
                <c:pt idx="666">
                  <c:v>42556</c:v>
                </c:pt>
                <c:pt idx="667">
                  <c:v>42557</c:v>
                </c:pt>
                <c:pt idx="668">
                  <c:v>42558</c:v>
                </c:pt>
                <c:pt idx="669">
                  <c:v>42559</c:v>
                </c:pt>
                <c:pt idx="670">
                  <c:v>42562</c:v>
                </c:pt>
                <c:pt idx="671">
                  <c:v>42563</c:v>
                </c:pt>
                <c:pt idx="672">
                  <c:v>42564</c:v>
                </c:pt>
                <c:pt idx="673">
                  <c:v>42565</c:v>
                </c:pt>
                <c:pt idx="674">
                  <c:v>42566</c:v>
                </c:pt>
                <c:pt idx="675">
                  <c:v>42569</c:v>
                </c:pt>
                <c:pt idx="676">
                  <c:v>42570</c:v>
                </c:pt>
                <c:pt idx="677">
                  <c:v>42571</c:v>
                </c:pt>
                <c:pt idx="678">
                  <c:v>42572</c:v>
                </c:pt>
                <c:pt idx="679">
                  <c:v>42573</c:v>
                </c:pt>
                <c:pt idx="680">
                  <c:v>42576</c:v>
                </c:pt>
                <c:pt idx="681">
                  <c:v>42577</c:v>
                </c:pt>
                <c:pt idx="682">
                  <c:v>42578</c:v>
                </c:pt>
                <c:pt idx="683">
                  <c:v>42579</c:v>
                </c:pt>
                <c:pt idx="684">
                  <c:v>42580</c:v>
                </c:pt>
                <c:pt idx="685">
                  <c:v>42583</c:v>
                </c:pt>
                <c:pt idx="686">
                  <c:v>42584</c:v>
                </c:pt>
                <c:pt idx="687">
                  <c:v>42585</c:v>
                </c:pt>
                <c:pt idx="688">
                  <c:v>42586</c:v>
                </c:pt>
                <c:pt idx="689">
                  <c:v>42587</c:v>
                </c:pt>
                <c:pt idx="690">
                  <c:v>42590</c:v>
                </c:pt>
                <c:pt idx="691">
                  <c:v>42591</c:v>
                </c:pt>
                <c:pt idx="692">
                  <c:v>42592</c:v>
                </c:pt>
                <c:pt idx="693">
                  <c:v>42593</c:v>
                </c:pt>
                <c:pt idx="694">
                  <c:v>42594</c:v>
                </c:pt>
                <c:pt idx="695">
                  <c:v>42597</c:v>
                </c:pt>
                <c:pt idx="696">
                  <c:v>42598</c:v>
                </c:pt>
                <c:pt idx="697">
                  <c:v>42599</c:v>
                </c:pt>
                <c:pt idx="698">
                  <c:v>42600</c:v>
                </c:pt>
                <c:pt idx="699">
                  <c:v>42601</c:v>
                </c:pt>
                <c:pt idx="700">
                  <c:v>42604</c:v>
                </c:pt>
                <c:pt idx="701">
                  <c:v>42605</c:v>
                </c:pt>
                <c:pt idx="702">
                  <c:v>42606</c:v>
                </c:pt>
                <c:pt idx="703">
                  <c:v>42607</c:v>
                </c:pt>
                <c:pt idx="704">
                  <c:v>42608</c:v>
                </c:pt>
                <c:pt idx="705">
                  <c:v>42611</c:v>
                </c:pt>
                <c:pt idx="706">
                  <c:v>42612</c:v>
                </c:pt>
                <c:pt idx="707">
                  <c:v>42613</c:v>
                </c:pt>
                <c:pt idx="708">
                  <c:v>42614</c:v>
                </c:pt>
                <c:pt idx="709">
                  <c:v>42615</c:v>
                </c:pt>
                <c:pt idx="710">
                  <c:v>42619</c:v>
                </c:pt>
                <c:pt idx="711">
                  <c:v>42620</c:v>
                </c:pt>
                <c:pt idx="712">
                  <c:v>42621</c:v>
                </c:pt>
                <c:pt idx="713">
                  <c:v>42622</c:v>
                </c:pt>
                <c:pt idx="714">
                  <c:v>42625</c:v>
                </c:pt>
                <c:pt idx="715">
                  <c:v>42626</c:v>
                </c:pt>
                <c:pt idx="716">
                  <c:v>42627</c:v>
                </c:pt>
                <c:pt idx="717">
                  <c:v>42628</c:v>
                </c:pt>
                <c:pt idx="718">
                  <c:v>42629</c:v>
                </c:pt>
                <c:pt idx="719">
                  <c:v>42632</c:v>
                </c:pt>
                <c:pt idx="720">
                  <c:v>42633</c:v>
                </c:pt>
                <c:pt idx="721">
                  <c:v>42634</c:v>
                </c:pt>
                <c:pt idx="722">
                  <c:v>42635</c:v>
                </c:pt>
                <c:pt idx="723">
                  <c:v>42636</c:v>
                </c:pt>
                <c:pt idx="724">
                  <c:v>42639</c:v>
                </c:pt>
                <c:pt idx="725">
                  <c:v>42640</c:v>
                </c:pt>
                <c:pt idx="726">
                  <c:v>42641</c:v>
                </c:pt>
                <c:pt idx="727">
                  <c:v>42642</c:v>
                </c:pt>
                <c:pt idx="728">
                  <c:v>42643</c:v>
                </c:pt>
                <c:pt idx="729">
                  <c:v>42646</c:v>
                </c:pt>
                <c:pt idx="730">
                  <c:v>42647</c:v>
                </c:pt>
                <c:pt idx="731">
                  <c:v>42648</c:v>
                </c:pt>
                <c:pt idx="732">
                  <c:v>42649</c:v>
                </c:pt>
                <c:pt idx="733">
                  <c:v>42650</c:v>
                </c:pt>
                <c:pt idx="734">
                  <c:v>42653</c:v>
                </c:pt>
                <c:pt idx="735">
                  <c:v>42654</c:v>
                </c:pt>
                <c:pt idx="736">
                  <c:v>42655</c:v>
                </c:pt>
                <c:pt idx="737">
                  <c:v>42656</c:v>
                </c:pt>
                <c:pt idx="738">
                  <c:v>42657</c:v>
                </c:pt>
                <c:pt idx="739">
                  <c:v>42660</c:v>
                </c:pt>
                <c:pt idx="740">
                  <c:v>42661</c:v>
                </c:pt>
                <c:pt idx="741">
                  <c:v>42662</c:v>
                </c:pt>
                <c:pt idx="742">
                  <c:v>42663</c:v>
                </c:pt>
                <c:pt idx="743">
                  <c:v>42664</c:v>
                </c:pt>
                <c:pt idx="744">
                  <c:v>42667</c:v>
                </c:pt>
                <c:pt idx="745">
                  <c:v>42668</c:v>
                </c:pt>
                <c:pt idx="746">
                  <c:v>42669</c:v>
                </c:pt>
                <c:pt idx="747">
                  <c:v>42670</c:v>
                </c:pt>
                <c:pt idx="748">
                  <c:v>42671</c:v>
                </c:pt>
                <c:pt idx="749">
                  <c:v>42674</c:v>
                </c:pt>
                <c:pt idx="750">
                  <c:v>42675</c:v>
                </c:pt>
                <c:pt idx="751">
                  <c:v>42676</c:v>
                </c:pt>
                <c:pt idx="752">
                  <c:v>42677</c:v>
                </c:pt>
                <c:pt idx="753">
                  <c:v>42678</c:v>
                </c:pt>
                <c:pt idx="754">
                  <c:v>42681</c:v>
                </c:pt>
                <c:pt idx="755">
                  <c:v>42682</c:v>
                </c:pt>
                <c:pt idx="756">
                  <c:v>42683</c:v>
                </c:pt>
                <c:pt idx="757">
                  <c:v>42684</c:v>
                </c:pt>
                <c:pt idx="758">
                  <c:v>42685</c:v>
                </c:pt>
                <c:pt idx="759">
                  <c:v>42688</c:v>
                </c:pt>
                <c:pt idx="760">
                  <c:v>42689</c:v>
                </c:pt>
                <c:pt idx="761">
                  <c:v>42690</c:v>
                </c:pt>
                <c:pt idx="762">
                  <c:v>42691</c:v>
                </c:pt>
                <c:pt idx="763">
                  <c:v>42692</c:v>
                </c:pt>
                <c:pt idx="764">
                  <c:v>42695</c:v>
                </c:pt>
                <c:pt idx="765">
                  <c:v>42696</c:v>
                </c:pt>
                <c:pt idx="766">
                  <c:v>42697</c:v>
                </c:pt>
                <c:pt idx="767">
                  <c:v>42699</c:v>
                </c:pt>
                <c:pt idx="768">
                  <c:v>42702</c:v>
                </c:pt>
                <c:pt idx="769">
                  <c:v>42703</c:v>
                </c:pt>
                <c:pt idx="770">
                  <c:v>42704</c:v>
                </c:pt>
                <c:pt idx="771">
                  <c:v>42705</c:v>
                </c:pt>
                <c:pt idx="772">
                  <c:v>42706</c:v>
                </c:pt>
                <c:pt idx="773">
                  <c:v>42709</c:v>
                </c:pt>
                <c:pt idx="774">
                  <c:v>42710</c:v>
                </c:pt>
                <c:pt idx="775">
                  <c:v>42711</c:v>
                </c:pt>
                <c:pt idx="776">
                  <c:v>42712</c:v>
                </c:pt>
                <c:pt idx="777">
                  <c:v>42713</c:v>
                </c:pt>
                <c:pt idx="778">
                  <c:v>42716</c:v>
                </c:pt>
                <c:pt idx="779">
                  <c:v>42717</c:v>
                </c:pt>
                <c:pt idx="780">
                  <c:v>42718</c:v>
                </c:pt>
                <c:pt idx="781">
                  <c:v>42719</c:v>
                </c:pt>
                <c:pt idx="782">
                  <c:v>42720</c:v>
                </c:pt>
                <c:pt idx="783">
                  <c:v>42723</c:v>
                </c:pt>
                <c:pt idx="784">
                  <c:v>42724</c:v>
                </c:pt>
                <c:pt idx="785">
                  <c:v>42725</c:v>
                </c:pt>
                <c:pt idx="786">
                  <c:v>42726</c:v>
                </c:pt>
                <c:pt idx="787">
                  <c:v>42727</c:v>
                </c:pt>
                <c:pt idx="788">
                  <c:v>42731</c:v>
                </c:pt>
                <c:pt idx="789">
                  <c:v>42732</c:v>
                </c:pt>
                <c:pt idx="790">
                  <c:v>42733</c:v>
                </c:pt>
                <c:pt idx="791">
                  <c:v>42734</c:v>
                </c:pt>
                <c:pt idx="792">
                  <c:v>42738</c:v>
                </c:pt>
                <c:pt idx="793">
                  <c:v>42739</c:v>
                </c:pt>
                <c:pt idx="794">
                  <c:v>42740</c:v>
                </c:pt>
                <c:pt idx="795">
                  <c:v>42741</c:v>
                </c:pt>
                <c:pt idx="796">
                  <c:v>42744</c:v>
                </c:pt>
                <c:pt idx="797">
                  <c:v>42745</c:v>
                </c:pt>
                <c:pt idx="798">
                  <c:v>42746</c:v>
                </c:pt>
                <c:pt idx="799">
                  <c:v>42747</c:v>
                </c:pt>
                <c:pt idx="800">
                  <c:v>42748</c:v>
                </c:pt>
                <c:pt idx="801">
                  <c:v>42752</c:v>
                </c:pt>
                <c:pt idx="802">
                  <c:v>42753</c:v>
                </c:pt>
                <c:pt idx="803">
                  <c:v>42754</c:v>
                </c:pt>
                <c:pt idx="804">
                  <c:v>42755</c:v>
                </c:pt>
                <c:pt idx="805">
                  <c:v>42758</c:v>
                </c:pt>
                <c:pt idx="806">
                  <c:v>42759</c:v>
                </c:pt>
                <c:pt idx="807">
                  <c:v>42760</c:v>
                </c:pt>
                <c:pt idx="808">
                  <c:v>42761</c:v>
                </c:pt>
                <c:pt idx="809">
                  <c:v>42762</c:v>
                </c:pt>
                <c:pt idx="810">
                  <c:v>42765</c:v>
                </c:pt>
                <c:pt idx="811">
                  <c:v>42766</c:v>
                </c:pt>
                <c:pt idx="812">
                  <c:v>42767</c:v>
                </c:pt>
                <c:pt idx="813">
                  <c:v>42768</c:v>
                </c:pt>
                <c:pt idx="814">
                  <c:v>42769</c:v>
                </c:pt>
                <c:pt idx="815">
                  <c:v>42772</c:v>
                </c:pt>
                <c:pt idx="816">
                  <c:v>42773</c:v>
                </c:pt>
                <c:pt idx="817">
                  <c:v>42774</c:v>
                </c:pt>
                <c:pt idx="818">
                  <c:v>42775</c:v>
                </c:pt>
                <c:pt idx="819">
                  <c:v>42776</c:v>
                </c:pt>
                <c:pt idx="820">
                  <c:v>42779</c:v>
                </c:pt>
                <c:pt idx="821">
                  <c:v>42780</c:v>
                </c:pt>
                <c:pt idx="822">
                  <c:v>42781</c:v>
                </c:pt>
                <c:pt idx="823">
                  <c:v>42782</c:v>
                </c:pt>
                <c:pt idx="824">
                  <c:v>42783</c:v>
                </c:pt>
                <c:pt idx="825">
                  <c:v>42787</c:v>
                </c:pt>
                <c:pt idx="826">
                  <c:v>42788</c:v>
                </c:pt>
                <c:pt idx="827">
                  <c:v>42789</c:v>
                </c:pt>
                <c:pt idx="828">
                  <c:v>42790</c:v>
                </c:pt>
                <c:pt idx="829">
                  <c:v>42793</c:v>
                </c:pt>
                <c:pt idx="830">
                  <c:v>42794</c:v>
                </c:pt>
                <c:pt idx="831">
                  <c:v>42795</c:v>
                </c:pt>
                <c:pt idx="832">
                  <c:v>42796</c:v>
                </c:pt>
                <c:pt idx="833">
                  <c:v>42797</c:v>
                </c:pt>
                <c:pt idx="834">
                  <c:v>42800</c:v>
                </c:pt>
                <c:pt idx="835">
                  <c:v>42801</c:v>
                </c:pt>
                <c:pt idx="836">
                  <c:v>42802</c:v>
                </c:pt>
                <c:pt idx="837">
                  <c:v>42803</c:v>
                </c:pt>
                <c:pt idx="838">
                  <c:v>42804</c:v>
                </c:pt>
                <c:pt idx="839">
                  <c:v>42807</c:v>
                </c:pt>
                <c:pt idx="840">
                  <c:v>42808</c:v>
                </c:pt>
                <c:pt idx="841">
                  <c:v>42809</c:v>
                </c:pt>
                <c:pt idx="842">
                  <c:v>42810</c:v>
                </c:pt>
                <c:pt idx="843">
                  <c:v>42811</c:v>
                </c:pt>
                <c:pt idx="844">
                  <c:v>42814</c:v>
                </c:pt>
                <c:pt idx="845">
                  <c:v>42815</c:v>
                </c:pt>
                <c:pt idx="846">
                  <c:v>42816</c:v>
                </c:pt>
                <c:pt idx="847">
                  <c:v>42817</c:v>
                </c:pt>
                <c:pt idx="848">
                  <c:v>42818</c:v>
                </c:pt>
                <c:pt idx="849">
                  <c:v>42821</c:v>
                </c:pt>
                <c:pt idx="850">
                  <c:v>42822</c:v>
                </c:pt>
                <c:pt idx="851">
                  <c:v>42823</c:v>
                </c:pt>
                <c:pt idx="852">
                  <c:v>42824</c:v>
                </c:pt>
                <c:pt idx="853">
                  <c:v>42825</c:v>
                </c:pt>
                <c:pt idx="854">
                  <c:v>42828</c:v>
                </c:pt>
                <c:pt idx="855">
                  <c:v>42829</c:v>
                </c:pt>
                <c:pt idx="856">
                  <c:v>42830</c:v>
                </c:pt>
                <c:pt idx="857">
                  <c:v>42831</c:v>
                </c:pt>
                <c:pt idx="858">
                  <c:v>42832</c:v>
                </c:pt>
                <c:pt idx="859">
                  <c:v>42835</c:v>
                </c:pt>
                <c:pt idx="860">
                  <c:v>42836</c:v>
                </c:pt>
                <c:pt idx="861">
                  <c:v>42837</c:v>
                </c:pt>
                <c:pt idx="862">
                  <c:v>42838</c:v>
                </c:pt>
                <c:pt idx="863">
                  <c:v>42842</c:v>
                </c:pt>
                <c:pt idx="864">
                  <c:v>42843</c:v>
                </c:pt>
                <c:pt idx="865">
                  <c:v>42844</c:v>
                </c:pt>
                <c:pt idx="866">
                  <c:v>42845</c:v>
                </c:pt>
                <c:pt idx="867">
                  <c:v>42846</c:v>
                </c:pt>
                <c:pt idx="868">
                  <c:v>42849</c:v>
                </c:pt>
                <c:pt idx="869">
                  <c:v>42850</c:v>
                </c:pt>
                <c:pt idx="870">
                  <c:v>42851</c:v>
                </c:pt>
                <c:pt idx="871">
                  <c:v>42852</c:v>
                </c:pt>
                <c:pt idx="872">
                  <c:v>42853</c:v>
                </c:pt>
                <c:pt idx="873">
                  <c:v>42856</c:v>
                </c:pt>
                <c:pt idx="874">
                  <c:v>42857</c:v>
                </c:pt>
                <c:pt idx="875">
                  <c:v>42858</c:v>
                </c:pt>
                <c:pt idx="876">
                  <c:v>42859</c:v>
                </c:pt>
                <c:pt idx="877">
                  <c:v>42860</c:v>
                </c:pt>
                <c:pt idx="878">
                  <c:v>42863</c:v>
                </c:pt>
                <c:pt idx="879">
                  <c:v>42864</c:v>
                </c:pt>
                <c:pt idx="880">
                  <c:v>42865</c:v>
                </c:pt>
                <c:pt idx="881">
                  <c:v>42866</c:v>
                </c:pt>
                <c:pt idx="882">
                  <c:v>42867</c:v>
                </c:pt>
                <c:pt idx="883">
                  <c:v>42870</c:v>
                </c:pt>
                <c:pt idx="884">
                  <c:v>42871</c:v>
                </c:pt>
                <c:pt idx="885">
                  <c:v>42872</c:v>
                </c:pt>
                <c:pt idx="886">
                  <c:v>42873</c:v>
                </c:pt>
                <c:pt idx="887">
                  <c:v>42874</c:v>
                </c:pt>
                <c:pt idx="888">
                  <c:v>42877</c:v>
                </c:pt>
                <c:pt idx="889">
                  <c:v>42878</c:v>
                </c:pt>
                <c:pt idx="890">
                  <c:v>42879</c:v>
                </c:pt>
                <c:pt idx="891">
                  <c:v>42880</c:v>
                </c:pt>
                <c:pt idx="892">
                  <c:v>42881</c:v>
                </c:pt>
                <c:pt idx="893">
                  <c:v>42885</c:v>
                </c:pt>
                <c:pt idx="894">
                  <c:v>42886</c:v>
                </c:pt>
                <c:pt idx="895">
                  <c:v>42887</c:v>
                </c:pt>
                <c:pt idx="896">
                  <c:v>42888</c:v>
                </c:pt>
                <c:pt idx="897">
                  <c:v>42891</c:v>
                </c:pt>
                <c:pt idx="898">
                  <c:v>42892</c:v>
                </c:pt>
                <c:pt idx="899">
                  <c:v>42893</c:v>
                </c:pt>
                <c:pt idx="900">
                  <c:v>42894</c:v>
                </c:pt>
                <c:pt idx="901">
                  <c:v>42895</c:v>
                </c:pt>
                <c:pt idx="902">
                  <c:v>42898</c:v>
                </c:pt>
                <c:pt idx="903">
                  <c:v>42899</c:v>
                </c:pt>
                <c:pt idx="904">
                  <c:v>42900</c:v>
                </c:pt>
                <c:pt idx="905">
                  <c:v>42901</c:v>
                </c:pt>
                <c:pt idx="906">
                  <c:v>42902</c:v>
                </c:pt>
                <c:pt idx="907">
                  <c:v>42905</c:v>
                </c:pt>
                <c:pt idx="908">
                  <c:v>42906</c:v>
                </c:pt>
                <c:pt idx="909">
                  <c:v>42907</c:v>
                </c:pt>
                <c:pt idx="910">
                  <c:v>42908</c:v>
                </c:pt>
                <c:pt idx="911">
                  <c:v>42909</c:v>
                </c:pt>
                <c:pt idx="912">
                  <c:v>42912</c:v>
                </c:pt>
                <c:pt idx="913">
                  <c:v>42913</c:v>
                </c:pt>
                <c:pt idx="914">
                  <c:v>42914</c:v>
                </c:pt>
                <c:pt idx="915">
                  <c:v>42915</c:v>
                </c:pt>
                <c:pt idx="916">
                  <c:v>42916</c:v>
                </c:pt>
                <c:pt idx="917">
                  <c:v>42919</c:v>
                </c:pt>
                <c:pt idx="918">
                  <c:v>42921</c:v>
                </c:pt>
                <c:pt idx="919">
                  <c:v>42922</c:v>
                </c:pt>
                <c:pt idx="920">
                  <c:v>42923</c:v>
                </c:pt>
                <c:pt idx="921">
                  <c:v>42926</c:v>
                </c:pt>
                <c:pt idx="922">
                  <c:v>42927</c:v>
                </c:pt>
                <c:pt idx="923">
                  <c:v>42928</c:v>
                </c:pt>
                <c:pt idx="924">
                  <c:v>42929</c:v>
                </c:pt>
                <c:pt idx="925">
                  <c:v>42930</c:v>
                </c:pt>
                <c:pt idx="926">
                  <c:v>42933</c:v>
                </c:pt>
                <c:pt idx="927">
                  <c:v>42934</c:v>
                </c:pt>
                <c:pt idx="928">
                  <c:v>42935</c:v>
                </c:pt>
                <c:pt idx="929">
                  <c:v>42936</c:v>
                </c:pt>
                <c:pt idx="930">
                  <c:v>42937</c:v>
                </c:pt>
                <c:pt idx="931">
                  <c:v>42940</c:v>
                </c:pt>
                <c:pt idx="932">
                  <c:v>42941</c:v>
                </c:pt>
                <c:pt idx="933">
                  <c:v>42942</c:v>
                </c:pt>
                <c:pt idx="934">
                  <c:v>42943</c:v>
                </c:pt>
                <c:pt idx="935">
                  <c:v>42944</c:v>
                </c:pt>
                <c:pt idx="936">
                  <c:v>42947</c:v>
                </c:pt>
                <c:pt idx="937">
                  <c:v>42948</c:v>
                </c:pt>
                <c:pt idx="938">
                  <c:v>42949</c:v>
                </c:pt>
                <c:pt idx="939">
                  <c:v>42950</c:v>
                </c:pt>
                <c:pt idx="940">
                  <c:v>42951</c:v>
                </c:pt>
                <c:pt idx="941">
                  <c:v>42954</c:v>
                </c:pt>
                <c:pt idx="942">
                  <c:v>42955</c:v>
                </c:pt>
                <c:pt idx="943">
                  <c:v>42956</c:v>
                </c:pt>
                <c:pt idx="944">
                  <c:v>42957</c:v>
                </c:pt>
                <c:pt idx="945">
                  <c:v>42958</c:v>
                </c:pt>
                <c:pt idx="946">
                  <c:v>42961</c:v>
                </c:pt>
                <c:pt idx="947">
                  <c:v>42962</c:v>
                </c:pt>
                <c:pt idx="948">
                  <c:v>42963</c:v>
                </c:pt>
                <c:pt idx="949">
                  <c:v>42964</c:v>
                </c:pt>
                <c:pt idx="950">
                  <c:v>42965</c:v>
                </c:pt>
                <c:pt idx="951">
                  <c:v>42968</c:v>
                </c:pt>
                <c:pt idx="952">
                  <c:v>42969</c:v>
                </c:pt>
                <c:pt idx="953">
                  <c:v>42970</c:v>
                </c:pt>
                <c:pt idx="954">
                  <c:v>42971</c:v>
                </c:pt>
                <c:pt idx="955">
                  <c:v>42972</c:v>
                </c:pt>
                <c:pt idx="956">
                  <c:v>42975</c:v>
                </c:pt>
                <c:pt idx="957">
                  <c:v>42976</c:v>
                </c:pt>
                <c:pt idx="958">
                  <c:v>42977</c:v>
                </c:pt>
                <c:pt idx="959">
                  <c:v>42978</c:v>
                </c:pt>
                <c:pt idx="960">
                  <c:v>42979</c:v>
                </c:pt>
                <c:pt idx="961">
                  <c:v>42983</c:v>
                </c:pt>
                <c:pt idx="962">
                  <c:v>42984</c:v>
                </c:pt>
                <c:pt idx="963">
                  <c:v>42985</c:v>
                </c:pt>
                <c:pt idx="964">
                  <c:v>42986</c:v>
                </c:pt>
                <c:pt idx="965">
                  <c:v>42989</c:v>
                </c:pt>
                <c:pt idx="966">
                  <c:v>42990</c:v>
                </c:pt>
                <c:pt idx="967">
                  <c:v>42991</c:v>
                </c:pt>
                <c:pt idx="968">
                  <c:v>42992</c:v>
                </c:pt>
                <c:pt idx="969">
                  <c:v>42993</c:v>
                </c:pt>
                <c:pt idx="970">
                  <c:v>42996</c:v>
                </c:pt>
                <c:pt idx="971">
                  <c:v>42997</c:v>
                </c:pt>
                <c:pt idx="972">
                  <c:v>42998</c:v>
                </c:pt>
                <c:pt idx="973">
                  <c:v>42999</c:v>
                </c:pt>
                <c:pt idx="974">
                  <c:v>43000</c:v>
                </c:pt>
                <c:pt idx="975">
                  <c:v>43003</c:v>
                </c:pt>
                <c:pt idx="976">
                  <c:v>43004</c:v>
                </c:pt>
                <c:pt idx="977">
                  <c:v>43005</c:v>
                </c:pt>
                <c:pt idx="978">
                  <c:v>43006</c:v>
                </c:pt>
                <c:pt idx="979">
                  <c:v>43007</c:v>
                </c:pt>
                <c:pt idx="980">
                  <c:v>43010</c:v>
                </c:pt>
                <c:pt idx="981">
                  <c:v>43011</c:v>
                </c:pt>
                <c:pt idx="982">
                  <c:v>43012</c:v>
                </c:pt>
                <c:pt idx="983">
                  <c:v>43013</c:v>
                </c:pt>
                <c:pt idx="984">
                  <c:v>43014</c:v>
                </c:pt>
                <c:pt idx="985">
                  <c:v>43017</c:v>
                </c:pt>
                <c:pt idx="986">
                  <c:v>43018</c:v>
                </c:pt>
                <c:pt idx="987">
                  <c:v>43019</c:v>
                </c:pt>
                <c:pt idx="988">
                  <c:v>43020</c:v>
                </c:pt>
                <c:pt idx="989">
                  <c:v>43021</c:v>
                </c:pt>
                <c:pt idx="990">
                  <c:v>43024</c:v>
                </c:pt>
                <c:pt idx="991">
                  <c:v>43025</c:v>
                </c:pt>
                <c:pt idx="992">
                  <c:v>43026</c:v>
                </c:pt>
                <c:pt idx="993">
                  <c:v>43027</c:v>
                </c:pt>
                <c:pt idx="994">
                  <c:v>43028</c:v>
                </c:pt>
                <c:pt idx="995">
                  <c:v>43031</c:v>
                </c:pt>
                <c:pt idx="996">
                  <c:v>43032</c:v>
                </c:pt>
                <c:pt idx="997">
                  <c:v>43033</c:v>
                </c:pt>
                <c:pt idx="998">
                  <c:v>43034</c:v>
                </c:pt>
                <c:pt idx="999">
                  <c:v>43035</c:v>
                </c:pt>
                <c:pt idx="1000">
                  <c:v>43038</c:v>
                </c:pt>
                <c:pt idx="1001">
                  <c:v>43039</c:v>
                </c:pt>
                <c:pt idx="1002">
                  <c:v>43040</c:v>
                </c:pt>
                <c:pt idx="1003">
                  <c:v>43041</c:v>
                </c:pt>
                <c:pt idx="1004">
                  <c:v>43042</c:v>
                </c:pt>
                <c:pt idx="1005">
                  <c:v>43045</c:v>
                </c:pt>
                <c:pt idx="1006">
                  <c:v>43046</c:v>
                </c:pt>
                <c:pt idx="1007">
                  <c:v>43047</c:v>
                </c:pt>
                <c:pt idx="1008">
                  <c:v>43048</c:v>
                </c:pt>
                <c:pt idx="1009">
                  <c:v>43049</c:v>
                </c:pt>
                <c:pt idx="1010">
                  <c:v>43052</c:v>
                </c:pt>
                <c:pt idx="1011">
                  <c:v>43053</c:v>
                </c:pt>
                <c:pt idx="1012">
                  <c:v>43054</c:v>
                </c:pt>
                <c:pt idx="1013">
                  <c:v>43055</c:v>
                </c:pt>
                <c:pt idx="1014">
                  <c:v>43056</c:v>
                </c:pt>
                <c:pt idx="1015">
                  <c:v>43059</c:v>
                </c:pt>
                <c:pt idx="1016">
                  <c:v>43060</c:v>
                </c:pt>
                <c:pt idx="1017">
                  <c:v>43061</c:v>
                </c:pt>
                <c:pt idx="1018">
                  <c:v>43063</c:v>
                </c:pt>
                <c:pt idx="1019">
                  <c:v>43066</c:v>
                </c:pt>
                <c:pt idx="1020">
                  <c:v>43067</c:v>
                </c:pt>
                <c:pt idx="1021">
                  <c:v>43068</c:v>
                </c:pt>
                <c:pt idx="1022">
                  <c:v>43069</c:v>
                </c:pt>
                <c:pt idx="1023">
                  <c:v>43070</c:v>
                </c:pt>
                <c:pt idx="1024">
                  <c:v>43073</c:v>
                </c:pt>
                <c:pt idx="1025">
                  <c:v>43074</c:v>
                </c:pt>
                <c:pt idx="1026">
                  <c:v>43075</c:v>
                </c:pt>
                <c:pt idx="1027">
                  <c:v>43076</c:v>
                </c:pt>
                <c:pt idx="1028">
                  <c:v>43077</c:v>
                </c:pt>
                <c:pt idx="1029">
                  <c:v>43080</c:v>
                </c:pt>
                <c:pt idx="1030">
                  <c:v>43081</c:v>
                </c:pt>
                <c:pt idx="1031">
                  <c:v>43082</c:v>
                </c:pt>
                <c:pt idx="1032">
                  <c:v>43083</c:v>
                </c:pt>
                <c:pt idx="1033">
                  <c:v>43084</c:v>
                </c:pt>
                <c:pt idx="1034">
                  <c:v>43087</c:v>
                </c:pt>
                <c:pt idx="1035">
                  <c:v>43088</c:v>
                </c:pt>
                <c:pt idx="1036">
                  <c:v>43089</c:v>
                </c:pt>
                <c:pt idx="1037">
                  <c:v>43090</c:v>
                </c:pt>
                <c:pt idx="1038">
                  <c:v>43091</c:v>
                </c:pt>
                <c:pt idx="1039">
                  <c:v>43095</c:v>
                </c:pt>
                <c:pt idx="1040">
                  <c:v>43096</c:v>
                </c:pt>
                <c:pt idx="1041">
                  <c:v>43097</c:v>
                </c:pt>
                <c:pt idx="1042">
                  <c:v>43098</c:v>
                </c:pt>
                <c:pt idx="1043">
                  <c:v>43102</c:v>
                </c:pt>
                <c:pt idx="1044">
                  <c:v>43103</c:v>
                </c:pt>
                <c:pt idx="1045">
                  <c:v>43104</c:v>
                </c:pt>
                <c:pt idx="1046">
                  <c:v>43105</c:v>
                </c:pt>
                <c:pt idx="1047">
                  <c:v>43108</c:v>
                </c:pt>
                <c:pt idx="1048">
                  <c:v>43109</c:v>
                </c:pt>
                <c:pt idx="1049">
                  <c:v>43110</c:v>
                </c:pt>
                <c:pt idx="1050">
                  <c:v>43111</c:v>
                </c:pt>
                <c:pt idx="1051">
                  <c:v>43112</c:v>
                </c:pt>
                <c:pt idx="1052">
                  <c:v>43116</c:v>
                </c:pt>
                <c:pt idx="1053">
                  <c:v>43117</c:v>
                </c:pt>
                <c:pt idx="1054">
                  <c:v>43118</c:v>
                </c:pt>
                <c:pt idx="1055">
                  <c:v>43119</c:v>
                </c:pt>
                <c:pt idx="1056">
                  <c:v>43122</c:v>
                </c:pt>
                <c:pt idx="1057">
                  <c:v>43123</c:v>
                </c:pt>
                <c:pt idx="1058">
                  <c:v>43124</c:v>
                </c:pt>
                <c:pt idx="1059">
                  <c:v>43125</c:v>
                </c:pt>
                <c:pt idx="1060">
                  <c:v>43126</c:v>
                </c:pt>
                <c:pt idx="1061">
                  <c:v>43129</c:v>
                </c:pt>
                <c:pt idx="1062">
                  <c:v>43130</c:v>
                </c:pt>
                <c:pt idx="1063">
                  <c:v>43131</c:v>
                </c:pt>
                <c:pt idx="1064">
                  <c:v>43132</c:v>
                </c:pt>
                <c:pt idx="1065">
                  <c:v>43133</c:v>
                </c:pt>
                <c:pt idx="1066">
                  <c:v>43136</c:v>
                </c:pt>
                <c:pt idx="1067">
                  <c:v>43137</c:v>
                </c:pt>
                <c:pt idx="1068">
                  <c:v>43138</c:v>
                </c:pt>
                <c:pt idx="1069">
                  <c:v>43139</c:v>
                </c:pt>
                <c:pt idx="1070">
                  <c:v>43140</c:v>
                </c:pt>
                <c:pt idx="1071">
                  <c:v>43143</c:v>
                </c:pt>
                <c:pt idx="1072">
                  <c:v>43144</c:v>
                </c:pt>
                <c:pt idx="1073">
                  <c:v>43145</c:v>
                </c:pt>
                <c:pt idx="1074">
                  <c:v>43146</c:v>
                </c:pt>
                <c:pt idx="1075">
                  <c:v>43147</c:v>
                </c:pt>
                <c:pt idx="1076">
                  <c:v>43151</c:v>
                </c:pt>
                <c:pt idx="1077">
                  <c:v>43152</c:v>
                </c:pt>
                <c:pt idx="1078">
                  <c:v>43153</c:v>
                </c:pt>
                <c:pt idx="1079">
                  <c:v>43154</c:v>
                </c:pt>
                <c:pt idx="1080">
                  <c:v>43157</c:v>
                </c:pt>
                <c:pt idx="1081">
                  <c:v>43158</c:v>
                </c:pt>
                <c:pt idx="1082">
                  <c:v>43159</c:v>
                </c:pt>
                <c:pt idx="1083">
                  <c:v>43160</c:v>
                </c:pt>
                <c:pt idx="1084">
                  <c:v>43161</c:v>
                </c:pt>
                <c:pt idx="1085">
                  <c:v>43164</c:v>
                </c:pt>
                <c:pt idx="1086">
                  <c:v>43165</c:v>
                </c:pt>
                <c:pt idx="1087">
                  <c:v>43166</c:v>
                </c:pt>
                <c:pt idx="1088">
                  <c:v>43167</c:v>
                </c:pt>
                <c:pt idx="1089">
                  <c:v>43168</c:v>
                </c:pt>
                <c:pt idx="1090">
                  <c:v>43171</c:v>
                </c:pt>
                <c:pt idx="1091">
                  <c:v>43172</c:v>
                </c:pt>
                <c:pt idx="1092">
                  <c:v>43173</c:v>
                </c:pt>
                <c:pt idx="1093">
                  <c:v>43174</c:v>
                </c:pt>
                <c:pt idx="1094">
                  <c:v>43175</c:v>
                </c:pt>
                <c:pt idx="1095">
                  <c:v>43178</c:v>
                </c:pt>
                <c:pt idx="1096">
                  <c:v>43179</c:v>
                </c:pt>
                <c:pt idx="1097">
                  <c:v>43180</c:v>
                </c:pt>
                <c:pt idx="1098">
                  <c:v>43181</c:v>
                </c:pt>
                <c:pt idx="1099">
                  <c:v>43182</c:v>
                </c:pt>
                <c:pt idx="1100">
                  <c:v>43185</c:v>
                </c:pt>
                <c:pt idx="1101">
                  <c:v>43186</c:v>
                </c:pt>
                <c:pt idx="1102">
                  <c:v>43187</c:v>
                </c:pt>
                <c:pt idx="1103">
                  <c:v>43188</c:v>
                </c:pt>
                <c:pt idx="1104">
                  <c:v>43192</c:v>
                </c:pt>
                <c:pt idx="1105">
                  <c:v>43193</c:v>
                </c:pt>
                <c:pt idx="1106">
                  <c:v>43194</c:v>
                </c:pt>
                <c:pt idx="1107">
                  <c:v>43195</c:v>
                </c:pt>
                <c:pt idx="1108">
                  <c:v>43196</c:v>
                </c:pt>
                <c:pt idx="1109">
                  <c:v>43199</c:v>
                </c:pt>
                <c:pt idx="1110">
                  <c:v>43200</c:v>
                </c:pt>
                <c:pt idx="1111">
                  <c:v>43201</c:v>
                </c:pt>
                <c:pt idx="1112">
                  <c:v>43202</c:v>
                </c:pt>
                <c:pt idx="1113">
                  <c:v>43203</c:v>
                </c:pt>
                <c:pt idx="1114">
                  <c:v>43206</c:v>
                </c:pt>
                <c:pt idx="1115">
                  <c:v>43207</c:v>
                </c:pt>
                <c:pt idx="1116">
                  <c:v>43208</c:v>
                </c:pt>
                <c:pt idx="1117">
                  <c:v>43209</c:v>
                </c:pt>
                <c:pt idx="1118">
                  <c:v>43210</c:v>
                </c:pt>
                <c:pt idx="1119">
                  <c:v>43213</c:v>
                </c:pt>
                <c:pt idx="1120">
                  <c:v>43214</c:v>
                </c:pt>
                <c:pt idx="1121">
                  <c:v>43215</c:v>
                </c:pt>
                <c:pt idx="1122">
                  <c:v>43216</c:v>
                </c:pt>
                <c:pt idx="1123">
                  <c:v>43217</c:v>
                </c:pt>
                <c:pt idx="1124">
                  <c:v>43220</c:v>
                </c:pt>
                <c:pt idx="1125">
                  <c:v>43221</c:v>
                </c:pt>
                <c:pt idx="1126">
                  <c:v>43222</c:v>
                </c:pt>
                <c:pt idx="1127">
                  <c:v>43223</c:v>
                </c:pt>
                <c:pt idx="1128">
                  <c:v>43224</c:v>
                </c:pt>
                <c:pt idx="1129">
                  <c:v>43227</c:v>
                </c:pt>
                <c:pt idx="1130">
                  <c:v>43228</c:v>
                </c:pt>
                <c:pt idx="1131">
                  <c:v>43229</c:v>
                </c:pt>
                <c:pt idx="1132">
                  <c:v>43230</c:v>
                </c:pt>
                <c:pt idx="1133">
                  <c:v>43231</c:v>
                </c:pt>
                <c:pt idx="1134">
                  <c:v>43234</c:v>
                </c:pt>
                <c:pt idx="1135">
                  <c:v>43235</c:v>
                </c:pt>
                <c:pt idx="1136">
                  <c:v>43236</c:v>
                </c:pt>
                <c:pt idx="1137">
                  <c:v>43237</c:v>
                </c:pt>
                <c:pt idx="1138">
                  <c:v>43238</c:v>
                </c:pt>
                <c:pt idx="1139">
                  <c:v>43241</c:v>
                </c:pt>
                <c:pt idx="1140">
                  <c:v>43242</c:v>
                </c:pt>
                <c:pt idx="1141">
                  <c:v>43243</c:v>
                </c:pt>
                <c:pt idx="1142">
                  <c:v>43244</c:v>
                </c:pt>
                <c:pt idx="1143">
                  <c:v>43245</c:v>
                </c:pt>
                <c:pt idx="1144">
                  <c:v>43249</c:v>
                </c:pt>
                <c:pt idx="1145">
                  <c:v>43250</c:v>
                </c:pt>
                <c:pt idx="1146">
                  <c:v>43251</c:v>
                </c:pt>
                <c:pt idx="1147">
                  <c:v>43252</c:v>
                </c:pt>
                <c:pt idx="1148">
                  <c:v>43255</c:v>
                </c:pt>
                <c:pt idx="1149">
                  <c:v>43256</c:v>
                </c:pt>
                <c:pt idx="1150">
                  <c:v>43257</c:v>
                </c:pt>
                <c:pt idx="1151">
                  <c:v>43258</c:v>
                </c:pt>
                <c:pt idx="1152">
                  <c:v>43259</c:v>
                </c:pt>
                <c:pt idx="1153">
                  <c:v>43262</c:v>
                </c:pt>
                <c:pt idx="1154">
                  <c:v>43263</c:v>
                </c:pt>
                <c:pt idx="1155">
                  <c:v>43264</c:v>
                </c:pt>
                <c:pt idx="1156">
                  <c:v>43265</c:v>
                </c:pt>
                <c:pt idx="1157">
                  <c:v>43266</c:v>
                </c:pt>
                <c:pt idx="1158">
                  <c:v>43269</c:v>
                </c:pt>
                <c:pt idx="1159">
                  <c:v>43270</c:v>
                </c:pt>
                <c:pt idx="1160">
                  <c:v>43271</c:v>
                </c:pt>
                <c:pt idx="1161">
                  <c:v>43272</c:v>
                </c:pt>
                <c:pt idx="1162">
                  <c:v>43273</c:v>
                </c:pt>
                <c:pt idx="1163">
                  <c:v>43276</c:v>
                </c:pt>
                <c:pt idx="1164">
                  <c:v>43277</c:v>
                </c:pt>
                <c:pt idx="1165">
                  <c:v>43278</c:v>
                </c:pt>
                <c:pt idx="1166">
                  <c:v>43279</c:v>
                </c:pt>
                <c:pt idx="1167">
                  <c:v>43280</c:v>
                </c:pt>
                <c:pt idx="1168">
                  <c:v>43283</c:v>
                </c:pt>
                <c:pt idx="1169">
                  <c:v>43284</c:v>
                </c:pt>
                <c:pt idx="1170">
                  <c:v>43286</c:v>
                </c:pt>
                <c:pt idx="1171">
                  <c:v>43287</c:v>
                </c:pt>
                <c:pt idx="1172">
                  <c:v>43290</c:v>
                </c:pt>
                <c:pt idx="1173">
                  <c:v>43291</c:v>
                </c:pt>
                <c:pt idx="1174">
                  <c:v>43292</c:v>
                </c:pt>
                <c:pt idx="1175">
                  <c:v>43293</c:v>
                </c:pt>
                <c:pt idx="1176">
                  <c:v>43294</c:v>
                </c:pt>
                <c:pt idx="1177">
                  <c:v>43297</c:v>
                </c:pt>
                <c:pt idx="1178">
                  <c:v>43298</c:v>
                </c:pt>
                <c:pt idx="1179">
                  <c:v>43299</c:v>
                </c:pt>
                <c:pt idx="1180">
                  <c:v>43300</c:v>
                </c:pt>
                <c:pt idx="1181">
                  <c:v>43301</c:v>
                </c:pt>
                <c:pt idx="1182">
                  <c:v>43304</c:v>
                </c:pt>
                <c:pt idx="1183">
                  <c:v>43305</c:v>
                </c:pt>
                <c:pt idx="1184">
                  <c:v>43306</c:v>
                </c:pt>
                <c:pt idx="1185">
                  <c:v>43307</c:v>
                </c:pt>
                <c:pt idx="1186">
                  <c:v>43308</c:v>
                </c:pt>
                <c:pt idx="1187">
                  <c:v>43311</c:v>
                </c:pt>
                <c:pt idx="1188">
                  <c:v>43312</c:v>
                </c:pt>
                <c:pt idx="1189">
                  <c:v>43313</c:v>
                </c:pt>
                <c:pt idx="1190">
                  <c:v>43314</c:v>
                </c:pt>
                <c:pt idx="1191">
                  <c:v>43315</c:v>
                </c:pt>
                <c:pt idx="1192">
                  <c:v>43318</c:v>
                </c:pt>
                <c:pt idx="1193">
                  <c:v>43319</c:v>
                </c:pt>
                <c:pt idx="1194">
                  <c:v>43320</c:v>
                </c:pt>
                <c:pt idx="1195">
                  <c:v>43321</c:v>
                </c:pt>
                <c:pt idx="1196">
                  <c:v>43322</c:v>
                </c:pt>
                <c:pt idx="1197">
                  <c:v>43325</c:v>
                </c:pt>
                <c:pt idx="1198">
                  <c:v>43326</c:v>
                </c:pt>
                <c:pt idx="1199">
                  <c:v>43327</c:v>
                </c:pt>
                <c:pt idx="1200">
                  <c:v>43328</c:v>
                </c:pt>
                <c:pt idx="1201">
                  <c:v>43329</c:v>
                </c:pt>
                <c:pt idx="1202">
                  <c:v>43332</c:v>
                </c:pt>
                <c:pt idx="1203">
                  <c:v>43333</c:v>
                </c:pt>
                <c:pt idx="1204">
                  <c:v>43334</c:v>
                </c:pt>
                <c:pt idx="1205">
                  <c:v>43335</c:v>
                </c:pt>
                <c:pt idx="1206">
                  <c:v>43336</c:v>
                </c:pt>
                <c:pt idx="1207">
                  <c:v>43339</c:v>
                </c:pt>
                <c:pt idx="1208">
                  <c:v>43340</c:v>
                </c:pt>
                <c:pt idx="1209">
                  <c:v>43341</c:v>
                </c:pt>
                <c:pt idx="1210">
                  <c:v>43342</c:v>
                </c:pt>
                <c:pt idx="1211">
                  <c:v>43343</c:v>
                </c:pt>
                <c:pt idx="1212">
                  <c:v>43347</c:v>
                </c:pt>
                <c:pt idx="1213">
                  <c:v>43348</c:v>
                </c:pt>
                <c:pt idx="1214">
                  <c:v>43349</c:v>
                </c:pt>
                <c:pt idx="1215">
                  <c:v>43350</c:v>
                </c:pt>
                <c:pt idx="1216">
                  <c:v>43353</c:v>
                </c:pt>
                <c:pt idx="1217">
                  <c:v>43354</c:v>
                </c:pt>
                <c:pt idx="1218">
                  <c:v>43355</c:v>
                </c:pt>
                <c:pt idx="1219">
                  <c:v>43356</c:v>
                </c:pt>
                <c:pt idx="1220">
                  <c:v>43357</c:v>
                </c:pt>
                <c:pt idx="1221">
                  <c:v>43360</c:v>
                </c:pt>
                <c:pt idx="1222">
                  <c:v>43361</c:v>
                </c:pt>
                <c:pt idx="1223">
                  <c:v>43362</c:v>
                </c:pt>
                <c:pt idx="1224">
                  <c:v>43363</c:v>
                </c:pt>
                <c:pt idx="1225">
                  <c:v>43364</c:v>
                </c:pt>
                <c:pt idx="1226">
                  <c:v>43367</c:v>
                </c:pt>
                <c:pt idx="1227">
                  <c:v>43368</c:v>
                </c:pt>
                <c:pt idx="1228">
                  <c:v>43369</c:v>
                </c:pt>
                <c:pt idx="1229">
                  <c:v>43370</c:v>
                </c:pt>
                <c:pt idx="1230">
                  <c:v>43371</c:v>
                </c:pt>
                <c:pt idx="1231">
                  <c:v>43374</c:v>
                </c:pt>
                <c:pt idx="1232">
                  <c:v>43375</c:v>
                </c:pt>
                <c:pt idx="1233">
                  <c:v>43376</c:v>
                </c:pt>
                <c:pt idx="1234">
                  <c:v>43377</c:v>
                </c:pt>
                <c:pt idx="1235">
                  <c:v>43378</c:v>
                </c:pt>
                <c:pt idx="1236">
                  <c:v>43381</c:v>
                </c:pt>
                <c:pt idx="1237">
                  <c:v>43382</c:v>
                </c:pt>
                <c:pt idx="1238">
                  <c:v>43383</c:v>
                </c:pt>
                <c:pt idx="1239">
                  <c:v>43384</c:v>
                </c:pt>
                <c:pt idx="1240">
                  <c:v>43385</c:v>
                </c:pt>
                <c:pt idx="1241">
                  <c:v>43388</c:v>
                </c:pt>
                <c:pt idx="1242">
                  <c:v>43389</c:v>
                </c:pt>
                <c:pt idx="1243">
                  <c:v>43390</c:v>
                </c:pt>
                <c:pt idx="1244">
                  <c:v>43391</c:v>
                </c:pt>
                <c:pt idx="1245">
                  <c:v>43392</c:v>
                </c:pt>
                <c:pt idx="1246">
                  <c:v>43395</c:v>
                </c:pt>
                <c:pt idx="1247">
                  <c:v>43396</c:v>
                </c:pt>
                <c:pt idx="1248">
                  <c:v>43397</c:v>
                </c:pt>
                <c:pt idx="1249">
                  <c:v>43398</c:v>
                </c:pt>
                <c:pt idx="1250">
                  <c:v>43399</c:v>
                </c:pt>
                <c:pt idx="1251">
                  <c:v>43402</c:v>
                </c:pt>
                <c:pt idx="1252">
                  <c:v>43403</c:v>
                </c:pt>
                <c:pt idx="1253">
                  <c:v>43404</c:v>
                </c:pt>
                <c:pt idx="1254">
                  <c:v>43405</c:v>
                </c:pt>
                <c:pt idx="1255">
                  <c:v>43406</c:v>
                </c:pt>
                <c:pt idx="1256">
                  <c:v>43409</c:v>
                </c:pt>
                <c:pt idx="1257">
                  <c:v>43410</c:v>
                </c:pt>
                <c:pt idx="1258">
                  <c:v>43411</c:v>
                </c:pt>
                <c:pt idx="1259">
                  <c:v>43412</c:v>
                </c:pt>
                <c:pt idx="1260">
                  <c:v>43413</c:v>
                </c:pt>
                <c:pt idx="1261">
                  <c:v>43465</c:v>
                </c:pt>
                <c:pt idx="1262">
                  <c:v>43830</c:v>
                </c:pt>
                <c:pt idx="1263">
                  <c:v>44196</c:v>
                </c:pt>
                <c:pt idx="1264">
                  <c:v>44561</c:v>
                </c:pt>
                <c:pt idx="1265">
                  <c:v>44926</c:v>
                </c:pt>
                <c:pt idx="1266">
                  <c:v>45291</c:v>
                </c:pt>
                <c:pt idx="1267">
                  <c:v>45657</c:v>
                </c:pt>
                <c:pt idx="1268">
                  <c:v>46022</c:v>
                </c:pt>
                <c:pt idx="1269">
                  <c:v>46387</c:v>
                </c:pt>
                <c:pt idx="1270">
                  <c:v>46752</c:v>
                </c:pt>
                <c:pt idx="1271">
                  <c:v>47118</c:v>
                </c:pt>
              </c:numCache>
            </c:numRef>
          </c:cat>
          <c:val>
            <c:numRef>
              <c:f>'Share Price'!$E$9:$E$1280</c:f>
              <c:numCache>
                <c:formatCode>General</c:formatCode>
                <c:ptCount val="1272"/>
                <c:pt idx="1260" formatCode="_(* #,##0_);_(* \(#,##0\);_(* &quot;-&quot;??_);_(@_)">
                  <c:v>1712.43</c:v>
                </c:pt>
                <c:pt idx="1261" formatCode="_(* #,##0_);_(* \(#,##0\);_(* &quot;-&quot;??_);_(@_)">
                  <c:v>1372.8541471357869</c:v>
                </c:pt>
                <c:pt idx="1262" formatCode="_(* #,##0_);_(* \(#,##0\);_(* &quot;-&quot;??_);_(@_)">
                  <c:v>1492.7445477778749</c:v>
                </c:pt>
                <c:pt idx="1263" formatCode="_(* #,##0_);_(* \(#,##0\);_(* &quot;-&quot;??_);_(@_)">
                  <c:v>1579.6030437036129</c:v>
                </c:pt>
                <c:pt idx="1264" formatCode="_(* #,##0_);_(* \(#,##0\);_(* &quot;-&quot;??_);_(@_)">
                  <c:v>1671.2697712505255</c:v>
                </c:pt>
                <c:pt idx="1265" formatCode="_(* #,##0_);_(* \(#,##0\);_(* &quot;-&quot;??_);_(@_)">
                  <c:v>1752.8110223704573</c:v>
                </c:pt>
                <c:pt idx="1266" formatCode="_(* #,##0_);_(* \(#,##0\);_(* &quot;-&quot;??_);_(@_)">
                  <c:v>1844.4370297351002</c:v>
                </c:pt>
                <c:pt idx="1267" formatCode="_(* #,##0_);_(* \(#,##0\);_(* &quot;-&quot;??_);_(@_)">
                  <c:v>1939.0735560472233</c:v>
                </c:pt>
                <c:pt idx="1268" formatCode="_(* #,##0_);_(* \(#,##0\);_(* &quot;-&quot;??_);_(@_)">
                  <c:v>2034.4191444002429</c:v>
                </c:pt>
                <c:pt idx="1269" formatCode="_(* #,##0_);_(* \(#,##0\);_(* &quot;-&quot;??_);_(@_)">
                  <c:v>2134.0494045128767</c:v>
                </c:pt>
                <c:pt idx="1270" formatCode="_(* #,##0_);_(* \(#,##0\);_(* &quot;-&quot;??_);_(@_)">
                  <c:v>2238.7299458829193</c:v>
                </c:pt>
                <c:pt idx="1271" formatCode="_(* #,##0_);_(* \(#,##0\);_(* &quot;-&quot;??_);_(@_)">
                  <c:v>2340.6137329228218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09-4AA0-81C4-EF64D5FC3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46752"/>
        <c:axId val="522449376"/>
      </c:lineChart>
      <c:dateAx>
        <c:axId val="52244675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49376"/>
        <c:crosses val="autoZero"/>
        <c:auto val="1"/>
        <c:lblOffset val="100"/>
        <c:baseTimeUnit val="days"/>
        <c:majorUnit val="1"/>
        <c:majorTimeUnit val="years"/>
      </c:dateAx>
      <c:valAx>
        <c:axId val="522449376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4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tx>
            <c:strRef>
              <c:f>DASHBOARD!$V$13</c:f>
              <c:strCache>
                <c:ptCount val="1"/>
                <c:pt idx="0">
                  <c:v>lo (bar)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DASHBOARD!$R$14:$R$18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Comps</c:v>
                </c:pt>
                <c:pt idx="4">
                  <c:v>52-Week Hi/Lo</c:v>
                </c:pt>
              </c:strCache>
            </c:strRef>
          </c:cat>
          <c:val>
            <c:numRef>
              <c:f>DASHBOARD!$V$14:$V$18</c:f>
              <c:numCache>
                <c:formatCode>_(* #,##0_);_(* \(#,##0\);_(* "-"??_);_(@_)</c:formatCode>
                <c:ptCount val="5"/>
                <c:pt idx="0">
                  <c:v>1356.3837471629099</c:v>
                </c:pt>
                <c:pt idx="1">
                  <c:v>1819.2081051284017</c:v>
                </c:pt>
                <c:pt idx="2">
                  <c:v>918.42112064770379</c:v>
                </c:pt>
                <c:pt idx="3">
                  <c:v>1887.5425807966606</c:v>
                </c:pt>
                <c:pt idx="4">
                  <c:v>2039.51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0-4E38-998C-629837EB7D0B}"/>
            </c:ext>
          </c:extLst>
        </c:ser>
        <c:ser>
          <c:idx val="1"/>
          <c:order val="1"/>
          <c:tx>
            <c:strRef>
              <c:f>DASHBOARD!$W$13</c:f>
              <c:strCache>
                <c:ptCount val="1"/>
                <c:pt idx="0">
                  <c:v>lo  (label)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5.2898458402344251E-2"/>
                  <c:y val="-9.2263500102541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21-42EE-B1A6-F0F276C6C4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DASHBOARD!$R$14:$R$18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Comps</c:v>
                </c:pt>
                <c:pt idx="4">
                  <c:v>52-Week Hi/Lo</c:v>
                </c:pt>
              </c:strCache>
            </c:strRef>
          </c:cat>
          <c:val>
            <c:numRef>
              <c:f>DASHBOARD!$W$14:$W$18</c:f>
              <c:numCache>
                <c:formatCode>_(* #,##0_);_(* \(#,##0\);_(* "-"??_);_(@_)</c:formatCode>
                <c:ptCount val="5"/>
                <c:pt idx="0">
                  <c:v>1356.3837471629099</c:v>
                </c:pt>
                <c:pt idx="1">
                  <c:v>1819.2081051284017</c:v>
                </c:pt>
                <c:pt idx="2">
                  <c:v>918.42112064770379</c:v>
                </c:pt>
                <c:pt idx="3">
                  <c:v>1887.5425807966606</c:v>
                </c:pt>
                <c:pt idx="4">
                  <c:v>2039.51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0-4E38-998C-629837EB7D0B}"/>
            </c:ext>
          </c:extLst>
        </c:ser>
        <c:ser>
          <c:idx val="2"/>
          <c:order val="2"/>
          <c:tx>
            <c:strRef>
              <c:f>DASHBOARD!$X$13</c:f>
              <c:strCache>
                <c:ptCount val="1"/>
                <c:pt idx="0">
                  <c:v>hi (bar)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DASHBOARD!$R$14:$R$18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Comps</c:v>
                </c:pt>
                <c:pt idx="4">
                  <c:v>52-Week Hi/Lo</c:v>
                </c:pt>
              </c:strCache>
            </c:strRef>
          </c:cat>
          <c:val>
            <c:numRef>
              <c:f>DASHBOARD!$X$14:$X$18</c:f>
              <c:numCache>
                <c:formatCode>_(* #,##0_);_(* \(#,##0\);_(* "-"??_);_(@_)</c:formatCode>
                <c:ptCount val="5"/>
                <c:pt idx="0">
                  <c:v>2921.4616138976407</c:v>
                </c:pt>
                <c:pt idx="1">
                  <c:v>4136.3043020153091</c:v>
                </c:pt>
                <c:pt idx="2">
                  <c:v>1891.7598982950358</c:v>
                </c:pt>
                <c:pt idx="3">
                  <c:v>2216.2843966371865</c:v>
                </c:pt>
                <c:pt idx="4">
                  <c:v>1125.3499999999999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C0-4E38-998C-629837EB7D0B}"/>
            </c:ext>
          </c:extLst>
        </c:ser>
        <c:ser>
          <c:idx val="3"/>
          <c:order val="3"/>
          <c:tx>
            <c:strRef>
              <c:f>DASHBOARD!$Y$13</c:f>
              <c:strCache>
                <c:ptCount val="1"/>
                <c:pt idx="0">
                  <c:v>hi (label)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4.7802267804815897E-2"/>
                  <c:y val="6.4317533079663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21-42EE-B1A6-F0F276C6C4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DASHBOARD!$R$14:$R$18</c:f>
              <c:strCache>
                <c:ptCount val="5"/>
                <c:pt idx="0">
                  <c:v>DCF - Consensus Case</c:v>
                </c:pt>
                <c:pt idx="1">
                  <c:v>DCF - Bull Case</c:v>
                </c:pt>
                <c:pt idx="2">
                  <c:v>DCF - Bear Case</c:v>
                </c:pt>
                <c:pt idx="3">
                  <c:v>Comps</c:v>
                </c:pt>
                <c:pt idx="4">
                  <c:v>52-Week Hi/Lo</c:v>
                </c:pt>
              </c:strCache>
            </c:strRef>
          </c:cat>
          <c:val>
            <c:numRef>
              <c:f>DASHBOARD!$Y$14:$Y$18</c:f>
              <c:numCache>
                <c:formatCode>_(* #,##0_);_(* \(#,##0\);_(* "-"??_);_(@_)</c:formatCode>
                <c:ptCount val="5"/>
                <c:pt idx="0">
                  <c:v>2921.4616138976407</c:v>
                </c:pt>
                <c:pt idx="1">
                  <c:v>4136.3043020153091</c:v>
                </c:pt>
                <c:pt idx="2">
                  <c:v>1891.7598982950358</c:v>
                </c:pt>
                <c:pt idx="3">
                  <c:v>2216.2843966371865</c:v>
                </c:pt>
                <c:pt idx="4">
                  <c:v>1125.3499999999999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C0-4E38-998C-629837EB7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1E8496"/>
              </a:solidFill>
              <a:ln w="9525" cap="flat" cmpd="sng" algn="ctr">
                <a:noFill/>
                <a:round/>
              </a:ln>
              <a:effectLst/>
            </c:spPr>
          </c:upBars>
          <c:downBars>
            <c:spPr>
              <a:solidFill>
                <a:srgbClr val="1E8496"/>
              </a:solidFill>
              <a:ln w="9525" cap="flat" cmpd="sng" algn="ctr">
                <a:noFill/>
                <a:round/>
              </a:ln>
              <a:effectLst/>
            </c:spPr>
          </c:downBars>
        </c:upDownBars>
        <c:axId val="522433632"/>
        <c:axId val="522427072"/>
      </c:stockChart>
      <c:catAx>
        <c:axId val="52243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27072"/>
        <c:crosses val="autoZero"/>
        <c:auto val="1"/>
        <c:lblAlgn val="ctr"/>
        <c:lblOffset val="100"/>
        <c:noMultiLvlLbl val="0"/>
      </c:catAx>
      <c:valAx>
        <c:axId val="52242707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87856755024929"/>
          <c:y val="9.5350941227960381E-2"/>
          <c:w val="0.72066835280393959"/>
          <c:h val="0.78090293032754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DASHBOARD!$C$19</c:f>
              <c:strCache>
                <c:ptCount val="1"/>
                <c:pt idx="0">
                  <c:v>Revenue</c:v>
                </c:pt>
              </c:strCache>
            </c:strRef>
          </c:tx>
          <c:spPr>
            <a:gradFill>
              <a:gsLst>
                <a:gs pos="0">
                  <a:srgbClr val="132E57"/>
                </a:gs>
                <a:gs pos="34000">
                  <a:srgbClr val="132E57"/>
                </a:gs>
                <a:gs pos="100000">
                  <a:srgbClr val="1E8496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DASHBOARD!$G$13:$P$13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DASHBOARD!$G$19:$P$19</c:f>
              <c:numCache>
                <c:formatCode>#,##0_);\(#,##0\)</c:formatCode>
                <c:ptCount val="10"/>
                <c:pt idx="0">
                  <c:v>300559.75005044352</c:v>
                </c:pt>
                <c:pt idx="1">
                  <c:v>369922.95953798341</c:v>
                </c:pt>
                <c:pt idx="2">
                  <c:v>445227.00199895876</c:v>
                </c:pt>
                <c:pt idx="3">
                  <c:v>525871.3378025752</c:v>
                </c:pt>
                <c:pt idx="4">
                  <c:v>602232.1075996384</c:v>
                </c:pt>
                <c:pt idx="5">
                  <c:v>672697.46908488171</c:v>
                </c:pt>
                <c:pt idx="6">
                  <c:v>735246.22424572776</c:v>
                </c:pt>
                <c:pt idx="7">
                  <c:v>794801.75959511357</c:v>
                </c:pt>
                <c:pt idx="8">
                  <c:v>848703.3832935004</c:v>
                </c:pt>
                <c:pt idx="9">
                  <c:v>897368.23376390361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A-4969-922F-6BC5BD2FF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378032952"/>
        <c:axId val="378031312"/>
      </c:barChart>
      <c:lineChart>
        <c:grouping val="standard"/>
        <c:varyColors val="0"/>
        <c:ser>
          <c:idx val="1"/>
          <c:order val="1"/>
          <c:tx>
            <c:strRef>
              <c:f>DASHBOARD!$C$30</c:f>
              <c:strCache>
                <c:ptCount val="1"/>
                <c:pt idx="0">
                  <c:v>EV/Revenue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DASHBOARD!$G$13:$P$13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DASHBOARD!$G$30:$P$30</c:f>
              <c:numCache>
                <c:formatCode>0.00\x</c:formatCode>
                <c:ptCount val="10"/>
                <c:pt idx="0">
                  <c:v>2.9834633541234434</c:v>
                </c:pt>
                <c:pt idx="1">
                  <c:v>2.4240425658357294</c:v>
                </c:pt>
                <c:pt idx="2">
                  <c:v>2.0140490041574277</c:v>
                </c:pt>
                <c:pt idx="3">
                  <c:v>1.7051870591521878</c:v>
                </c:pt>
                <c:pt idx="4">
                  <c:v>1.4889757432131612</c:v>
                </c:pt>
                <c:pt idx="5">
                  <c:v>1.3330048665410577</c:v>
                </c:pt>
                <c:pt idx="6">
                  <c:v>1.2196036789171045</c:v>
                </c:pt>
                <c:pt idx="7">
                  <c:v>1.1282171801642711</c:v>
                </c:pt>
                <c:pt idx="8">
                  <c:v>1.0565634798346246</c:v>
                </c:pt>
                <c:pt idx="9">
                  <c:v>0.99926536984584513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A-4969-922F-6BC5BD2FF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658616"/>
        <c:axId val="780656320"/>
      </c:lineChart>
      <c:catAx>
        <c:axId val="37803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1312"/>
        <c:crosses val="autoZero"/>
        <c:auto val="1"/>
        <c:lblAlgn val="ctr"/>
        <c:lblOffset val="100"/>
        <c:noMultiLvlLbl val="0"/>
      </c:catAx>
      <c:valAx>
        <c:axId val="3780313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2952"/>
        <c:crosses val="autoZero"/>
        <c:crossBetween val="between"/>
      </c:valAx>
      <c:valAx>
        <c:axId val="780656320"/>
        <c:scaling>
          <c:orientation val="minMax"/>
        </c:scaling>
        <c:delete val="0"/>
        <c:axPos val="r"/>
        <c:numFmt formatCode="0.00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58616"/>
        <c:crosses val="max"/>
        <c:crossBetween val="between"/>
      </c:valAx>
      <c:catAx>
        <c:axId val="780658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0656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3601281330948065"/>
          <c:y val="1.6002849431247811E-2"/>
          <c:w val="0.53053273550414048"/>
          <c:h val="9.0305649696802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87856755024929"/>
          <c:y val="9.5350941227960381E-2"/>
          <c:w val="0.72066835280393959"/>
          <c:h val="0.78090293032754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EBITDA (excl. SBC)</c:v>
                </c:pt>
              </c:strCache>
            </c:strRef>
          </c:tx>
          <c:spPr>
            <a:gradFill>
              <a:gsLst>
                <a:gs pos="0">
                  <a:srgbClr val="132E57"/>
                </a:gs>
                <a:gs pos="25100">
                  <a:srgbClr val="132E57"/>
                </a:gs>
                <a:gs pos="100000">
                  <a:srgbClr val="FA621C"/>
                </a:gs>
                <a:gs pos="100000">
                  <a:srgbClr val="FA621C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DASHBOARD!$G$13:$P$13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DASHBOARD!$G$20:$P$20</c:f>
              <c:numCache>
                <c:formatCode>#,##0_);\(#,##0\)</c:formatCode>
                <c:ptCount val="10"/>
                <c:pt idx="0">
                  <c:v>41928.071735766214</c:v>
                </c:pt>
                <c:pt idx="1">
                  <c:v>55383.715313811219</c:v>
                </c:pt>
                <c:pt idx="2">
                  <c:v>64932.14186133472</c:v>
                </c:pt>
                <c:pt idx="3">
                  <c:v>77329.829915219045</c:v>
                </c:pt>
                <c:pt idx="4">
                  <c:v>89814.893913545297</c:v>
                </c:pt>
                <c:pt idx="5">
                  <c:v>95647.64754151387</c:v>
                </c:pt>
                <c:pt idx="6">
                  <c:v>104398.33506862706</c:v>
                </c:pt>
                <c:pt idx="7">
                  <c:v>117624.08940625352</c:v>
                </c:pt>
                <c:pt idx="8">
                  <c:v>124549.79439333446</c:v>
                </c:pt>
                <c:pt idx="9">
                  <c:v>133809.50257201862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8-4D9D-B41D-4AA4DEF6A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378032952"/>
        <c:axId val="378031312"/>
      </c:barChart>
      <c:lineChart>
        <c:grouping val="standard"/>
        <c:varyColors val="0"/>
        <c:ser>
          <c:idx val="1"/>
          <c:order val="1"/>
          <c:tx>
            <c:strRef>
              <c:f>DASHBOARD!$C$31</c:f>
              <c:strCache>
                <c:ptCount val="1"/>
                <c:pt idx="0">
                  <c:v>EV/EBITDA</c:v>
                </c:pt>
              </c:strCache>
            </c:strRef>
          </c:tx>
          <c:spPr>
            <a:ln w="158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DASHBOARD!$G$13:$P$13</c:f>
              <c:numCache>
                <c:formatCode>General</c:formatCode>
                <c:ptCount val="1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</c:numCache>
            </c:numRef>
          </c:cat>
          <c:val>
            <c:numRef>
              <c:f>DASHBOARD!$G$31:$P$31</c:f>
              <c:numCache>
                <c:formatCode>0.00\x</c:formatCode>
                <c:ptCount val="10"/>
                <c:pt idx="0">
                  <c:v>21.38684091295984</c:v>
                </c:pt>
                <c:pt idx="1">
                  <c:v>16.190842288552368</c:v>
                </c:pt>
                <c:pt idx="2">
                  <c:v>13.809940259093242</c:v>
                </c:pt>
                <c:pt idx="3">
                  <c:v>11.595900326990392</c:v>
                </c:pt>
                <c:pt idx="4">
                  <c:v>9.9839677020958355</c:v>
                </c:pt>
                <c:pt idx="5">
                  <c:v>9.3751286419334274</c:v>
                </c:pt>
                <c:pt idx="6">
                  <c:v>8.5893036456045149</c:v>
                </c:pt>
                <c:pt idx="7">
                  <c:v>7.6235149154092081</c:v>
                </c:pt>
                <c:pt idx="8">
                  <c:v>7.1996024109694492</c:v>
                </c:pt>
                <c:pt idx="9">
                  <c:v>6.701385049371777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8-4D9D-B41D-4AA4DEF6A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658616"/>
        <c:axId val="780656320"/>
      </c:lineChart>
      <c:catAx>
        <c:axId val="37803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1312"/>
        <c:crosses val="autoZero"/>
        <c:auto val="1"/>
        <c:lblAlgn val="ctr"/>
        <c:lblOffset val="100"/>
        <c:noMultiLvlLbl val="0"/>
      </c:catAx>
      <c:valAx>
        <c:axId val="378031312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2952"/>
        <c:crosses val="autoZero"/>
        <c:crossBetween val="between"/>
      </c:valAx>
      <c:valAx>
        <c:axId val="780656320"/>
        <c:scaling>
          <c:orientation val="minMax"/>
        </c:scaling>
        <c:delete val="0"/>
        <c:axPos val="r"/>
        <c:numFmt formatCode="0.00\x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58616"/>
        <c:crosses val="max"/>
        <c:crossBetween val="between"/>
      </c:valAx>
      <c:catAx>
        <c:axId val="780658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0656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781065062477658"/>
          <c:y val="1.6002837170637472E-2"/>
          <c:w val="0.61610578898163759"/>
          <c:h val="9.00166580842111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343851235448795"/>
          <c:y val="3.219702924699124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906418725747996E-2"/>
          <c:y val="0.16856091782248359"/>
          <c:w val="0.92529293591646389"/>
          <c:h val="0.61742538438347916"/>
        </c:manualLayout>
      </c:layout>
      <c:lineChart>
        <c:grouping val="standard"/>
        <c:varyColors val="0"/>
        <c:ser>
          <c:idx val="0"/>
          <c:order val="0"/>
          <c:tx>
            <c:v>Amazon.com, Inc. (NasdaqGS:AMZN) - Share Pricing</c:v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none"/>
          </c:marker>
          <c:cat>
            <c:numRef>
              <c:f>'Share Price'!$A$9:$A$1269</c:f>
              <c:numCache>
                <c:formatCode>[$-409]mmm\-dd\-yyyy;@</c:formatCode>
                <c:ptCount val="1261"/>
                <c:pt idx="0">
                  <c:v>41586</c:v>
                </c:pt>
                <c:pt idx="1">
                  <c:v>41589</c:v>
                </c:pt>
                <c:pt idx="2">
                  <c:v>41590</c:v>
                </c:pt>
                <c:pt idx="3">
                  <c:v>41591</c:v>
                </c:pt>
                <c:pt idx="4">
                  <c:v>41592</c:v>
                </c:pt>
                <c:pt idx="5">
                  <c:v>41593</c:v>
                </c:pt>
                <c:pt idx="6">
                  <c:v>41596</c:v>
                </c:pt>
                <c:pt idx="7">
                  <c:v>41597</c:v>
                </c:pt>
                <c:pt idx="8">
                  <c:v>41598</c:v>
                </c:pt>
                <c:pt idx="9">
                  <c:v>41599</c:v>
                </c:pt>
                <c:pt idx="10">
                  <c:v>41600</c:v>
                </c:pt>
                <c:pt idx="11">
                  <c:v>41603</c:v>
                </c:pt>
                <c:pt idx="12">
                  <c:v>41604</c:v>
                </c:pt>
                <c:pt idx="13">
                  <c:v>41605</c:v>
                </c:pt>
                <c:pt idx="14">
                  <c:v>41607</c:v>
                </c:pt>
                <c:pt idx="15">
                  <c:v>41610</c:v>
                </c:pt>
                <c:pt idx="16">
                  <c:v>41611</c:v>
                </c:pt>
                <c:pt idx="17">
                  <c:v>41612</c:v>
                </c:pt>
                <c:pt idx="18">
                  <c:v>41613</c:v>
                </c:pt>
                <c:pt idx="19">
                  <c:v>41614</c:v>
                </c:pt>
                <c:pt idx="20">
                  <c:v>41617</c:v>
                </c:pt>
                <c:pt idx="21">
                  <c:v>41618</c:v>
                </c:pt>
                <c:pt idx="22">
                  <c:v>41619</c:v>
                </c:pt>
                <c:pt idx="23">
                  <c:v>41620</c:v>
                </c:pt>
                <c:pt idx="24">
                  <c:v>41621</c:v>
                </c:pt>
                <c:pt idx="25">
                  <c:v>41624</c:v>
                </c:pt>
                <c:pt idx="26">
                  <c:v>41625</c:v>
                </c:pt>
                <c:pt idx="27">
                  <c:v>41626</c:v>
                </c:pt>
                <c:pt idx="28">
                  <c:v>41627</c:v>
                </c:pt>
                <c:pt idx="29">
                  <c:v>41628</c:v>
                </c:pt>
                <c:pt idx="30">
                  <c:v>41631</c:v>
                </c:pt>
                <c:pt idx="31">
                  <c:v>41632</c:v>
                </c:pt>
                <c:pt idx="32">
                  <c:v>41634</c:v>
                </c:pt>
                <c:pt idx="33">
                  <c:v>41635</c:v>
                </c:pt>
                <c:pt idx="34">
                  <c:v>41638</c:v>
                </c:pt>
                <c:pt idx="35">
                  <c:v>41639</c:v>
                </c:pt>
                <c:pt idx="36">
                  <c:v>41641</c:v>
                </c:pt>
                <c:pt idx="37">
                  <c:v>41642</c:v>
                </c:pt>
                <c:pt idx="38">
                  <c:v>41645</c:v>
                </c:pt>
                <c:pt idx="39">
                  <c:v>41646</c:v>
                </c:pt>
                <c:pt idx="40">
                  <c:v>41647</c:v>
                </c:pt>
                <c:pt idx="41">
                  <c:v>41648</c:v>
                </c:pt>
                <c:pt idx="42">
                  <c:v>41649</c:v>
                </c:pt>
                <c:pt idx="43">
                  <c:v>41652</c:v>
                </c:pt>
                <c:pt idx="44">
                  <c:v>41653</c:v>
                </c:pt>
                <c:pt idx="45">
                  <c:v>41654</c:v>
                </c:pt>
                <c:pt idx="46">
                  <c:v>41655</c:v>
                </c:pt>
                <c:pt idx="47">
                  <c:v>41656</c:v>
                </c:pt>
                <c:pt idx="48">
                  <c:v>41660</c:v>
                </c:pt>
                <c:pt idx="49">
                  <c:v>41661</c:v>
                </c:pt>
                <c:pt idx="50">
                  <c:v>41662</c:v>
                </c:pt>
                <c:pt idx="51">
                  <c:v>41663</c:v>
                </c:pt>
                <c:pt idx="52">
                  <c:v>41666</c:v>
                </c:pt>
                <c:pt idx="53">
                  <c:v>41667</c:v>
                </c:pt>
                <c:pt idx="54">
                  <c:v>41668</c:v>
                </c:pt>
                <c:pt idx="55">
                  <c:v>41669</c:v>
                </c:pt>
                <c:pt idx="56">
                  <c:v>41670</c:v>
                </c:pt>
                <c:pt idx="57">
                  <c:v>41673</c:v>
                </c:pt>
                <c:pt idx="58">
                  <c:v>41674</c:v>
                </c:pt>
                <c:pt idx="59">
                  <c:v>41675</c:v>
                </c:pt>
                <c:pt idx="60">
                  <c:v>41676</c:v>
                </c:pt>
                <c:pt idx="61">
                  <c:v>41677</c:v>
                </c:pt>
                <c:pt idx="62">
                  <c:v>41680</c:v>
                </c:pt>
                <c:pt idx="63">
                  <c:v>41681</c:v>
                </c:pt>
                <c:pt idx="64">
                  <c:v>41682</c:v>
                </c:pt>
                <c:pt idx="65">
                  <c:v>41683</c:v>
                </c:pt>
                <c:pt idx="66">
                  <c:v>41684</c:v>
                </c:pt>
                <c:pt idx="67">
                  <c:v>41688</c:v>
                </c:pt>
                <c:pt idx="68">
                  <c:v>41689</c:v>
                </c:pt>
                <c:pt idx="69">
                  <c:v>41690</c:v>
                </c:pt>
                <c:pt idx="70">
                  <c:v>41691</c:v>
                </c:pt>
                <c:pt idx="71">
                  <c:v>41694</c:v>
                </c:pt>
                <c:pt idx="72">
                  <c:v>41695</c:v>
                </c:pt>
                <c:pt idx="73">
                  <c:v>41696</c:v>
                </c:pt>
                <c:pt idx="74">
                  <c:v>41697</c:v>
                </c:pt>
                <c:pt idx="75">
                  <c:v>41698</c:v>
                </c:pt>
                <c:pt idx="76">
                  <c:v>41701</c:v>
                </c:pt>
                <c:pt idx="77">
                  <c:v>41702</c:v>
                </c:pt>
                <c:pt idx="78">
                  <c:v>41703</c:v>
                </c:pt>
                <c:pt idx="79">
                  <c:v>41704</c:v>
                </c:pt>
                <c:pt idx="80">
                  <c:v>41705</c:v>
                </c:pt>
                <c:pt idx="81">
                  <c:v>41708</c:v>
                </c:pt>
                <c:pt idx="82">
                  <c:v>41709</c:v>
                </c:pt>
                <c:pt idx="83">
                  <c:v>41710</c:v>
                </c:pt>
                <c:pt idx="84">
                  <c:v>41711</c:v>
                </c:pt>
                <c:pt idx="85">
                  <c:v>41712</c:v>
                </c:pt>
                <c:pt idx="86">
                  <c:v>41715</c:v>
                </c:pt>
                <c:pt idx="87">
                  <c:v>41716</c:v>
                </c:pt>
                <c:pt idx="88">
                  <c:v>41717</c:v>
                </c:pt>
                <c:pt idx="89">
                  <c:v>41718</c:v>
                </c:pt>
                <c:pt idx="90">
                  <c:v>41719</c:v>
                </c:pt>
                <c:pt idx="91">
                  <c:v>41722</c:v>
                </c:pt>
                <c:pt idx="92">
                  <c:v>41723</c:v>
                </c:pt>
                <c:pt idx="93">
                  <c:v>41724</c:v>
                </c:pt>
                <c:pt idx="94">
                  <c:v>41725</c:v>
                </c:pt>
                <c:pt idx="95">
                  <c:v>41726</c:v>
                </c:pt>
                <c:pt idx="96">
                  <c:v>41729</c:v>
                </c:pt>
                <c:pt idx="97">
                  <c:v>41730</c:v>
                </c:pt>
                <c:pt idx="98">
                  <c:v>41731</c:v>
                </c:pt>
                <c:pt idx="99">
                  <c:v>41732</c:v>
                </c:pt>
                <c:pt idx="100">
                  <c:v>41733</c:v>
                </c:pt>
                <c:pt idx="101">
                  <c:v>41736</c:v>
                </c:pt>
                <c:pt idx="102">
                  <c:v>41737</c:v>
                </c:pt>
                <c:pt idx="103">
                  <c:v>41738</c:v>
                </c:pt>
                <c:pt idx="104">
                  <c:v>41739</c:v>
                </c:pt>
                <c:pt idx="105">
                  <c:v>41740</c:v>
                </c:pt>
                <c:pt idx="106">
                  <c:v>41743</c:v>
                </c:pt>
                <c:pt idx="107">
                  <c:v>41744</c:v>
                </c:pt>
                <c:pt idx="108">
                  <c:v>41745</c:v>
                </c:pt>
                <c:pt idx="109">
                  <c:v>41746</c:v>
                </c:pt>
                <c:pt idx="110">
                  <c:v>41750</c:v>
                </c:pt>
                <c:pt idx="111">
                  <c:v>41751</c:v>
                </c:pt>
                <c:pt idx="112">
                  <c:v>41752</c:v>
                </c:pt>
                <c:pt idx="113">
                  <c:v>41753</c:v>
                </c:pt>
                <c:pt idx="114">
                  <c:v>41754</c:v>
                </c:pt>
                <c:pt idx="115">
                  <c:v>41757</c:v>
                </c:pt>
                <c:pt idx="116">
                  <c:v>41758</c:v>
                </c:pt>
                <c:pt idx="117">
                  <c:v>41759</c:v>
                </c:pt>
                <c:pt idx="118">
                  <c:v>41760</c:v>
                </c:pt>
                <c:pt idx="119">
                  <c:v>41761</c:v>
                </c:pt>
                <c:pt idx="120">
                  <c:v>41764</c:v>
                </c:pt>
                <c:pt idx="121">
                  <c:v>41765</c:v>
                </c:pt>
                <c:pt idx="122">
                  <c:v>41766</c:v>
                </c:pt>
                <c:pt idx="123">
                  <c:v>41767</c:v>
                </c:pt>
                <c:pt idx="124">
                  <c:v>41768</c:v>
                </c:pt>
                <c:pt idx="125">
                  <c:v>41771</c:v>
                </c:pt>
                <c:pt idx="126">
                  <c:v>41772</c:v>
                </c:pt>
                <c:pt idx="127">
                  <c:v>41773</c:v>
                </c:pt>
                <c:pt idx="128">
                  <c:v>41774</c:v>
                </c:pt>
                <c:pt idx="129">
                  <c:v>41775</c:v>
                </c:pt>
                <c:pt idx="130">
                  <c:v>41778</c:v>
                </c:pt>
                <c:pt idx="131">
                  <c:v>41779</c:v>
                </c:pt>
                <c:pt idx="132">
                  <c:v>41780</c:v>
                </c:pt>
                <c:pt idx="133">
                  <c:v>41781</c:v>
                </c:pt>
                <c:pt idx="134">
                  <c:v>41782</c:v>
                </c:pt>
                <c:pt idx="135">
                  <c:v>41786</c:v>
                </c:pt>
                <c:pt idx="136">
                  <c:v>41787</c:v>
                </c:pt>
                <c:pt idx="137">
                  <c:v>41788</c:v>
                </c:pt>
                <c:pt idx="138">
                  <c:v>41789</c:v>
                </c:pt>
                <c:pt idx="139">
                  <c:v>41792</c:v>
                </c:pt>
                <c:pt idx="140">
                  <c:v>41793</c:v>
                </c:pt>
                <c:pt idx="141">
                  <c:v>41794</c:v>
                </c:pt>
                <c:pt idx="142">
                  <c:v>41795</c:v>
                </c:pt>
                <c:pt idx="143">
                  <c:v>41796</c:v>
                </c:pt>
                <c:pt idx="144">
                  <c:v>41799</c:v>
                </c:pt>
                <c:pt idx="145">
                  <c:v>41800</c:v>
                </c:pt>
                <c:pt idx="146">
                  <c:v>41801</c:v>
                </c:pt>
                <c:pt idx="147">
                  <c:v>41802</c:v>
                </c:pt>
                <c:pt idx="148">
                  <c:v>41803</c:v>
                </c:pt>
                <c:pt idx="149">
                  <c:v>41806</c:v>
                </c:pt>
                <c:pt idx="150">
                  <c:v>41807</c:v>
                </c:pt>
                <c:pt idx="151">
                  <c:v>41808</c:v>
                </c:pt>
                <c:pt idx="152">
                  <c:v>41809</c:v>
                </c:pt>
                <c:pt idx="153">
                  <c:v>41810</c:v>
                </c:pt>
                <c:pt idx="154">
                  <c:v>41813</c:v>
                </c:pt>
                <c:pt idx="155">
                  <c:v>41814</c:v>
                </c:pt>
                <c:pt idx="156">
                  <c:v>41815</c:v>
                </c:pt>
                <c:pt idx="157">
                  <c:v>41816</c:v>
                </c:pt>
                <c:pt idx="158">
                  <c:v>41817</c:v>
                </c:pt>
                <c:pt idx="159">
                  <c:v>41820</c:v>
                </c:pt>
                <c:pt idx="160">
                  <c:v>41821</c:v>
                </c:pt>
                <c:pt idx="161">
                  <c:v>41822</c:v>
                </c:pt>
                <c:pt idx="162">
                  <c:v>41823</c:v>
                </c:pt>
                <c:pt idx="163">
                  <c:v>41827</c:v>
                </c:pt>
                <c:pt idx="164">
                  <c:v>41828</c:v>
                </c:pt>
                <c:pt idx="165">
                  <c:v>41829</c:v>
                </c:pt>
                <c:pt idx="166">
                  <c:v>41830</c:v>
                </c:pt>
                <c:pt idx="167">
                  <c:v>41831</c:v>
                </c:pt>
                <c:pt idx="168">
                  <c:v>41834</c:v>
                </c:pt>
                <c:pt idx="169">
                  <c:v>41835</c:v>
                </c:pt>
                <c:pt idx="170">
                  <c:v>41836</c:v>
                </c:pt>
                <c:pt idx="171">
                  <c:v>41837</c:v>
                </c:pt>
                <c:pt idx="172">
                  <c:v>41838</c:v>
                </c:pt>
                <c:pt idx="173">
                  <c:v>41841</c:v>
                </c:pt>
                <c:pt idx="174">
                  <c:v>41842</c:v>
                </c:pt>
                <c:pt idx="175">
                  <c:v>41843</c:v>
                </c:pt>
                <c:pt idx="176">
                  <c:v>41844</c:v>
                </c:pt>
                <c:pt idx="177">
                  <c:v>41845</c:v>
                </c:pt>
                <c:pt idx="178">
                  <c:v>41848</c:v>
                </c:pt>
                <c:pt idx="179">
                  <c:v>41849</c:v>
                </c:pt>
                <c:pt idx="180">
                  <c:v>41850</c:v>
                </c:pt>
                <c:pt idx="181">
                  <c:v>41851</c:v>
                </c:pt>
                <c:pt idx="182">
                  <c:v>41852</c:v>
                </c:pt>
                <c:pt idx="183">
                  <c:v>41855</c:v>
                </c:pt>
                <c:pt idx="184">
                  <c:v>41856</c:v>
                </c:pt>
                <c:pt idx="185">
                  <c:v>41857</c:v>
                </c:pt>
                <c:pt idx="186">
                  <c:v>41858</c:v>
                </c:pt>
                <c:pt idx="187">
                  <c:v>41859</c:v>
                </c:pt>
                <c:pt idx="188">
                  <c:v>41862</c:v>
                </c:pt>
                <c:pt idx="189">
                  <c:v>41863</c:v>
                </c:pt>
                <c:pt idx="190">
                  <c:v>41864</c:v>
                </c:pt>
                <c:pt idx="191">
                  <c:v>41865</c:v>
                </c:pt>
                <c:pt idx="192">
                  <c:v>41866</c:v>
                </c:pt>
                <c:pt idx="193">
                  <c:v>41869</c:v>
                </c:pt>
                <c:pt idx="194">
                  <c:v>41870</c:v>
                </c:pt>
                <c:pt idx="195">
                  <c:v>41871</c:v>
                </c:pt>
                <c:pt idx="196">
                  <c:v>41872</c:v>
                </c:pt>
                <c:pt idx="197">
                  <c:v>41873</c:v>
                </c:pt>
                <c:pt idx="198">
                  <c:v>41876</c:v>
                </c:pt>
                <c:pt idx="199">
                  <c:v>41877</c:v>
                </c:pt>
                <c:pt idx="200">
                  <c:v>41878</c:v>
                </c:pt>
                <c:pt idx="201">
                  <c:v>41879</c:v>
                </c:pt>
                <c:pt idx="202">
                  <c:v>41880</c:v>
                </c:pt>
                <c:pt idx="203">
                  <c:v>41884</c:v>
                </c:pt>
                <c:pt idx="204">
                  <c:v>41885</c:v>
                </c:pt>
                <c:pt idx="205">
                  <c:v>41886</c:v>
                </c:pt>
                <c:pt idx="206">
                  <c:v>41887</c:v>
                </c:pt>
                <c:pt idx="207">
                  <c:v>41890</c:v>
                </c:pt>
                <c:pt idx="208">
                  <c:v>41891</c:v>
                </c:pt>
                <c:pt idx="209">
                  <c:v>41892</c:v>
                </c:pt>
                <c:pt idx="210">
                  <c:v>41893</c:v>
                </c:pt>
                <c:pt idx="211">
                  <c:v>41894</c:v>
                </c:pt>
                <c:pt idx="212">
                  <c:v>41897</c:v>
                </c:pt>
                <c:pt idx="213">
                  <c:v>41898</c:v>
                </c:pt>
                <c:pt idx="214">
                  <c:v>41899</c:v>
                </c:pt>
                <c:pt idx="215">
                  <c:v>41900</c:v>
                </c:pt>
                <c:pt idx="216">
                  <c:v>41901</c:v>
                </c:pt>
                <c:pt idx="217">
                  <c:v>41904</c:v>
                </c:pt>
                <c:pt idx="218">
                  <c:v>41905</c:v>
                </c:pt>
                <c:pt idx="219">
                  <c:v>41906</c:v>
                </c:pt>
                <c:pt idx="220">
                  <c:v>41907</c:v>
                </c:pt>
                <c:pt idx="221">
                  <c:v>41908</c:v>
                </c:pt>
                <c:pt idx="222">
                  <c:v>41911</c:v>
                </c:pt>
                <c:pt idx="223">
                  <c:v>41912</c:v>
                </c:pt>
                <c:pt idx="224">
                  <c:v>41913</c:v>
                </c:pt>
                <c:pt idx="225">
                  <c:v>41914</c:v>
                </c:pt>
                <c:pt idx="226">
                  <c:v>41915</c:v>
                </c:pt>
                <c:pt idx="227">
                  <c:v>41918</c:v>
                </c:pt>
                <c:pt idx="228">
                  <c:v>41919</c:v>
                </c:pt>
                <c:pt idx="229">
                  <c:v>41920</c:v>
                </c:pt>
                <c:pt idx="230">
                  <c:v>41921</c:v>
                </c:pt>
                <c:pt idx="231">
                  <c:v>41922</c:v>
                </c:pt>
                <c:pt idx="232">
                  <c:v>41925</c:v>
                </c:pt>
                <c:pt idx="233">
                  <c:v>41926</c:v>
                </c:pt>
                <c:pt idx="234">
                  <c:v>41927</c:v>
                </c:pt>
                <c:pt idx="235">
                  <c:v>41928</c:v>
                </c:pt>
                <c:pt idx="236">
                  <c:v>41929</c:v>
                </c:pt>
                <c:pt idx="237">
                  <c:v>41932</c:v>
                </c:pt>
                <c:pt idx="238">
                  <c:v>41933</c:v>
                </c:pt>
                <c:pt idx="239">
                  <c:v>41934</c:v>
                </c:pt>
                <c:pt idx="240">
                  <c:v>41935</c:v>
                </c:pt>
                <c:pt idx="241">
                  <c:v>41936</c:v>
                </c:pt>
                <c:pt idx="242">
                  <c:v>41939</c:v>
                </c:pt>
                <c:pt idx="243">
                  <c:v>41940</c:v>
                </c:pt>
                <c:pt idx="244">
                  <c:v>41941</c:v>
                </c:pt>
                <c:pt idx="245">
                  <c:v>41942</c:v>
                </c:pt>
                <c:pt idx="246">
                  <c:v>41943</c:v>
                </c:pt>
                <c:pt idx="247">
                  <c:v>41946</c:v>
                </c:pt>
                <c:pt idx="248">
                  <c:v>41947</c:v>
                </c:pt>
                <c:pt idx="249">
                  <c:v>41948</c:v>
                </c:pt>
                <c:pt idx="250">
                  <c:v>41949</c:v>
                </c:pt>
                <c:pt idx="251">
                  <c:v>41950</c:v>
                </c:pt>
                <c:pt idx="252">
                  <c:v>41953</c:v>
                </c:pt>
                <c:pt idx="253">
                  <c:v>41954</c:v>
                </c:pt>
                <c:pt idx="254">
                  <c:v>41955</c:v>
                </c:pt>
                <c:pt idx="255">
                  <c:v>41956</c:v>
                </c:pt>
                <c:pt idx="256">
                  <c:v>41957</c:v>
                </c:pt>
                <c:pt idx="257">
                  <c:v>41960</c:v>
                </c:pt>
                <c:pt idx="258">
                  <c:v>41961</c:v>
                </c:pt>
                <c:pt idx="259">
                  <c:v>41962</c:v>
                </c:pt>
                <c:pt idx="260">
                  <c:v>41963</c:v>
                </c:pt>
                <c:pt idx="261">
                  <c:v>41964</c:v>
                </c:pt>
                <c:pt idx="262">
                  <c:v>41967</c:v>
                </c:pt>
                <c:pt idx="263">
                  <c:v>41968</c:v>
                </c:pt>
                <c:pt idx="264">
                  <c:v>41969</c:v>
                </c:pt>
                <c:pt idx="265">
                  <c:v>41971</c:v>
                </c:pt>
                <c:pt idx="266">
                  <c:v>41974</c:v>
                </c:pt>
                <c:pt idx="267">
                  <c:v>41975</c:v>
                </c:pt>
                <c:pt idx="268">
                  <c:v>41976</c:v>
                </c:pt>
                <c:pt idx="269">
                  <c:v>41977</c:v>
                </c:pt>
                <c:pt idx="270">
                  <c:v>41978</c:v>
                </c:pt>
                <c:pt idx="271">
                  <c:v>41981</c:v>
                </c:pt>
                <c:pt idx="272">
                  <c:v>41982</c:v>
                </c:pt>
                <c:pt idx="273">
                  <c:v>41983</c:v>
                </c:pt>
                <c:pt idx="274">
                  <c:v>41984</c:v>
                </c:pt>
                <c:pt idx="275">
                  <c:v>41985</c:v>
                </c:pt>
                <c:pt idx="276">
                  <c:v>41988</c:v>
                </c:pt>
                <c:pt idx="277">
                  <c:v>41989</c:v>
                </c:pt>
                <c:pt idx="278">
                  <c:v>41990</c:v>
                </c:pt>
                <c:pt idx="279">
                  <c:v>41991</c:v>
                </c:pt>
                <c:pt idx="280">
                  <c:v>41992</c:v>
                </c:pt>
                <c:pt idx="281">
                  <c:v>41995</c:v>
                </c:pt>
                <c:pt idx="282">
                  <c:v>41996</c:v>
                </c:pt>
                <c:pt idx="283">
                  <c:v>41997</c:v>
                </c:pt>
                <c:pt idx="284">
                  <c:v>41999</c:v>
                </c:pt>
                <c:pt idx="285">
                  <c:v>42002</c:v>
                </c:pt>
                <c:pt idx="286">
                  <c:v>42003</c:v>
                </c:pt>
                <c:pt idx="287">
                  <c:v>42004</c:v>
                </c:pt>
                <c:pt idx="288">
                  <c:v>42006</c:v>
                </c:pt>
                <c:pt idx="289">
                  <c:v>42009</c:v>
                </c:pt>
                <c:pt idx="290">
                  <c:v>42010</c:v>
                </c:pt>
                <c:pt idx="291">
                  <c:v>42011</c:v>
                </c:pt>
                <c:pt idx="292">
                  <c:v>42012</c:v>
                </c:pt>
                <c:pt idx="293">
                  <c:v>42013</c:v>
                </c:pt>
                <c:pt idx="294">
                  <c:v>42016</c:v>
                </c:pt>
                <c:pt idx="295">
                  <c:v>42017</c:v>
                </c:pt>
                <c:pt idx="296">
                  <c:v>42018</c:v>
                </c:pt>
                <c:pt idx="297">
                  <c:v>42019</c:v>
                </c:pt>
                <c:pt idx="298">
                  <c:v>42020</c:v>
                </c:pt>
                <c:pt idx="299">
                  <c:v>42024</c:v>
                </c:pt>
                <c:pt idx="300">
                  <c:v>42025</c:v>
                </c:pt>
                <c:pt idx="301">
                  <c:v>42026</c:v>
                </c:pt>
                <c:pt idx="302">
                  <c:v>42027</c:v>
                </c:pt>
                <c:pt idx="303">
                  <c:v>42030</c:v>
                </c:pt>
                <c:pt idx="304">
                  <c:v>42031</c:v>
                </c:pt>
                <c:pt idx="305">
                  <c:v>42032</c:v>
                </c:pt>
                <c:pt idx="306">
                  <c:v>42033</c:v>
                </c:pt>
                <c:pt idx="307">
                  <c:v>42034</c:v>
                </c:pt>
                <c:pt idx="308">
                  <c:v>42037</c:v>
                </c:pt>
                <c:pt idx="309">
                  <c:v>42038</c:v>
                </c:pt>
                <c:pt idx="310">
                  <c:v>42039</c:v>
                </c:pt>
                <c:pt idx="311">
                  <c:v>42040</c:v>
                </c:pt>
                <c:pt idx="312">
                  <c:v>42041</c:v>
                </c:pt>
                <c:pt idx="313">
                  <c:v>42044</c:v>
                </c:pt>
                <c:pt idx="314">
                  <c:v>42045</c:v>
                </c:pt>
                <c:pt idx="315">
                  <c:v>42046</c:v>
                </c:pt>
                <c:pt idx="316">
                  <c:v>42047</c:v>
                </c:pt>
                <c:pt idx="317">
                  <c:v>42048</c:v>
                </c:pt>
                <c:pt idx="318">
                  <c:v>42052</c:v>
                </c:pt>
                <c:pt idx="319">
                  <c:v>42053</c:v>
                </c:pt>
                <c:pt idx="320">
                  <c:v>42054</c:v>
                </c:pt>
                <c:pt idx="321">
                  <c:v>42055</c:v>
                </c:pt>
                <c:pt idx="322">
                  <c:v>42058</c:v>
                </c:pt>
                <c:pt idx="323">
                  <c:v>42059</c:v>
                </c:pt>
                <c:pt idx="324">
                  <c:v>42060</c:v>
                </c:pt>
                <c:pt idx="325">
                  <c:v>42061</c:v>
                </c:pt>
                <c:pt idx="326">
                  <c:v>42062</c:v>
                </c:pt>
                <c:pt idx="327">
                  <c:v>42065</c:v>
                </c:pt>
                <c:pt idx="328">
                  <c:v>42066</c:v>
                </c:pt>
                <c:pt idx="329">
                  <c:v>42067</c:v>
                </c:pt>
                <c:pt idx="330">
                  <c:v>42068</c:v>
                </c:pt>
                <c:pt idx="331">
                  <c:v>42069</c:v>
                </c:pt>
                <c:pt idx="332">
                  <c:v>42072</c:v>
                </c:pt>
                <c:pt idx="333">
                  <c:v>42073</c:v>
                </c:pt>
                <c:pt idx="334">
                  <c:v>42074</c:v>
                </c:pt>
                <c:pt idx="335">
                  <c:v>42075</c:v>
                </c:pt>
                <c:pt idx="336">
                  <c:v>42076</c:v>
                </c:pt>
                <c:pt idx="337">
                  <c:v>42079</c:v>
                </c:pt>
                <c:pt idx="338">
                  <c:v>42080</c:v>
                </c:pt>
                <c:pt idx="339">
                  <c:v>42081</c:v>
                </c:pt>
                <c:pt idx="340">
                  <c:v>42082</c:v>
                </c:pt>
                <c:pt idx="341">
                  <c:v>42083</c:v>
                </c:pt>
                <c:pt idx="342">
                  <c:v>42086</c:v>
                </c:pt>
                <c:pt idx="343">
                  <c:v>42087</c:v>
                </c:pt>
                <c:pt idx="344">
                  <c:v>42088</c:v>
                </c:pt>
                <c:pt idx="345">
                  <c:v>42089</c:v>
                </c:pt>
                <c:pt idx="346">
                  <c:v>42090</c:v>
                </c:pt>
                <c:pt idx="347">
                  <c:v>42093</c:v>
                </c:pt>
                <c:pt idx="348">
                  <c:v>42094</c:v>
                </c:pt>
                <c:pt idx="349">
                  <c:v>42095</c:v>
                </c:pt>
                <c:pt idx="350">
                  <c:v>42096</c:v>
                </c:pt>
                <c:pt idx="351">
                  <c:v>42100</c:v>
                </c:pt>
                <c:pt idx="352">
                  <c:v>42101</c:v>
                </c:pt>
                <c:pt idx="353">
                  <c:v>42102</c:v>
                </c:pt>
                <c:pt idx="354">
                  <c:v>42103</c:v>
                </c:pt>
                <c:pt idx="355">
                  <c:v>42104</c:v>
                </c:pt>
                <c:pt idx="356">
                  <c:v>42107</c:v>
                </c:pt>
                <c:pt idx="357">
                  <c:v>42108</c:v>
                </c:pt>
                <c:pt idx="358">
                  <c:v>42109</c:v>
                </c:pt>
                <c:pt idx="359">
                  <c:v>42110</c:v>
                </c:pt>
                <c:pt idx="360">
                  <c:v>42111</c:v>
                </c:pt>
                <c:pt idx="361">
                  <c:v>42114</c:v>
                </c:pt>
                <c:pt idx="362">
                  <c:v>42115</c:v>
                </c:pt>
                <c:pt idx="363">
                  <c:v>42116</c:v>
                </c:pt>
                <c:pt idx="364">
                  <c:v>42117</c:v>
                </c:pt>
                <c:pt idx="365">
                  <c:v>42118</c:v>
                </c:pt>
                <c:pt idx="366">
                  <c:v>42121</c:v>
                </c:pt>
                <c:pt idx="367">
                  <c:v>42122</c:v>
                </c:pt>
                <c:pt idx="368">
                  <c:v>42123</c:v>
                </c:pt>
                <c:pt idx="369">
                  <c:v>42124</c:v>
                </c:pt>
                <c:pt idx="370">
                  <c:v>42125</c:v>
                </c:pt>
                <c:pt idx="371">
                  <c:v>42128</c:v>
                </c:pt>
                <c:pt idx="372">
                  <c:v>42129</c:v>
                </c:pt>
                <c:pt idx="373">
                  <c:v>42130</c:v>
                </c:pt>
                <c:pt idx="374">
                  <c:v>42131</c:v>
                </c:pt>
                <c:pt idx="375">
                  <c:v>42132</c:v>
                </c:pt>
                <c:pt idx="376">
                  <c:v>42135</c:v>
                </c:pt>
                <c:pt idx="377">
                  <c:v>42136</c:v>
                </c:pt>
                <c:pt idx="378">
                  <c:v>42137</c:v>
                </c:pt>
                <c:pt idx="379">
                  <c:v>42138</c:v>
                </c:pt>
                <c:pt idx="380">
                  <c:v>42139</c:v>
                </c:pt>
                <c:pt idx="381">
                  <c:v>42142</c:v>
                </c:pt>
                <c:pt idx="382">
                  <c:v>42143</c:v>
                </c:pt>
                <c:pt idx="383">
                  <c:v>42144</c:v>
                </c:pt>
                <c:pt idx="384">
                  <c:v>42145</c:v>
                </c:pt>
                <c:pt idx="385">
                  <c:v>42146</c:v>
                </c:pt>
                <c:pt idx="386">
                  <c:v>42150</c:v>
                </c:pt>
                <c:pt idx="387">
                  <c:v>42151</c:v>
                </c:pt>
                <c:pt idx="388">
                  <c:v>42152</c:v>
                </c:pt>
                <c:pt idx="389">
                  <c:v>42153</c:v>
                </c:pt>
                <c:pt idx="390">
                  <c:v>42156</c:v>
                </c:pt>
                <c:pt idx="391">
                  <c:v>42157</c:v>
                </c:pt>
                <c:pt idx="392">
                  <c:v>42158</c:v>
                </c:pt>
                <c:pt idx="393">
                  <c:v>42159</c:v>
                </c:pt>
                <c:pt idx="394">
                  <c:v>42160</c:v>
                </c:pt>
                <c:pt idx="395">
                  <c:v>42163</c:v>
                </c:pt>
                <c:pt idx="396">
                  <c:v>42164</c:v>
                </c:pt>
                <c:pt idx="397">
                  <c:v>42165</c:v>
                </c:pt>
                <c:pt idx="398">
                  <c:v>42166</c:v>
                </c:pt>
                <c:pt idx="399">
                  <c:v>42167</c:v>
                </c:pt>
                <c:pt idx="400">
                  <c:v>42170</c:v>
                </c:pt>
                <c:pt idx="401">
                  <c:v>42171</c:v>
                </c:pt>
                <c:pt idx="402">
                  <c:v>42172</c:v>
                </c:pt>
                <c:pt idx="403">
                  <c:v>42173</c:v>
                </c:pt>
                <c:pt idx="404">
                  <c:v>42174</c:v>
                </c:pt>
                <c:pt idx="405">
                  <c:v>42177</c:v>
                </c:pt>
                <c:pt idx="406">
                  <c:v>42178</c:v>
                </c:pt>
                <c:pt idx="407">
                  <c:v>42179</c:v>
                </c:pt>
                <c:pt idx="408">
                  <c:v>42180</c:v>
                </c:pt>
                <c:pt idx="409">
                  <c:v>42181</c:v>
                </c:pt>
                <c:pt idx="410">
                  <c:v>42184</c:v>
                </c:pt>
                <c:pt idx="411">
                  <c:v>42185</c:v>
                </c:pt>
                <c:pt idx="412">
                  <c:v>42186</c:v>
                </c:pt>
                <c:pt idx="413">
                  <c:v>42187</c:v>
                </c:pt>
                <c:pt idx="414">
                  <c:v>42191</c:v>
                </c:pt>
                <c:pt idx="415">
                  <c:v>42192</c:v>
                </c:pt>
                <c:pt idx="416">
                  <c:v>42193</c:v>
                </c:pt>
                <c:pt idx="417">
                  <c:v>42194</c:v>
                </c:pt>
                <c:pt idx="418">
                  <c:v>42195</c:v>
                </c:pt>
                <c:pt idx="419">
                  <c:v>42198</c:v>
                </c:pt>
                <c:pt idx="420">
                  <c:v>42199</c:v>
                </c:pt>
                <c:pt idx="421">
                  <c:v>42200</c:v>
                </c:pt>
                <c:pt idx="422">
                  <c:v>42201</c:v>
                </c:pt>
                <c:pt idx="423">
                  <c:v>42202</c:v>
                </c:pt>
                <c:pt idx="424">
                  <c:v>42205</c:v>
                </c:pt>
                <c:pt idx="425">
                  <c:v>42206</c:v>
                </c:pt>
                <c:pt idx="426">
                  <c:v>42207</c:v>
                </c:pt>
                <c:pt idx="427">
                  <c:v>42208</c:v>
                </c:pt>
                <c:pt idx="428">
                  <c:v>42209</c:v>
                </c:pt>
                <c:pt idx="429">
                  <c:v>42212</c:v>
                </c:pt>
                <c:pt idx="430">
                  <c:v>42213</c:v>
                </c:pt>
                <c:pt idx="431">
                  <c:v>42214</c:v>
                </c:pt>
                <c:pt idx="432">
                  <c:v>42215</c:v>
                </c:pt>
                <c:pt idx="433">
                  <c:v>42216</c:v>
                </c:pt>
                <c:pt idx="434">
                  <c:v>42219</c:v>
                </c:pt>
                <c:pt idx="435">
                  <c:v>42220</c:v>
                </c:pt>
                <c:pt idx="436">
                  <c:v>42221</c:v>
                </c:pt>
                <c:pt idx="437">
                  <c:v>42222</c:v>
                </c:pt>
                <c:pt idx="438">
                  <c:v>42223</c:v>
                </c:pt>
                <c:pt idx="439">
                  <c:v>42226</c:v>
                </c:pt>
                <c:pt idx="440">
                  <c:v>42227</c:v>
                </c:pt>
                <c:pt idx="441">
                  <c:v>42228</c:v>
                </c:pt>
                <c:pt idx="442">
                  <c:v>42229</c:v>
                </c:pt>
                <c:pt idx="443">
                  <c:v>42230</c:v>
                </c:pt>
                <c:pt idx="444">
                  <c:v>42233</c:v>
                </c:pt>
                <c:pt idx="445">
                  <c:v>42234</c:v>
                </c:pt>
                <c:pt idx="446">
                  <c:v>42235</c:v>
                </c:pt>
                <c:pt idx="447">
                  <c:v>42236</c:v>
                </c:pt>
                <c:pt idx="448">
                  <c:v>42237</c:v>
                </c:pt>
                <c:pt idx="449">
                  <c:v>42240</c:v>
                </c:pt>
                <c:pt idx="450">
                  <c:v>42241</c:v>
                </c:pt>
                <c:pt idx="451">
                  <c:v>42242</c:v>
                </c:pt>
                <c:pt idx="452">
                  <c:v>42243</c:v>
                </c:pt>
                <c:pt idx="453">
                  <c:v>42244</c:v>
                </c:pt>
                <c:pt idx="454">
                  <c:v>42247</c:v>
                </c:pt>
                <c:pt idx="455">
                  <c:v>42248</c:v>
                </c:pt>
                <c:pt idx="456">
                  <c:v>42249</c:v>
                </c:pt>
                <c:pt idx="457">
                  <c:v>42250</c:v>
                </c:pt>
                <c:pt idx="458">
                  <c:v>42251</c:v>
                </c:pt>
                <c:pt idx="459">
                  <c:v>42255</c:v>
                </c:pt>
                <c:pt idx="460">
                  <c:v>42256</c:v>
                </c:pt>
                <c:pt idx="461">
                  <c:v>42257</c:v>
                </c:pt>
                <c:pt idx="462">
                  <c:v>42258</c:v>
                </c:pt>
                <c:pt idx="463">
                  <c:v>42261</c:v>
                </c:pt>
                <c:pt idx="464">
                  <c:v>42262</c:v>
                </c:pt>
                <c:pt idx="465">
                  <c:v>42263</c:v>
                </c:pt>
                <c:pt idx="466">
                  <c:v>42264</c:v>
                </c:pt>
                <c:pt idx="467">
                  <c:v>42265</c:v>
                </c:pt>
                <c:pt idx="468">
                  <c:v>42268</c:v>
                </c:pt>
                <c:pt idx="469">
                  <c:v>42269</c:v>
                </c:pt>
                <c:pt idx="470">
                  <c:v>42270</c:v>
                </c:pt>
                <c:pt idx="471">
                  <c:v>42271</c:v>
                </c:pt>
                <c:pt idx="472">
                  <c:v>42272</c:v>
                </c:pt>
                <c:pt idx="473">
                  <c:v>42275</c:v>
                </c:pt>
                <c:pt idx="474">
                  <c:v>42276</c:v>
                </c:pt>
                <c:pt idx="475">
                  <c:v>42277</c:v>
                </c:pt>
                <c:pt idx="476">
                  <c:v>42278</c:v>
                </c:pt>
                <c:pt idx="477">
                  <c:v>42279</c:v>
                </c:pt>
                <c:pt idx="478">
                  <c:v>42282</c:v>
                </c:pt>
                <c:pt idx="479">
                  <c:v>42283</c:v>
                </c:pt>
                <c:pt idx="480">
                  <c:v>42284</c:v>
                </c:pt>
                <c:pt idx="481">
                  <c:v>42285</c:v>
                </c:pt>
                <c:pt idx="482">
                  <c:v>42286</c:v>
                </c:pt>
                <c:pt idx="483">
                  <c:v>42289</c:v>
                </c:pt>
                <c:pt idx="484">
                  <c:v>42290</c:v>
                </c:pt>
                <c:pt idx="485">
                  <c:v>42291</c:v>
                </c:pt>
                <c:pt idx="486">
                  <c:v>42292</c:v>
                </c:pt>
                <c:pt idx="487">
                  <c:v>42293</c:v>
                </c:pt>
                <c:pt idx="488">
                  <c:v>42296</c:v>
                </c:pt>
                <c:pt idx="489">
                  <c:v>42297</c:v>
                </c:pt>
                <c:pt idx="490">
                  <c:v>42298</c:v>
                </c:pt>
                <c:pt idx="491">
                  <c:v>42299</c:v>
                </c:pt>
                <c:pt idx="492">
                  <c:v>42300</c:v>
                </c:pt>
                <c:pt idx="493">
                  <c:v>42303</c:v>
                </c:pt>
                <c:pt idx="494">
                  <c:v>42304</c:v>
                </c:pt>
                <c:pt idx="495">
                  <c:v>42305</c:v>
                </c:pt>
                <c:pt idx="496">
                  <c:v>42306</c:v>
                </c:pt>
                <c:pt idx="497">
                  <c:v>42307</c:v>
                </c:pt>
                <c:pt idx="498">
                  <c:v>42310</c:v>
                </c:pt>
                <c:pt idx="499">
                  <c:v>42311</c:v>
                </c:pt>
                <c:pt idx="500">
                  <c:v>42312</c:v>
                </c:pt>
                <c:pt idx="501">
                  <c:v>42313</c:v>
                </c:pt>
                <c:pt idx="502">
                  <c:v>42314</c:v>
                </c:pt>
                <c:pt idx="503">
                  <c:v>42317</c:v>
                </c:pt>
                <c:pt idx="504">
                  <c:v>42318</c:v>
                </c:pt>
                <c:pt idx="505">
                  <c:v>42319</c:v>
                </c:pt>
                <c:pt idx="506">
                  <c:v>42320</c:v>
                </c:pt>
                <c:pt idx="507">
                  <c:v>42321</c:v>
                </c:pt>
                <c:pt idx="508">
                  <c:v>42324</c:v>
                </c:pt>
                <c:pt idx="509">
                  <c:v>42325</c:v>
                </c:pt>
                <c:pt idx="510">
                  <c:v>42326</c:v>
                </c:pt>
                <c:pt idx="511">
                  <c:v>42327</c:v>
                </c:pt>
                <c:pt idx="512">
                  <c:v>42328</c:v>
                </c:pt>
                <c:pt idx="513">
                  <c:v>42331</c:v>
                </c:pt>
                <c:pt idx="514">
                  <c:v>42332</c:v>
                </c:pt>
                <c:pt idx="515">
                  <c:v>42333</c:v>
                </c:pt>
                <c:pt idx="516">
                  <c:v>42335</c:v>
                </c:pt>
                <c:pt idx="517">
                  <c:v>42338</c:v>
                </c:pt>
                <c:pt idx="518">
                  <c:v>42339</c:v>
                </c:pt>
                <c:pt idx="519">
                  <c:v>42340</c:v>
                </c:pt>
                <c:pt idx="520">
                  <c:v>42341</c:v>
                </c:pt>
                <c:pt idx="521">
                  <c:v>42342</c:v>
                </c:pt>
                <c:pt idx="522">
                  <c:v>42345</c:v>
                </c:pt>
                <c:pt idx="523">
                  <c:v>42346</c:v>
                </c:pt>
                <c:pt idx="524">
                  <c:v>42347</c:v>
                </c:pt>
                <c:pt idx="525">
                  <c:v>42348</c:v>
                </c:pt>
                <c:pt idx="526">
                  <c:v>42349</c:v>
                </c:pt>
                <c:pt idx="527">
                  <c:v>42352</c:v>
                </c:pt>
                <c:pt idx="528">
                  <c:v>42353</c:v>
                </c:pt>
                <c:pt idx="529">
                  <c:v>42354</c:v>
                </c:pt>
                <c:pt idx="530">
                  <c:v>42355</c:v>
                </c:pt>
                <c:pt idx="531">
                  <c:v>42356</c:v>
                </c:pt>
                <c:pt idx="532">
                  <c:v>42359</c:v>
                </c:pt>
                <c:pt idx="533">
                  <c:v>42360</c:v>
                </c:pt>
                <c:pt idx="534">
                  <c:v>42361</c:v>
                </c:pt>
                <c:pt idx="535">
                  <c:v>42362</c:v>
                </c:pt>
                <c:pt idx="536">
                  <c:v>42366</c:v>
                </c:pt>
                <c:pt idx="537">
                  <c:v>42367</c:v>
                </c:pt>
                <c:pt idx="538">
                  <c:v>42368</c:v>
                </c:pt>
                <c:pt idx="539">
                  <c:v>42369</c:v>
                </c:pt>
                <c:pt idx="540">
                  <c:v>42373</c:v>
                </c:pt>
                <c:pt idx="541">
                  <c:v>42374</c:v>
                </c:pt>
                <c:pt idx="542">
                  <c:v>42375</c:v>
                </c:pt>
                <c:pt idx="543">
                  <c:v>42376</c:v>
                </c:pt>
                <c:pt idx="544">
                  <c:v>42377</c:v>
                </c:pt>
                <c:pt idx="545">
                  <c:v>42380</c:v>
                </c:pt>
                <c:pt idx="546">
                  <c:v>42381</c:v>
                </c:pt>
                <c:pt idx="547">
                  <c:v>42382</c:v>
                </c:pt>
                <c:pt idx="548">
                  <c:v>42383</c:v>
                </c:pt>
                <c:pt idx="549">
                  <c:v>42384</c:v>
                </c:pt>
                <c:pt idx="550">
                  <c:v>42388</c:v>
                </c:pt>
                <c:pt idx="551">
                  <c:v>42389</c:v>
                </c:pt>
                <c:pt idx="552">
                  <c:v>42390</c:v>
                </c:pt>
                <c:pt idx="553">
                  <c:v>42391</c:v>
                </c:pt>
                <c:pt idx="554">
                  <c:v>42394</c:v>
                </c:pt>
                <c:pt idx="555">
                  <c:v>42395</c:v>
                </c:pt>
                <c:pt idx="556">
                  <c:v>42396</c:v>
                </c:pt>
                <c:pt idx="557">
                  <c:v>42397</c:v>
                </c:pt>
                <c:pt idx="558">
                  <c:v>42398</c:v>
                </c:pt>
                <c:pt idx="559">
                  <c:v>42401</c:v>
                </c:pt>
                <c:pt idx="560">
                  <c:v>42402</c:v>
                </c:pt>
                <c:pt idx="561">
                  <c:v>42403</c:v>
                </c:pt>
                <c:pt idx="562">
                  <c:v>42404</c:v>
                </c:pt>
                <c:pt idx="563">
                  <c:v>42405</c:v>
                </c:pt>
                <c:pt idx="564">
                  <c:v>42408</c:v>
                </c:pt>
                <c:pt idx="565">
                  <c:v>42409</c:v>
                </c:pt>
                <c:pt idx="566">
                  <c:v>42410</c:v>
                </c:pt>
                <c:pt idx="567">
                  <c:v>42411</c:v>
                </c:pt>
                <c:pt idx="568">
                  <c:v>42412</c:v>
                </c:pt>
                <c:pt idx="569">
                  <c:v>42416</c:v>
                </c:pt>
                <c:pt idx="570">
                  <c:v>42417</c:v>
                </c:pt>
                <c:pt idx="571">
                  <c:v>42418</c:v>
                </c:pt>
                <c:pt idx="572">
                  <c:v>42419</c:v>
                </c:pt>
                <c:pt idx="573">
                  <c:v>42422</c:v>
                </c:pt>
                <c:pt idx="574">
                  <c:v>42423</c:v>
                </c:pt>
                <c:pt idx="575">
                  <c:v>42424</c:v>
                </c:pt>
                <c:pt idx="576">
                  <c:v>42425</c:v>
                </c:pt>
                <c:pt idx="577">
                  <c:v>42426</c:v>
                </c:pt>
                <c:pt idx="578">
                  <c:v>42429</c:v>
                </c:pt>
                <c:pt idx="579">
                  <c:v>42430</c:v>
                </c:pt>
                <c:pt idx="580">
                  <c:v>42431</c:v>
                </c:pt>
                <c:pt idx="581">
                  <c:v>42432</c:v>
                </c:pt>
                <c:pt idx="582">
                  <c:v>42433</c:v>
                </c:pt>
                <c:pt idx="583">
                  <c:v>42436</c:v>
                </c:pt>
                <c:pt idx="584">
                  <c:v>42437</c:v>
                </c:pt>
                <c:pt idx="585">
                  <c:v>42438</c:v>
                </c:pt>
                <c:pt idx="586">
                  <c:v>42439</c:v>
                </c:pt>
                <c:pt idx="587">
                  <c:v>42440</c:v>
                </c:pt>
                <c:pt idx="588">
                  <c:v>42443</c:v>
                </c:pt>
                <c:pt idx="589">
                  <c:v>42444</c:v>
                </c:pt>
                <c:pt idx="590">
                  <c:v>42445</c:v>
                </c:pt>
                <c:pt idx="591">
                  <c:v>42446</c:v>
                </c:pt>
                <c:pt idx="592">
                  <c:v>42447</c:v>
                </c:pt>
                <c:pt idx="593">
                  <c:v>42450</c:v>
                </c:pt>
                <c:pt idx="594">
                  <c:v>42451</c:v>
                </c:pt>
                <c:pt idx="595">
                  <c:v>42452</c:v>
                </c:pt>
                <c:pt idx="596">
                  <c:v>42453</c:v>
                </c:pt>
                <c:pt idx="597">
                  <c:v>42457</c:v>
                </c:pt>
                <c:pt idx="598">
                  <c:v>42458</c:v>
                </c:pt>
                <c:pt idx="599">
                  <c:v>42459</c:v>
                </c:pt>
                <c:pt idx="600">
                  <c:v>42460</c:v>
                </c:pt>
                <c:pt idx="601">
                  <c:v>42461</c:v>
                </c:pt>
                <c:pt idx="602">
                  <c:v>42464</c:v>
                </c:pt>
                <c:pt idx="603">
                  <c:v>42465</c:v>
                </c:pt>
                <c:pt idx="604">
                  <c:v>42466</c:v>
                </c:pt>
                <c:pt idx="605">
                  <c:v>42467</c:v>
                </c:pt>
                <c:pt idx="606">
                  <c:v>42468</c:v>
                </c:pt>
                <c:pt idx="607">
                  <c:v>42471</c:v>
                </c:pt>
                <c:pt idx="608">
                  <c:v>42472</c:v>
                </c:pt>
                <c:pt idx="609">
                  <c:v>42473</c:v>
                </c:pt>
                <c:pt idx="610">
                  <c:v>42474</c:v>
                </c:pt>
                <c:pt idx="611">
                  <c:v>42475</c:v>
                </c:pt>
                <c:pt idx="612">
                  <c:v>42478</c:v>
                </c:pt>
                <c:pt idx="613">
                  <c:v>42479</c:v>
                </c:pt>
                <c:pt idx="614">
                  <c:v>42480</c:v>
                </c:pt>
                <c:pt idx="615">
                  <c:v>42481</c:v>
                </c:pt>
                <c:pt idx="616">
                  <c:v>42482</c:v>
                </c:pt>
                <c:pt idx="617">
                  <c:v>42485</c:v>
                </c:pt>
                <c:pt idx="618">
                  <c:v>42486</c:v>
                </c:pt>
                <c:pt idx="619">
                  <c:v>42487</c:v>
                </c:pt>
                <c:pt idx="620">
                  <c:v>42488</c:v>
                </c:pt>
                <c:pt idx="621">
                  <c:v>42489</c:v>
                </c:pt>
                <c:pt idx="622">
                  <c:v>42492</c:v>
                </c:pt>
                <c:pt idx="623">
                  <c:v>42493</c:v>
                </c:pt>
                <c:pt idx="624">
                  <c:v>42494</c:v>
                </c:pt>
                <c:pt idx="625">
                  <c:v>42495</c:v>
                </c:pt>
                <c:pt idx="626">
                  <c:v>42496</c:v>
                </c:pt>
                <c:pt idx="627">
                  <c:v>42499</c:v>
                </c:pt>
                <c:pt idx="628">
                  <c:v>42500</c:v>
                </c:pt>
                <c:pt idx="629">
                  <c:v>42501</c:v>
                </c:pt>
                <c:pt idx="630">
                  <c:v>42502</c:v>
                </c:pt>
                <c:pt idx="631">
                  <c:v>42503</c:v>
                </c:pt>
                <c:pt idx="632">
                  <c:v>42506</c:v>
                </c:pt>
                <c:pt idx="633">
                  <c:v>42507</c:v>
                </c:pt>
                <c:pt idx="634">
                  <c:v>42508</c:v>
                </c:pt>
                <c:pt idx="635">
                  <c:v>42509</c:v>
                </c:pt>
                <c:pt idx="636">
                  <c:v>42510</c:v>
                </c:pt>
                <c:pt idx="637">
                  <c:v>42513</c:v>
                </c:pt>
                <c:pt idx="638">
                  <c:v>42514</c:v>
                </c:pt>
                <c:pt idx="639">
                  <c:v>42515</c:v>
                </c:pt>
                <c:pt idx="640">
                  <c:v>42516</c:v>
                </c:pt>
                <c:pt idx="641">
                  <c:v>42517</c:v>
                </c:pt>
                <c:pt idx="642">
                  <c:v>42521</c:v>
                </c:pt>
                <c:pt idx="643">
                  <c:v>42522</c:v>
                </c:pt>
                <c:pt idx="644">
                  <c:v>42523</c:v>
                </c:pt>
                <c:pt idx="645">
                  <c:v>42524</c:v>
                </c:pt>
                <c:pt idx="646">
                  <c:v>42527</c:v>
                </c:pt>
                <c:pt idx="647">
                  <c:v>42528</c:v>
                </c:pt>
                <c:pt idx="648">
                  <c:v>42529</c:v>
                </c:pt>
                <c:pt idx="649">
                  <c:v>42530</c:v>
                </c:pt>
                <c:pt idx="650">
                  <c:v>42531</c:v>
                </c:pt>
                <c:pt idx="651">
                  <c:v>42534</c:v>
                </c:pt>
                <c:pt idx="652">
                  <c:v>42535</c:v>
                </c:pt>
                <c:pt idx="653">
                  <c:v>42536</c:v>
                </c:pt>
                <c:pt idx="654">
                  <c:v>42537</c:v>
                </c:pt>
                <c:pt idx="655">
                  <c:v>42538</c:v>
                </c:pt>
                <c:pt idx="656">
                  <c:v>42541</c:v>
                </c:pt>
                <c:pt idx="657">
                  <c:v>42542</c:v>
                </c:pt>
                <c:pt idx="658">
                  <c:v>42543</c:v>
                </c:pt>
                <c:pt idx="659">
                  <c:v>42544</c:v>
                </c:pt>
                <c:pt idx="660">
                  <c:v>42545</c:v>
                </c:pt>
                <c:pt idx="661">
                  <c:v>42548</c:v>
                </c:pt>
                <c:pt idx="662">
                  <c:v>42549</c:v>
                </c:pt>
                <c:pt idx="663">
                  <c:v>42550</c:v>
                </c:pt>
                <c:pt idx="664">
                  <c:v>42551</c:v>
                </c:pt>
                <c:pt idx="665">
                  <c:v>42552</c:v>
                </c:pt>
                <c:pt idx="666">
                  <c:v>42556</c:v>
                </c:pt>
                <c:pt idx="667">
                  <c:v>42557</c:v>
                </c:pt>
                <c:pt idx="668">
                  <c:v>42558</c:v>
                </c:pt>
                <c:pt idx="669">
                  <c:v>42559</c:v>
                </c:pt>
                <c:pt idx="670">
                  <c:v>42562</c:v>
                </c:pt>
                <c:pt idx="671">
                  <c:v>42563</c:v>
                </c:pt>
                <c:pt idx="672">
                  <c:v>42564</c:v>
                </c:pt>
                <c:pt idx="673">
                  <c:v>42565</c:v>
                </c:pt>
                <c:pt idx="674">
                  <c:v>42566</c:v>
                </c:pt>
                <c:pt idx="675">
                  <c:v>42569</c:v>
                </c:pt>
                <c:pt idx="676">
                  <c:v>42570</c:v>
                </c:pt>
                <c:pt idx="677">
                  <c:v>42571</c:v>
                </c:pt>
                <c:pt idx="678">
                  <c:v>42572</c:v>
                </c:pt>
                <c:pt idx="679">
                  <c:v>42573</c:v>
                </c:pt>
                <c:pt idx="680">
                  <c:v>42576</c:v>
                </c:pt>
                <c:pt idx="681">
                  <c:v>42577</c:v>
                </c:pt>
                <c:pt idx="682">
                  <c:v>42578</c:v>
                </c:pt>
                <c:pt idx="683">
                  <c:v>42579</c:v>
                </c:pt>
                <c:pt idx="684">
                  <c:v>42580</c:v>
                </c:pt>
                <c:pt idx="685">
                  <c:v>42583</c:v>
                </c:pt>
                <c:pt idx="686">
                  <c:v>42584</c:v>
                </c:pt>
                <c:pt idx="687">
                  <c:v>42585</c:v>
                </c:pt>
                <c:pt idx="688">
                  <c:v>42586</c:v>
                </c:pt>
                <c:pt idx="689">
                  <c:v>42587</c:v>
                </c:pt>
                <c:pt idx="690">
                  <c:v>42590</c:v>
                </c:pt>
                <c:pt idx="691">
                  <c:v>42591</c:v>
                </c:pt>
                <c:pt idx="692">
                  <c:v>42592</c:v>
                </c:pt>
                <c:pt idx="693">
                  <c:v>42593</c:v>
                </c:pt>
                <c:pt idx="694">
                  <c:v>42594</c:v>
                </c:pt>
                <c:pt idx="695">
                  <c:v>42597</c:v>
                </c:pt>
                <c:pt idx="696">
                  <c:v>42598</c:v>
                </c:pt>
                <c:pt idx="697">
                  <c:v>42599</c:v>
                </c:pt>
                <c:pt idx="698">
                  <c:v>42600</c:v>
                </c:pt>
                <c:pt idx="699">
                  <c:v>42601</c:v>
                </c:pt>
                <c:pt idx="700">
                  <c:v>42604</c:v>
                </c:pt>
                <c:pt idx="701">
                  <c:v>42605</c:v>
                </c:pt>
                <c:pt idx="702">
                  <c:v>42606</c:v>
                </c:pt>
                <c:pt idx="703">
                  <c:v>42607</c:v>
                </c:pt>
                <c:pt idx="704">
                  <c:v>42608</c:v>
                </c:pt>
                <c:pt idx="705">
                  <c:v>42611</c:v>
                </c:pt>
                <c:pt idx="706">
                  <c:v>42612</c:v>
                </c:pt>
                <c:pt idx="707">
                  <c:v>42613</c:v>
                </c:pt>
                <c:pt idx="708">
                  <c:v>42614</c:v>
                </c:pt>
                <c:pt idx="709">
                  <c:v>42615</c:v>
                </c:pt>
                <c:pt idx="710">
                  <c:v>42619</c:v>
                </c:pt>
                <c:pt idx="711">
                  <c:v>42620</c:v>
                </c:pt>
                <c:pt idx="712">
                  <c:v>42621</c:v>
                </c:pt>
                <c:pt idx="713">
                  <c:v>42622</c:v>
                </c:pt>
                <c:pt idx="714">
                  <c:v>42625</c:v>
                </c:pt>
                <c:pt idx="715">
                  <c:v>42626</c:v>
                </c:pt>
                <c:pt idx="716">
                  <c:v>42627</c:v>
                </c:pt>
                <c:pt idx="717">
                  <c:v>42628</c:v>
                </c:pt>
                <c:pt idx="718">
                  <c:v>42629</c:v>
                </c:pt>
                <c:pt idx="719">
                  <c:v>42632</c:v>
                </c:pt>
                <c:pt idx="720">
                  <c:v>42633</c:v>
                </c:pt>
                <c:pt idx="721">
                  <c:v>42634</c:v>
                </c:pt>
                <c:pt idx="722">
                  <c:v>42635</c:v>
                </c:pt>
                <c:pt idx="723">
                  <c:v>42636</c:v>
                </c:pt>
                <c:pt idx="724">
                  <c:v>42639</c:v>
                </c:pt>
                <c:pt idx="725">
                  <c:v>42640</c:v>
                </c:pt>
                <c:pt idx="726">
                  <c:v>42641</c:v>
                </c:pt>
                <c:pt idx="727">
                  <c:v>42642</c:v>
                </c:pt>
                <c:pt idx="728">
                  <c:v>42643</c:v>
                </c:pt>
                <c:pt idx="729">
                  <c:v>42646</c:v>
                </c:pt>
                <c:pt idx="730">
                  <c:v>42647</c:v>
                </c:pt>
                <c:pt idx="731">
                  <c:v>42648</c:v>
                </c:pt>
                <c:pt idx="732">
                  <c:v>42649</c:v>
                </c:pt>
                <c:pt idx="733">
                  <c:v>42650</c:v>
                </c:pt>
                <c:pt idx="734">
                  <c:v>42653</c:v>
                </c:pt>
                <c:pt idx="735">
                  <c:v>42654</c:v>
                </c:pt>
                <c:pt idx="736">
                  <c:v>42655</c:v>
                </c:pt>
                <c:pt idx="737">
                  <c:v>42656</c:v>
                </c:pt>
                <c:pt idx="738">
                  <c:v>42657</c:v>
                </c:pt>
                <c:pt idx="739">
                  <c:v>42660</c:v>
                </c:pt>
                <c:pt idx="740">
                  <c:v>42661</c:v>
                </c:pt>
                <c:pt idx="741">
                  <c:v>42662</c:v>
                </c:pt>
                <c:pt idx="742">
                  <c:v>42663</c:v>
                </c:pt>
                <c:pt idx="743">
                  <c:v>42664</c:v>
                </c:pt>
                <c:pt idx="744">
                  <c:v>42667</c:v>
                </c:pt>
                <c:pt idx="745">
                  <c:v>42668</c:v>
                </c:pt>
                <c:pt idx="746">
                  <c:v>42669</c:v>
                </c:pt>
                <c:pt idx="747">
                  <c:v>42670</c:v>
                </c:pt>
                <c:pt idx="748">
                  <c:v>42671</c:v>
                </c:pt>
                <c:pt idx="749">
                  <c:v>42674</c:v>
                </c:pt>
                <c:pt idx="750">
                  <c:v>42675</c:v>
                </c:pt>
                <c:pt idx="751">
                  <c:v>42676</c:v>
                </c:pt>
                <c:pt idx="752">
                  <c:v>42677</c:v>
                </c:pt>
                <c:pt idx="753">
                  <c:v>42678</c:v>
                </c:pt>
                <c:pt idx="754">
                  <c:v>42681</c:v>
                </c:pt>
                <c:pt idx="755">
                  <c:v>42682</c:v>
                </c:pt>
                <c:pt idx="756">
                  <c:v>42683</c:v>
                </c:pt>
                <c:pt idx="757">
                  <c:v>42684</c:v>
                </c:pt>
                <c:pt idx="758">
                  <c:v>42685</c:v>
                </c:pt>
                <c:pt idx="759">
                  <c:v>42688</c:v>
                </c:pt>
                <c:pt idx="760">
                  <c:v>42689</c:v>
                </c:pt>
                <c:pt idx="761">
                  <c:v>42690</c:v>
                </c:pt>
                <c:pt idx="762">
                  <c:v>42691</c:v>
                </c:pt>
                <c:pt idx="763">
                  <c:v>42692</c:v>
                </c:pt>
                <c:pt idx="764">
                  <c:v>42695</c:v>
                </c:pt>
                <c:pt idx="765">
                  <c:v>42696</c:v>
                </c:pt>
                <c:pt idx="766">
                  <c:v>42697</c:v>
                </c:pt>
                <c:pt idx="767">
                  <c:v>42699</c:v>
                </c:pt>
                <c:pt idx="768">
                  <c:v>42702</c:v>
                </c:pt>
                <c:pt idx="769">
                  <c:v>42703</c:v>
                </c:pt>
                <c:pt idx="770">
                  <c:v>42704</c:v>
                </c:pt>
                <c:pt idx="771">
                  <c:v>42705</c:v>
                </c:pt>
                <c:pt idx="772">
                  <c:v>42706</c:v>
                </c:pt>
                <c:pt idx="773">
                  <c:v>42709</c:v>
                </c:pt>
                <c:pt idx="774">
                  <c:v>42710</c:v>
                </c:pt>
                <c:pt idx="775">
                  <c:v>42711</c:v>
                </c:pt>
                <c:pt idx="776">
                  <c:v>42712</c:v>
                </c:pt>
                <c:pt idx="777">
                  <c:v>42713</c:v>
                </c:pt>
                <c:pt idx="778">
                  <c:v>42716</c:v>
                </c:pt>
                <c:pt idx="779">
                  <c:v>42717</c:v>
                </c:pt>
                <c:pt idx="780">
                  <c:v>42718</c:v>
                </c:pt>
                <c:pt idx="781">
                  <c:v>42719</c:v>
                </c:pt>
                <c:pt idx="782">
                  <c:v>42720</c:v>
                </c:pt>
                <c:pt idx="783">
                  <c:v>42723</c:v>
                </c:pt>
                <c:pt idx="784">
                  <c:v>42724</c:v>
                </c:pt>
                <c:pt idx="785">
                  <c:v>42725</c:v>
                </c:pt>
                <c:pt idx="786">
                  <c:v>42726</c:v>
                </c:pt>
                <c:pt idx="787">
                  <c:v>42727</c:v>
                </c:pt>
                <c:pt idx="788">
                  <c:v>42731</c:v>
                </c:pt>
                <c:pt idx="789">
                  <c:v>42732</c:v>
                </c:pt>
                <c:pt idx="790">
                  <c:v>42733</c:v>
                </c:pt>
                <c:pt idx="791">
                  <c:v>42734</c:v>
                </c:pt>
                <c:pt idx="792">
                  <c:v>42738</c:v>
                </c:pt>
                <c:pt idx="793">
                  <c:v>42739</c:v>
                </c:pt>
                <c:pt idx="794">
                  <c:v>42740</c:v>
                </c:pt>
                <c:pt idx="795">
                  <c:v>42741</c:v>
                </c:pt>
                <c:pt idx="796">
                  <c:v>42744</c:v>
                </c:pt>
                <c:pt idx="797">
                  <c:v>42745</c:v>
                </c:pt>
                <c:pt idx="798">
                  <c:v>42746</c:v>
                </c:pt>
                <c:pt idx="799">
                  <c:v>42747</c:v>
                </c:pt>
                <c:pt idx="800">
                  <c:v>42748</c:v>
                </c:pt>
                <c:pt idx="801">
                  <c:v>42752</c:v>
                </c:pt>
                <c:pt idx="802">
                  <c:v>42753</c:v>
                </c:pt>
                <c:pt idx="803">
                  <c:v>42754</c:v>
                </c:pt>
                <c:pt idx="804">
                  <c:v>42755</c:v>
                </c:pt>
                <c:pt idx="805">
                  <c:v>42758</c:v>
                </c:pt>
                <c:pt idx="806">
                  <c:v>42759</c:v>
                </c:pt>
                <c:pt idx="807">
                  <c:v>42760</c:v>
                </c:pt>
                <c:pt idx="808">
                  <c:v>42761</c:v>
                </c:pt>
                <c:pt idx="809">
                  <c:v>42762</c:v>
                </c:pt>
                <c:pt idx="810">
                  <c:v>42765</c:v>
                </c:pt>
                <c:pt idx="811">
                  <c:v>42766</c:v>
                </c:pt>
                <c:pt idx="812">
                  <c:v>42767</c:v>
                </c:pt>
                <c:pt idx="813">
                  <c:v>42768</c:v>
                </c:pt>
                <c:pt idx="814">
                  <c:v>42769</c:v>
                </c:pt>
                <c:pt idx="815">
                  <c:v>42772</c:v>
                </c:pt>
                <c:pt idx="816">
                  <c:v>42773</c:v>
                </c:pt>
                <c:pt idx="817">
                  <c:v>42774</c:v>
                </c:pt>
                <c:pt idx="818">
                  <c:v>42775</c:v>
                </c:pt>
                <c:pt idx="819">
                  <c:v>42776</c:v>
                </c:pt>
                <c:pt idx="820">
                  <c:v>42779</c:v>
                </c:pt>
                <c:pt idx="821">
                  <c:v>42780</c:v>
                </c:pt>
                <c:pt idx="822">
                  <c:v>42781</c:v>
                </c:pt>
                <c:pt idx="823">
                  <c:v>42782</c:v>
                </c:pt>
                <c:pt idx="824">
                  <c:v>42783</c:v>
                </c:pt>
                <c:pt idx="825">
                  <c:v>42787</c:v>
                </c:pt>
                <c:pt idx="826">
                  <c:v>42788</c:v>
                </c:pt>
                <c:pt idx="827">
                  <c:v>42789</c:v>
                </c:pt>
                <c:pt idx="828">
                  <c:v>42790</c:v>
                </c:pt>
                <c:pt idx="829">
                  <c:v>42793</c:v>
                </c:pt>
                <c:pt idx="830">
                  <c:v>42794</c:v>
                </c:pt>
                <c:pt idx="831">
                  <c:v>42795</c:v>
                </c:pt>
                <c:pt idx="832">
                  <c:v>42796</c:v>
                </c:pt>
                <c:pt idx="833">
                  <c:v>42797</c:v>
                </c:pt>
                <c:pt idx="834">
                  <c:v>42800</c:v>
                </c:pt>
                <c:pt idx="835">
                  <c:v>42801</c:v>
                </c:pt>
                <c:pt idx="836">
                  <c:v>42802</c:v>
                </c:pt>
                <c:pt idx="837">
                  <c:v>42803</c:v>
                </c:pt>
                <c:pt idx="838">
                  <c:v>42804</c:v>
                </c:pt>
                <c:pt idx="839">
                  <c:v>42807</c:v>
                </c:pt>
                <c:pt idx="840">
                  <c:v>42808</c:v>
                </c:pt>
                <c:pt idx="841">
                  <c:v>42809</c:v>
                </c:pt>
                <c:pt idx="842">
                  <c:v>42810</c:v>
                </c:pt>
                <c:pt idx="843">
                  <c:v>42811</c:v>
                </c:pt>
                <c:pt idx="844">
                  <c:v>42814</c:v>
                </c:pt>
                <c:pt idx="845">
                  <c:v>42815</c:v>
                </c:pt>
                <c:pt idx="846">
                  <c:v>42816</c:v>
                </c:pt>
                <c:pt idx="847">
                  <c:v>42817</c:v>
                </c:pt>
                <c:pt idx="848">
                  <c:v>42818</c:v>
                </c:pt>
                <c:pt idx="849">
                  <c:v>42821</c:v>
                </c:pt>
                <c:pt idx="850">
                  <c:v>42822</c:v>
                </c:pt>
                <c:pt idx="851">
                  <c:v>42823</c:v>
                </c:pt>
                <c:pt idx="852">
                  <c:v>42824</c:v>
                </c:pt>
                <c:pt idx="853">
                  <c:v>42825</c:v>
                </c:pt>
                <c:pt idx="854">
                  <c:v>42828</c:v>
                </c:pt>
                <c:pt idx="855">
                  <c:v>42829</c:v>
                </c:pt>
                <c:pt idx="856">
                  <c:v>42830</c:v>
                </c:pt>
                <c:pt idx="857">
                  <c:v>42831</c:v>
                </c:pt>
                <c:pt idx="858">
                  <c:v>42832</c:v>
                </c:pt>
                <c:pt idx="859">
                  <c:v>42835</c:v>
                </c:pt>
                <c:pt idx="860">
                  <c:v>42836</c:v>
                </c:pt>
                <c:pt idx="861">
                  <c:v>42837</c:v>
                </c:pt>
                <c:pt idx="862">
                  <c:v>42838</c:v>
                </c:pt>
                <c:pt idx="863">
                  <c:v>42842</c:v>
                </c:pt>
                <c:pt idx="864">
                  <c:v>42843</c:v>
                </c:pt>
                <c:pt idx="865">
                  <c:v>42844</c:v>
                </c:pt>
                <c:pt idx="866">
                  <c:v>42845</c:v>
                </c:pt>
                <c:pt idx="867">
                  <c:v>42846</c:v>
                </c:pt>
                <c:pt idx="868">
                  <c:v>42849</c:v>
                </c:pt>
                <c:pt idx="869">
                  <c:v>42850</c:v>
                </c:pt>
                <c:pt idx="870">
                  <c:v>42851</c:v>
                </c:pt>
                <c:pt idx="871">
                  <c:v>42852</c:v>
                </c:pt>
                <c:pt idx="872">
                  <c:v>42853</c:v>
                </c:pt>
                <c:pt idx="873">
                  <c:v>42856</c:v>
                </c:pt>
                <c:pt idx="874">
                  <c:v>42857</c:v>
                </c:pt>
                <c:pt idx="875">
                  <c:v>42858</c:v>
                </c:pt>
                <c:pt idx="876">
                  <c:v>42859</c:v>
                </c:pt>
                <c:pt idx="877">
                  <c:v>42860</c:v>
                </c:pt>
                <c:pt idx="878">
                  <c:v>42863</c:v>
                </c:pt>
                <c:pt idx="879">
                  <c:v>42864</c:v>
                </c:pt>
                <c:pt idx="880">
                  <c:v>42865</c:v>
                </c:pt>
                <c:pt idx="881">
                  <c:v>42866</c:v>
                </c:pt>
                <c:pt idx="882">
                  <c:v>42867</c:v>
                </c:pt>
                <c:pt idx="883">
                  <c:v>42870</c:v>
                </c:pt>
                <c:pt idx="884">
                  <c:v>42871</c:v>
                </c:pt>
                <c:pt idx="885">
                  <c:v>42872</c:v>
                </c:pt>
                <c:pt idx="886">
                  <c:v>42873</c:v>
                </c:pt>
                <c:pt idx="887">
                  <c:v>42874</c:v>
                </c:pt>
                <c:pt idx="888">
                  <c:v>42877</c:v>
                </c:pt>
                <c:pt idx="889">
                  <c:v>42878</c:v>
                </c:pt>
                <c:pt idx="890">
                  <c:v>42879</c:v>
                </c:pt>
                <c:pt idx="891">
                  <c:v>42880</c:v>
                </c:pt>
                <c:pt idx="892">
                  <c:v>42881</c:v>
                </c:pt>
                <c:pt idx="893">
                  <c:v>42885</c:v>
                </c:pt>
                <c:pt idx="894">
                  <c:v>42886</c:v>
                </c:pt>
                <c:pt idx="895">
                  <c:v>42887</c:v>
                </c:pt>
                <c:pt idx="896">
                  <c:v>42888</c:v>
                </c:pt>
                <c:pt idx="897">
                  <c:v>42891</c:v>
                </c:pt>
                <c:pt idx="898">
                  <c:v>42892</c:v>
                </c:pt>
                <c:pt idx="899">
                  <c:v>42893</c:v>
                </c:pt>
                <c:pt idx="900">
                  <c:v>42894</c:v>
                </c:pt>
                <c:pt idx="901">
                  <c:v>42895</c:v>
                </c:pt>
                <c:pt idx="902">
                  <c:v>42898</c:v>
                </c:pt>
                <c:pt idx="903">
                  <c:v>42899</c:v>
                </c:pt>
                <c:pt idx="904">
                  <c:v>42900</c:v>
                </c:pt>
                <c:pt idx="905">
                  <c:v>42901</c:v>
                </c:pt>
                <c:pt idx="906">
                  <c:v>42902</c:v>
                </c:pt>
                <c:pt idx="907">
                  <c:v>42905</c:v>
                </c:pt>
                <c:pt idx="908">
                  <c:v>42906</c:v>
                </c:pt>
                <c:pt idx="909">
                  <c:v>42907</c:v>
                </c:pt>
                <c:pt idx="910">
                  <c:v>42908</c:v>
                </c:pt>
                <c:pt idx="911">
                  <c:v>42909</c:v>
                </c:pt>
                <c:pt idx="912">
                  <c:v>42912</c:v>
                </c:pt>
                <c:pt idx="913">
                  <c:v>42913</c:v>
                </c:pt>
                <c:pt idx="914">
                  <c:v>42914</c:v>
                </c:pt>
                <c:pt idx="915">
                  <c:v>42915</c:v>
                </c:pt>
                <c:pt idx="916">
                  <c:v>42916</c:v>
                </c:pt>
                <c:pt idx="917">
                  <c:v>42919</c:v>
                </c:pt>
                <c:pt idx="918">
                  <c:v>42921</c:v>
                </c:pt>
                <c:pt idx="919">
                  <c:v>42922</c:v>
                </c:pt>
                <c:pt idx="920">
                  <c:v>42923</c:v>
                </c:pt>
                <c:pt idx="921">
                  <c:v>42926</c:v>
                </c:pt>
                <c:pt idx="922">
                  <c:v>42927</c:v>
                </c:pt>
                <c:pt idx="923">
                  <c:v>42928</c:v>
                </c:pt>
                <c:pt idx="924">
                  <c:v>42929</c:v>
                </c:pt>
                <c:pt idx="925">
                  <c:v>42930</c:v>
                </c:pt>
                <c:pt idx="926">
                  <c:v>42933</c:v>
                </c:pt>
                <c:pt idx="927">
                  <c:v>42934</c:v>
                </c:pt>
                <c:pt idx="928">
                  <c:v>42935</c:v>
                </c:pt>
                <c:pt idx="929">
                  <c:v>42936</c:v>
                </c:pt>
                <c:pt idx="930">
                  <c:v>42937</c:v>
                </c:pt>
                <c:pt idx="931">
                  <c:v>42940</c:v>
                </c:pt>
                <c:pt idx="932">
                  <c:v>42941</c:v>
                </c:pt>
                <c:pt idx="933">
                  <c:v>42942</c:v>
                </c:pt>
                <c:pt idx="934">
                  <c:v>42943</c:v>
                </c:pt>
                <c:pt idx="935">
                  <c:v>42944</c:v>
                </c:pt>
                <c:pt idx="936">
                  <c:v>42947</c:v>
                </c:pt>
                <c:pt idx="937">
                  <c:v>42948</c:v>
                </c:pt>
                <c:pt idx="938">
                  <c:v>42949</c:v>
                </c:pt>
                <c:pt idx="939">
                  <c:v>42950</c:v>
                </c:pt>
                <c:pt idx="940">
                  <c:v>42951</c:v>
                </c:pt>
                <c:pt idx="941">
                  <c:v>42954</c:v>
                </c:pt>
                <c:pt idx="942">
                  <c:v>42955</c:v>
                </c:pt>
                <c:pt idx="943">
                  <c:v>42956</c:v>
                </c:pt>
                <c:pt idx="944">
                  <c:v>42957</c:v>
                </c:pt>
                <c:pt idx="945">
                  <c:v>42958</c:v>
                </c:pt>
                <c:pt idx="946">
                  <c:v>42961</c:v>
                </c:pt>
                <c:pt idx="947">
                  <c:v>42962</c:v>
                </c:pt>
                <c:pt idx="948">
                  <c:v>42963</c:v>
                </c:pt>
                <c:pt idx="949">
                  <c:v>42964</c:v>
                </c:pt>
                <c:pt idx="950">
                  <c:v>42965</c:v>
                </c:pt>
                <c:pt idx="951">
                  <c:v>42968</c:v>
                </c:pt>
                <c:pt idx="952">
                  <c:v>42969</c:v>
                </c:pt>
                <c:pt idx="953">
                  <c:v>42970</c:v>
                </c:pt>
                <c:pt idx="954">
                  <c:v>42971</c:v>
                </c:pt>
                <c:pt idx="955">
                  <c:v>42972</c:v>
                </c:pt>
                <c:pt idx="956">
                  <c:v>42975</c:v>
                </c:pt>
                <c:pt idx="957">
                  <c:v>42976</c:v>
                </c:pt>
                <c:pt idx="958">
                  <c:v>42977</c:v>
                </c:pt>
                <c:pt idx="959">
                  <c:v>42978</c:v>
                </c:pt>
                <c:pt idx="960">
                  <c:v>42979</c:v>
                </c:pt>
                <c:pt idx="961">
                  <c:v>42983</c:v>
                </c:pt>
                <c:pt idx="962">
                  <c:v>42984</c:v>
                </c:pt>
                <c:pt idx="963">
                  <c:v>42985</c:v>
                </c:pt>
                <c:pt idx="964">
                  <c:v>42986</c:v>
                </c:pt>
                <c:pt idx="965">
                  <c:v>42989</c:v>
                </c:pt>
                <c:pt idx="966">
                  <c:v>42990</c:v>
                </c:pt>
                <c:pt idx="967">
                  <c:v>42991</c:v>
                </c:pt>
                <c:pt idx="968">
                  <c:v>42992</c:v>
                </c:pt>
                <c:pt idx="969">
                  <c:v>42993</c:v>
                </c:pt>
                <c:pt idx="970">
                  <c:v>42996</c:v>
                </c:pt>
                <c:pt idx="971">
                  <c:v>42997</c:v>
                </c:pt>
                <c:pt idx="972">
                  <c:v>42998</c:v>
                </c:pt>
                <c:pt idx="973">
                  <c:v>42999</c:v>
                </c:pt>
                <c:pt idx="974">
                  <c:v>43000</c:v>
                </c:pt>
                <c:pt idx="975">
                  <c:v>43003</c:v>
                </c:pt>
                <c:pt idx="976">
                  <c:v>43004</c:v>
                </c:pt>
                <c:pt idx="977">
                  <c:v>43005</c:v>
                </c:pt>
                <c:pt idx="978">
                  <c:v>43006</c:v>
                </c:pt>
                <c:pt idx="979">
                  <c:v>43007</c:v>
                </c:pt>
                <c:pt idx="980">
                  <c:v>43010</c:v>
                </c:pt>
                <c:pt idx="981">
                  <c:v>43011</c:v>
                </c:pt>
                <c:pt idx="982">
                  <c:v>43012</c:v>
                </c:pt>
                <c:pt idx="983">
                  <c:v>43013</c:v>
                </c:pt>
                <c:pt idx="984">
                  <c:v>43014</c:v>
                </c:pt>
                <c:pt idx="985">
                  <c:v>43017</c:v>
                </c:pt>
                <c:pt idx="986">
                  <c:v>43018</c:v>
                </c:pt>
                <c:pt idx="987">
                  <c:v>43019</c:v>
                </c:pt>
                <c:pt idx="988">
                  <c:v>43020</c:v>
                </c:pt>
                <c:pt idx="989">
                  <c:v>43021</c:v>
                </c:pt>
                <c:pt idx="990">
                  <c:v>43024</c:v>
                </c:pt>
                <c:pt idx="991">
                  <c:v>43025</c:v>
                </c:pt>
                <c:pt idx="992">
                  <c:v>43026</c:v>
                </c:pt>
                <c:pt idx="993">
                  <c:v>43027</c:v>
                </c:pt>
                <c:pt idx="994">
                  <c:v>43028</c:v>
                </c:pt>
                <c:pt idx="995">
                  <c:v>43031</c:v>
                </c:pt>
                <c:pt idx="996">
                  <c:v>43032</c:v>
                </c:pt>
                <c:pt idx="997">
                  <c:v>43033</c:v>
                </c:pt>
                <c:pt idx="998">
                  <c:v>43034</c:v>
                </c:pt>
                <c:pt idx="999">
                  <c:v>43035</c:v>
                </c:pt>
                <c:pt idx="1000">
                  <c:v>43038</c:v>
                </c:pt>
                <c:pt idx="1001">
                  <c:v>43039</c:v>
                </c:pt>
                <c:pt idx="1002">
                  <c:v>43040</c:v>
                </c:pt>
                <c:pt idx="1003">
                  <c:v>43041</c:v>
                </c:pt>
                <c:pt idx="1004">
                  <c:v>43042</c:v>
                </c:pt>
                <c:pt idx="1005">
                  <c:v>43045</c:v>
                </c:pt>
                <c:pt idx="1006">
                  <c:v>43046</c:v>
                </c:pt>
                <c:pt idx="1007">
                  <c:v>43047</c:v>
                </c:pt>
                <c:pt idx="1008">
                  <c:v>43048</c:v>
                </c:pt>
                <c:pt idx="1009">
                  <c:v>43049</c:v>
                </c:pt>
                <c:pt idx="1010">
                  <c:v>43052</c:v>
                </c:pt>
                <c:pt idx="1011">
                  <c:v>43053</c:v>
                </c:pt>
                <c:pt idx="1012">
                  <c:v>43054</c:v>
                </c:pt>
                <c:pt idx="1013">
                  <c:v>43055</c:v>
                </c:pt>
                <c:pt idx="1014">
                  <c:v>43056</c:v>
                </c:pt>
                <c:pt idx="1015">
                  <c:v>43059</c:v>
                </c:pt>
                <c:pt idx="1016">
                  <c:v>43060</c:v>
                </c:pt>
                <c:pt idx="1017">
                  <c:v>43061</c:v>
                </c:pt>
                <c:pt idx="1018">
                  <c:v>43063</c:v>
                </c:pt>
                <c:pt idx="1019">
                  <c:v>43066</c:v>
                </c:pt>
                <c:pt idx="1020">
                  <c:v>43067</c:v>
                </c:pt>
                <c:pt idx="1021">
                  <c:v>43068</c:v>
                </c:pt>
                <c:pt idx="1022">
                  <c:v>43069</c:v>
                </c:pt>
                <c:pt idx="1023">
                  <c:v>43070</c:v>
                </c:pt>
                <c:pt idx="1024">
                  <c:v>43073</c:v>
                </c:pt>
                <c:pt idx="1025">
                  <c:v>43074</c:v>
                </c:pt>
                <c:pt idx="1026">
                  <c:v>43075</c:v>
                </c:pt>
                <c:pt idx="1027">
                  <c:v>43076</c:v>
                </c:pt>
                <c:pt idx="1028">
                  <c:v>43077</c:v>
                </c:pt>
                <c:pt idx="1029">
                  <c:v>43080</c:v>
                </c:pt>
                <c:pt idx="1030">
                  <c:v>43081</c:v>
                </c:pt>
                <c:pt idx="1031">
                  <c:v>43082</c:v>
                </c:pt>
                <c:pt idx="1032">
                  <c:v>43083</c:v>
                </c:pt>
                <c:pt idx="1033">
                  <c:v>43084</c:v>
                </c:pt>
                <c:pt idx="1034">
                  <c:v>43087</c:v>
                </c:pt>
                <c:pt idx="1035">
                  <c:v>43088</c:v>
                </c:pt>
                <c:pt idx="1036">
                  <c:v>43089</c:v>
                </c:pt>
                <c:pt idx="1037">
                  <c:v>43090</c:v>
                </c:pt>
                <c:pt idx="1038">
                  <c:v>43091</c:v>
                </c:pt>
                <c:pt idx="1039">
                  <c:v>43095</c:v>
                </c:pt>
                <c:pt idx="1040">
                  <c:v>43096</c:v>
                </c:pt>
                <c:pt idx="1041">
                  <c:v>43097</c:v>
                </c:pt>
                <c:pt idx="1042">
                  <c:v>43098</c:v>
                </c:pt>
                <c:pt idx="1043">
                  <c:v>43102</c:v>
                </c:pt>
                <c:pt idx="1044">
                  <c:v>43103</c:v>
                </c:pt>
                <c:pt idx="1045">
                  <c:v>43104</c:v>
                </c:pt>
                <c:pt idx="1046">
                  <c:v>43105</c:v>
                </c:pt>
                <c:pt idx="1047">
                  <c:v>43108</c:v>
                </c:pt>
                <c:pt idx="1048">
                  <c:v>43109</c:v>
                </c:pt>
                <c:pt idx="1049">
                  <c:v>43110</c:v>
                </c:pt>
                <c:pt idx="1050">
                  <c:v>43111</c:v>
                </c:pt>
                <c:pt idx="1051">
                  <c:v>43112</c:v>
                </c:pt>
                <c:pt idx="1052">
                  <c:v>43116</c:v>
                </c:pt>
                <c:pt idx="1053">
                  <c:v>43117</c:v>
                </c:pt>
                <c:pt idx="1054">
                  <c:v>43118</c:v>
                </c:pt>
                <c:pt idx="1055">
                  <c:v>43119</c:v>
                </c:pt>
                <c:pt idx="1056">
                  <c:v>43122</c:v>
                </c:pt>
                <c:pt idx="1057">
                  <c:v>43123</c:v>
                </c:pt>
                <c:pt idx="1058">
                  <c:v>43124</c:v>
                </c:pt>
                <c:pt idx="1059">
                  <c:v>43125</c:v>
                </c:pt>
                <c:pt idx="1060">
                  <c:v>43126</c:v>
                </c:pt>
                <c:pt idx="1061">
                  <c:v>43129</c:v>
                </c:pt>
                <c:pt idx="1062">
                  <c:v>43130</c:v>
                </c:pt>
                <c:pt idx="1063">
                  <c:v>43131</c:v>
                </c:pt>
                <c:pt idx="1064">
                  <c:v>43132</c:v>
                </c:pt>
                <c:pt idx="1065">
                  <c:v>43133</c:v>
                </c:pt>
                <c:pt idx="1066">
                  <c:v>43136</c:v>
                </c:pt>
                <c:pt idx="1067">
                  <c:v>43137</c:v>
                </c:pt>
                <c:pt idx="1068">
                  <c:v>43138</c:v>
                </c:pt>
                <c:pt idx="1069">
                  <c:v>43139</c:v>
                </c:pt>
                <c:pt idx="1070">
                  <c:v>43140</c:v>
                </c:pt>
                <c:pt idx="1071">
                  <c:v>43143</c:v>
                </c:pt>
                <c:pt idx="1072">
                  <c:v>43144</c:v>
                </c:pt>
                <c:pt idx="1073">
                  <c:v>43145</c:v>
                </c:pt>
                <c:pt idx="1074">
                  <c:v>43146</c:v>
                </c:pt>
                <c:pt idx="1075">
                  <c:v>43147</c:v>
                </c:pt>
                <c:pt idx="1076">
                  <c:v>43151</c:v>
                </c:pt>
                <c:pt idx="1077">
                  <c:v>43152</c:v>
                </c:pt>
                <c:pt idx="1078">
                  <c:v>43153</c:v>
                </c:pt>
                <c:pt idx="1079">
                  <c:v>43154</c:v>
                </c:pt>
                <c:pt idx="1080">
                  <c:v>43157</c:v>
                </c:pt>
                <c:pt idx="1081">
                  <c:v>43158</c:v>
                </c:pt>
                <c:pt idx="1082">
                  <c:v>43159</c:v>
                </c:pt>
                <c:pt idx="1083">
                  <c:v>43160</c:v>
                </c:pt>
                <c:pt idx="1084">
                  <c:v>43161</c:v>
                </c:pt>
                <c:pt idx="1085">
                  <c:v>43164</c:v>
                </c:pt>
                <c:pt idx="1086">
                  <c:v>43165</c:v>
                </c:pt>
                <c:pt idx="1087">
                  <c:v>43166</c:v>
                </c:pt>
                <c:pt idx="1088">
                  <c:v>43167</c:v>
                </c:pt>
                <c:pt idx="1089">
                  <c:v>43168</c:v>
                </c:pt>
                <c:pt idx="1090">
                  <c:v>43171</c:v>
                </c:pt>
                <c:pt idx="1091">
                  <c:v>43172</c:v>
                </c:pt>
                <c:pt idx="1092">
                  <c:v>43173</c:v>
                </c:pt>
                <c:pt idx="1093">
                  <c:v>43174</c:v>
                </c:pt>
                <c:pt idx="1094">
                  <c:v>43175</c:v>
                </c:pt>
                <c:pt idx="1095">
                  <c:v>43178</c:v>
                </c:pt>
                <c:pt idx="1096">
                  <c:v>43179</c:v>
                </c:pt>
                <c:pt idx="1097">
                  <c:v>43180</c:v>
                </c:pt>
                <c:pt idx="1098">
                  <c:v>43181</c:v>
                </c:pt>
                <c:pt idx="1099">
                  <c:v>43182</c:v>
                </c:pt>
                <c:pt idx="1100">
                  <c:v>43185</c:v>
                </c:pt>
                <c:pt idx="1101">
                  <c:v>43186</c:v>
                </c:pt>
                <c:pt idx="1102">
                  <c:v>43187</c:v>
                </c:pt>
                <c:pt idx="1103">
                  <c:v>43188</c:v>
                </c:pt>
                <c:pt idx="1104">
                  <c:v>43192</c:v>
                </c:pt>
                <c:pt idx="1105">
                  <c:v>43193</c:v>
                </c:pt>
                <c:pt idx="1106">
                  <c:v>43194</c:v>
                </c:pt>
                <c:pt idx="1107">
                  <c:v>43195</c:v>
                </c:pt>
                <c:pt idx="1108">
                  <c:v>43196</c:v>
                </c:pt>
                <c:pt idx="1109">
                  <c:v>43199</c:v>
                </c:pt>
                <c:pt idx="1110">
                  <c:v>43200</c:v>
                </c:pt>
                <c:pt idx="1111">
                  <c:v>43201</c:v>
                </c:pt>
                <c:pt idx="1112">
                  <c:v>43202</c:v>
                </c:pt>
                <c:pt idx="1113">
                  <c:v>43203</c:v>
                </c:pt>
                <c:pt idx="1114">
                  <c:v>43206</c:v>
                </c:pt>
                <c:pt idx="1115">
                  <c:v>43207</c:v>
                </c:pt>
                <c:pt idx="1116">
                  <c:v>43208</c:v>
                </c:pt>
                <c:pt idx="1117">
                  <c:v>43209</c:v>
                </c:pt>
                <c:pt idx="1118">
                  <c:v>43210</c:v>
                </c:pt>
                <c:pt idx="1119">
                  <c:v>43213</c:v>
                </c:pt>
                <c:pt idx="1120">
                  <c:v>43214</c:v>
                </c:pt>
                <c:pt idx="1121">
                  <c:v>43215</c:v>
                </c:pt>
                <c:pt idx="1122">
                  <c:v>43216</c:v>
                </c:pt>
                <c:pt idx="1123">
                  <c:v>43217</c:v>
                </c:pt>
                <c:pt idx="1124">
                  <c:v>43220</c:v>
                </c:pt>
                <c:pt idx="1125">
                  <c:v>43221</c:v>
                </c:pt>
                <c:pt idx="1126">
                  <c:v>43222</c:v>
                </c:pt>
                <c:pt idx="1127">
                  <c:v>43223</c:v>
                </c:pt>
                <c:pt idx="1128">
                  <c:v>43224</c:v>
                </c:pt>
                <c:pt idx="1129">
                  <c:v>43227</c:v>
                </c:pt>
                <c:pt idx="1130">
                  <c:v>43228</c:v>
                </c:pt>
                <c:pt idx="1131">
                  <c:v>43229</c:v>
                </c:pt>
                <c:pt idx="1132">
                  <c:v>43230</c:v>
                </c:pt>
                <c:pt idx="1133">
                  <c:v>43231</c:v>
                </c:pt>
                <c:pt idx="1134">
                  <c:v>43234</c:v>
                </c:pt>
                <c:pt idx="1135">
                  <c:v>43235</c:v>
                </c:pt>
                <c:pt idx="1136">
                  <c:v>43236</c:v>
                </c:pt>
                <c:pt idx="1137">
                  <c:v>43237</c:v>
                </c:pt>
                <c:pt idx="1138">
                  <c:v>43238</c:v>
                </c:pt>
                <c:pt idx="1139">
                  <c:v>43241</c:v>
                </c:pt>
                <c:pt idx="1140">
                  <c:v>43242</c:v>
                </c:pt>
                <c:pt idx="1141">
                  <c:v>43243</c:v>
                </c:pt>
                <c:pt idx="1142">
                  <c:v>43244</c:v>
                </c:pt>
                <c:pt idx="1143">
                  <c:v>43245</c:v>
                </c:pt>
                <c:pt idx="1144">
                  <c:v>43249</c:v>
                </c:pt>
                <c:pt idx="1145">
                  <c:v>43250</c:v>
                </c:pt>
                <c:pt idx="1146">
                  <c:v>43251</c:v>
                </c:pt>
                <c:pt idx="1147">
                  <c:v>43252</c:v>
                </c:pt>
                <c:pt idx="1148">
                  <c:v>43255</c:v>
                </c:pt>
                <c:pt idx="1149">
                  <c:v>43256</c:v>
                </c:pt>
                <c:pt idx="1150">
                  <c:v>43257</c:v>
                </c:pt>
                <c:pt idx="1151">
                  <c:v>43258</c:v>
                </c:pt>
                <c:pt idx="1152">
                  <c:v>43259</c:v>
                </c:pt>
                <c:pt idx="1153">
                  <c:v>43262</c:v>
                </c:pt>
                <c:pt idx="1154">
                  <c:v>43263</c:v>
                </c:pt>
                <c:pt idx="1155">
                  <c:v>43264</c:v>
                </c:pt>
                <c:pt idx="1156">
                  <c:v>43265</c:v>
                </c:pt>
                <c:pt idx="1157">
                  <c:v>43266</c:v>
                </c:pt>
                <c:pt idx="1158">
                  <c:v>43269</c:v>
                </c:pt>
                <c:pt idx="1159">
                  <c:v>43270</c:v>
                </c:pt>
                <c:pt idx="1160">
                  <c:v>43271</c:v>
                </c:pt>
                <c:pt idx="1161">
                  <c:v>43272</c:v>
                </c:pt>
                <c:pt idx="1162">
                  <c:v>43273</c:v>
                </c:pt>
                <c:pt idx="1163">
                  <c:v>43276</c:v>
                </c:pt>
                <c:pt idx="1164">
                  <c:v>43277</c:v>
                </c:pt>
                <c:pt idx="1165">
                  <c:v>43278</c:v>
                </c:pt>
                <c:pt idx="1166">
                  <c:v>43279</c:v>
                </c:pt>
                <c:pt idx="1167">
                  <c:v>43280</c:v>
                </c:pt>
                <c:pt idx="1168">
                  <c:v>43283</c:v>
                </c:pt>
                <c:pt idx="1169">
                  <c:v>43284</c:v>
                </c:pt>
                <c:pt idx="1170">
                  <c:v>43286</c:v>
                </c:pt>
                <c:pt idx="1171">
                  <c:v>43287</c:v>
                </c:pt>
                <c:pt idx="1172">
                  <c:v>43290</c:v>
                </c:pt>
                <c:pt idx="1173">
                  <c:v>43291</c:v>
                </c:pt>
                <c:pt idx="1174">
                  <c:v>43292</c:v>
                </c:pt>
                <c:pt idx="1175">
                  <c:v>43293</c:v>
                </c:pt>
                <c:pt idx="1176">
                  <c:v>43294</c:v>
                </c:pt>
                <c:pt idx="1177">
                  <c:v>43297</c:v>
                </c:pt>
                <c:pt idx="1178">
                  <c:v>43298</c:v>
                </c:pt>
                <c:pt idx="1179">
                  <c:v>43299</c:v>
                </c:pt>
                <c:pt idx="1180">
                  <c:v>43300</c:v>
                </c:pt>
                <c:pt idx="1181">
                  <c:v>43301</c:v>
                </c:pt>
                <c:pt idx="1182">
                  <c:v>43304</c:v>
                </c:pt>
                <c:pt idx="1183">
                  <c:v>43305</c:v>
                </c:pt>
                <c:pt idx="1184">
                  <c:v>43306</c:v>
                </c:pt>
                <c:pt idx="1185">
                  <c:v>43307</c:v>
                </c:pt>
                <c:pt idx="1186">
                  <c:v>43308</c:v>
                </c:pt>
                <c:pt idx="1187">
                  <c:v>43311</c:v>
                </c:pt>
                <c:pt idx="1188">
                  <c:v>43312</c:v>
                </c:pt>
                <c:pt idx="1189">
                  <c:v>43313</c:v>
                </c:pt>
                <c:pt idx="1190">
                  <c:v>43314</c:v>
                </c:pt>
                <c:pt idx="1191">
                  <c:v>43315</c:v>
                </c:pt>
                <c:pt idx="1192">
                  <c:v>43318</c:v>
                </c:pt>
                <c:pt idx="1193">
                  <c:v>43319</c:v>
                </c:pt>
                <c:pt idx="1194">
                  <c:v>43320</c:v>
                </c:pt>
                <c:pt idx="1195">
                  <c:v>43321</c:v>
                </c:pt>
                <c:pt idx="1196">
                  <c:v>43322</c:v>
                </c:pt>
                <c:pt idx="1197">
                  <c:v>43325</c:v>
                </c:pt>
                <c:pt idx="1198">
                  <c:v>43326</c:v>
                </c:pt>
                <c:pt idx="1199">
                  <c:v>43327</c:v>
                </c:pt>
                <c:pt idx="1200">
                  <c:v>43328</c:v>
                </c:pt>
                <c:pt idx="1201">
                  <c:v>43329</c:v>
                </c:pt>
                <c:pt idx="1202">
                  <c:v>43332</c:v>
                </c:pt>
                <c:pt idx="1203">
                  <c:v>43333</c:v>
                </c:pt>
                <c:pt idx="1204">
                  <c:v>43334</c:v>
                </c:pt>
                <c:pt idx="1205">
                  <c:v>43335</c:v>
                </c:pt>
                <c:pt idx="1206">
                  <c:v>43336</c:v>
                </c:pt>
                <c:pt idx="1207">
                  <c:v>43339</c:v>
                </c:pt>
                <c:pt idx="1208">
                  <c:v>43340</c:v>
                </c:pt>
                <c:pt idx="1209">
                  <c:v>43341</c:v>
                </c:pt>
                <c:pt idx="1210">
                  <c:v>43342</c:v>
                </c:pt>
                <c:pt idx="1211">
                  <c:v>43343</c:v>
                </c:pt>
                <c:pt idx="1212">
                  <c:v>43347</c:v>
                </c:pt>
                <c:pt idx="1213">
                  <c:v>43348</c:v>
                </c:pt>
                <c:pt idx="1214">
                  <c:v>43349</c:v>
                </c:pt>
                <c:pt idx="1215">
                  <c:v>43350</c:v>
                </c:pt>
                <c:pt idx="1216">
                  <c:v>43353</c:v>
                </c:pt>
                <c:pt idx="1217">
                  <c:v>43354</c:v>
                </c:pt>
                <c:pt idx="1218">
                  <c:v>43355</c:v>
                </c:pt>
                <c:pt idx="1219">
                  <c:v>43356</c:v>
                </c:pt>
                <c:pt idx="1220">
                  <c:v>43357</c:v>
                </c:pt>
                <c:pt idx="1221">
                  <c:v>43360</c:v>
                </c:pt>
                <c:pt idx="1222">
                  <c:v>43361</c:v>
                </c:pt>
                <c:pt idx="1223">
                  <c:v>43362</c:v>
                </c:pt>
                <c:pt idx="1224">
                  <c:v>43363</c:v>
                </c:pt>
                <c:pt idx="1225">
                  <c:v>43364</c:v>
                </c:pt>
                <c:pt idx="1226">
                  <c:v>43367</c:v>
                </c:pt>
                <c:pt idx="1227">
                  <c:v>43368</c:v>
                </c:pt>
                <c:pt idx="1228">
                  <c:v>43369</c:v>
                </c:pt>
                <c:pt idx="1229">
                  <c:v>43370</c:v>
                </c:pt>
                <c:pt idx="1230">
                  <c:v>43371</c:v>
                </c:pt>
                <c:pt idx="1231">
                  <c:v>43374</c:v>
                </c:pt>
                <c:pt idx="1232">
                  <c:v>43375</c:v>
                </c:pt>
                <c:pt idx="1233">
                  <c:v>43376</c:v>
                </c:pt>
                <c:pt idx="1234">
                  <c:v>43377</c:v>
                </c:pt>
                <c:pt idx="1235">
                  <c:v>43378</c:v>
                </c:pt>
                <c:pt idx="1236">
                  <c:v>43381</c:v>
                </c:pt>
                <c:pt idx="1237">
                  <c:v>43382</c:v>
                </c:pt>
                <c:pt idx="1238">
                  <c:v>43383</c:v>
                </c:pt>
                <c:pt idx="1239">
                  <c:v>43384</c:v>
                </c:pt>
                <c:pt idx="1240">
                  <c:v>43385</c:v>
                </c:pt>
                <c:pt idx="1241">
                  <c:v>43388</c:v>
                </c:pt>
                <c:pt idx="1242">
                  <c:v>43389</c:v>
                </c:pt>
                <c:pt idx="1243">
                  <c:v>43390</c:v>
                </c:pt>
                <c:pt idx="1244">
                  <c:v>43391</c:v>
                </c:pt>
                <c:pt idx="1245">
                  <c:v>43392</c:v>
                </c:pt>
                <c:pt idx="1246">
                  <c:v>43395</c:v>
                </c:pt>
                <c:pt idx="1247">
                  <c:v>43396</c:v>
                </c:pt>
                <c:pt idx="1248">
                  <c:v>43397</c:v>
                </c:pt>
                <c:pt idx="1249">
                  <c:v>43398</c:v>
                </c:pt>
                <c:pt idx="1250">
                  <c:v>43399</c:v>
                </c:pt>
                <c:pt idx="1251">
                  <c:v>43402</c:v>
                </c:pt>
                <c:pt idx="1252">
                  <c:v>43403</c:v>
                </c:pt>
                <c:pt idx="1253">
                  <c:v>43404</c:v>
                </c:pt>
                <c:pt idx="1254">
                  <c:v>43405</c:v>
                </c:pt>
                <c:pt idx="1255">
                  <c:v>43406</c:v>
                </c:pt>
                <c:pt idx="1256">
                  <c:v>43409</c:v>
                </c:pt>
                <c:pt idx="1257">
                  <c:v>43410</c:v>
                </c:pt>
                <c:pt idx="1258">
                  <c:v>43411</c:v>
                </c:pt>
                <c:pt idx="1259">
                  <c:v>43412</c:v>
                </c:pt>
                <c:pt idx="1260">
                  <c:v>43413</c:v>
                </c:pt>
              </c:numCache>
            </c:numRef>
          </c:cat>
          <c:val>
            <c:numRef>
              <c:f>'Share Price'!$B$9:$B$1269</c:f>
              <c:numCache>
                <c:formatCode>_(* #,##0_);_(* \(#,##0\);_(* "-"??_);_(@_)</c:formatCode>
                <c:ptCount val="1261"/>
                <c:pt idx="0">
                  <c:v>350.31</c:v>
                </c:pt>
                <c:pt idx="1">
                  <c:v>354.37799999999999</c:v>
                </c:pt>
                <c:pt idx="2">
                  <c:v>349.53</c:v>
                </c:pt>
                <c:pt idx="3">
                  <c:v>356.22</c:v>
                </c:pt>
                <c:pt idx="4">
                  <c:v>367.39600000000002</c:v>
                </c:pt>
                <c:pt idx="5">
                  <c:v>369.17</c:v>
                </c:pt>
                <c:pt idx="6">
                  <c:v>366.18</c:v>
                </c:pt>
                <c:pt idx="7">
                  <c:v>364.94</c:v>
                </c:pt>
                <c:pt idx="8">
                  <c:v>362.57</c:v>
                </c:pt>
                <c:pt idx="9">
                  <c:v>368.92</c:v>
                </c:pt>
                <c:pt idx="10">
                  <c:v>372.31</c:v>
                </c:pt>
                <c:pt idx="11">
                  <c:v>376.64</c:v>
                </c:pt>
                <c:pt idx="12">
                  <c:v>381.37</c:v>
                </c:pt>
                <c:pt idx="13">
                  <c:v>386.71</c:v>
                </c:pt>
                <c:pt idx="14">
                  <c:v>393.62</c:v>
                </c:pt>
                <c:pt idx="15">
                  <c:v>392.3</c:v>
                </c:pt>
                <c:pt idx="16">
                  <c:v>384.66</c:v>
                </c:pt>
                <c:pt idx="17">
                  <c:v>385.96</c:v>
                </c:pt>
                <c:pt idx="18">
                  <c:v>384.49</c:v>
                </c:pt>
                <c:pt idx="19">
                  <c:v>386.95</c:v>
                </c:pt>
                <c:pt idx="20">
                  <c:v>384.89</c:v>
                </c:pt>
                <c:pt idx="21">
                  <c:v>387.78</c:v>
                </c:pt>
                <c:pt idx="22">
                  <c:v>382.19</c:v>
                </c:pt>
                <c:pt idx="23">
                  <c:v>381.25</c:v>
                </c:pt>
                <c:pt idx="24">
                  <c:v>384.24</c:v>
                </c:pt>
                <c:pt idx="25">
                  <c:v>388.97</c:v>
                </c:pt>
                <c:pt idx="26">
                  <c:v>387.65</c:v>
                </c:pt>
                <c:pt idx="27">
                  <c:v>395.96</c:v>
                </c:pt>
                <c:pt idx="28">
                  <c:v>395.19</c:v>
                </c:pt>
                <c:pt idx="29">
                  <c:v>402.2</c:v>
                </c:pt>
                <c:pt idx="30">
                  <c:v>402.92</c:v>
                </c:pt>
                <c:pt idx="31">
                  <c:v>399.2</c:v>
                </c:pt>
                <c:pt idx="32">
                  <c:v>404.39</c:v>
                </c:pt>
                <c:pt idx="33">
                  <c:v>398.08</c:v>
                </c:pt>
                <c:pt idx="34">
                  <c:v>393.37</c:v>
                </c:pt>
                <c:pt idx="35">
                  <c:v>398.79</c:v>
                </c:pt>
                <c:pt idx="36">
                  <c:v>397.97</c:v>
                </c:pt>
                <c:pt idx="37">
                  <c:v>396.44</c:v>
                </c:pt>
                <c:pt idx="38">
                  <c:v>393.63</c:v>
                </c:pt>
                <c:pt idx="39">
                  <c:v>398.03</c:v>
                </c:pt>
                <c:pt idx="40">
                  <c:v>401.92</c:v>
                </c:pt>
                <c:pt idx="41">
                  <c:v>401.01</c:v>
                </c:pt>
                <c:pt idx="42">
                  <c:v>397.66</c:v>
                </c:pt>
                <c:pt idx="43">
                  <c:v>390.98</c:v>
                </c:pt>
                <c:pt idx="44">
                  <c:v>397.54</c:v>
                </c:pt>
                <c:pt idx="45">
                  <c:v>395.87</c:v>
                </c:pt>
                <c:pt idx="46">
                  <c:v>395.8</c:v>
                </c:pt>
                <c:pt idx="47">
                  <c:v>399.61</c:v>
                </c:pt>
                <c:pt idx="48">
                  <c:v>407.05</c:v>
                </c:pt>
                <c:pt idx="49">
                  <c:v>404.54</c:v>
                </c:pt>
                <c:pt idx="50">
                  <c:v>399.87</c:v>
                </c:pt>
                <c:pt idx="51">
                  <c:v>387.6</c:v>
                </c:pt>
                <c:pt idx="52">
                  <c:v>386.28</c:v>
                </c:pt>
                <c:pt idx="53">
                  <c:v>394.43</c:v>
                </c:pt>
                <c:pt idx="54">
                  <c:v>384.2</c:v>
                </c:pt>
                <c:pt idx="55">
                  <c:v>403.01</c:v>
                </c:pt>
                <c:pt idx="56">
                  <c:v>358.69</c:v>
                </c:pt>
                <c:pt idx="57">
                  <c:v>346.15</c:v>
                </c:pt>
                <c:pt idx="58">
                  <c:v>347.95</c:v>
                </c:pt>
                <c:pt idx="59">
                  <c:v>346.45</c:v>
                </c:pt>
                <c:pt idx="60">
                  <c:v>354.59</c:v>
                </c:pt>
                <c:pt idx="61">
                  <c:v>361.08</c:v>
                </c:pt>
                <c:pt idx="62">
                  <c:v>360.87</c:v>
                </c:pt>
                <c:pt idx="63">
                  <c:v>361.79</c:v>
                </c:pt>
                <c:pt idx="64">
                  <c:v>349.25</c:v>
                </c:pt>
                <c:pt idx="65">
                  <c:v>357.2</c:v>
                </c:pt>
                <c:pt idx="66">
                  <c:v>357.35</c:v>
                </c:pt>
                <c:pt idx="67">
                  <c:v>353.65</c:v>
                </c:pt>
                <c:pt idx="68">
                  <c:v>347.38</c:v>
                </c:pt>
                <c:pt idx="69">
                  <c:v>349.8</c:v>
                </c:pt>
                <c:pt idx="70">
                  <c:v>346.76</c:v>
                </c:pt>
                <c:pt idx="71">
                  <c:v>351.78</c:v>
                </c:pt>
                <c:pt idx="72">
                  <c:v>358.32</c:v>
                </c:pt>
                <c:pt idx="73">
                  <c:v>359.8</c:v>
                </c:pt>
                <c:pt idx="74">
                  <c:v>360.13</c:v>
                </c:pt>
                <c:pt idx="75">
                  <c:v>362.1</c:v>
                </c:pt>
                <c:pt idx="76">
                  <c:v>359.78</c:v>
                </c:pt>
                <c:pt idx="77">
                  <c:v>363.9</c:v>
                </c:pt>
                <c:pt idx="78">
                  <c:v>372.37</c:v>
                </c:pt>
                <c:pt idx="79">
                  <c:v>372.16</c:v>
                </c:pt>
                <c:pt idx="80">
                  <c:v>372.06</c:v>
                </c:pt>
                <c:pt idx="81">
                  <c:v>370.53</c:v>
                </c:pt>
                <c:pt idx="82">
                  <c:v>368.82</c:v>
                </c:pt>
                <c:pt idx="83">
                  <c:v>370.64</c:v>
                </c:pt>
                <c:pt idx="84">
                  <c:v>371.51</c:v>
                </c:pt>
                <c:pt idx="85">
                  <c:v>373.74</c:v>
                </c:pt>
                <c:pt idx="86">
                  <c:v>375.04</c:v>
                </c:pt>
                <c:pt idx="87">
                  <c:v>378.77</c:v>
                </c:pt>
                <c:pt idx="88">
                  <c:v>373.23</c:v>
                </c:pt>
                <c:pt idx="89">
                  <c:v>368.97</c:v>
                </c:pt>
                <c:pt idx="90">
                  <c:v>360.62</c:v>
                </c:pt>
                <c:pt idx="91">
                  <c:v>351.85</c:v>
                </c:pt>
                <c:pt idx="92">
                  <c:v>354.71</c:v>
                </c:pt>
                <c:pt idx="93">
                  <c:v>343.41</c:v>
                </c:pt>
                <c:pt idx="94">
                  <c:v>338.47</c:v>
                </c:pt>
                <c:pt idx="95">
                  <c:v>338.29</c:v>
                </c:pt>
                <c:pt idx="96">
                  <c:v>336.36500000000001</c:v>
                </c:pt>
                <c:pt idx="97">
                  <c:v>342.99</c:v>
                </c:pt>
                <c:pt idx="98">
                  <c:v>341.96</c:v>
                </c:pt>
                <c:pt idx="99">
                  <c:v>333.62</c:v>
                </c:pt>
                <c:pt idx="100">
                  <c:v>323</c:v>
                </c:pt>
                <c:pt idx="101">
                  <c:v>317.76</c:v>
                </c:pt>
                <c:pt idx="102">
                  <c:v>327.07</c:v>
                </c:pt>
                <c:pt idx="103">
                  <c:v>331.80500000000001</c:v>
                </c:pt>
                <c:pt idx="104">
                  <c:v>317.11</c:v>
                </c:pt>
                <c:pt idx="105">
                  <c:v>311.73</c:v>
                </c:pt>
                <c:pt idx="106">
                  <c:v>315.91000000000003</c:v>
                </c:pt>
                <c:pt idx="107">
                  <c:v>316.08</c:v>
                </c:pt>
                <c:pt idx="108">
                  <c:v>323.68</c:v>
                </c:pt>
                <c:pt idx="109">
                  <c:v>324.91000000000003</c:v>
                </c:pt>
                <c:pt idx="110">
                  <c:v>330.87</c:v>
                </c:pt>
                <c:pt idx="111">
                  <c:v>329.32</c:v>
                </c:pt>
                <c:pt idx="112">
                  <c:v>324.58</c:v>
                </c:pt>
                <c:pt idx="113">
                  <c:v>337.15</c:v>
                </c:pt>
                <c:pt idx="114">
                  <c:v>303.83</c:v>
                </c:pt>
                <c:pt idx="115">
                  <c:v>296.58</c:v>
                </c:pt>
                <c:pt idx="116">
                  <c:v>300.38</c:v>
                </c:pt>
                <c:pt idx="117">
                  <c:v>304.13</c:v>
                </c:pt>
                <c:pt idx="118">
                  <c:v>307.89</c:v>
                </c:pt>
                <c:pt idx="119">
                  <c:v>308.01</c:v>
                </c:pt>
                <c:pt idx="120">
                  <c:v>310.05</c:v>
                </c:pt>
                <c:pt idx="121">
                  <c:v>297.38</c:v>
                </c:pt>
                <c:pt idx="122">
                  <c:v>292.70999999999998</c:v>
                </c:pt>
                <c:pt idx="123">
                  <c:v>288.32</c:v>
                </c:pt>
                <c:pt idx="124">
                  <c:v>292.24</c:v>
                </c:pt>
                <c:pt idx="125">
                  <c:v>302.86</c:v>
                </c:pt>
                <c:pt idx="126">
                  <c:v>304.64</c:v>
                </c:pt>
                <c:pt idx="127">
                  <c:v>297.62</c:v>
                </c:pt>
                <c:pt idx="128">
                  <c:v>295.19</c:v>
                </c:pt>
                <c:pt idx="129">
                  <c:v>297.7</c:v>
                </c:pt>
                <c:pt idx="130">
                  <c:v>296.755</c:v>
                </c:pt>
                <c:pt idx="131">
                  <c:v>301.19</c:v>
                </c:pt>
                <c:pt idx="132">
                  <c:v>305.01</c:v>
                </c:pt>
                <c:pt idx="133">
                  <c:v>304.91000000000003</c:v>
                </c:pt>
                <c:pt idx="134">
                  <c:v>312.24</c:v>
                </c:pt>
                <c:pt idx="135">
                  <c:v>310.82</c:v>
                </c:pt>
                <c:pt idx="136">
                  <c:v>310.16000000000003</c:v>
                </c:pt>
                <c:pt idx="137">
                  <c:v>313.77999999999997</c:v>
                </c:pt>
                <c:pt idx="138">
                  <c:v>312.55</c:v>
                </c:pt>
                <c:pt idx="139">
                  <c:v>308.83999999999997</c:v>
                </c:pt>
                <c:pt idx="140">
                  <c:v>307.19</c:v>
                </c:pt>
                <c:pt idx="141">
                  <c:v>306.77999999999997</c:v>
                </c:pt>
                <c:pt idx="142">
                  <c:v>323.57</c:v>
                </c:pt>
                <c:pt idx="143">
                  <c:v>329.67</c:v>
                </c:pt>
                <c:pt idx="144">
                  <c:v>327.5</c:v>
                </c:pt>
                <c:pt idx="145">
                  <c:v>332.41</c:v>
                </c:pt>
                <c:pt idx="146">
                  <c:v>335.2</c:v>
                </c:pt>
                <c:pt idx="147">
                  <c:v>325.91000000000003</c:v>
                </c:pt>
                <c:pt idx="148">
                  <c:v>326.27</c:v>
                </c:pt>
                <c:pt idx="149">
                  <c:v>327.62</c:v>
                </c:pt>
                <c:pt idx="150">
                  <c:v>325.62</c:v>
                </c:pt>
                <c:pt idx="151">
                  <c:v>334.38</c:v>
                </c:pt>
                <c:pt idx="152">
                  <c:v>327</c:v>
                </c:pt>
                <c:pt idx="153">
                  <c:v>324.2</c:v>
                </c:pt>
                <c:pt idx="154">
                  <c:v>327.24</c:v>
                </c:pt>
                <c:pt idx="155">
                  <c:v>324.16000000000003</c:v>
                </c:pt>
                <c:pt idx="156">
                  <c:v>327.44</c:v>
                </c:pt>
                <c:pt idx="157">
                  <c:v>325.69</c:v>
                </c:pt>
                <c:pt idx="158">
                  <c:v>324.57</c:v>
                </c:pt>
                <c:pt idx="159">
                  <c:v>324.77999999999997</c:v>
                </c:pt>
                <c:pt idx="160">
                  <c:v>332.39</c:v>
                </c:pt>
                <c:pt idx="161">
                  <c:v>332.85</c:v>
                </c:pt>
                <c:pt idx="162">
                  <c:v>337.49200000000002</c:v>
                </c:pt>
                <c:pt idx="163">
                  <c:v>333.55</c:v>
                </c:pt>
                <c:pt idx="164">
                  <c:v>323.81</c:v>
                </c:pt>
                <c:pt idx="165">
                  <c:v>329.97</c:v>
                </c:pt>
                <c:pt idx="166">
                  <c:v>327.92</c:v>
                </c:pt>
                <c:pt idx="167">
                  <c:v>346.2</c:v>
                </c:pt>
                <c:pt idx="168">
                  <c:v>355.32</c:v>
                </c:pt>
                <c:pt idx="169">
                  <c:v>354.44</c:v>
                </c:pt>
                <c:pt idx="170">
                  <c:v>355.9</c:v>
                </c:pt>
                <c:pt idx="171">
                  <c:v>352.45400000000001</c:v>
                </c:pt>
                <c:pt idx="172">
                  <c:v>358.66</c:v>
                </c:pt>
                <c:pt idx="173">
                  <c:v>359.76</c:v>
                </c:pt>
                <c:pt idx="174">
                  <c:v>360.84</c:v>
                </c:pt>
                <c:pt idx="175">
                  <c:v>358.14</c:v>
                </c:pt>
                <c:pt idx="176">
                  <c:v>358.61</c:v>
                </c:pt>
                <c:pt idx="177">
                  <c:v>324.01</c:v>
                </c:pt>
                <c:pt idx="178">
                  <c:v>320.41000000000003</c:v>
                </c:pt>
                <c:pt idx="179">
                  <c:v>320</c:v>
                </c:pt>
                <c:pt idx="180">
                  <c:v>322.51</c:v>
                </c:pt>
                <c:pt idx="181">
                  <c:v>312.99</c:v>
                </c:pt>
                <c:pt idx="182">
                  <c:v>307.06</c:v>
                </c:pt>
                <c:pt idx="183">
                  <c:v>313.64999999999998</c:v>
                </c:pt>
                <c:pt idx="184">
                  <c:v>312.32</c:v>
                </c:pt>
                <c:pt idx="185">
                  <c:v>313.89</c:v>
                </c:pt>
                <c:pt idx="186">
                  <c:v>311.45</c:v>
                </c:pt>
                <c:pt idx="187">
                  <c:v>316.8</c:v>
                </c:pt>
                <c:pt idx="188">
                  <c:v>318.33</c:v>
                </c:pt>
                <c:pt idx="189">
                  <c:v>319.32</c:v>
                </c:pt>
                <c:pt idx="190">
                  <c:v>326.27999999999997</c:v>
                </c:pt>
                <c:pt idx="191">
                  <c:v>333.21</c:v>
                </c:pt>
                <c:pt idx="192">
                  <c:v>333.63</c:v>
                </c:pt>
                <c:pt idx="193">
                  <c:v>334.53</c:v>
                </c:pt>
                <c:pt idx="194">
                  <c:v>335.13</c:v>
                </c:pt>
                <c:pt idx="195">
                  <c:v>335.78</c:v>
                </c:pt>
                <c:pt idx="196">
                  <c:v>332.91</c:v>
                </c:pt>
                <c:pt idx="197">
                  <c:v>331.59</c:v>
                </c:pt>
                <c:pt idx="198">
                  <c:v>334.02</c:v>
                </c:pt>
                <c:pt idx="199">
                  <c:v>341.83</c:v>
                </c:pt>
                <c:pt idx="200">
                  <c:v>343.18</c:v>
                </c:pt>
                <c:pt idx="201">
                  <c:v>340.02</c:v>
                </c:pt>
                <c:pt idx="202">
                  <c:v>339.04</c:v>
                </c:pt>
                <c:pt idx="203">
                  <c:v>342.38</c:v>
                </c:pt>
                <c:pt idx="204">
                  <c:v>339</c:v>
                </c:pt>
                <c:pt idx="205">
                  <c:v>345.95</c:v>
                </c:pt>
                <c:pt idx="206">
                  <c:v>346.38</c:v>
                </c:pt>
                <c:pt idx="207">
                  <c:v>342.34</c:v>
                </c:pt>
                <c:pt idx="208">
                  <c:v>329.75</c:v>
                </c:pt>
                <c:pt idx="209">
                  <c:v>331.33</c:v>
                </c:pt>
                <c:pt idx="210">
                  <c:v>330.52</c:v>
                </c:pt>
                <c:pt idx="211">
                  <c:v>331.19</c:v>
                </c:pt>
                <c:pt idx="212">
                  <c:v>323.89</c:v>
                </c:pt>
                <c:pt idx="213">
                  <c:v>327.76</c:v>
                </c:pt>
                <c:pt idx="214">
                  <c:v>324</c:v>
                </c:pt>
                <c:pt idx="215">
                  <c:v>325</c:v>
                </c:pt>
                <c:pt idx="216">
                  <c:v>331.32</c:v>
                </c:pt>
                <c:pt idx="217">
                  <c:v>324.5</c:v>
                </c:pt>
                <c:pt idx="218">
                  <c:v>323.63</c:v>
                </c:pt>
                <c:pt idx="219">
                  <c:v>328.21</c:v>
                </c:pt>
                <c:pt idx="220">
                  <c:v>321.93</c:v>
                </c:pt>
                <c:pt idx="221">
                  <c:v>323.20999999999998</c:v>
                </c:pt>
                <c:pt idx="222">
                  <c:v>321.82</c:v>
                </c:pt>
                <c:pt idx="223">
                  <c:v>322.44</c:v>
                </c:pt>
                <c:pt idx="224">
                  <c:v>317.45999999999998</c:v>
                </c:pt>
                <c:pt idx="225">
                  <c:v>318.41000000000003</c:v>
                </c:pt>
                <c:pt idx="226">
                  <c:v>322.74</c:v>
                </c:pt>
                <c:pt idx="227">
                  <c:v>322.2</c:v>
                </c:pt>
                <c:pt idx="228">
                  <c:v>316.98</c:v>
                </c:pt>
                <c:pt idx="229">
                  <c:v>322.7</c:v>
                </c:pt>
                <c:pt idx="230">
                  <c:v>315.37</c:v>
                </c:pt>
                <c:pt idx="231">
                  <c:v>311.39</c:v>
                </c:pt>
                <c:pt idx="232">
                  <c:v>306.45</c:v>
                </c:pt>
                <c:pt idx="233">
                  <c:v>308.31</c:v>
                </c:pt>
                <c:pt idx="234">
                  <c:v>305.97000000000003</c:v>
                </c:pt>
                <c:pt idx="235">
                  <c:v>302.86</c:v>
                </c:pt>
                <c:pt idx="236">
                  <c:v>303.64</c:v>
                </c:pt>
                <c:pt idx="237">
                  <c:v>306.20999999999998</c:v>
                </c:pt>
                <c:pt idx="238">
                  <c:v>315.33</c:v>
                </c:pt>
                <c:pt idx="239">
                  <c:v>312.97000000000003</c:v>
                </c:pt>
                <c:pt idx="240">
                  <c:v>313.18</c:v>
                </c:pt>
                <c:pt idx="241">
                  <c:v>287.06</c:v>
                </c:pt>
                <c:pt idx="242">
                  <c:v>289.97000000000003</c:v>
                </c:pt>
                <c:pt idx="243">
                  <c:v>295.58999999999997</c:v>
                </c:pt>
                <c:pt idx="244">
                  <c:v>294.12</c:v>
                </c:pt>
                <c:pt idx="245">
                  <c:v>299.07</c:v>
                </c:pt>
                <c:pt idx="246">
                  <c:v>305.45999999999998</c:v>
                </c:pt>
                <c:pt idx="247">
                  <c:v>305.72000000000003</c:v>
                </c:pt>
                <c:pt idx="248">
                  <c:v>302.81</c:v>
                </c:pt>
                <c:pt idx="249">
                  <c:v>296.52</c:v>
                </c:pt>
                <c:pt idx="250">
                  <c:v>296.64</c:v>
                </c:pt>
                <c:pt idx="251">
                  <c:v>299.86</c:v>
                </c:pt>
                <c:pt idx="252">
                  <c:v>305.11</c:v>
                </c:pt>
                <c:pt idx="253">
                  <c:v>312.01</c:v>
                </c:pt>
                <c:pt idx="254">
                  <c:v>311.51</c:v>
                </c:pt>
                <c:pt idx="255">
                  <c:v>316.48</c:v>
                </c:pt>
                <c:pt idx="256">
                  <c:v>327.82</c:v>
                </c:pt>
                <c:pt idx="257">
                  <c:v>323.05</c:v>
                </c:pt>
                <c:pt idx="258">
                  <c:v>324.93</c:v>
                </c:pt>
                <c:pt idx="259">
                  <c:v>326.54000000000002</c:v>
                </c:pt>
                <c:pt idx="260">
                  <c:v>330.54</c:v>
                </c:pt>
                <c:pt idx="261">
                  <c:v>332.63</c:v>
                </c:pt>
                <c:pt idx="262">
                  <c:v>335.64</c:v>
                </c:pt>
                <c:pt idx="263">
                  <c:v>335.04</c:v>
                </c:pt>
                <c:pt idx="264">
                  <c:v>333.57</c:v>
                </c:pt>
                <c:pt idx="265">
                  <c:v>338.64</c:v>
                </c:pt>
                <c:pt idx="266">
                  <c:v>326</c:v>
                </c:pt>
                <c:pt idx="267">
                  <c:v>326.31</c:v>
                </c:pt>
                <c:pt idx="268">
                  <c:v>316.5</c:v>
                </c:pt>
                <c:pt idx="269">
                  <c:v>316.93</c:v>
                </c:pt>
                <c:pt idx="270">
                  <c:v>312.63</c:v>
                </c:pt>
                <c:pt idx="271">
                  <c:v>306.64</c:v>
                </c:pt>
                <c:pt idx="272">
                  <c:v>312.5</c:v>
                </c:pt>
                <c:pt idx="273">
                  <c:v>305.83999999999997</c:v>
                </c:pt>
                <c:pt idx="274">
                  <c:v>307.36</c:v>
                </c:pt>
                <c:pt idx="275">
                  <c:v>307.32</c:v>
                </c:pt>
                <c:pt idx="276">
                  <c:v>306.07</c:v>
                </c:pt>
                <c:pt idx="277">
                  <c:v>295.06</c:v>
                </c:pt>
                <c:pt idx="278">
                  <c:v>298.88</c:v>
                </c:pt>
                <c:pt idx="279">
                  <c:v>297.73</c:v>
                </c:pt>
                <c:pt idx="280">
                  <c:v>299.89999999999998</c:v>
                </c:pt>
                <c:pt idx="281">
                  <c:v>306.54000000000002</c:v>
                </c:pt>
                <c:pt idx="282">
                  <c:v>306.28500000000003</c:v>
                </c:pt>
                <c:pt idx="283">
                  <c:v>303.02999999999997</c:v>
                </c:pt>
                <c:pt idx="284">
                  <c:v>309.08999999999997</c:v>
                </c:pt>
                <c:pt idx="285">
                  <c:v>312.04000000000002</c:v>
                </c:pt>
                <c:pt idx="286">
                  <c:v>310.3</c:v>
                </c:pt>
                <c:pt idx="287">
                  <c:v>310.35000000000002</c:v>
                </c:pt>
                <c:pt idx="288">
                  <c:v>308.52</c:v>
                </c:pt>
                <c:pt idx="289">
                  <c:v>302.19</c:v>
                </c:pt>
                <c:pt idx="290">
                  <c:v>295.29000000000002</c:v>
                </c:pt>
                <c:pt idx="291">
                  <c:v>298.42</c:v>
                </c:pt>
                <c:pt idx="292">
                  <c:v>300.45999999999998</c:v>
                </c:pt>
                <c:pt idx="293">
                  <c:v>296.93</c:v>
                </c:pt>
                <c:pt idx="294">
                  <c:v>291.41000000000003</c:v>
                </c:pt>
                <c:pt idx="295">
                  <c:v>294.74</c:v>
                </c:pt>
                <c:pt idx="296">
                  <c:v>293.27</c:v>
                </c:pt>
                <c:pt idx="297">
                  <c:v>286.95</c:v>
                </c:pt>
                <c:pt idx="298">
                  <c:v>290.74</c:v>
                </c:pt>
                <c:pt idx="299">
                  <c:v>289.44</c:v>
                </c:pt>
                <c:pt idx="300">
                  <c:v>297.25</c:v>
                </c:pt>
                <c:pt idx="301">
                  <c:v>310.32</c:v>
                </c:pt>
                <c:pt idx="302">
                  <c:v>312.39</c:v>
                </c:pt>
                <c:pt idx="303">
                  <c:v>309.66000000000003</c:v>
                </c:pt>
                <c:pt idx="304">
                  <c:v>306.75</c:v>
                </c:pt>
                <c:pt idx="305">
                  <c:v>303.91000000000003</c:v>
                </c:pt>
                <c:pt idx="306">
                  <c:v>311.77999999999997</c:v>
                </c:pt>
                <c:pt idx="307">
                  <c:v>354.53</c:v>
                </c:pt>
                <c:pt idx="308">
                  <c:v>364.47</c:v>
                </c:pt>
                <c:pt idx="309">
                  <c:v>363.55</c:v>
                </c:pt>
                <c:pt idx="310">
                  <c:v>364.75</c:v>
                </c:pt>
                <c:pt idx="311">
                  <c:v>373.89</c:v>
                </c:pt>
                <c:pt idx="312">
                  <c:v>374.28</c:v>
                </c:pt>
                <c:pt idx="313">
                  <c:v>370.56</c:v>
                </c:pt>
                <c:pt idx="314">
                  <c:v>372.995</c:v>
                </c:pt>
                <c:pt idx="315">
                  <c:v>375.14</c:v>
                </c:pt>
                <c:pt idx="316">
                  <c:v>377.17</c:v>
                </c:pt>
                <c:pt idx="317">
                  <c:v>381.83</c:v>
                </c:pt>
                <c:pt idx="318">
                  <c:v>375.43</c:v>
                </c:pt>
                <c:pt idx="319">
                  <c:v>373.37</c:v>
                </c:pt>
                <c:pt idx="320">
                  <c:v>378.995</c:v>
                </c:pt>
                <c:pt idx="321">
                  <c:v>383.66</c:v>
                </c:pt>
                <c:pt idx="322">
                  <c:v>380.14</c:v>
                </c:pt>
                <c:pt idx="323">
                  <c:v>378.59</c:v>
                </c:pt>
                <c:pt idx="324">
                  <c:v>385.37</c:v>
                </c:pt>
                <c:pt idx="325">
                  <c:v>384.8</c:v>
                </c:pt>
                <c:pt idx="326">
                  <c:v>380.16</c:v>
                </c:pt>
                <c:pt idx="327">
                  <c:v>385.65499999999997</c:v>
                </c:pt>
                <c:pt idx="328">
                  <c:v>384.61</c:v>
                </c:pt>
                <c:pt idx="329">
                  <c:v>382.72</c:v>
                </c:pt>
                <c:pt idx="330">
                  <c:v>387.83</c:v>
                </c:pt>
                <c:pt idx="331">
                  <c:v>380.09</c:v>
                </c:pt>
                <c:pt idx="332">
                  <c:v>378.56</c:v>
                </c:pt>
                <c:pt idx="333">
                  <c:v>369.51</c:v>
                </c:pt>
                <c:pt idx="334">
                  <c:v>366.37</c:v>
                </c:pt>
                <c:pt idx="335">
                  <c:v>374.24</c:v>
                </c:pt>
                <c:pt idx="336">
                  <c:v>370.58</c:v>
                </c:pt>
                <c:pt idx="337">
                  <c:v>373.35</c:v>
                </c:pt>
                <c:pt idx="338">
                  <c:v>371.92</c:v>
                </c:pt>
                <c:pt idx="339">
                  <c:v>375.13499999999999</c:v>
                </c:pt>
                <c:pt idx="340">
                  <c:v>373.24</c:v>
                </c:pt>
                <c:pt idx="341">
                  <c:v>378.49</c:v>
                </c:pt>
                <c:pt idx="342">
                  <c:v>375.11</c:v>
                </c:pt>
                <c:pt idx="343">
                  <c:v>374.09</c:v>
                </c:pt>
                <c:pt idx="344">
                  <c:v>370.96</c:v>
                </c:pt>
                <c:pt idx="345">
                  <c:v>367.35</c:v>
                </c:pt>
                <c:pt idx="346">
                  <c:v>370.56</c:v>
                </c:pt>
                <c:pt idx="347">
                  <c:v>374.59</c:v>
                </c:pt>
                <c:pt idx="348">
                  <c:v>372.1</c:v>
                </c:pt>
                <c:pt idx="349">
                  <c:v>370.255</c:v>
                </c:pt>
                <c:pt idx="350">
                  <c:v>372.25</c:v>
                </c:pt>
                <c:pt idx="351">
                  <c:v>377.04</c:v>
                </c:pt>
                <c:pt idx="352">
                  <c:v>374.41</c:v>
                </c:pt>
                <c:pt idx="353">
                  <c:v>381.2</c:v>
                </c:pt>
                <c:pt idx="354">
                  <c:v>383.54</c:v>
                </c:pt>
                <c:pt idx="355">
                  <c:v>382.65</c:v>
                </c:pt>
                <c:pt idx="356">
                  <c:v>382.36</c:v>
                </c:pt>
                <c:pt idx="357">
                  <c:v>385.11</c:v>
                </c:pt>
                <c:pt idx="358">
                  <c:v>383.45</c:v>
                </c:pt>
                <c:pt idx="359">
                  <c:v>386.04</c:v>
                </c:pt>
                <c:pt idx="360">
                  <c:v>375.56</c:v>
                </c:pt>
                <c:pt idx="361">
                  <c:v>389.51</c:v>
                </c:pt>
                <c:pt idx="362">
                  <c:v>391.18</c:v>
                </c:pt>
                <c:pt idx="363">
                  <c:v>389.8</c:v>
                </c:pt>
                <c:pt idx="364">
                  <c:v>389.99</c:v>
                </c:pt>
                <c:pt idx="365">
                  <c:v>445.1</c:v>
                </c:pt>
                <c:pt idx="366">
                  <c:v>438.56</c:v>
                </c:pt>
                <c:pt idx="367">
                  <c:v>429.31</c:v>
                </c:pt>
                <c:pt idx="368">
                  <c:v>429.37</c:v>
                </c:pt>
                <c:pt idx="369">
                  <c:v>421.78</c:v>
                </c:pt>
                <c:pt idx="370">
                  <c:v>422.87</c:v>
                </c:pt>
                <c:pt idx="371">
                  <c:v>423.04</c:v>
                </c:pt>
                <c:pt idx="372">
                  <c:v>421.19</c:v>
                </c:pt>
                <c:pt idx="373">
                  <c:v>419.1</c:v>
                </c:pt>
                <c:pt idx="374">
                  <c:v>426.88</c:v>
                </c:pt>
                <c:pt idx="375">
                  <c:v>433.69</c:v>
                </c:pt>
                <c:pt idx="376">
                  <c:v>432.85</c:v>
                </c:pt>
                <c:pt idx="377">
                  <c:v>431.02</c:v>
                </c:pt>
                <c:pt idx="378">
                  <c:v>426.87</c:v>
                </c:pt>
                <c:pt idx="379">
                  <c:v>432.28</c:v>
                </c:pt>
                <c:pt idx="380">
                  <c:v>426</c:v>
                </c:pt>
                <c:pt idx="381">
                  <c:v>425.24</c:v>
                </c:pt>
                <c:pt idx="382">
                  <c:v>421.71</c:v>
                </c:pt>
                <c:pt idx="383">
                  <c:v>423.86</c:v>
                </c:pt>
                <c:pt idx="384">
                  <c:v>431.63</c:v>
                </c:pt>
                <c:pt idx="385">
                  <c:v>427.63</c:v>
                </c:pt>
                <c:pt idx="386">
                  <c:v>425.47</c:v>
                </c:pt>
                <c:pt idx="387">
                  <c:v>431.42</c:v>
                </c:pt>
                <c:pt idx="388">
                  <c:v>426.57</c:v>
                </c:pt>
                <c:pt idx="389">
                  <c:v>429.23</c:v>
                </c:pt>
                <c:pt idx="390">
                  <c:v>430.92</c:v>
                </c:pt>
                <c:pt idx="391">
                  <c:v>430.99</c:v>
                </c:pt>
                <c:pt idx="392">
                  <c:v>436.59</c:v>
                </c:pt>
                <c:pt idx="393">
                  <c:v>430.78</c:v>
                </c:pt>
                <c:pt idx="394">
                  <c:v>426.95</c:v>
                </c:pt>
                <c:pt idx="395">
                  <c:v>423.5</c:v>
                </c:pt>
                <c:pt idx="396">
                  <c:v>425.48</c:v>
                </c:pt>
                <c:pt idx="397">
                  <c:v>430.77</c:v>
                </c:pt>
                <c:pt idx="398">
                  <c:v>432.97</c:v>
                </c:pt>
                <c:pt idx="399">
                  <c:v>429.92</c:v>
                </c:pt>
                <c:pt idx="400">
                  <c:v>423.67</c:v>
                </c:pt>
                <c:pt idx="401">
                  <c:v>427.26</c:v>
                </c:pt>
                <c:pt idx="402">
                  <c:v>427.81</c:v>
                </c:pt>
                <c:pt idx="403">
                  <c:v>439.39</c:v>
                </c:pt>
                <c:pt idx="404">
                  <c:v>434.92</c:v>
                </c:pt>
                <c:pt idx="405">
                  <c:v>436.29</c:v>
                </c:pt>
                <c:pt idx="406">
                  <c:v>445.99</c:v>
                </c:pt>
                <c:pt idx="407">
                  <c:v>440.84</c:v>
                </c:pt>
                <c:pt idx="408">
                  <c:v>440.1</c:v>
                </c:pt>
                <c:pt idx="409">
                  <c:v>438.1</c:v>
                </c:pt>
                <c:pt idx="410">
                  <c:v>429.86</c:v>
                </c:pt>
                <c:pt idx="411">
                  <c:v>434.09</c:v>
                </c:pt>
                <c:pt idx="412">
                  <c:v>437.39</c:v>
                </c:pt>
                <c:pt idx="413">
                  <c:v>437.71</c:v>
                </c:pt>
                <c:pt idx="414">
                  <c:v>436.04</c:v>
                </c:pt>
                <c:pt idx="415">
                  <c:v>436.72</c:v>
                </c:pt>
                <c:pt idx="416">
                  <c:v>429.7</c:v>
                </c:pt>
                <c:pt idx="417">
                  <c:v>434.39</c:v>
                </c:pt>
                <c:pt idx="418">
                  <c:v>443.51</c:v>
                </c:pt>
                <c:pt idx="419">
                  <c:v>455.57</c:v>
                </c:pt>
                <c:pt idx="420">
                  <c:v>465.57</c:v>
                </c:pt>
                <c:pt idx="421">
                  <c:v>461.19</c:v>
                </c:pt>
                <c:pt idx="422">
                  <c:v>475.48</c:v>
                </c:pt>
                <c:pt idx="423">
                  <c:v>483.01</c:v>
                </c:pt>
                <c:pt idx="424">
                  <c:v>488.1</c:v>
                </c:pt>
                <c:pt idx="425">
                  <c:v>488</c:v>
                </c:pt>
                <c:pt idx="426">
                  <c:v>488.27</c:v>
                </c:pt>
                <c:pt idx="427">
                  <c:v>482.18</c:v>
                </c:pt>
                <c:pt idx="428">
                  <c:v>529.41999999999996</c:v>
                </c:pt>
                <c:pt idx="429">
                  <c:v>531.41</c:v>
                </c:pt>
                <c:pt idx="430">
                  <c:v>526.03</c:v>
                </c:pt>
                <c:pt idx="431">
                  <c:v>529</c:v>
                </c:pt>
                <c:pt idx="432">
                  <c:v>536.76</c:v>
                </c:pt>
                <c:pt idx="433">
                  <c:v>536.15</c:v>
                </c:pt>
                <c:pt idx="434">
                  <c:v>535.03</c:v>
                </c:pt>
                <c:pt idx="435">
                  <c:v>531.9</c:v>
                </c:pt>
                <c:pt idx="436">
                  <c:v>537.01</c:v>
                </c:pt>
                <c:pt idx="437">
                  <c:v>529.46</c:v>
                </c:pt>
                <c:pt idx="438">
                  <c:v>522.62</c:v>
                </c:pt>
                <c:pt idx="439">
                  <c:v>524</c:v>
                </c:pt>
                <c:pt idx="440">
                  <c:v>527.46</c:v>
                </c:pt>
                <c:pt idx="441">
                  <c:v>525.91</c:v>
                </c:pt>
                <c:pt idx="442">
                  <c:v>529.66</c:v>
                </c:pt>
                <c:pt idx="443">
                  <c:v>531.52</c:v>
                </c:pt>
                <c:pt idx="444">
                  <c:v>535.22</c:v>
                </c:pt>
                <c:pt idx="445">
                  <c:v>535.02</c:v>
                </c:pt>
                <c:pt idx="446">
                  <c:v>532.91999999999996</c:v>
                </c:pt>
                <c:pt idx="447">
                  <c:v>515.78</c:v>
                </c:pt>
                <c:pt idx="448">
                  <c:v>494.47</c:v>
                </c:pt>
                <c:pt idx="449">
                  <c:v>463.37</c:v>
                </c:pt>
                <c:pt idx="450">
                  <c:v>466.37</c:v>
                </c:pt>
                <c:pt idx="451">
                  <c:v>500.77</c:v>
                </c:pt>
                <c:pt idx="452">
                  <c:v>518.37</c:v>
                </c:pt>
                <c:pt idx="453">
                  <c:v>518.01</c:v>
                </c:pt>
                <c:pt idx="454">
                  <c:v>512.89</c:v>
                </c:pt>
                <c:pt idx="455">
                  <c:v>496.54</c:v>
                </c:pt>
                <c:pt idx="456">
                  <c:v>510.55</c:v>
                </c:pt>
                <c:pt idx="457">
                  <c:v>504.72</c:v>
                </c:pt>
                <c:pt idx="458">
                  <c:v>499</c:v>
                </c:pt>
                <c:pt idx="459">
                  <c:v>517.54</c:v>
                </c:pt>
                <c:pt idx="460">
                  <c:v>516.89</c:v>
                </c:pt>
                <c:pt idx="461">
                  <c:v>522.24</c:v>
                </c:pt>
                <c:pt idx="462">
                  <c:v>529.44000000000005</c:v>
                </c:pt>
                <c:pt idx="463">
                  <c:v>521.38</c:v>
                </c:pt>
                <c:pt idx="464">
                  <c:v>522.37</c:v>
                </c:pt>
                <c:pt idx="465">
                  <c:v>527.39</c:v>
                </c:pt>
                <c:pt idx="466">
                  <c:v>538.87</c:v>
                </c:pt>
                <c:pt idx="467">
                  <c:v>540.26</c:v>
                </c:pt>
                <c:pt idx="468">
                  <c:v>548.39</c:v>
                </c:pt>
                <c:pt idx="469">
                  <c:v>538.4</c:v>
                </c:pt>
                <c:pt idx="470">
                  <c:v>536.07000000000005</c:v>
                </c:pt>
                <c:pt idx="471">
                  <c:v>533.75</c:v>
                </c:pt>
                <c:pt idx="472">
                  <c:v>524.25</c:v>
                </c:pt>
                <c:pt idx="473">
                  <c:v>504.06</c:v>
                </c:pt>
                <c:pt idx="474">
                  <c:v>496.07</c:v>
                </c:pt>
                <c:pt idx="475">
                  <c:v>511.89</c:v>
                </c:pt>
                <c:pt idx="476">
                  <c:v>520.72</c:v>
                </c:pt>
                <c:pt idx="477">
                  <c:v>532.54</c:v>
                </c:pt>
                <c:pt idx="478">
                  <c:v>543.67999999999995</c:v>
                </c:pt>
                <c:pt idx="479">
                  <c:v>537.48</c:v>
                </c:pt>
                <c:pt idx="480">
                  <c:v>541.94000000000005</c:v>
                </c:pt>
                <c:pt idx="481">
                  <c:v>533.16</c:v>
                </c:pt>
                <c:pt idx="482">
                  <c:v>539.79999999999995</c:v>
                </c:pt>
                <c:pt idx="483">
                  <c:v>550.19000000000005</c:v>
                </c:pt>
                <c:pt idx="484">
                  <c:v>548.9</c:v>
                </c:pt>
                <c:pt idx="485">
                  <c:v>544.83000000000004</c:v>
                </c:pt>
                <c:pt idx="486">
                  <c:v>562.44000000000005</c:v>
                </c:pt>
                <c:pt idx="487">
                  <c:v>570.76</c:v>
                </c:pt>
                <c:pt idx="488">
                  <c:v>573.15</c:v>
                </c:pt>
                <c:pt idx="489">
                  <c:v>560.88</c:v>
                </c:pt>
                <c:pt idx="490">
                  <c:v>555.77</c:v>
                </c:pt>
                <c:pt idx="491">
                  <c:v>563.91</c:v>
                </c:pt>
                <c:pt idx="492">
                  <c:v>599.03</c:v>
                </c:pt>
                <c:pt idx="493">
                  <c:v>608.61</c:v>
                </c:pt>
                <c:pt idx="494">
                  <c:v>611.01</c:v>
                </c:pt>
                <c:pt idx="495">
                  <c:v>617.1</c:v>
                </c:pt>
                <c:pt idx="496">
                  <c:v>626.54999999999995</c:v>
                </c:pt>
                <c:pt idx="497">
                  <c:v>625.9</c:v>
                </c:pt>
                <c:pt idx="498">
                  <c:v>628.35</c:v>
                </c:pt>
                <c:pt idx="499">
                  <c:v>625.30999999999995</c:v>
                </c:pt>
                <c:pt idx="500">
                  <c:v>640.95000000000005</c:v>
                </c:pt>
                <c:pt idx="501">
                  <c:v>655.65</c:v>
                </c:pt>
                <c:pt idx="502">
                  <c:v>659.37</c:v>
                </c:pt>
                <c:pt idx="503">
                  <c:v>655.49</c:v>
                </c:pt>
                <c:pt idx="504">
                  <c:v>659.68</c:v>
                </c:pt>
                <c:pt idx="505">
                  <c:v>673.25</c:v>
                </c:pt>
                <c:pt idx="506">
                  <c:v>665.6</c:v>
                </c:pt>
                <c:pt idx="507">
                  <c:v>642.35</c:v>
                </c:pt>
                <c:pt idx="508">
                  <c:v>647.80999999999995</c:v>
                </c:pt>
                <c:pt idx="509">
                  <c:v>643.29999999999995</c:v>
                </c:pt>
                <c:pt idx="510">
                  <c:v>663.54</c:v>
                </c:pt>
                <c:pt idx="511">
                  <c:v>661.27</c:v>
                </c:pt>
                <c:pt idx="512">
                  <c:v>668.45</c:v>
                </c:pt>
                <c:pt idx="513">
                  <c:v>678.99</c:v>
                </c:pt>
                <c:pt idx="514">
                  <c:v>671.15</c:v>
                </c:pt>
                <c:pt idx="515">
                  <c:v>675.34</c:v>
                </c:pt>
                <c:pt idx="516">
                  <c:v>673.26</c:v>
                </c:pt>
                <c:pt idx="517">
                  <c:v>664.8</c:v>
                </c:pt>
                <c:pt idx="518">
                  <c:v>679.06</c:v>
                </c:pt>
                <c:pt idx="519">
                  <c:v>676.01</c:v>
                </c:pt>
                <c:pt idx="520">
                  <c:v>666.25</c:v>
                </c:pt>
                <c:pt idx="521">
                  <c:v>672.64</c:v>
                </c:pt>
                <c:pt idx="522">
                  <c:v>669.83</c:v>
                </c:pt>
                <c:pt idx="523">
                  <c:v>677.33</c:v>
                </c:pt>
                <c:pt idx="524">
                  <c:v>664.79</c:v>
                </c:pt>
                <c:pt idx="525">
                  <c:v>662.32</c:v>
                </c:pt>
                <c:pt idx="526">
                  <c:v>640.15</c:v>
                </c:pt>
                <c:pt idx="527">
                  <c:v>657.91</c:v>
                </c:pt>
                <c:pt idx="528">
                  <c:v>658.64</c:v>
                </c:pt>
                <c:pt idx="529">
                  <c:v>675.77</c:v>
                </c:pt>
                <c:pt idx="530">
                  <c:v>670.65</c:v>
                </c:pt>
                <c:pt idx="531">
                  <c:v>664.14</c:v>
                </c:pt>
                <c:pt idx="532">
                  <c:v>664.51</c:v>
                </c:pt>
                <c:pt idx="533">
                  <c:v>663.15</c:v>
                </c:pt>
                <c:pt idx="534">
                  <c:v>663.7</c:v>
                </c:pt>
                <c:pt idx="535">
                  <c:v>662.79</c:v>
                </c:pt>
                <c:pt idx="536">
                  <c:v>675.2</c:v>
                </c:pt>
                <c:pt idx="537">
                  <c:v>693.97</c:v>
                </c:pt>
                <c:pt idx="538">
                  <c:v>689.07</c:v>
                </c:pt>
                <c:pt idx="539">
                  <c:v>675.89</c:v>
                </c:pt>
                <c:pt idx="540">
                  <c:v>636.99</c:v>
                </c:pt>
                <c:pt idx="541">
                  <c:v>633.79</c:v>
                </c:pt>
                <c:pt idx="542">
                  <c:v>632.65</c:v>
                </c:pt>
                <c:pt idx="543">
                  <c:v>607.94000000000005</c:v>
                </c:pt>
                <c:pt idx="544">
                  <c:v>607.04999999999995</c:v>
                </c:pt>
                <c:pt idx="545">
                  <c:v>617.74</c:v>
                </c:pt>
                <c:pt idx="546">
                  <c:v>617.89</c:v>
                </c:pt>
                <c:pt idx="547">
                  <c:v>581.80999999999995</c:v>
                </c:pt>
                <c:pt idx="548">
                  <c:v>593</c:v>
                </c:pt>
                <c:pt idx="549">
                  <c:v>570.17999999999995</c:v>
                </c:pt>
                <c:pt idx="550">
                  <c:v>574.48</c:v>
                </c:pt>
                <c:pt idx="551">
                  <c:v>571.77</c:v>
                </c:pt>
                <c:pt idx="552">
                  <c:v>575.02</c:v>
                </c:pt>
                <c:pt idx="553">
                  <c:v>596.38</c:v>
                </c:pt>
                <c:pt idx="554">
                  <c:v>596.53</c:v>
                </c:pt>
                <c:pt idx="555">
                  <c:v>601.25</c:v>
                </c:pt>
                <c:pt idx="556">
                  <c:v>583.35</c:v>
                </c:pt>
                <c:pt idx="557">
                  <c:v>635.35</c:v>
                </c:pt>
                <c:pt idx="558">
                  <c:v>587</c:v>
                </c:pt>
                <c:pt idx="559">
                  <c:v>574.80999999999995</c:v>
                </c:pt>
                <c:pt idx="560">
                  <c:v>552.1</c:v>
                </c:pt>
                <c:pt idx="561">
                  <c:v>531.07000000000005</c:v>
                </c:pt>
                <c:pt idx="562">
                  <c:v>536.26</c:v>
                </c:pt>
                <c:pt idx="563">
                  <c:v>502.13</c:v>
                </c:pt>
                <c:pt idx="564">
                  <c:v>488.1</c:v>
                </c:pt>
                <c:pt idx="565">
                  <c:v>482.07</c:v>
                </c:pt>
                <c:pt idx="566">
                  <c:v>490.48</c:v>
                </c:pt>
                <c:pt idx="567">
                  <c:v>503.82</c:v>
                </c:pt>
                <c:pt idx="568">
                  <c:v>507.08</c:v>
                </c:pt>
                <c:pt idx="569">
                  <c:v>521.1</c:v>
                </c:pt>
                <c:pt idx="570">
                  <c:v>534.1</c:v>
                </c:pt>
                <c:pt idx="571">
                  <c:v>525</c:v>
                </c:pt>
                <c:pt idx="572">
                  <c:v>534.9</c:v>
                </c:pt>
                <c:pt idx="573">
                  <c:v>559.5</c:v>
                </c:pt>
                <c:pt idx="574">
                  <c:v>552.94000000000005</c:v>
                </c:pt>
                <c:pt idx="575">
                  <c:v>554.04</c:v>
                </c:pt>
                <c:pt idx="576">
                  <c:v>555.15</c:v>
                </c:pt>
                <c:pt idx="577">
                  <c:v>555.23</c:v>
                </c:pt>
                <c:pt idx="578">
                  <c:v>552.52</c:v>
                </c:pt>
                <c:pt idx="579">
                  <c:v>579.04</c:v>
                </c:pt>
                <c:pt idx="580">
                  <c:v>580.21</c:v>
                </c:pt>
                <c:pt idx="581">
                  <c:v>577.49</c:v>
                </c:pt>
                <c:pt idx="582">
                  <c:v>575.14</c:v>
                </c:pt>
                <c:pt idx="583">
                  <c:v>562.79999999999995</c:v>
                </c:pt>
                <c:pt idx="584">
                  <c:v>560.26</c:v>
                </c:pt>
                <c:pt idx="585">
                  <c:v>559.47</c:v>
                </c:pt>
                <c:pt idx="586">
                  <c:v>558.92999999999995</c:v>
                </c:pt>
                <c:pt idx="587">
                  <c:v>569.61</c:v>
                </c:pt>
                <c:pt idx="588">
                  <c:v>573.37</c:v>
                </c:pt>
                <c:pt idx="589">
                  <c:v>577.02</c:v>
                </c:pt>
                <c:pt idx="590">
                  <c:v>574.27</c:v>
                </c:pt>
                <c:pt idx="591">
                  <c:v>559.44000000000005</c:v>
                </c:pt>
                <c:pt idx="592">
                  <c:v>552.08000000000004</c:v>
                </c:pt>
                <c:pt idx="593">
                  <c:v>553.98</c:v>
                </c:pt>
                <c:pt idx="594">
                  <c:v>560.48</c:v>
                </c:pt>
                <c:pt idx="595">
                  <c:v>569.63</c:v>
                </c:pt>
                <c:pt idx="596">
                  <c:v>582.95000000000005</c:v>
                </c:pt>
                <c:pt idx="597">
                  <c:v>579.87</c:v>
                </c:pt>
                <c:pt idx="598">
                  <c:v>593.86</c:v>
                </c:pt>
                <c:pt idx="599">
                  <c:v>598.69000000000005</c:v>
                </c:pt>
                <c:pt idx="600">
                  <c:v>593.64</c:v>
                </c:pt>
                <c:pt idx="601">
                  <c:v>598.5</c:v>
                </c:pt>
                <c:pt idx="602">
                  <c:v>593.19000000000005</c:v>
                </c:pt>
                <c:pt idx="603">
                  <c:v>586.14</c:v>
                </c:pt>
                <c:pt idx="604">
                  <c:v>602.08000000000004</c:v>
                </c:pt>
                <c:pt idx="605">
                  <c:v>591.42999999999995</c:v>
                </c:pt>
                <c:pt idx="606">
                  <c:v>594.6</c:v>
                </c:pt>
                <c:pt idx="607">
                  <c:v>595.92999999999995</c:v>
                </c:pt>
                <c:pt idx="608">
                  <c:v>603.16999999999996</c:v>
                </c:pt>
                <c:pt idx="609">
                  <c:v>614.82000000000005</c:v>
                </c:pt>
                <c:pt idx="610">
                  <c:v>620.75</c:v>
                </c:pt>
                <c:pt idx="611">
                  <c:v>625.89</c:v>
                </c:pt>
                <c:pt idx="612">
                  <c:v>635.35</c:v>
                </c:pt>
                <c:pt idx="613">
                  <c:v>627.9</c:v>
                </c:pt>
                <c:pt idx="614">
                  <c:v>632.99</c:v>
                </c:pt>
                <c:pt idx="615">
                  <c:v>631</c:v>
                </c:pt>
                <c:pt idx="616">
                  <c:v>620.5</c:v>
                </c:pt>
                <c:pt idx="617">
                  <c:v>626.20000000000005</c:v>
                </c:pt>
                <c:pt idx="618">
                  <c:v>616.88</c:v>
                </c:pt>
                <c:pt idx="619">
                  <c:v>606.57000000000005</c:v>
                </c:pt>
                <c:pt idx="620">
                  <c:v>602</c:v>
                </c:pt>
                <c:pt idx="621">
                  <c:v>659.59</c:v>
                </c:pt>
                <c:pt idx="622">
                  <c:v>683.85</c:v>
                </c:pt>
                <c:pt idx="623">
                  <c:v>671.32</c:v>
                </c:pt>
                <c:pt idx="624">
                  <c:v>670.9</c:v>
                </c:pt>
                <c:pt idx="625">
                  <c:v>659.09</c:v>
                </c:pt>
                <c:pt idx="626">
                  <c:v>673.95</c:v>
                </c:pt>
                <c:pt idx="627">
                  <c:v>679.75</c:v>
                </c:pt>
                <c:pt idx="628">
                  <c:v>703.07</c:v>
                </c:pt>
                <c:pt idx="629">
                  <c:v>713.23</c:v>
                </c:pt>
                <c:pt idx="630">
                  <c:v>717.93</c:v>
                </c:pt>
                <c:pt idx="631">
                  <c:v>709.92</c:v>
                </c:pt>
                <c:pt idx="632">
                  <c:v>710.66</c:v>
                </c:pt>
                <c:pt idx="633">
                  <c:v>695.27</c:v>
                </c:pt>
                <c:pt idx="634">
                  <c:v>697.45</c:v>
                </c:pt>
                <c:pt idx="635">
                  <c:v>698.52</c:v>
                </c:pt>
                <c:pt idx="636">
                  <c:v>702.8</c:v>
                </c:pt>
                <c:pt idx="637">
                  <c:v>696.75</c:v>
                </c:pt>
                <c:pt idx="638">
                  <c:v>704.2</c:v>
                </c:pt>
                <c:pt idx="639">
                  <c:v>708.35</c:v>
                </c:pt>
                <c:pt idx="640">
                  <c:v>714.91</c:v>
                </c:pt>
                <c:pt idx="641">
                  <c:v>712.24</c:v>
                </c:pt>
                <c:pt idx="642">
                  <c:v>722.79</c:v>
                </c:pt>
                <c:pt idx="643">
                  <c:v>719.44</c:v>
                </c:pt>
                <c:pt idx="644">
                  <c:v>728.24</c:v>
                </c:pt>
                <c:pt idx="645">
                  <c:v>725.54</c:v>
                </c:pt>
                <c:pt idx="646">
                  <c:v>726.73</c:v>
                </c:pt>
                <c:pt idx="647">
                  <c:v>723.74</c:v>
                </c:pt>
                <c:pt idx="648">
                  <c:v>726.64</c:v>
                </c:pt>
                <c:pt idx="649">
                  <c:v>727.65</c:v>
                </c:pt>
                <c:pt idx="650">
                  <c:v>717.91</c:v>
                </c:pt>
                <c:pt idx="651">
                  <c:v>715.24</c:v>
                </c:pt>
                <c:pt idx="652">
                  <c:v>719.3</c:v>
                </c:pt>
                <c:pt idx="653">
                  <c:v>714.26</c:v>
                </c:pt>
                <c:pt idx="654">
                  <c:v>717.51</c:v>
                </c:pt>
                <c:pt idx="655">
                  <c:v>706.39</c:v>
                </c:pt>
                <c:pt idx="656">
                  <c:v>714.01</c:v>
                </c:pt>
                <c:pt idx="657">
                  <c:v>715.82</c:v>
                </c:pt>
                <c:pt idx="658">
                  <c:v>710.6</c:v>
                </c:pt>
                <c:pt idx="659">
                  <c:v>722.08</c:v>
                </c:pt>
                <c:pt idx="660">
                  <c:v>698.96</c:v>
                </c:pt>
                <c:pt idx="661">
                  <c:v>691.36</c:v>
                </c:pt>
                <c:pt idx="662">
                  <c:v>707.95</c:v>
                </c:pt>
                <c:pt idx="663">
                  <c:v>715.6</c:v>
                </c:pt>
                <c:pt idx="664">
                  <c:v>715.62</c:v>
                </c:pt>
                <c:pt idx="665">
                  <c:v>725.68</c:v>
                </c:pt>
                <c:pt idx="666">
                  <c:v>728.1</c:v>
                </c:pt>
                <c:pt idx="667">
                  <c:v>737.61</c:v>
                </c:pt>
                <c:pt idx="668">
                  <c:v>736.57</c:v>
                </c:pt>
                <c:pt idx="669">
                  <c:v>745.81</c:v>
                </c:pt>
                <c:pt idx="670">
                  <c:v>753.78</c:v>
                </c:pt>
                <c:pt idx="671">
                  <c:v>748.21</c:v>
                </c:pt>
                <c:pt idx="672">
                  <c:v>742.63</c:v>
                </c:pt>
                <c:pt idx="673">
                  <c:v>741.2</c:v>
                </c:pt>
                <c:pt idx="674">
                  <c:v>735.44</c:v>
                </c:pt>
                <c:pt idx="675">
                  <c:v>736.07</c:v>
                </c:pt>
                <c:pt idx="676">
                  <c:v>739.95</c:v>
                </c:pt>
                <c:pt idx="677">
                  <c:v>745.72</c:v>
                </c:pt>
                <c:pt idx="678">
                  <c:v>744.43</c:v>
                </c:pt>
                <c:pt idx="679">
                  <c:v>744.86</c:v>
                </c:pt>
                <c:pt idx="680">
                  <c:v>739.61</c:v>
                </c:pt>
                <c:pt idx="681">
                  <c:v>735.59</c:v>
                </c:pt>
                <c:pt idx="682">
                  <c:v>736.67</c:v>
                </c:pt>
                <c:pt idx="683">
                  <c:v>752.61</c:v>
                </c:pt>
                <c:pt idx="684">
                  <c:v>758.81</c:v>
                </c:pt>
                <c:pt idx="685">
                  <c:v>767.74</c:v>
                </c:pt>
                <c:pt idx="686">
                  <c:v>760.58</c:v>
                </c:pt>
                <c:pt idx="687">
                  <c:v>754.64</c:v>
                </c:pt>
                <c:pt idx="688">
                  <c:v>760.77</c:v>
                </c:pt>
                <c:pt idx="689">
                  <c:v>765.98</c:v>
                </c:pt>
                <c:pt idx="690">
                  <c:v>766.56</c:v>
                </c:pt>
                <c:pt idx="691">
                  <c:v>768.31</c:v>
                </c:pt>
                <c:pt idx="692">
                  <c:v>768.56</c:v>
                </c:pt>
                <c:pt idx="693">
                  <c:v>771.24</c:v>
                </c:pt>
                <c:pt idx="694">
                  <c:v>772.56</c:v>
                </c:pt>
                <c:pt idx="695">
                  <c:v>768.49</c:v>
                </c:pt>
                <c:pt idx="696">
                  <c:v>764.04</c:v>
                </c:pt>
                <c:pt idx="697">
                  <c:v>764.63</c:v>
                </c:pt>
                <c:pt idx="698">
                  <c:v>764.46</c:v>
                </c:pt>
                <c:pt idx="699">
                  <c:v>757.31</c:v>
                </c:pt>
                <c:pt idx="700">
                  <c:v>759.48</c:v>
                </c:pt>
                <c:pt idx="701">
                  <c:v>762.45</c:v>
                </c:pt>
                <c:pt idx="702">
                  <c:v>757.25</c:v>
                </c:pt>
                <c:pt idx="703">
                  <c:v>759.22</c:v>
                </c:pt>
                <c:pt idx="704">
                  <c:v>769</c:v>
                </c:pt>
                <c:pt idx="705">
                  <c:v>771.29</c:v>
                </c:pt>
                <c:pt idx="706">
                  <c:v>767.58</c:v>
                </c:pt>
                <c:pt idx="707">
                  <c:v>769.16</c:v>
                </c:pt>
                <c:pt idx="708">
                  <c:v>770.62</c:v>
                </c:pt>
                <c:pt idx="709">
                  <c:v>772.44</c:v>
                </c:pt>
                <c:pt idx="710">
                  <c:v>788.87</c:v>
                </c:pt>
                <c:pt idx="711">
                  <c:v>784.48</c:v>
                </c:pt>
                <c:pt idx="712">
                  <c:v>784.06</c:v>
                </c:pt>
                <c:pt idx="713">
                  <c:v>760.14</c:v>
                </c:pt>
                <c:pt idx="714">
                  <c:v>771.49</c:v>
                </c:pt>
                <c:pt idx="715">
                  <c:v>761.01</c:v>
                </c:pt>
                <c:pt idx="716">
                  <c:v>761.09</c:v>
                </c:pt>
                <c:pt idx="717">
                  <c:v>769.69</c:v>
                </c:pt>
                <c:pt idx="718">
                  <c:v>778.52</c:v>
                </c:pt>
                <c:pt idx="719">
                  <c:v>775.1</c:v>
                </c:pt>
                <c:pt idx="720">
                  <c:v>780.22</c:v>
                </c:pt>
                <c:pt idx="721">
                  <c:v>789.74</c:v>
                </c:pt>
                <c:pt idx="722">
                  <c:v>804.7</c:v>
                </c:pt>
                <c:pt idx="723">
                  <c:v>805.75</c:v>
                </c:pt>
                <c:pt idx="724">
                  <c:v>799.16</c:v>
                </c:pt>
                <c:pt idx="725">
                  <c:v>816.11</c:v>
                </c:pt>
                <c:pt idx="726">
                  <c:v>828.72</c:v>
                </c:pt>
                <c:pt idx="727">
                  <c:v>829.05</c:v>
                </c:pt>
                <c:pt idx="728">
                  <c:v>837.31</c:v>
                </c:pt>
                <c:pt idx="729">
                  <c:v>836.74</c:v>
                </c:pt>
                <c:pt idx="730">
                  <c:v>834.03</c:v>
                </c:pt>
                <c:pt idx="731">
                  <c:v>844.36</c:v>
                </c:pt>
                <c:pt idx="732">
                  <c:v>841.66</c:v>
                </c:pt>
                <c:pt idx="733">
                  <c:v>839.43</c:v>
                </c:pt>
                <c:pt idx="734">
                  <c:v>841.71</c:v>
                </c:pt>
                <c:pt idx="735">
                  <c:v>831</c:v>
                </c:pt>
                <c:pt idx="736">
                  <c:v>834.09</c:v>
                </c:pt>
                <c:pt idx="737">
                  <c:v>829.28</c:v>
                </c:pt>
                <c:pt idx="738">
                  <c:v>822.96</c:v>
                </c:pt>
                <c:pt idx="739">
                  <c:v>812.95</c:v>
                </c:pt>
                <c:pt idx="740">
                  <c:v>817.65</c:v>
                </c:pt>
                <c:pt idx="741">
                  <c:v>817.69</c:v>
                </c:pt>
                <c:pt idx="742">
                  <c:v>810.32</c:v>
                </c:pt>
                <c:pt idx="743">
                  <c:v>818.99</c:v>
                </c:pt>
                <c:pt idx="744">
                  <c:v>838.09</c:v>
                </c:pt>
                <c:pt idx="745">
                  <c:v>835.18</c:v>
                </c:pt>
                <c:pt idx="746">
                  <c:v>822.59</c:v>
                </c:pt>
                <c:pt idx="747">
                  <c:v>818.36</c:v>
                </c:pt>
                <c:pt idx="748">
                  <c:v>776.32</c:v>
                </c:pt>
                <c:pt idx="749">
                  <c:v>789.82</c:v>
                </c:pt>
                <c:pt idx="750">
                  <c:v>785.41</c:v>
                </c:pt>
                <c:pt idx="751">
                  <c:v>765.56</c:v>
                </c:pt>
                <c:pt idx="752">
                  <c:v>767.03</c:v>
                </c:pt>
                <c:pt idx="753">
                  <c:v>755.05</c:v>
                </c:pt>
                <c:pt idx="754">
                  <c:v>784.93</c:v>
                </c:pt>
                <c:pt idx="755">
                  <c:v>787.75</c:v>
                </c:pt>
                <c:pt idx="756">
                  <c:v>771.88</c:v>
                </c:pt>
                <c:pt idx="757">
                  <c:v>742.38</c:v>
                </c:pt>
                <c:pt idx="758">
                  <c:v>739.01</c:v>
                </c:pt>
                <c:pt idx="759">
                  <c:v>719.07</c:v>
                </c:pt>
                <c:pt idx="760">
                  <c:v>743.24</c:v>
                </c:pt>
                <c:pt idx="761">
                  <c:v>746.49</c:v>
                </c:pt>
                <c:pt idx="762">
                  <c:v>756.4</c:v>
                </c:pt>
                <c:pt idx="763">
                  <c:v>760.16</c:v>
                </c:pt>
                <c:pt idx="764">
                  <c:v>780</c:v>
                </c:pt>
                <c:pt idx="765">
                  <c:v>785.33</c:v>
                </c:pt>
                <c:pt idx="766">
                  <c:v>780.12</c:v>
                </c:pt>
                <c:pt idx="767">
                  <c:v>780.37</c:v>
                </c:pt>
                <c:pt idx="768">
                  <c:v>766.77</c:v>
                </c:pt>
                <c:pt idx="769">
                  <c:v>762.52</c:v>
                </c:pt>
                <c:pt idx="770">
                  <c:v>750.57</c:v>
                </c:pt>
                <c:pt idx="771">
                  <c:v>743.65</c:v>
                </c:pt>
                <c:pt idx="772">
                  <c:v>740.34</c:v>
                </c:pt>
                <c:pt idx="773">
                  <c:v>759.36</c:v>
                </c:pt>
                <c:pt idx="774">
                  <c:v>764.72</c:v>
                </c:pt>
                <c:pt idx="775">
                  <c:v>770.42</c:v>
                </c:pt>
                <c:pt idx="776">
                  <c:v>767.33</c:v>
                </c:pt>
                <c:pt idx="777">
                  <c:v>768.66</c:v>
                </c:pt>
                <c:pt idx="778">
                  <c:v>760.12</c:v>
                </c:pt>
                <c:pt idx="779">
                  <c:v>774.34</c:v>
                </c:pt>
                <c:pt idx="780">
                  <c:v>768.82</c:v>
                </c:pt>
                <c:pt idx="781">
                  <c:v>761</c:v>
                </c:pt>
                <c:pt idx="782">
                  <c:v>757.77</c:v>
                </c:pt>
                <c:pt idx="783">
                  <c:v>766</c:v>
                </c:pt>
                <c:pt idx="784">
                  <c:v>771.22</c:v>
                </c:pt>
                <c:pt idx="785">
                  <c:v>770.6</c:v>
                </c:pt>
                <c:pt idx="786">
                  <c:v>766.34</c:v>
                </c:pt>
                <c:pt idx="787">
                  <c:v>760.59</c:v>
                </c:pt>
                <c:pt idx="788">
                  <c:v>771.4</c:v>
                </c:pt>
                <c:pt idx="789">
                  <c:v>772.13</c:v>
                </c:pt>
                <c:pt idx="790">
                  <c:v>765.15</c:v>
                </c:pt>
                <c:pt idx="791">
                  <c:v>749.87</c:v>
                </c:pt>
                <c:pt idx="792">
                  <c:v>753.67</c:v>
                </c:pt>
                <c:pt idx="793">
                  <c:v>757.18</c:v>
                </c:pt>
                <c:pt idx="794">
                  <c:v>780.45</c:v>
                </c:pt>
                <c:pt idx="795">
                  <c:v>795.99</c:v>
                </c:pt>
                <c:pt idx="796">
                  <c:v>796.92</c:v>
                </c:pt>
                <c:pt idx="797">
                  <c:v>795.9</c:v>
                </c:pt>
                <c:pt idx="798">
                  <c:v>799.02</c:v>
                </c:pt>
                <c:pt idx="799">
                  <c:v>813.64</c:v>
                </c:pt>
                <c:pt idx="800">
                  <c:v>817.14</c:v>
                </c:pt>
                <c:pt idx="801">
                  <c:v>809.72</c:v>
                </c:pt>
                <c:pt idx="802">
                  <c:v>807.48</c:v>
                </c:pt>
                <c:pt idx="803">
                  <c:v>809.04</c:v>
                </c:pt>
                <c:pt idx="804">
                  <c:v>808.33</c:v>
                </c:pt>
                <c:pt idx="805">
                  <c:v>817.88</c:v>
                </c:pt>
                <c:pt idx="806">
                  <c:v>822.44</c:v>
                </c:pt>
                <c:pt idx="807">
                  <c:v>836.52</c:v>
                </c:pt>
                <c:pt idx="808">
                  <c:v>839.15</c:v>
                </c:pt>
                <c:pt idx="809">
                  <c:v>835.77</c:v>
                </c:pt>
                <c:pt idx="810">
                  <c:v>830.38</c:v>
                </c:pt>
                <c:pt idx="811">
                  <c:v>823.48</c:v>
                </c:pt>
                <c:pt idx="812">
                  <c:v>832.35</c:v>
                </c:pt>
                <c:pt idx="813">
                  <c:v>839.95</c:v>
                </c:pt>
                <c:pt idx="814">
                  <c:v>810.2</c:v>
                </c:pt>
                <c:pt idx="815">
                  <c:v>807.64</c:v>
                </c:pt>
                <c:pt idx="816">
                  <c:v>812.5</c:v>
                </c:pt>
                <c:pt idx="817">
                  <c:v>819.71</c:v>
                </c:pt>
                <c:pt idx="818">
                  <c:v>821.36</c:v>
                </c:pt>
                <c:pt idx="819">
                  <c:v>827.46</c:v>
                </c:pt>
                <c:pt idx="820">
                  <c:v>836.53</c:v>
                </c:pt>
                <c:pt idx="821">
                  <c:v>836.39</c:v>
                </c:pt>
                <c:pt idx="822">
                  <c:v>842.7</c:v>
                </c:pt>
                <c:pt idx="823">
                  <c:v>844.14</c:v>
                </c:pt>
                <c:pt idx="824">
                  <c:v>845.07</c:v>
                </c:pt>
                <c:pt idx="825">
                  <c:v>856.44</c:v>
                </c:pt>
                <c:pt idx="826">
                  <c:v>855.61</c:v>
                </c:pt>
                <c:pt idx="827">
                  <c:v>852.19</c:v>
                </c:pt>
                <c:pt idx="828">
                  <c:v>845.24</c:v>
                </c:pt>
                <c:pt idx="829">
                  <c:v>848.64</c:v>
                </c:pt>
                <c:pt idx="830">
                  <c:v>845.04</c:v>
                </c:pt>
                <c:pt idx="831">
                  <c:v>853.08</c:v>
                </c:pt>
                <c:pt idx="832">
                  <c:v>848.91</c:v>
                </c:pt>
                <c:pt idx="833">
                  <c:v>849.88</c:v>
                </c:pt>
                <c:pt idx="834">
                  <c:v>846.61</c:v>
                </c:pt>
                <c:pt idx="835">
                  <c:v>846.02</c:v>
                </c:pt>
                <c:pt idx="836">
                  <c:v>850.5</c:v>
                </c:pt>
                <c:pt idx="837">
                  <c:v>853</c:v>
                </c:pt>
                <c:pt idx="838">
                  <c:v>852.46</c:v>
                </c:pt>
                <c:pt idx="839">
                  <c:v>854.59</c:v>
                </c:pt>
                <c:pt idx="840">
                  <c:v>852.53</c:v>
                </c:pt>
                <c:pt idx="841">
                  <c:v>852.97</c:v>
                </c:pt>
                <c:pt idx="842">
                  <c:v>853.42</c:v>
                </c:pt>
                <c:pt idx="843">
                  <c:v>852.31</c:v>
                </c:pt>
                <c:pt idx="844">
                  <c:v>856.97</c:v>
                </c:pt>
                <c:pt idx="845">
                  <c:v>843.2</c:v>
                </c:pt>
                <c:pt idx="846">
                  <c:v>848.06</c:v>
                </c:pt>
                <c:pt idx="847">
                  <c:v>847.38</c:v>
                </c:pt>
                <c:pt idx="848">
                  <c:v>845.61</c:v>
                </c:pt>
                <c:pt idx="849">
                  <c:v>846.82</c:v>
                </c:pt>
                <c:pt idx="850">
                  <c:v>856</c:v>
                </c:pt>
                <c:pt idx="851">
                  <c:v>874.32</c:v>
                </c:pt>
                <c:pt idx="852">
                  <c:v>876.34</c:v>
                </c:pt>
                <c:pt idx="853">
                  <c:v>886.54</c:v>
                </c:pt>
                <c:pt idx="854">
                  <c:v>891.51</c:v>
                </c:pt>
                <c:pt idx="855">
                  <c:v>906.83</c:v>
                </c:pt>
                <c:pt idx="856">
                  <c:v>909.28</c:v>
                </c:pt>
                <c:pt idx="857">
                  <c:v>898.28</c:v>
                </c:pt>
                <c:pt idx="858">
                  <c:v>894.88</c:v>
                </c:pt>
                <c:pt idx="859">
                  <c:v>907.04</c:v>
                </c:pt>
                <c:pt idx="860">
                  <c:v>902.36</c:v>
                </c:pt>
                <c:pt idx="861">
                  <c:v>896.23</c:v>
                </c:pt>
                <c:pt idx="862">
                  <c:v>884.67</c:v>
                </c:pt>
                <c:pt idx="863">
                  <c:v>901.99</c:v>
                </c:pt>
                <c:pt idx="864">
                  <c:v>903.78</c:v>
                </c:pt>
                <c:pt idx="865">
                  <c:v>899.2</c:v>
                </c:pt>
                <c:pt idx="866">
                  <c:v>902.06</c:v>
                </c:pt>
                <c:pt idx="867">
                  <c:v>898.53</c:v>
                </c:pt>
                <c:pt idx="868">
                  <c:v>907.41</c:v>
                </c:pt>
                <c:pt idx="869">
                  <c:v>907.62</c:v>
                </c:pt>
                <c:pt idx="870">
                  <c:v>909.29</c:v>
                </c:pt>
                <c:pt idx="871">
                  <c:v>918.38</c:v>
                </c:pt>
                <c:pt idx="872">
                  <c:v>924.99</c:v>
                </c:pt>
                <c:pt idx="873">
                  <c:v>948.23</c:v>
                </c:pt>
                <c:pt idx="874">
                  <c:v>946.94</c:v>
                </c:pt>
                <c:pt idx="875">
                  <c:v>941.03</c:v>
                </c:pt>
                <c:pt idx="876">
                  <c:v>937.53</c:v>
                </c:pt>
                <c:pt idx="877">
                  <c:v>934.15</c:v>
                </c:pt>
                <c:pt idx="878">
                  <c:v>949.04</c:v>
                </c:pt>
                <c:pt idx="879">
                  <c:v>952.82</c:v>
                </c:pt>
                <c:pt idx="880">
                  <c:v>948.95</c:v>
                </c:pt>
                <c:pt idx="881">
                  <c:v>947.62</c:v>
                </c:pt>
                <c:pt idx="882">
                  <c:v>961.35</c:v>
                </c:pt>
                <c:pt idx="883">
                  <c:v>957.97</c:v>
                </c:pt>
                <c:pt idx="884">
                  <c:v>966.07</c:v>
                </c:pt>
                <c:pt idx="885">
                  <c:v>944.76</c:v>
                </c:pt>
                <c:pt idx="886">
                  <c:v>958.49</c:v>
                </c:pt>
                <c:pt idx="887">
                  <c:v>959.84</c:v>
                </c:pt>
                <c:pt idx="888">
                  <c:v>970.67</c:v>
                </c:pt>
                <c:pt idx="889">
                  <c:v>971.54</c:v>
                </c:pt>
                <c:pt idx="890">
                  <c:v>980.35</c:v>
                </c:pt>
                <c:pt idx="891">
                  <c:v>993.38</c:v>
                </c:pt>
                <c:pt idx="892">
                  <c:v>995.78</c:v>
                </c:pt>
                <c:pt idx="893">
                  <c:v>996.7</c:v>
                </c:pt>
                <c:pt idx="894">
                  <c:v>994.62</c:v>
                </c:pt>
                <c:pt idx="895">
                  <c:v>995.95</c:v>
                </c:pt>
                <c:pt idx="896">
                  <c:v>1006.73</c:v>
                </c:pt>
                <c:pt idx="897">
                  <c:v>1011.34</c:v>
                </c:pt>
                <c:pt idx="898">
                  <c:v>1003</c:v>
                </c:pt>
                <c:pt idx="899">
                  <c:v>1010.07</c:v>
                </c:pt>
                <c:pt idx="900">
                  <c:v>1010.27</c:v>
                </c:pt>
                <c:pt idx="901">
                  <c:v>978.31</c:v>
                </c:pt>
                <c:pt idx="902">
                  <c:v>964.91</c:v>
                </c:pt>
                <c:pt idx="903">
                  <c:v>980.79</c:v>
                </c:pt>
                <c:pt idx="904">
                  <c:v>976.47</c:v>
                </c:pt>
                <c:pt idx="905">
                  <c:v>964.17</c:v>
                </c:pt>
                <c:pt idx="906">
                  <c:v>987.71</c:v>
                </c:pt>
                <c:pt idx="907">
                  <c:v>995.17</c:v>
                </c:pt>
                <c:pt idx="908">
                  <c:v>992.59</c:v>
                </c:pt>
                <c:pt idx="909">
                  <c:v>1002.23</c:v>
                </c:pt>
                <c:pt idx="910">
                  <c:v>1001.3</c:v>
                </c:pt>
                <c:pt idx="911">
                  <c:v>1003.74</c:v>
                </c:pt>
                <c:pt idx="912">
                  <c:v>993.98</c:v>
                </c:pt>
                <c:pt idx="913">
                  <c:v>976.78</c:v>
                </c:pt>
                <c:pt idx="914">
                  <c:v>990.33</c:v>
                </c:pt>
                <c:pt idx="915">
                  <c:v>975.93</c:v>
                </c:pt>
                <c:pt idx="916">
                  <c:v>968</c:v>
                </c:pt>
                <c:pt idx="917">
                  <c:v>953.66</c:v>
                </c:pt>
                <c:pt idx="918">
                  <c:v>971.4</c:v>
                </c:pt>
                <c:pt idx="919">
                  <c:v>965.14</c:v>
                </c:pt>
                <c:pt idx="920">
                  <c:v>978.76</c:v>
                </c:pt>
                <c:pt idx="921">
                  <c:v>996.47</c:v>
                </c:pt>
                <c:pt idx="922">
                  <c:v>994.13</c:v>
                </c:pt>
                <c:pt idx="923">
                  <c:v>1006.51</c:v>
                </c:pt>
                <c:pt idx="924">
                  <c:v>1000.63</c:v>
                </c:pt>
                <c:pt idx="925">
                  <c:v>1001.81</c:v>
                </c:pt>
                <c:pt idx="926">
                  <c:v>1010.04</c:v>
                </c:pt>
                <c:pt idx="927">
                  <c:v>1024.45</c:v>
                </c:pt>
                <c:pt idx="928">
                  <c:v>1026.8699999999999</c:v>
                </c:pt>
                <c:pt idx="929">
                  <c:v>1028.7</c:v>
                </c:pt>
                <c:pt idx="930">
                  <c:v>1025.67</c:v>
                </c:pt>
                <c:pt idx="931">
                  <c:v>1038.95</c:v>
                </c:pt>
                <c:pt idx="932">
                  <c:v>1039.8699999999999</c:v>
                </c:pt>
                <c:pt idx="933">
                  <c:v>1052.8</c:v>
                </c:pt>
                <c:pt idx="934">
                  <c:v>1046</c:v>
                </c:pt>
                <c:pt idx="935">
                  <c:v>1020.04</c:v>
                </c:pt>
                <c:pt idx="936">
                  <c:v>987.78</c:v>
                </c:pt>
                <c:pt idx="937">
                  <c:v>996.19</c:v>
                </c:pt>
                <c:pt idx="938">
                  <c:v>995.89</c:v>
                </c:pt>
                <c:pt idx="939">
                  <c:v>986.92</c:v>
                </c:pt>
                <c:pt idx="940">
                  <c:v>987.58</c:v>
                </c:pt>
                <c:pt idx="941">
                  <c:v>992.27</c:v>
                </c:pt>
                <c:pt idx="942">
                  <c:v>989.84</c:v>
                </c:pt>
                <c:pt idx="943">
                  <c:v>982.01</c:v>
                </c:pt>
                <c:pt idx="944">
                  <c:v>956.92</c:v>
                </c:pt>
                <c:pt idx="945">
                  <c:v>967.99</c:v>
                </c:pt>
                <c:pt idx="946">
                  <c:v>983.3</c:v>
                </c:pt>
                <c:pt idx="947">
                  <c:v>982.74</c:v>
                </c:pt>
                <c:pt idx="948">
                  <c:v>978.18</c:v>
                </c:pt>
                <c:pt idx="949">
                  <c:v>960.57</c:v>
                </c:pt>
                <c:pt idx="950">
                  <c:v>958.47</c:v>
                </c:pt>
                <c:pt idx="951">
                  <c:v>953.29</c:v>
                </c:pt>
                <c:pt idx="952">
                  <c:v>966.9</c:v>
                </c:pt>
                <c:pt idx="953">
                  <c:v>958</c:v>
                </c:pt>
                <c:pt idx="954">
                  <c:v>952.45</c:v>
                </c:pt>
                <c:pt idx="955">
                  <c:v>945.26</c:v>
                </c:pt>
                <c:pt idx="956">
                  <c:v>946.02</c:v>
                </c:pt>
                <c:pt idx="957">
                  <c:v>954.06</c:v>
                </c:pt>
                <c:pt idx="958">
                  <c:v>967.59</c:v>
                </c:pt>
                <c:pt idx="959">
                  <c:v>980.6</c:v>
                </c:pt>
                <c:pt idx="960">
                  <c:v>978.25</c:v>
                </c:pt>
                <c:pt idx="961">
                  <c:v>965.27</c:v>
                </c:pt>
                <c:pt idx="962">
                  <c:v>967.8</c:v>
                </c:pt>
                <c:pt idx="963">
                  <c:v>979.47</c:v>
                </c:pt>
                <c:pt idx="964">
                  <c:v>965.9</c:v>
                </c:pt>
                <c:pt idx="965">
                  <c:v>977.96</c:v>
                </c:pt>
                <c:pt idx="966">
                  <c:v>982.58</c:v>
                </c:pt>
                <c:pt idx="967">
                  <c:v>999.6</c:v>
                </c:pt>
                <c:pt idx="968">
                  <c:v>992.21</c:v>
                </c:pt>
                <c:pt idx="969">
                  <c:v>986.79</c:v>
                </c:pt>
                <c:pt idx="970">
                  <c:v>974.19</c:v>
                </c:pt>
                <c:pt idx="971">
                  <c:v>969.86</c:v>
                </c:pt>
                <c:pt idx="972">
                  <c:v>973.21</c:v>
                </c:pt>
                <c:pt idx="973">
                  <c:v>964.65</c:v>
                </c:pt>
                <c:pt idx="974">
                  <c:v>955.1</c:v>
                </c:pt>
                <c:pt idx="975">
                  <c:v>939.79</c:v>
                </c:pt>
                <c:pt idx="976">
                  <c:v>938.6</c:v>
                </c:pt>
                <c:pt idx="977">
                  <c:v>950.87</c:v>
                </c:pt>
                <c:pt idx="978">
                  <c:v>956.4</c:v>
                </c:pt>
                <c:pt idx="979">
                  <c:v>961.35</c:v>
                </c:pt>
                <c:pt idx="980">
                  <c:v>959.19</c:v>
                </c:pt>
                <c:pt idx="981">
                  <c:v>957.1</c:v>
                </c:pt>
                <c:pt idx="982">
                  <c:v>965.45</c:v>
                </c:pt>
                <c:pt idx="983">
                  <c:v>980.85</c:v>
                </c:pt>
                <c:pt idx="984">
                  <c:v>989.58</c:v>
                </c:pt>
                <c:pt idx="985">
                  <c:v>990.99</c:v>
                </c:pt>
                <c:pt idx="986">
                  <c:v>987.2</c:v>
                </c:pt>
                <c:pt idx="987">
                  <c:v>995</c:v>
                </c:pt>
                <c:pt idx="988">
                  <c:v>1000.93</c:v>
                </c:pt>
                <c:pt idx="989">
                  <c:v>1002.94</c:v>
                </c:pt>
                <c:pt idx="990">
                  <c:v>1006.34</c:v>
                </c:pt>
                <c:pt idx="991">
                  <c:v>1009.13</c:v>
                </c:pt>
                <c:pt idx="992">
                  <c:v>997</c:v>
                </c:pt>
                <c:pt idx="993">
                  <c:v>986.61</c:v>
                </c:pt>
                <c:pt idx="994">
                  <c:v>982.91</c:v>
                </c:pt>
                <c:pt idx="995">
                  <c:v>966.3</c:v>
                </c:pt>
                <c:pt idx="996">
                  <c:v>975.9</c:v>
                </c:pt>
                <c:pt idx="997">
                  <c:v>972.91</c:v>
                </c:pt>
                <c:pt idx="998">
                  <c:v>972.43</c:v>
                </c:pt>
                <c:pt idx="999">
                  <c:v>1100.95</c:v>
                </c:pt>
                <c:pt idx="1000">
                  <c:v>1110.8499999999999</c:v>
                </c:pt>
                <c:pt idx="1001">
                  <c:v>1105.28</c:v>
                </c:pt>
                <c:pt idx="1002">
                  <c:v>1103.68</c:v>
                </c:pt>
                <c:pt idx="1003">
                  <c:v>1094.22</c:v>
                </c:pt>
                <c:pt idx="1004">
                  <c:v>1111.5999999999999</c:v>
                </c:pt>
                <c:pt idx="1005">
                  <c:v>1120.6600000000001</c:v>
                </c:pt>
                <c:pt idx="1006">
                  <c:v>1123.17</c:v>
                </c:pt>
                <c:pt idx="1007">
                  <c:v>1132.8800000000001</c:v>
                </c:pt>
                <c:pt idx="1008">
                  <c:v>1129.1300000000001</c:v>
                </c:pt>
                <c:pt idx="1009">
                  <c:v>1125.3499999999999</c:v>
                </c:pt>
                <c:pt idx="1010">
                  <c:v>1129.17</c:v>
                </c:pt>
                <c:pt idx="1011">
                  <c:v>1136.8399999999999</c:v>
                </c:pt>
                <c:pt idx="1012">
                  <c:v>1126.69</c:v>
                </c:pt>
                <c:pt idx="1013">
                  <c:v>1137.29</c:v>
                </c:pt>
                <c:pt idx="1014">
                  <c:v>1129.8800000000001</c:v>
                </c:pt>
                <c:pt idx="1015">
                  <c:v>1126.31</c:v>
                </c:pt>
                <c:pt idx="1016">
                  <c:v>1139.49</c:v>
                </c:pt>
                <c:pt idx="1017">
                  <c:v>1156.1600000000001</c:v>
                </c:pt>
                <c:pt idx="1018">
                  <c:v>1186</c:v>
                </c:pt>
                <c:pt idx="1019">
                  <c:v>1195.83</c:v>
                </c:pt>
                <c:pt idx="1020">
                  <c:v>1193.5999999999999</c:v>
                </c:pt>
                <c:pt idx="1021">
                  <c:v>1161.27</c:v>
                </c:pt>
                <c:pt idx="1022">
                  <c:v>1176.75</c:v>
                </c:pt>
                <c:pt idx="1023">
                  <c:v>1162.3499999999999</c:v>
                </c:pt>
                <c:pt idx="1024">
                  <c:v>1133.95</c:v>
                </c:pt>
                <c:pt idx="1025">
                  <c:v>1141.57</c:v>
                </c:pt>
                <c:pt idx="1026">
                  <c:v>1152.3499999999999</c:v>
                </c:pt>
                <c:pt idx="1027">
                  <c:v>1159.79</c:v>
                </c:pt>
                <c:pt idx="1028">
                  <c:v>1162</c:v>
                </c:pt>
                <c:pt idx="1029">
                  <c:v>1168.92</c:v>
                </c:pt>
                <c:pt idx="1030">
                  <c:v>1165.08</c:v>
                </c:pt>
                <c:pt idx="1031">
                  <c:v>1164.1300000000001</c:v>
                </c:pt>
                <c:pt idx="1032">
                  <c:v>1174.26</c:v>
                </c:pt>
                <c:pt idx="1033">
                  <c:v>1179.1400000000001</c:v>
                </c:pt>
                <c:pt idx="1034">
                  <c:v>1190.58</c:v>
                </c:pt>
                <c:pt idx="1035">
                  <c:v>1187.3800000000001</c:v>
                </c:pt>
                <c:pt idx="1036">
                  <c:v>1177.6199999999999</c:v>
                </c:pt>
                <c:pt idx="1037">
                  <c:v>1174.76</c:v>
                </c:pt>
                <c:pt idx="1038">
                  <c:v>1168.3599999999999</c:v>
                </c:pt>
                <c:pt idx="1039">
                  <c:v>1176.76</c:v>
                </c:pt>
                <c:pt idx="1040">
                  <c:v>1182.26</c:v>
                </c:pt>
                <c:pt idx="1041">
                  <c:v>1186.0999999999999</c:v>
                </c:pt>
                <c:pt idx="1042">
                  <c:v>1169.47</c:v>
                </c:pt>
                <c:pt idx="1043">
                  <c:v>1189.01</c:v>
                </c:pt>
                <c:pt idx="1044">
                  <c:v>1204.2</c:v>
                </c:pt>
                <c:pt idx="1045">
                  <c:v>1209.5899999999999</c:v>
                </c:pt>
                <c:pt idx="1046">
                  <c:v>1229.1400000000001</c:v>
                </c:pt>
                <c:pt idx="1047">
                  <c:v>1246.8699999999999</c:v>
                </c:pt>
                <c:pt idx="1048">
                  <c:v>1252.7</c:v>
                </c:pt>
                <c:pt idx="1049">
                  <c:v>1254.33</c:v>
                </c:pt>
                <c:pt idx="1050">
                  <c:v>1276.68</c:v>
                </c:pt>
                <c:pt idx="1051">
                  <c:v>1305.2</c:v>
                </c:pt>
                <c:pt idx="1052">
                  <c:v>1304.8599999999999</c:v>
                </c:pt>
                <c:pt idx="1053">
                  <c:v>1295</c:v>
                </c:pt>
                <c:pt idx="1054">
                  <c:v>1293.32</c:v>
                </c:pt>
                <c:pt idx="1055">
                  <c:v>1294.58</c:v>
                </c:pt>
                <c:pt idx="1056">
                  <c:v>1327.31</c:v>
                </c:pt>
                <c:pt idx="1057">
                  <c:v>1362.54</c:v>
                </c:pt>
                <c:pt idx="1058">
                  <c:v>1357.51</c:v>
                </c:pt>
                <c:pt idx="1059">
                  <c:v>1377.95</c:v>
                </c:pt>
                <c:pt idx="1060">
                  <c:v>1402.05</c:v>
                </c:pt>
                <c:pt idx="1061">
                  <c:v>1417.68</c:v>
                </c:pt>
                <c:pt idx="1062">
                  <c:v>1437.82</c:v>
                </c:pt>
                <c:pt idx="1063">
                  <c:v>1450.89</c:v>
                </c:pt>
                <c:pt idx="1064">
                  <c:v>1390</c:v>
                </c:pt>
                <c:pt idx="1065">
                  <c:v>1429.95</c:v>
                </c:pt>
                <c:pt idx="1066">
                  <c:v>1390</c:v>
                </c:pt>
                <c:pt idx="1067">
                  <c:v>1442.84</c:v>
                </c:pt>
                <c:pt idx="1068">
                  <c:v>1416.78</c:v>
                </c:pt>
                <c:pt idx="1069">
                  <c:v>1350.5</c:v>
                </c:pt>
                <c:pt idx="1070">
                  <c:v>1339.6</c:v>
                </c:pt>
                <c:pt idx="1071">
                  <c:v>1386.23</c:v>
                </c:pt>
                <c:pt idx="1072">
                  <c:v>1414.51</c:v>
                </c:pt>
                <c:pt idx="1073">
                  <c:v>1451.05</c:v>
                </c:pt>
                <c:pt idx="1074">
                  <c:v>1461.76</c:v>
                </c:pt>
                <c:pt idx="1075">
                  <c:v>1448.69</c:v>
                </c:pt>
                <c:pt idx="1076">
                  <c:v>1468.35</c:v>
                </c:pt>
                <c:pt idx="1077">
                  <c:v>1482.92</c:v>
                </c:pt>
                <c:pt idx="1078">
                  <c:v>1485.34</c:v>
                </c:pt>
                <c:pt idx="1079">
                  <c:v>1500</c:v>
                </c:pt>
                <c:pt idx="1080">
                  <c:v>1521.95</c:v>
                </c:pt>
                <c:pt idx="1081">
                  <c:v>1511.98</c:v>
                </c:pt>
                <c:pt idx="1082">
                  <c:v>1512.45</c:v>
                </c:pt>
                <c:pt idx="1083">
                  <c:v>1493.45</c:v>
                </c:pt>
                <c:pt idx="1084">
                  <c:v>1500.25</c:v>
                </c:pt>
                <c:pt idx="1085">
                  <c:v>1523.61</c:v>
                </c:pt>
                <c:pt idx="1086">
                  <c:v>1537.64</c:v>
                </c:pt>
                <c:pt idx="1087">
                  <c:v>1545</c:v>
                </c:pt>
                <c:pt idx="1088">
                  <c:v>1551.86</c:v>
                </c:pt>
                <c:pt idx="1089">
                  <c:v>1578.89</c:v>
                </c:pt>
                <c:pt idx="1090">
                  <c:v>1598.39</c:v>
                </c:pt>
                <c:pt idx="1091">
                  <c:v>1588.18</c:v>
                </c:pt>
                <c:pt idx="1092">
                  <c:v>1591</c:v>
                </c:pt>
                <c:pt idx="1093">
                  <c:v>1582.32</c:v>
                </c:pt>
                <c:pt idx="1094">
                  <c:v>1571.68</c:v>
                </c:pt>
                <c:pt idx="1095">
                  <c:v>1544.93</c:v>
                </c:pt>
                <c:pt idx="1096">
                  <c:v>1586.51</c:v>
                </c:pt>
                <c:pt idx="1097">
                  <c:v>1581.86</c:v>
                </c:pt>
                <c:pt idx="1098">
                  <c:v>1544.92</c:v>
                </c:pt>
                <c:pt idx="1099">
                  <c:v>1495.56</c:v>
                </c:pt>
                <c:pt idx="1100">
                  <c:v>1555.86</c:v>
                </c:pt>
                <c:pt idx="1101">
                  <c:v>1497.05</c:v>
                </c:pt>
                <c:pt idx="1102">
                  <c:v>1431.42</c:v>
                </c:pt>
                <c:pt idx="1103">
                  <c:v>1447.34</c:v>
                </c:pt>
                <c:pt idx="1104">
                  <c:v>1371.99</c:v>
                </c:pt>
                <c:pt idx="1105">
                  <c:v>1392.05</c:v>
                </c:pt>
                <c:pt idx="1106">
                  <c:v>1410.57</c:v>
                </c:pt>
                <c:pt idx="1107">
                  <c:v>1451.75</c:v>
                </c:pt>
                <c:pt idx="1108">
                  <c:v>1405.23</c:v>
                </c:pt>
                <c:pt idx="1109">
                  <c:v>1406.08</c:v>
                </c:pt>
                <c:pt idx="1110">
                  <c:v>1436.22</c:v>
                </c:pt>
                <c:pt idx="1111">
                  <c:v>1427.05</c:v>
                </c:pt>
                <c:pt idx="1112">
                  <c:v>1448.5</c:v>
                </c:pt>
                <c:pt idx="1113">
                  <c:v>1430.79</c:v>
                </c:pt>
                <c:pt idx="1114">
                  <c:v>1441.5</c:v>
                </c:pt>
                <c:pt idx="1115">
                  <c:v>1503.83</c:v>
                </c:pt>
                <c:pt idx="1116">
                  <c:v>1527.84</c:v>
                </c:pt>
                <c:pt idx="1117">
                  <c:v>1556.91</c:v>
                </c:pt>
                <c:pt idx="1118">
                  <c:v>1527.49</c:v>
                </c:pt>
                <c:pt idx="1119">
                  <c:v>1517.86</c:v>
                </c:pt>
                <c:pt idx="1120">
                  <c:v>1460.09</c:v>
                </c:pt>
                <c:pt idx="1121">
                  <c:v>1460.17</c:v>
                </c:pt>
                <c:pt idx="1122">
                  <c:v>1517.96</c:v>
                </c:pt>
                <c:pt idx="1123">
                  <c:v>1572.62</c:v>
                </c:pt>
                <c:pt idx="1124">
                  <c:v>1566.13</c:v>
                </c:pt>
                <c:pt idx="1125">
                  <c:v>1582.26</c:v>
                </c:pt>
                <c:pt idx="1126">
                  <c:v>1569.68</c:v>
                </c:pt>
                <c:pt idx="1127">
                  <c:v>1572.075</c:v>
                </c:pt>
                <c:pt idx="1128">
                  <c:v>1580.95</c:v>
                </c:pt>
                <c:pt idx="1129">
                  <c:v>1600.14</c:v>
                </c:pt>
                <c:pt idx="1130">
                  <c:v>1592.39</c:v>
                </c:pt>
                <c:pt idx="1131">
                  <c:v>1608</c:v>
                </c:pt>
                <c:pt idx="1132">
                  <c:v>1609.08</c:v>
                </c:pt>
                <c:pt idx="1133">
                  <c:v>1602.91</c:v>
                </c:pt>
                <c:pt idx="1134">
                  <c:v>1601.54</c:v>
                </c:pt>
                <c:pt idx="1135">
                  <c:v>1576.12</c:v>
                </c:pt>
                <c:pt idx="1136">
                  <c:v>1587.28</c:v>
                </c:pt>
                <c:pt idx="1137">
                  <c:v>1581.76</c:v>
                </c:pt>
                <c:pt idx="1138">
                  <c:v>1574.37</c:v>
                </c:pt>
                <c:pt idx="1139">
                  <c:v>1585.46</c:v>
                </c:pt>
                <c:pt idx="1140">
                  <c:v>1581.4</c:v>
                </c:pt>
                <c:pt idx="1141">
                  <c:v>1601.86</c:v>
                </c:pt>
                <c:pt idx="1142">
                  <c:v>1603.07</c:v>
                </c:pt>
                <c:pt idx="1143">
                  <c:v>1610.15</c:v>
                </c:pt>
                <c:pt idx="1144">
                  <c:v>1612.87</c:v>
                </c:pt>
                <c:pt idx="1145">
                  <c:v>1624.89</c:v>
                </c:pt>
                <c:pt idx="1146">
                  <c:v>1629.62</c:v>
                </c:pt>
                <c:pt idx="1147">
                  <c:v>1641.54</c:v>
                </c:pt>
                <c:pt idx="1148">
                  <c:v>1665.27</c:v>
                </c:pt>
                <c:pt idx="1149">
                  <c:v>1696.35</c:v>
                </c:pt>
                <c:pt idx="1150">
                  <c:v>1695.75</c:v>
                </c:pt>
                <c:pt idx="1151">
                  <c:v>1689.3</c:v>
                </c:pt>
                <c:pt idx="1152">
                  <c:v>1683.99</c:v>
                </c:pt>
                <c:pt idx="1153">
                  <c:v>1689.12</c:v>
                </c:pt>
                <c:pt idx="1154">
                  <c:v>1698.75</c:v>
                </c:pt>
                <c:pt idx="1155">
                  <c:v>1704.86</c:v>
                </c:pt>
                <c:pt idx="1156">
                  <c:v>1723.86</c:v>
                </c:pt>
                <c:pt idx="1157">
                  <c:v>1715.97</c:v>
                </c:pt>
                <c:pt idx="1158">
                  <c:v>1723.79</c:v>
                </c:pt>
                <c:pt idx="1159">
                  <c:v>1734.78</c:v>
                </c:pt>
                <c:pt idx="1160">
                  <c:v>1750.08</c:v>
                </c:pt>
                <c:pt idx="1161">
                  <c:v>1730.22</c:v>
                </c:pt>
                <c:pt idx="1162">
                  <c:v>1715.67</c:v>
                </c:pt>
                <c:pt idx="1163">
                  <c:v>1663.15</c:v>
                </c:pt>
                <c:pt idx="1164">
                  <c:v>1691.09</c:v>
                </c:pt>
                <c:pt idx="1165">
                  <c:v>1660.51</c:v>
                </c:pt>
                <c:pt idx="1166">
                  <c:v>1701.45</c:v>
                </c:pt>
                <c:pt idx="1167">
                  <c:v>1699.8</c:v>
                </c:pt>
                <c:pt idx="1168">
                  <c:v>1713.78</c:v>
                </c:pt>
                <c:pt idx="1169">
                  <c:v>1693.96</c:v>
                </c:pt>
                <c:pt idx="1170">
                  <c:v>1699.73</c:v>
                </c:pt>
                <c:pt idx="1171">
                  <c:v>1710.63</c:v>
                </c:pt>
                <c:pt idx="1172">
                  <c:v>1739.02</c:v>
                </c:pt>
                <c:pt idx="1173">
                  <c:v>1743.07</c:v>
                </c:pt>
                <c:pt idx="1174">
                  <c:v>1755</c:v>
                </c:pt>
                <c:pt idx="1175">
                  <c:v>1796.62</c:v>
                </c:pt>
                <c:pt idx="1176">
                  <c:v>1813.03</c:v>
                </c:pt>
                <c:pt idx="1177">
                  <c:v>1822.49</c:v>
                </c:pt>
                <c:pt idx="1178">
                  <c:v>1843.93</c:v>
                </c:pt>
                <c:pt idx="1179">
                  <c:v>1842.92</c:v>
                </c:pt>
                <c:pt idx="1180">
                  <c:v>1812.97</c:v>
                </c:pt>
                <c:pt idx="1181">
                  <c:v>1813.7</c:v>
                </c:pt>
                <c:pt idx="1182">
                  <c:v>1802</c:v>
                </c:pt>
                <c:pt idx="1183">
                  <c:v>1829.24</c:v>
                </c:pt>
                <c:pt idx="1184">
                  <c:v>1863.61</c:v>
                </c:pt>
                <c:pt idx="1185">
                  <c:v>1808</c:v>
                </c:pt>
                <c:pt idx="1186">
                  <c:v>1817.27</c:v>
                </c:pt>
                <c:pt idx="1187">
                  <c:v>1779.22</c:v>
                </c:pt>
                <c:pt idx="1188">
                  <c:v>1777.44</c:v>
                </c:pt>
                <c:pt idx="1189">
                  <c:v>1797.17</c:v>
                </c:pt>
                <c:pt idx="1190">
                  <c:v>1834.33</c:v>
                </c:pt>
                <c:pt idx="1191">
                  <c:v>1823.29</c:v>
                </c:pt>
                <c:pt idx="1192">
                  <c:v>1847.75</c:v>
                </c:pt>
                <c:pt idx="1193">
                  <c:v>1862.48</c:v>
                </c:pt>
                <c:pt idx="1194">
                  <c:v>1886.52</c:v>
                </c:pt>
                <c:pt idx="1195">
                  <c:v>1898.52</c:v>
                </c:pt>
                <c:pt idx="1196">
                  <c:v>1886.3</c:v>
                </c:pt>
                <c:pt idx="1197">
                  <c:v>1896.2</c:v>
                </c:pt>
                <c:pt idx="1198">
                  <c:v>1919.65</c:v>
                </c:pt>
                <c:pt idx="1199">
                  <c:v>1882.62</c:v>
                </c:pt>
                <c:pt idx="1200">
                  <c:v>1886.52</c:v>
                </c:pt>
                <c:pt idx="1201">
                  <c:v>1882.22</c:v>
                </c:pt>
                <c:pt idx="1202">
                  <c:v>1876.71</c:v>
                </c:pt>
                <c:pt idx="1203">
                  <c:v>1883.42</c:v>
                </c:pt>
                <c:pt idx="1204">
                  <c:v>1904.9</c:v>
                </c:pt>
                <c:pt idx="1205">
                  <c:v>1902.9</c:v>
                </c:pt>
                <c:pt idx="1206">
                  <c:v>1905.39</c:v>
                </c:pt>
                <c:pt idx="1207">
                  <c:v>1927.68</c:v>
                </c:pt>
                <c:pt idx="1208">
                  <c:v>1932.82</c:v>
                </c:pt>
                <c:pt idx="1209">
                  <c:v>1998.1</c:v>
                </c:pt>
                <c:pt idx="1210">
                  <c:v>2002.38</c:v>
                </c:pt>
                <c:pt idx="1211">
                  <c:v>2012.71</c:v>
                </c:pt>
                <c:pt idx="1212">
                  <c:v>2039.51</c:v>
                </c:pt>
                <c:pt idx="1213">
                  <c:v>1994.82</c:v>
                </c:pt>
                <c:pt idx="1214">
                  <c:v>1958.31</c:v>
                </c:pt>
                <c:pt idx="1215">
                  <c:v>1952.07</c:v>
                </c:pt>
                <c:pt idx="1216">
                  <c:v>1939.01</c:v>
                </c:pt>
                <c:pt idx="1217">
                  <c:v>1987.15</c:v>
                </c:pt>
                <c:pt idx="1218">
                  <c:v>1990</c:v>
                </c:pt>
                <c:pt idx="1219">
                  <c:v>1989.87</c:v>
                </c:pt>
                <c:pt idx="1220">
                  <c:v>1970.19</c:v>
                </c:pt>
                <c:pt idx="1221">
                  <c:v>1908.03</c:v>
                </c:pt>
                <c:pt idx="1222">
                  <c:v>1941.05</c:v>
                </c:pt>
                <c:pt idx="1223">
                  <c:v>1926.42</c:v>
                </c:pt>
                <c:pt idx="1224">
                  <c:v>1944.3</c:v>
                </c:pt>
                <c:pt idx="1225">
                  <c:v>1915.01</c:v>
                </c:pt>
                <c:pt idx="1226">
                  <c:v>1934.36</c:v>
                </c:pt>
                <c:pt idx="1227">
                  <c:v>1974.55</c:v>
                </c:pt>
                <c:pt idx="1228">
                  <c:v>1974.85</c:v>
                </c:pt>
                <c:pt idx="1229">
                  <c:v>2012.98</c:v>
                </c:pt>
                <c:pt idx="1230">
                  <c:v>2003</c:v>
                </c:pt>
                <c:pt idx="1231">
                  <c:v>2004.36</c:v>
                </c:pt>
                <c:pt idx="1232">
                  <c:v>1971.31</c:v>
                </c:pt>
                <c:pt idx="1233">
                  <c:v>1952.76</c:v>
                </c:pt>
                <c:pt idx="1234">
                  <c:v>1909.42</c:v>
                </c:pt>
                <c:pt idx="1235">
                  <c:v>1889.65</c:v>
                </c:pt>
                <c:pt idx="1236">
                  <c:v>1864.42</c:v>
                </c:pt>
                <c:pt idx="1237">
                  <c:v>1870.32</c:v>
                </c:pt>
                <c:pt idx="1238">
                  <c:v>1755.25</c:v>
                </c:pt>
                <c:pt idx="1239">
                  <c:v>1719.36</c:v>
                </c:pt>
                <c:pt idx="1240">
                  <c:v>1788.61</c:v>
                </c:pt>
                <c:pt idx="1241">
                  <c:v>1760.95</c:v>
                </c:pt>
                <c:pt idx="1242">
                  <c:v>1819.96</c:v>
                </c:pt>
                <c:pt idx="1243">
                  <c:v>1831.73</c:v>
                </c:pt>
                <c:pt idx="1244">
                  <c:v>1770.72</c:v>
                </c:pt>
                <c:pt idx="1245">
                  <c:v>1764.03</c:v>
                </c:pt>
                <c:pt idx="1246">
                  <c:v>1789.3</c:v>
                </c:pt>
                <c:pt idx="1247">
                  <c:v>1768.7</c:v>
                </c:pt>
                <c:pt idx="1248">
                  <c:v>1664.2</c:v>
                </c:pt>
                <c:pt idx="1249">
                  <c:v>1782.17</c:v>
                </c:pt>
                <c:pt idx="1250">
                  <c:v>1642.81</c:v>
                </c:pt>
                <c:pt idx="1251">
                  <c:v>1538.88</c:v>
                </c:pt>
                <c:pt idx="1252">
                  <c:v>1530.42</c:v>
                </c:pt>
                <c:pt idx="1253">
                  <c:v>1598.01</c:v>
                </c:pt>
                <c:pt idx="1254">
                  <c:v>1665.53</c:v>
                </c:pt>
                <c:pt idx="1255">
                  <c:v>1665.53</c:v>
                </c:pt>
                <c:pt idx="1256">
                  <c:v>1627.8</c:v>
                </c:pt>
                <c:pt idx="1257">
                  <c:v>1642.81</c:v>
                </c:pt>
                <c:pt idx="1258">
                  <c:v>1755.49</c:v>
                </c:pt>
                <c:pt idx="1259">
                  <c:v>1754.91</c:v>
                </c:pt>
                <c:pt idx="1260">
                  <c:v>1712.43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8-4812-B13B-906E4680B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511000"/>
        <c:axId val="1"/>
      </c:lineChart>
      <c:catAx>
        <c:axId val="506511000"/>
        <c:scaling>
          <c:orientation val="minMax"/>
        </c:scaling>
        <c:delete val="0"/>
        <c:axPos val="b"/>
        <c:numFmt formatCode="[$-409]mmm\-dd\-yyyy;@" sourceLinked="1"/>
        <c:majorTickMark val="none"/>
        <c:minorTickMark val="none"/>
        <c:tickLblPos val="low"/>
        <c:spPr>
          <a:ln w="6350">
            <a:noFill/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0"/>
        <c:lblAlgn val="ctr"/>
        <c:lblOffset val="100"/>
        <c:tickMarkSkip val="47"/>
        <c:noMultiLvlLbl val="0"/>
      </c:catAx>
      <c:valAx>
        <c:axId val="1"/>
        <c:scaling>
          <c:orientation val="minMax"/>
          <c:max val="2215"/>
          <c:min val="111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06511000"/>
        <c:crosses val="autoZero"/>
        <c:crossBetween val="between"/>
      </c:valAx>
      <c:spPr>
        <a:noFill/>
        <a:ln w="12700">
          <a:noFill/>
          <a:prstDash val="solid"/>
        </a:ln>
      </c:spPr>
    </c:plotArea>
    <c:legend>
      <c:legendPos val="b"/>
      <c:layout>
        <c:manualLayout>
          <c:xMode val="edge"/>
          <c:yMode val="edge"/>
          <c:x val="0.3906392355911919"/>
          <c:y val="0.94128961975027325"/>
          <c:w val="0.27092721178098794"/>
          <c:h val="4.1666743731400425E-2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noFill/>
    <a:ln w="3175">
      <a:noFill/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1" fmlaLink="Scenarios!$K$14" fmlaRange="Scenarios!$C$14:$C$17" noThreeD="1" sel="1" val="0"/>
</file>

<file path=xl/ctrlProps/ctrlProp2.xml><?xml version="1.0" encoding="utf-8"?>
<formControlPr xmlns="http://schemas.microsoft.com/office/spreadsheetml/2009/9/main" objectType="Drop" dropStyle="combo" dx="31" fmlaLink="Scenarios!$K$14" fmlaRange="Scenarios!$C$14:$C$17" noThreeD="1" sel="1" val="0"/>
</file>

<file path=xl/ctrlProps/ctrlProp3.xml><?xml version="1.0" encoding="utf-8"?>
<formControlPr xmlns="http://schemas.microsoft.com/office/spreadsheetml/2009/9/main" objectType="Drop" dropStyle="combo" dx="31" fmlaLink="Scenarios!$K$14" fmlaRange="Scenarios!$C$14:$C$17" noThreeD="1" sel="1" val="0"/>
</file>

<file path=xl/ctrlProps/ctrlProp4.xml><?xml version="1.0" encoding="utf-8"?>
<formControlPr xmlns="http://schemas.microsoft.com/office/spreadsheetml/2009/9/main" objectType="Drop" dropStyle="combo" dx="31" fmlaLink="$K$14" fmlaRange="$C$14:$C$1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4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393699</xdr:colOff>
      <xdr:row>17</xdr:row>
      <xdr:rowOff>152400</xdr:rowOff>
    </xdr:from>
    <xdr:ext cx="5035371" cy="1473200"/>
    <xdr:pic>
      <xdr:nvPicPr>
        <xdr:cNvPr id="2" name="Picture 1" descr="Image result for amazon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3899" y="3619500"/>
          <a:ext cx="5035371" cy="147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41487</xdr:colOff>
      <xdr:row>20</xdr:row>
      <xdr:rowOff>6350</xdr:rowOff>
    </xdr:from>
    <xdr:to>
      <xdr:col>25</xdr:col>
      <xdr:colOff>535940</xdr:colOff>
      <xdr:row>32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502285</xdr:colOff>
      <xdr:row>34</xdr:row>
      <xdr:rowOff>51858</xdr:rowOff>
    </xdr:from>
    <xdr:to>
      <xdr:col>25</xdr:col>
      <xdr:colOff>152400</xdr:colOff>
      <xdr:row>47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539325</xdr:colOff>
      <xdr:row>40</xdr:row>
      <xdr:rowOff>3597</xdr:rowOff>
    </xdr:from>
    <xdr:to>
      <xdr:col>24</xdr:col>
      <xdr:colOff>497627</xdr:colOff>
      <xdr:row>40</xdr:row>
      <xdr:rowOff>16544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 bwMode="auto">
        <a:xfrm flipV="1">
          <a:off x="10502475" y="7128297"/>
          <a:ext cx="4098502" cy="129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cap="flat" cmpd="sng" algn="ctr">
          <a:solidFill>
            <a:srgbClr val="FA621C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536785</xdr:colOff>
      <xdr:row>40</xdr:row>
      <xdr:rowOff>155784</xdr:rowOff>
    </xdr:from>
    <xdr:to>
      <xdr:col>24</xdr:col>
      <xdr:colOff>489372</xdr:colOff>
      <xdr:row>40</xdr:row>
      <xdr:rowOff>156456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 bwMode="auto">
        <a:xfrm flipV="1">
          <a:off x="10499935" y="7280484"/>
          <a:ext cx="4092787" cy="67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cap="flat" cmpd="sng" algn="ctr">
          <a:solidFill>
            <a:srgbClr val="132E57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459740</xdr:colOff>
      <xdr:row>39</xdr:row>
      <xdr:rowOff>52067</xdr:rowOff>
    </xdr:from>
    <xdr:to>
      <xdr:col>27</xdr:col>
      <xdr:colOff>193040</xdr:colOff>
      <xdr:row>41</xdr:row>
      <xdr:rowOff>21798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4563090" y="6998967"/>
          <a:ext cx="1193800" cy="3253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>
              <a:solidFill>
                <a:srgbClr val="FA621C"/>
              </a:solidFill>
            </a:rPr>
            <a:t>Average = 2,031</a:t>
          </a:r>
        </a:p>
      </xdr:txBody>
    </xdr:sp>
    <xdr:clientData/>
  </xdr:twoCellAnchor>
  <xdr:twoCellAnchor>
    <xdr:from>
      <xdr:col>24</xdr:col>
      <xdr:colOff>459741</xdr:colOff>
      <xdr:row>40</xdr:row>
      <xdr:rowOff>38943</xdr:rowOff>
    </xdr:from>
    <xdr:to>
      <xdr:col>27</xdr:col>
      <xdr:colOff>72391</xdr:colOff>
      <xdr:row>41</xdr:row>
      <xdr:rowOff>150703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4563091" y="7163643"/>
          <a:ext cx="107315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900">
              <a:solidFill>
                <a:srgbClr val="132E57"/>
              </a:solidFill>
            </a:rPr>
            <a:t>Current</a:t>
          </a:r>
          <a:r>
            <a:rPr lang="en-CA" sz="900" baseline="0">
              <a:solidFill>
                <a:srgbClr val="132E57"/>
              </a:solidFill>
            </a:rPr>
            <a:t> = 1,755</a:t>
          </a:r>
          <a:endParaRPr lang="en-CA" sz="900">
            <a:solidFill>
              <a:srgbClr val="132E57"/>
            </a:solidFill>
          </a:endParaRPr>
        </a:p>
      </xdr:txBody>
    </xdr:sp>
    <xdr:clientData/>
  </xdr:twoCellAnchor>
  <xdr:twoCellAnchor>
    <xdr:from>
      <xdr:col>2</xdr:col>
      <xdr:colOff>23280</xdr:colOff>
      <xdr:row>34</xdr:row>
      <xdr:rowOff>17634</xdr:rowOff>
    </xdr:from>
    <xdr:to>
      <xdr:col>8</xdr:col>
      <xdr:colOff>14816</xdr:colOff>
      <xdr:row>47</xdr:row>
      <xdr:rowOff>16297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24766</xdr:colOff>
      <xdr:row>34</xdr:row>
      <xdr:rowOff>6349</xdr:rowOff>
    </xdr:from>
    <xdr:to>
      <xdr:col>15</xdr:col>
      <xdr:colOff>540385</xdr:colOff>
      <xdr:row>47</xdr:row>
      <xdr:rowOff>1480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381000</xdr:colOff>
          <xdr:row>1</xdr:row>
          <xdr:rowOff>152400</xdr:rowOff>
        </xdr:from>
        <xdr:to>
          <xdr:col>18</xdr:col>
          <xdr:colOff>419100</xdr:colOff>
          <xdr:row>3</xdr:row>
          <xdr:rowOff>25400</xdr:rowOff>
        </xdr:to>
        <xdr:sp macro="" textlink="">
          <xdr:nvSpPr>
            <xdr:cNvPr id="22529" name="Drop Dow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2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31750</xdr:colOff>
      <xdr:row>1</xdr:row>
      <xdr:rowOff>120650</xdr:rowOff>
    </xdr:from>
    <xdr:to>
      <xdr:col>3</xdr:col>
      <xdr:colOff>443865</xdr:colOff>
      <xdr:row>3</xdr:row>
      <xdr:rowOff>138018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" y="304800"/>
          <a:ext cx="1089025" cy="376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0</xdr:row>
          <xdr:rowOff>63500</xdr:rowOff>
        </xdr:from>
        <xdr:to>
          <xdr:col>3</xdr:col>
          <xdr:colOff>355600</xdr:colOff>
          <xdr:row>1</xdr:row>
          <xdr:rowOff>76200</xdr:rowOff>
        </xdr:to>
        <xdr:sp macro="" textlink="">
          <xdr:nvSpPr>
            <xdr:cNvPr id="10241" name="Drop Dow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3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242</xdr:row>
      <xdr:rowOff>133350</xdr:rowOff>
    </xdr:from>
    <xdr:to>
      <xdr:col>6</xdr:col>
      <xdr:colOff>7475</xdr:colOff>
      <xdr:row>245</xdr:row>
      <xdr:rowOff>169582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619750" y="6178550"/>
          <a:ext cx="693275" cy="569632"/>
        </a:xfrm>
        <a:prstGeom prst="downArrow">
          <a:avLst/>
        </a:prstGeom>
        <a:solidFill>
          <a:srgbClr val="132E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242</xdr:row>
      <xdr:rowOff>133350</xdr:rowOff>
    </xdr:from>
    <xdr:to>
      <xdr:col>18</xdr:col>
      <xdr:colOff>13825</xdr:colOff>
      <xdr:row>245</xdr:row>
      <xdr:rowOff>169582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2331700" y="6178550"/>
          <a:ext cx="693275" cy="569632"/>
        </a:xfrm>
        <a:prstGeom prst="downArrow">
          <a:avLst/>
        </a:prstGeom>
        <a:solidFill>
          <a:srgbClr val="132E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0</xdr:row>
          <xdr:rowOff>76200</xdr:rowOff>
        </xdr:from>
        <xdr:to>
          <xdr:col>3</xdr:col>
          <xdr:colOff>647700</xdr:colOff>
          <xdr:row>1</xdr:row>
          <xdr:rowOff>139700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482600</xdr:colOff>
          <xdr:row>0</xdr:row>
          <xdr:rowOff>63500</xdr:rowOff>
        </xdr:from>
        <xdr:to>
          <xdr:col>4</xdr:col>
          <xdr:colOff>25400</xdr:colOff>
          <xdr:row>1</xdr:row>
          <xdr:rowOff>114300</xdr:rowOff>
        </xdr:to>
        <xdr:sp macro="" textlink="">
          <xdr:nvSpPr>
            <xdr:cNvPr id="8195" name="Drop Dow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384175</xdr:colOff>
      <xdr:row>0</xdr:row>
      <xdr:rowOff>59690</xdr:rowOff>
    </xdr:from>
    <xdr:to>
      <xdr:col>23</xdr:col>
      <xdr:colOff>112958</xdr:colOff>
      <xdr:row>2</xdr:row>
      <xdr:rowOff>1270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0575" y="59690"/>
          <a:ext cx="986789" cy="367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96520</xdr:colOff>
      <xdr:row>3</xdr:row>
      <xdr:rowOff>59690</xdr:rowOff>
    </xdr:from>
    <xdr:to>
      <xdr:col>1</xdr:col>
      <xdr:colOff>0</xdr:colOff>
      <xdr:row>5</xdr:row>
      <xdr:rowOff>59690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" y="624840"/>
          <a:ext cx="73533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5</xdr:col>
      <xdr:colOff>436880</xdr:colOff>
      <xdr:row>10</xdr:row>
      <xdr:rowOff>54610</xdr:rowOff>
    </xdr:from>
    <xdr:to>
      <xdr:col>23</xdr:col>
      <xdr:colOff>336550</xdr:colOff>
      <xdr:row>45</xdr:row>
      <xdr:rowOff>132715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241300</xdr:colOff>
      <xdr:row>1269</xdr:row>
      <xdr:rowOff>12700</xdr:rowOff>
    </xdr:from>
    <xdr:to>
      <xdr:col>8</xdr:col>
      <xdr:colOff>76200</xdr:colOff>
      <xdr:row>1280</xdr:row>
      <xdr:rowOff>76200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5016500" y="201993500"/>
          <a:ext cx="1549400" cy="2019300"/>
        </a:xfrm>
        <a:prstGeom prst="leftArrow">
          <a:avLst/>
        </a:prstGeom>
        <a:solidFill>
          <a:srgbClr val="1E849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100">
              <a:solidFill>
                <a:schemeClr val="bg1"/>
              </a:solidFill>
            </a:rPr>
            <a:t>Copy and paste</a:t>
          </a:r>
          <a:r>
            <a:rPr lang="en-US" sz="1100" baseline="0">
              <a:solidFill>
                <a:schemeClr val="bg1"/>
              </a:solidFill>
            </a:rPr>
            <a:t> from dashboard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482599</xdr:colOff>
      <xdr:row>16</xdr:row>
      <xdr:rowOff>38100</xdr:rowOff>
    </xdr:from>
    <xdr:to>
      <xdr:col>13</xdr:col>
      <xdr:colOff>564970</xdr:colOff>
      <xdr:row>23</xdr:row>
      <xdr:rowOff>88900</xdr:rowOff>
    </xdr:to>
    <xdr:pic>
      <xdr:nvPicPr>
        <xdr:cNvPr id="2" name="Picture 1" descr="Image result for amazon log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099" y="3302000"/>
          <a:ext cx="4273371" cy="147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6D7B-BDF2-4871-85F1-D5BBAB94ED42}">
  <dimension ref="A1:V1"/>
  <sheetViews>
    <sheetView workbookViewId="0"/>
  </sheetViews>
  <sheetFormatPr baseColWidth="10" defaultColWidth="9" defaultRowHeight="14"/>
  <sheetData>
    <row r="1" spans="1:22">
      <c r="A1">
        <v>22</v>
      </c>
      <c r="B1" t="s">
        <v>869</v>
      </c>
      <c r="C1" t="s">
        <v>870</v>
      </c>
      <c r="D1" t="s">
        <v>871</v>
      </c>
      <c r="E1" t="s">
        <v>872</v>
      </c>
      <c r="F1" t="s">
        <v>866</v>
      </c>
      <c r="G1" t="s">
        <v>873</v>
      </c>
      <c r="H1" t="s">
        <v>867</v>
      </c>
      <c r="I1" t="s">
        <v>874</v>
      </c>
      <c r="J1" t="s">
        <v>875</v>
      </c>
      <c r="K1" t="s">
        <v>876</v>
      </c>
      <c r="L1" t="s">
        <v>877</v>
      </c>
      <c r="M1" t="s">
        <v>878</v>
      </c>
      <c r="N1" t="s">
        <v>879</v>
      </c>
      <c r="O1" t="s">
        <v>880</v>
      </c>
      <c r="P1" t="s">
        <v>881</v>
      </c>
      <c r="Q1" t="s">
        <v>882</v>
      </c>
      <c r="R1" t="s">
        <v>883</v>
      </c>
      <c r="S1" t="s">
        <v>884</v>
      </c>
      <c r="T1" t="s">
        <v>885</v>
      </c>
      <c r="U1" t="s">
        <v>886</v>
      </c>
      <c r="V1" t="s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C295-EC45-C04F-B63C-F4D86AF27C79}">
  <sheetPr>
    <tabColor rgb="FF132E57"/>
  </sheetPr>
  <dimension ref="E5:R34"/>
  <sheetViews>
    <sheetView tabSelected="1" workbookViewId="0">
      <selection activeCell="G35" sqref="G35"/>
    </sheetView>
  </sheetViews>
  <sheetFormatPr baseColWidth="10" defaultRowHeight="16"/>
  <cols>
    <col min="1" max="5" width="11" style="387"/>
    <col min="6" max="6" width="8.19921875" style="387" customWidth="1"/>
    <col min="7" max="7" width="11" style="387" customWidth="1"/>
    <col min="8" max="9" width="11" style="387"/>
    <col min="10" max="10" width="21" style="387" bestFit="1" customWidth="1"/>
    <col min="11" max="14" width="11" style="387"/>
    <col min="15" max="15" width="28.59765625" style="387" customWidth="1"/>
    <col min="16" max="16" width="10.59765625" style="387" customWidth="1"/>
    <col min="17" max="16384" width="11" style="387"/>
  </cols>
  <sheetData>
    <row r="5" spans="5:18" ht="17" thickBot="1"/>
    <row r="6" spans="5:18">
      <c r="E6" s="388"/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90"/>
    </row>
    <row r="7" spans="5:18">
      <c r="E7" s="391"/>
      <c r="F7" s="392"/>
      <c r="G7" s="392"/>
      <c r="H7" s="392"/>
      <c r="I7" s="392"/>
      <c r="J7" s="392"/>
      <c r="K7" s="392"/>
      <c r="L7" s="392"/>
      <c r="M7" s="392"/>
      <c r="N7" s="392"/>
      <c r="O7" s="392"/>
      <c r="P7" s="392"/>
      <c r="Q7" s="392"/>
      <c r="R7" s="393"/>
    </row>
    <row r="8" spans="5:18">
      <c r="E8" s="391"/>
      <c r="F8" s="392"/>
      <c r="G8" s="392"/>
      <c r="H8" s="392"/>
      <c r="I8" s="392"/>
      <c r="J8" s="392"/>
      <c r="K8" s="392"/>
      <c r="L8" s="392"/>
      <c r="M8" s="392"/>
      <c r="N8" s="392"/>
      <c r="O8" s="392"/>
      <c r="P8" s="392"/>
      <c r="Q8" s="392"/>
      <c r="R8" s="393"/>
    </row>
    <row r="9" spans="5:18">
      <c r="E9" s="391"/>
      <c r="F9" s="392"/>
      <c r="G9" s="392"/>
      <c r="H9" s="392"/>
      <c r="I9" s="392"/>
      <c r="J9" s="392"/>
      <c r="K9" s="392"/>
      <c r="L9" s="392"/>
      <c r="M9" s="392"/>
      <c r="N9" s="392"/>
      <c r="O9" s="392"/>
      <c r="P9" s="392"/>
      <c r="Q9" s="392"/>
      <c r="R9" s="393"/>
    </row>
    <row r="10" spans="5:18">
      <c r="E10" s="391"/>
      <c r="F10" s="392"/>
      <c r="G10" s="392"/>
      <c r="H10" s="406" t="s">
        <v>894</v>
      </c>
      <c r="I10" s="407"/>
      <c r="J10" s="407"/>
      <c r="K10" s="407"/>
      <c r="L10" s="407"/>
      <c r="M10" s="407"/>
      <c r="N10" s="407"/>
      <c r="O10" s="407"/>
      <c r="P10" s="392"/>
      <c r="Q10" s="392"/>
      <c r="R10" s="393"/>
    </row>
    <row r="11" spans="5:18">
      <c r="E11" s="391"/>
      <c r="F11" s="392"/>
      <c r="G11" s="392"/>
      <c r="H11" s="407"/>
      <c r="I11" s="407"/>
      <c r="J11" s="407"/>
      <c r="K11" s="407"/>
      <c r="L11" s="407"/>
      <c r="M11" s="407"/>
      <c r="N11" s="407"/>
      <c r="O11" s="407"/>
      <c r="P11" s="392"/>
      <c r="Q11" s="392"/>
      <c r="R11" s="393"/>
    </row>
    <row r="12" spans="5:18">
      <c r="E12" s="391"/>
      <c r="F12" s="392"/>
      <c r="G12" s="392"/>
      <c r="H12" s="407"/>
      <c r="I12" s="407"/>
      <c r="J12" s="407"/>
      <c r="K12" s="407"/>
      <c r="L12" s="407"/>
      <c r="M12" s="407"/>
      <c r="N12" s="407"/>
      <c r="O12" s="407"/>
      <c r="P12" s="392"/>
      <c r="Q12" s="392"/>
      <c r="R12" s="393"/>
    </row>
    <row r="13" spans="5:18">
      <c r="E13" s="391"/>
      <c r="F13" s="392"/>
      <c r="G13" s="392"/>
      <c r="H13" s="392"/>
      <c r="I13" s="392"/>
      <c r="J13" s="392"/>
      <c r="K13" s="392"/>
      <c r="L13" s="392"/>
      <c r="M13" s="392"/>
      <c r="N13" s="392"/>
      <c r="O13" s="392"/>
      <c r="P13" s="392"/>
      <c r="Q13" s="392"/>
      <c r="R13" s="393"/>
    </row>
    <row r="14" spans="5:18">
      <c r="E14" s="391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3"/>
    </row>
    <row r="15" spans="5:18">
      <c r="E15" s="391"/>
      <c r="F15" s="392"/>
      <c r="G15" s="392"/>
      <c r="H15" s="392"/>
      <c r="I15" s="392"/>
      <c r="J15" s="392"/>
      <c r="K15" s="392"/>
      <c r="L15" s="392"/>
      <c r="M15" s="392"/>
      <c r="N15" s="392"/>
      <c r="O15" s="392"/>
      <c r="P15" s="392"/>
      <c r="Q15" s="392"/>
      <c r="R15" s="393"/>
    </row>
    <row r="16" spans="5:18">
      <c r="E16" s="391"/>
      <c r="F16" s="392"/>
      <c r="G16" s="392"/>
      <c r="H16" s="392"/>
      <c r="I16" s="392"/>
      <c r="J16" s="392"/>
      <c r="K16" s="392"/>
      <c r="L16" s="392"/>
      <c r="M16" s="392"/>
      <c r="N16" s="392"/>
      <c r="O16" s="392"/>
      <c r="P16" s="392"/>
      <c r="Q16" s="392"/>
      <c r="R16" s="393"/>
    </row>
    <row r="17" spans="5:18">
      <c r="E17" s="391"/>
      <c r="F17" s="392"/>
      <c r="G17" s="392"/>
      <c r="H17" s="392"/>
      <c r="I17" s="392"/>
      <c r="J17" s="392"/>
      <c r="K17" s="392"/>
      <c r="L17" s="392"/>
      <c r="M17" s="392"/>
      <c r="N17" s="392"/>
      <c r="O17" s="392"/>
      <c r="P17" s="392"/>
      <c r="Q17" s="392"/>
      <c r="R17" s="393"/>
    </row>
    <row r="18" spans="5:18">
      <c r="E18" s="391"/>
      <c r="F18" s="392"/>
      <c r="G18" s="392"/>
      <c r="H18" s="392"/>
      <c r="I18" s="392"/>
      <c r="J18" s="392"/>
      <c r="K18" s="392"/>
      <c r="L18" s="392"/>
      <c r="M18" s="392"/>
      <c r="N18" s="392"/>
      <c r="O18" s="392"/>
      <c r="P18" s="392"/>
      <c r="Q18" s="392"/>
      <c r="R18" s="393"/>
    </row>
    <row r="19" spans="5:18">
      <c r="E19" s="391"/>
      <c r="F19" s="392"/>
      <c r="G19" s="392"/>
      <c r="H19" s="392"/>
      <c r="I19" s="392"/>
      <c r="J19" s="392"/>
      <c r="K19" s="392"/>
      <c r="L19" s="392"/>
      <c r="M19" s="392"/>
      <c r="N19" s="392"/>
      <c r="O19" s="392"/>
      <c r="P19" s="392"/>
      <c r="Q19" s="392"/>
      <c r="R19" s="393"/>
    </row>
    <row r="20" spans="5:18">
      <c r="E20" s="391"/>
      <c r="F20" s="392"/>
      <c r="G20" s="392"/>
      <c r="H20" s="392"/>
      <c r="I20" s="392"/>
      <c r="J20" s="392"/>
      <c r="K20" s="392"/>
      <c r="L20" s="392"/>
      <c r="M20" s="392"/>
      <c r="N20" s="392"/>
      <c r="O20" s="392"/>
      <c r="P20" s="392"/>
      <c r="Q20" s="392"/>
      <c r="R20" s="393"/>
    </row>
    <row r="21" spans="5:18">
      <c r="E21" s="391"/>
      <c r="F21" s="392"/>
      <c r="G21" s="392"/>
      <c r="H21" s="392"/>
      <c r="I21" s="392"/>
      <c r="J21" s="392"/>
      <c r="K21" s="392"/>
      <c r="L21" s="392"/>
      <c r="M21" s="392"/>
      <c r="N21" s="392"/>
      <c r="O21" s="392"/>
      <c r="P21" s="392"/>
      <c r="Q21" s="392"/>
      <c r="R21" s="393"/>
    </row>
    <row r="22" spans="5:18">
      <c r="E22" s="391"/>
      <c r="F22" s="392"/>
      <c r="G22" s="392"/>
      <c r="H22" s="392"/>
      <c r="I22" s="392"/>
      <c r="J22" s="392"/>
      <c r="K22" s="392"/>
      <c r="L22" s="392"/>
      <c r="M22" s="392"/>
      <c r="N22" s="392"/>
      <c r="O22" s="392"/>
      <c r="P22" s="392"/>
      <c r="Q22" s="392"/>
      <c r="R22" s="393"/>
    </row>
    <row r="23" spans="5:18">
      <c r="E23" s="391"/>
      <c r="F23" s="392"/>
      <c r="G23" s="392"/>
      <c r="H23" s="392"/>
      <c r="I23" s="392"/>
      <c r="J23" s="392"/>
      <c r="K23" s="392"/>
      <c r="L23" s="392"/>
      <c r="M23" s="392"/>
      <c r="N23" s="392"/>
      <c r="O23" s="392"/>
      <c r="P23" s="392"/>
      <c r="Q23" s="392"/>
      <c r="R23" s="393"/>
    </row>
    <row r="24" spans="5:18">
      <c r="E24" s="391"/>
      <c r="F24" s="392"/>
      <c r="G24" s="392"/>
      <c r="H24" s="392"/>
      <c r="I24" s="392"/>
      <c r="J24" s="392"/>
      <c r="K24" s="392"/>
      <c r="L24" s="392"/>
      <c r="M24" s="392"/>
      <c r="N24" s="392"/>
      <c r="O24" s="392"/>
      <c r="P24" s="392"/>
      <c r="Q24" s="392"/>
      <c r="R24" s="393"/>
    </row>
    <row r="25" spans="5:18">
      <c r="E25" s="391"/>
      <c r="F25" s="392"/>
      <c r="G25" s="392"/>
      <c r="H25" s="392"/>
      <c r="I25" s="392"/>
      <c r="J25" s="392"/>
      <c r="K25" s="392"/>
      <c r="L25" s="392"/>
      <c r="M25" s="392"/>
      <c r="N25" s="392"/>
      <c r="O25" s="392"/>
      <c r="P25" s="392"/>
      <c r="Q25" s="392"/>
      <c r="R25" s="393"/>
    </row>
    <row r="26" spans="5:18">
      <c r="E26" s="391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3"/>
    </row>
    <row r="27" spans="5:18">
      <c r="E27" s="391"/>
      <c r="F27" s="392"/>
      <c r="G27" s="392"/>
      <c r="H27" s="392"/>
      <c r="I27" s="392"/>
      <c r="J27" s="392"/>
      <c r="K27" s="392"/>
      <c r="L27" s="392"/>
      <c r="M27" s="392"/>
      <c r="N27" s="392"/>
      <c r="O27" s="392"/>
      <c r="P27" s="392"/>
      <c r="Q27" s="392"/>
      <c r="R27" s="393"/>
    </row>
    <row r="28" spans="5:18" ht="19">
      <c r="E28" s="391"/>
      <c r="F28" s="392"/>
      <c r="G28" s="392"/>
      <c r="H28" s="397"/>
      <c r="I28" s="392"/>
      <c r="J28" s="420" t="s">
        <v>895</v>
      </c>
      <c r="K28" s="419"/>
      <c r="L28" s="419"/>
      <c r="M28" s="419"/>
      <c r="N28" s="419"/>
      <c r="O28" s="392"/>
      <c r="P28" s="392"/>
      <c r="Q28" s="392"/>
      <c r="R28" s="393"/>
    </row>
    <row r="29" spans="5:18">
      <c r="E29" s="391"/>
      <c r="F29" s="392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2"/>
      <c r="R29" s="393"/>
    </row>
    <row r="30" spans="5:18">
      <c r="E30" s="391"/>
      <c r="F30" s="392"/>
      <c r="G30" s="392"/>
      <c r="H30" s="392"/>
      <c r="I30" s="392"/>
      <c r="J30" s="392"/>
      <c r="K30" s="392"/>
      <c r="L30" s="392"/>
      <c r="M30" s="392"/>
      <c r="N30" s="392"/>
      <c r="O30" s="392"/>
      <c r="P30" s="392"/>
      <c r="Q30" s="392"/>
      <c r="R30" s="393"/>
    </row>
    <row r="31" spans="5:18">
      <c r="E31" s="391"/>
      <c r="F31" s="392"/>
      <c r="G31" s="392"/>
      <c r="H31" s="392"/>
      <c r="I31" s="392"/>
      <c r="J31" s="392"/>
      <c r="K31" s="392"/>
      <c r="L31" s="392"/>
      <c r="M31" s="392"/>
      <c r="N31" s="392"/>
      <c r="O31" s="392"/>
      <c r="P31" s="392"/>
      <c r="Q31" s="392"/>
      <c r="R31" s="393"/>
    </row>
    <row r="32" spans="5:18">
      <c r="E32" s="391"/>
      <c r="F32" s="392"/>
      <c r="G32" s="392"/>
      <c r="H32" s="392"/>
      <c r="I32" s="392"/>
      <c r="J32" s="392"/>
      <c r="K32" s="392"/>
      <c r="L32" s="392"/>
      <c r="M32" s="392"/>
      <c r="N32" s="392"/>
      <c r="O32" s="392"/>
      <c r="P32" s="392"/>
      <c r="Q32" s="392"/>
      <c r="R32" s="393"/>
    </row>
    <row r="33" spans="5:18">
      <c r="E33" s="391"/>
      <c r="F33" s="392"/>
      <c r="G33" s="392"/>
      <c r="H33" s="392"/>
      <c r="I33" s="392"/>
      <c r="J33" s="392"/>
      <c r="K33" s="392"/>
      <c r="L33" s="392"/>
      <c r="M33" s="392"/>
      <c r="N33" s="392"/>
      <c r="O33" s="392"/>
      <c r="P33" s="392"/>
      <c r="Q33" s="392"/>
      <c r="R33" s="393"/>
    </row>
    <row r="34" spans="5:18" ht="17" thickBot="1">
      <c r="E34" s="394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6"/>
    </row>
  </sheetData>
  <mergeCells count="2">
    <mergeCell ref="H10:O12"/>
    <mergeCell ref="J28:N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859B-060B-4B6D-847E-E15C84B0BE96}">
  <sheetPr>
    <tabColor rgb="FF1E8496"/>
  </sheetPr>
  <dimension ref="B1:AC49"/>
  <sheetViews>
    <sheetView showGridLines="0" topLeftCell="A38" zoomScaleNormal="100" workbookViewId="0">
      <selection activeCell="R34" sqref="R34:Z34"/>
    </sheetView>
  </sheetViews>
  <sheetFormatPr baseColWidth="10" defaultColWidth="9" defaultRowHeight="14"/>
  <cols>
    <col min="1" max="2" width="3.3984375" customWidth="1"/>
    <col min="3" max="5" width="10.59765625" customWidth="1"/>
    <col min="6" max="16" width="9.796875" customWidth="1"/>
    <col min="17" max="17" width="9" customWidth="1"/>
    <col min="18" max="18" width="9.3984375" customWidth="1"/>
    <col min="19" max="19" width="9" customWidth="1"/>
    <col min="20" max="20" width="7.796875" customWidth="1"/>
    <col min="21" max="21" width="9.3984375" bestFit="1" customWidth="1"/>
    <col min="22" max="22" width="10.796875" bestFit="1" customWidth="1"/>
    <col min="24" max="25" width="9.59765625" customWidth="1"/>
    <col min="26" max="26" width="9.796875" customWidth="1"/>
    <col min="27" max="28" width="3.3984375" customWidth="1"/>
  </cols>
  <sheetData>
    <row r="1" spans="2:29" ht="15" thickBot="1"/>
    <row r="2" spans="2:29" ht="15" thickTop="1">
      <c r="B2" s="345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83"/>
      <c r="Y2" s="383"/>
      <c r="Z2" s="383"/>
      <c r="AA2" s="384"/>
    </row>
    <row r="3" spans="2:29">
      <c r="B3" s="347"/>
      <c r="E3" s="1" t="s">
        <v>805</v>
      </c>
      <c r="H3" s="1" t="s">
        <v>806</v>
      </c>
      <c r="J3" s="403" t="s">
        <v>807</v>
      </c>
      <c r="L3" s="1" t="s">
        <v>808</v>
      </c>
      <c r="M3" s="124">
        <f>E9</f>
        <v>2023.9021370660025</v>
      </c>
      <c r="P3" s="1" t="s">
        <v>809</v>
      </c>
      <c r="T3" s="348"/>
      <c r="U3" s="1" t="s">
        <v>810</v>
      </c>
      <c r="V3" s="349">
        <v>43413</v>
      </c>
      <c r="X3" s="385"/>
      <c r="Y3" s="385"/>
      <c r="Z3" s="385"/>
      <c r="AA3" s="386"/>
    </row>
    <row r="4" spans="2:29">
      <c r="B4" s="347"/>
      <c r="X4" s="385"/>
      <c r="Y4" s="385"/>
      <c r="Z4" s="385"/>
      <c r="AA4" s="386"/>
    </row>
    <row r="5" spans="2:29">
      <c r="B5" s="347"/>
      <c r="C5" s="398" t="s">
        <v>811</v>
      </c>
      <c r="D5" s="399"/>
      <c r="E5" s="399"/>
      <c r="F5" s="399"/>
      <c r="G5" s="399"/>
      <c r="H5" s="400"/>
      <c r="I5" s="399"/>
      <c r="J5" s="399"/>
      <c r="K5" s="399"/>
      <c r="L5" s="399"/>
      <c r="M5" s="399"/>
      <c r="N5" s="398"/>
      <c r="O5" s="399"/>
      <c r="P5" s="399"/>
      <c r="Q5" s="399"/>
      <c r="R5" s="399"/>
      <c r="S5" s="400"/>
      <c r="T5" s="399"/>
      <c r="U5" s="399"/>
      <c r="V5" s="399"/>
      <c r="W5" s="399"/>
      <c r="X5" s="398"/>
      <c r="Y5" s="399"/>
      <c r="Z5" s="399"/>
      <c r="AA5" s="350"/>
    </row>
    <row r="6" spans="2:29">
      <c r="B6" s="347"/>
      <c r="C6" s="1" t="s">
        <v>812</v>
      </c>
      <c r="H6" s="1" t="s">
        <v>813</v>
      </c>
      <c r="N6" s="1" t="s">
        <v>699</v>
      </c>
      <c r="T6" s="1" t="s">
        <v>224</v>
      </c>
      <c r="W6" s="105" t="s">
        <v>814</v>
      </c>
      <c r="X6" s="105" t="s">
        <v>815</v>
      </c>
      <c r="Y6" s="105" t="s">
        <v>816</v>
      </c>
      <c r="AA6" s="350"/>
    </row>
    <row r="7" spans="2:29">
      <c r="B7" s="347"/>
      <c r="C7" s="17" t="s">
        <v>247</v>
      </c>
      <c r="D7" s="17"/>
      <c r="E7" s="17" t="s">
        <v>817</v>
      </c>
      <c r="F7" s="17"/>
      <c r="H7" s="17" t="s">
        <v>818</v>
      </c>
      <c r="I7" s="17"/>
      <c r="J7" s="351">
        <v>566000</v>
      </c>
      <c r="K7" s="17"/>
      <c r="L7" s="17"/>
      <c r="N7" s="17" t="s">
        <v>819</v>
      </c>
      <c r="O7" s="17"/>
      <c r="P7" s="17"/>
      <c r="Q7" s="17">
        <f>'Financial Model'!B245</f>
        <v>501</v>
      </c>
      <c r="R7" s="17"/>
      <c r="T7" s="17" t="s">
        <v>820</v>
      </c>
      <c r="U7" s="17"/>
      <c r="V7" s="17"/>
      <c r="W7" s="63">
        <f>E8</f>
        <v>1755</v>
      </c>
      <c r="X7" s="63">
        <f>'Financial Model'!F260</f>
        <v>2023.9021370660025</v>
      </c>
      <c r="Y7" s="63">
        <f>COMPS!D60</f>
        <v>2029.6727878281049</v>
      </c>
      <c r="Z7" s="17"/>
      <c r="AA7" s="350"/>
    </row>
    <row r="8" spans="2:29">
      <c r="B8" s="347"/>
      <c r="C8" t="s">
        <v>821</v>
      </c>
      <c r="E8" s="352">
        <f>'Financial Model'!B246</f>
        <v>1755</v>
      </c>
      <c r="H8" t="s">
        <v>822</v>
      </c>
      <c r="J8" s="10">
        <v>1994</v>
      </c>
      <c r="N8" t="s">
        <v>823</v>
      </c>
      <c r="Q8" s="353">
        <f>Q7*E8</f>
        <v>879255</v>
      </c>
      <c r="T8" t="s">
        <v>819</v>
      </c>
      <c r="W8" s="32">
        <f>Q7</f>
        <v>501</v>
      </c>
      <c r="X8" s="32">
        <f t="shared" ref="X8:Y10" si="0">W8</f>
        <v>501</v>
      </c>
      <c r="Y8" s="32">
        <f t="shared" si="0"/>
        <v>501</v>
      </c>
      <c r="AA8" s="350"/>
    </row>
    <row r="9" spans="2:29">
      <c r="B9" s="347"/>
      <c r="C9" t="s">
        <v>824</v>
      </c>
      <c r="E9" s="352">
        <f>'Financial Model'!F260</f>
        <v>2023.9021370660025</v>
      </c>
      <c r="H9" t="s">
        <v>825</v>
      </c>
      <c r="J9" t="s">
        <v>826</v>
      </c>
      <c r="N9" t="s">
        <v>827</v>
      </c>
      <c r="Q9" s="42">
        <v>0</v>
      </c>
      <c r="T9" t="s">
        <v>828</v>
      </c>
      <c r="W9" s="32">
        <f>COMPS!E58</f>
        <v>17454</v>
      </c>
      <c r="X9" s="32">
        <f t="shared" si="0"/>
        <v>17454</v>
      </c>
      <c r="Y9" s="32">
        <f t="shared" si="0"/>
        <v>17454</v>
      </c>
      <c r="AA9" s="350"/>
    </row>
    <row r="10" spans="2:29">
      <c r="B10" s="347"/>
      <c r="C10" t="s">
        <v>829</v>
      </c>
      <c r="E10" s="56">
        <f>E9/E8-1</f>
        <v>0.15322059092079909</v>
      </c>
      <c r="H10" t="s">
        <v>830</v>
      </c>
      <c r="J10" t="s">
        <v>831</v>
      </c>
      <c r="N10" t="s">
        <v>832</v>
      </c>
      <c r="P10" s="354">
        <f>'Share Price'!S5</f>
        <v>2039.51</v>
      </c>
      <c r="Q10" s="355">
        <f>'Share Price'!S6</f>
        <v>1125.3499999999999</v>
      </c>
      <c r="T10" t="s">
        <v>707</v>
      </c>
      <c r="W10" s="336">
        <f>COMPS!F58</f>
        <v>0</v>
      </c>
      <c r="X10" s="336">
        <f t="shared" si="0"/>
        <v>0</v>
      </c>
      <c r="Y10" s="336">
        <f t="shared" si="0"/>
        <v>0</v>
      </c>
      <c r="AA10" s="350"/>
    </row>
    <row r="11" spans="2:29">
      <c r="B11" s="347"/>
      <c r="C11" t="s">
        <v>833</v>
      </c>
      <c r="E11" s="356">
        <f>'Financial Model'!F264</f>
        <v>7.6815614104270943E-2</v>
      </c>
      <c r="H11" t="s">
        <v>834</v>
      </c>
      <c r="J11" t="s">
        <v>835</v>
      </c>
      <c r="N11" t="s">
        <v>836</v>
      </c>
      <c r="Q11" s="357">
        <v>43465</v>
      </c>
      <c r="T11" t="s">
        <v>708</v>
      </c>
      <c r="W11" s="37">
        <f>(W7*W8)+W9+W10</f>
        <v>896709</v>
      </c>
      <c r="X11" s="37">
        <f>(X7*X8)+X9+X10</f>
        <v>1031428.9706700672</v>
      </c>
      <c r="Y11" s="37">
        <f>(Y7*Y8)+Y9+Y10</f>
        <v>1034320.0667018805</v>
      </c>
      <c r="AA11" s="350"/>
    </row>
    <row r="12" spans="2:29">
      <c r="B12" s="347"/>
      <c r="AA12" s="350"/>
    </row>
    <row r="13" spans="2:29">
      <c r="B13" s="347"/>
      <c r="C13" s="398" t="s">
        <v>837</v>
      </c>
      <c r="D13" s="399"/>
      <c r="E13" s="399"/>
      <c r="F13" s="398">
        <f>'Financial Model'!G3</f>
        <v>2018</v>
      </c>
      <c r="G13" s="398">
        <f>'Financial Model'!H3</f>
        <v>2019</v>
      </c>
      <c r="H13" s="398">
        <f>'Financial Model'!I3</f>
        <v>2020</v>
      </c>
      <c r="I13" s="398">
        <f>'Financial Model'!J3</f>
        <v>2021</v>
      </c>
      <c r="J13" s="398">
        <f>'Financial Model'!K3</f>
        <v>2022</v>
      </c>
      <c r="K13" s="398">
        <f>'Financial Model'!L3</f>
        <v>2023</v>
      </c>
      <c r="L13" s="398">
        <f>'Financial Model'!M3</f>
        <v>2024</v>
      </c>
      <c r="M13" s="398">
        <f>'Financial Model'!N3</f>
        <v>2025</v>
      </c>
      <c r="N13" s="398">
        <f>'Financial Model'!O3</f>
        <v>2026</v>
      </c>
      <c r="O13" s="398">
        <f>'Financial Model'!P3</f>
        <v>2027</v>
      </c>
      <c r="P13" s="398">
        <f>'Financial Model'!Q3</f>
        <v>2028</v>
      </c>
      <c r="R13" s="358" t="s">
        <v>838</v>
      </c>
      <c r="S13" s="358"/>
      <c r="T13" s="358"/>
      <c r="V13" s="359" t="s">
        <v>839</v>
      </c>
      <c r="W13" s="359" t="s">
        <v>840</v>
      </c>
      <c r="X13" s="359" t="s">
        <v>841</v>
      </c>
      <c r="Y13" s="359" t="s">
        <v>842</v>
      </c>
      <c r="Z13" s="359"/>
      <c r="AA13" s="350"/>
    </row>
    <row r="14" spans="2:29">
      <c r="B14" s="347"/>
      <c r="C14" s="1" t="s">
        <v>843</v>
      </c>
      <c r="R14" s="358" t="s">
        <v>844</v>
      </c>
      <c r="S14" s="358"/>
      <c r="T14" s="358"/>
      <c r="V14" s="360">
        <v>1356.3837471629099</v>
      </c>
      <c r="W14" s="360">
        <f>V14</f>
        <v>1356.3837471629099</v>
      </c>
      <c r="X14" s="360">
        <v>2921.4616138976407</v>
      </c>
      <c r="Y14" s="360">
        <f>X14</f>
        <v>2921.4616138976407</v>
      </c>
      <c r="Z14" s="361"/>
      <c r="AA14" s="350"/>
      <c r="AC14" s="29"/>
    </row>
    <row r="15" spans="2:29">
      <c r="B15" s="347"/>
      <c r="C15" t="s">
        <v>845</v>
      </c>
      <c r="F15" s="381">
        <f>'Market Size'!G27</f>
        <v>0.15176366378274453</v>
      </c>
      <c r="G15" s="381">
        <f>'Market Size'!H27</f>
        <v>0.16066501217347454</v>
      </c>
      <c r="H15" s="381">
        <f>'Market Size'!I27</f>
        <v>0.16771090530308497</v>
      </c>
      <c r="I15" s="381">
        <f>'Market Size'!J27</f>
        <v>0.17239476730399642</v>
      </c>
      <c r="J15" s="381">
        <f>'Market Size'!K27</f>
        <v>0.1791696735918191</v>
      </c>
      <c r="K15" s="381">
        <f>'Market Size'!L27</f>
        <v>0.18279908767458122</v>
      </c>
      <c r="L15" s="381">
        <f>'Market Size'!M27</f>
        <v>0.18532867930802152</v>
      </c>
      <c r="M15" s="381">
        <f>'Market Size'!N27</f>
        <v>0.18795195952047813</v>
      </c>
      <c r="N15" s="381">
        <f>'Market Size'!O27</f>
        <v>0.1910862271733611</v>
      </c>
      <c r="O15" s="381">
        <f>'Market Size'!P27</f>
        <v>0.19476096231131038</v>
      </c>
      <c r="P15" s="381">
        <f>'Market Size'!Q27</f>
        <v>0.19663366387199605</v>
      </c>
      <c r="R15" s="358" t="s">
        <v>846</v>
      </c>
      <c r="S15" s="358"/>
      <c r="T15" s="358"/>
      <c r="V15" s="360">
        <v>1819.2081051284017</v>
      </c>
      <c r="W15" s="360">
        <f t="shared" ref="W15:Y18" si="1">V15</f>
        <v>1819.2081051284017</v>
      </c>
      <c r="X15" s="360">
        <v>4136.3043020153091</v>
      </c>
      <c r="Y15" s="360">
        <f t="shared" si="1"/>
        <v>4136.3043020153091</v>
      </c>
      <c r="Z15" s="361"/>
      <c r="AA15" s="350"/>
    </row>
    <row r="16" spans="2:29">
      <c r="B16" s="347"/>
      <c r="C16" t="s">
        <v>847</v>
      </c>
      <c r="F16" s="381">
        <f>'Market Size'!G28</f>
        <v>1.6306871342710794E-2</v>
      </c>
      <c r="G16" s="381">
        <f>'Market Size'!H28</f>
        <v>2.6351480472696927E-2</v>
      </c>
      <c r="H16" s="381">
        <f>'Market Size'!I28</f>
        <v>3.8115316155603242E-2</v>
      </c>
      <c r="I16" s="381">
        <f>'Market Size'!J28</f>
        <v>5.2706838833769011E-2</v>
      </c>
      <c r="J16" s="381">
        <f>'Market Size'!K28</f>
        <v>6.7765935643417291E-2</v>
      </c>
      <c r="K16" s="381">
        <f>'Market Size'!L28</f>
        <v>8.0866271650855956E-2</v>
      </c>
      <c r="L16" s="381">
        <f>'Market Size'!M28</f>
        <v>8.8991590811946755E-2</v>
      </c>
      <c r="M16" s="381">
        <f>'Market Size'!N28</f>
        <v>9.3899999897497782E-2</v>
      </c>
      <c r="N16" s="381">
        <f>'Market Size'!O28</f>
        <v>9.7511538355093852E-2</v>
      </c>
      <c r="O16" s="381">
        <f>'Market Size'!P28</f>
        <v>0.10056611666501244</v>
      </c>
      <c r="P16" s="381">
        <f>'Market Size'!Q28</f>
        <v>0.10299524991779055</v>
      </c>
      <c r="R16" s="358" t="s">
        <v>848</v>
      </c>
      <c r="S16" s="358"/>
      <c r="T16" s="358"/>
      <c r="V16" s="360">
        <v>918.42112064770379</v>
      </c>
      <c r="W16" s="360">
        <f t="shared" si="1"/>
        <v>918.42112064770379</v>
      </c>
      <c r="X16" s="360">
        <v>1891.7598982950358</v>
      </c>
      <c r="Y16" s="360">
        <f t="shared" si="1"/>
        <v>1891.7598982950358</v>
      </c>
      <c r="Z16" s="361"/>
      <c r="AA16" s="350"/>
    </row>
    <row r="17" spans="2:27">
      <c r="B17" s="347"/>
      <c r="C17" t="s">
        <v>849</v>
      </c>
      <c r="F17" s="381">
        <f>'Market Size'!G29</f>
        <v>0.13527081545064376</v>
      </c>
      <c r="G17" s="381">
        <f>'Market Size'!H29</f>
        <v>0.15965749434644957</v>
      </c>
      <c r="H17" s="381">
        <f>'Market Size'!I29</f>
        <v>0.18314899000768642</v>
      </c>
      <c r="I17" s="381">
        <f>'Market Size'!J29</f>
        <v>0.19692300495867768</v>
      </c>
      <c r="J17" s="381">
        <f>'Market Size'!K29</f>
        <v>0.20548487473948976</v>
      </c>
      <c r="K17" s="381">
        <f>'Market Size'!L29</f>
        <v>0.20728737364071328</v>
      </c>
      <c r="L17" s="381">
        <f>'Market Size'!M29</f>
        <v>0.21095617671400024</v>
      </c>
      <c r="M17" s="381">
        <f>'Market Size'!N29</f>
        <v>0.21095617671400024</v>
      </c>
      <c r="N17" s="381">
        <f>'Market Size'!O29</f>
        <v>0.21285668281052275</v>
      </c>
      <c r="O17" s="381">
        <f>'Market Size'!P29</f>
        <v>0.21285668281052275</v>
      </c>
      <c r="P17" s="381">
        <f>'Market Size'!Q29</f>
        <v>0.21090386920675647</v>
      </c>
      <c r="R17" s="358" t="s">
        <v>816</v>
      </c>
      <c r="S17" s="358"/>
      <c r="T17" s="358"/>
      <c r="V17" s="360">
        <v>1887.5425807966606</v>
      </c>
      <c r="W17" s="360">
        <f t="shared" si="1"/>
        <v>1887.5425807966606</v>
      </c>
      <c r="X17" s="360">
        <v>2216.2843966371865</v>
      </c>
      <c r="Y17" s="360">
        <f t="shared" si="1"/>
        <v>2216.2843966371865</v>
      </c>
      <c r="Z17" s="361"/>
      <c r="AA17" s="350"/>
    </row>
    <row r="18" spans="2:27">
      <c r="B18" s="347"/>
      <c r="R18" s="358" t="s">
        <v>832</v>
      </c>
      <c r="S18" s="358"/>
      <c r="T18" s="358"/>
      <c r="V18" s="360">
        <f>P10</f>
        <v>2039.51</v>
      </c>
      <c r="W18" s="360">
        <f t="shared" si="1"/>
        <v>2039.51</v>
      </c>
      <c r="X18" s="360">
        <f>Q10</f>
        <v>1125.3499999999999</v>
      </c>
      <c r="Y18" s="360">
        <f t="shared" si="1"/>
        <v>1125.3499999999999</v>
      </c>
      <c r="Z18" s="361"/>
      <c r="AA18" s="350"/>
    </row>
    <row r="19" spans="2:27">
      <c r="B19" s="347"/>
      <c r="C19" t="s">
        <v>174</v>
      </c>
      <c r="F19" s="37">
        <f>'Financial Model'!G79</f>
        <v>238581.9970873422</v>
      </c>
      <c r="G19" s="37">
        <f>'Financial Model'!H79</f>
        <v>300559.75005044352</v>
      </c>
      <c r="H19" s="37">
        <f>'Financial Model'!I79</f>
        <v>369922.95953798341</v>
      </c>
      <c r="I19" s="37">
        <f>'Financial Model'!J79</f>
        <v>445227.00199895876</v>
      </c>
      <c r="J19" s="37">
        <f>'Financial Model'!K79</f>
        <v>525871.3378025752</v>
      </c>
      <c r="K19" s="37">
        <f>'Financial Model'!L79</f>
        <v>602232.1075996384</v>
      </c>
      <c r="L19" s="37">
        <f>'Financial Model'!M79</f>
        <v>672697.46908488171</v>
      </c>
      <c r="M19" s="37">
        <f>'Financial Model'!N79</f>
        <v>735246.22424572776</v>
      </c>
      <c r="N19" s="37">
        <f>'Financial Model'!O79</f>
        <v>794801.75959511357</v>
      </c>
      <c r="O19" s="37">
        <f>'Financial Model'!P79</f>
        <v>848703.3832935004</v>
      </c>
      <c r="P19" s="37">
        <f>'Financial Model'!Q79</f>
        <v>897368.23376390361</v>
      </c>
      <c r="AA19" s="350"/>
    </row>
    <row r="20" spans="2:27">
      <c r="B20" s="347"/>
      <c r="C20" t="s">
        <v>850</v>
      </c>
      <c r="F20" s="37">
        <f>'Financial Model'!G223</f>
        <v>33886.415454609632</v>
      </c>
      <c r="G20" s="37">
        <f>'Financial Model'!H223</f>
        <v>41928.071735766214</v>
      </c>
      <c r="H20" s="37">
        <f>'Financial Model'!I223</f>
        <v>55383.715313811219</v>
      </c>
      <c r="I20" s="37">
        <f>'Financial Model'!J223</f>
        <v>64932.14186133472</v>
      </c>
      <c r="J20" s="37">
        <f>'Financial Model'!K223</f>
        <v>77329.829915219045</v>
      </c>
      <c r="K20" s="37">
        <f>'Financial Model'!L223</f>
        <v>89814.893913545297</v>
      </c>
      <c r="L20" s="37">
        <f>'Financial Model'!M223</f>
        <v>95647.64754151387</v>
      </c>
      <c r="M20" s="37">
        <f>'Financial Model'!N223</f>
        <v>104398.33506862706</v>
      </c>
      <c r="N20" s="37">
        <f>'Financial Model'!O223</f>
        <v>117624.08940625352</v>
      </c>
      <c r="O20" s="37">
        <f>'Financial Model'!P223</f>
        <v>124549.79439333446</v>
      </c>
      <c r="P20" s="37">
        <f>'Financial Model'!Q223</f>
        <v>133809.50257201862</v>
      </c>
      <c r="R20" s="401" t="s">
        <v>851</v>
      </c>
      <c r="S20" s="402"/>
      <c r="T20" s="402"/>
      <c r="U20" s="402"/>
      <c r="V20" s="402"/>
      <c r="W20" s="402"/>
      <c r="X20" s="402"/>
      <c r="Y20" s="402"/>
      <c r="Z20" s="402"/>
      <c r="AA20" s="350"/>
    </row>
    <row r="21" spans="2:27">
      <c r="B21" s="347"/>
      <c r="C21" t="s">
        <v>20</v>
      </c>
      <c r="F21" s="37">
        <f>'Financial Model'!G96</f>
        <v>5959.5268460742109</v>
      </c>
      <c r="G21" s="37">
        <f>'Financial Model'!H96</f>
        <v>6422.5667092281392</v>
      </c>
      <c r="H21" s="37">
        <f>'Financial Model'!I96</f>
        <v>11198.669057131454</v>
      </c>
      <c r="I21" s="37">
        <f>'Financial Model'!J96</f>
        <v>13117.882597899876</v>
      </c>
      <c r="J21" s="37">
        <f>'Financial Model'!K96</f>
        <v>17461.82917098327</v>
      </c>
      <c r="K21" s="37">
        <f>'Financial Model'!L96</f>
        <v>20868.870630291698</v>
      </c>
      <c r="L21" s="37">
        <f>'Financial Model'!M96</f>
        <v>20499.448263962255</v>
      </c>
      <c r="M21" s="37">
        <f>'Financial Model'!N96</f>
        <v>23002.980088223649</v>
      </c>
      <c r="N21" s="37">
        <f>'Financial Model'!O96</f>
        <v>29826.626814158986</v>
      </c>
      <c r="O21" s="37">
        <f>'Financial Model'!P96</f>
        <v>33836.093730949644</v>
      </c>
      <c r="P21" s="37">
        <f>'Financial Model'!Q96</f>
        <v>40343.963944909461</v>
      </c>
      <c r="R21" s="129"/>
      <c r="S21" s="362"/>
      <c r="T21" s="362"/>
      <c r="U21" s="362"/>
      <c r="V21" s="362"/>
      <c r="W21" s="362"/>
      <c r="X21" s="362"/>
      <c r="Y21" s="362"/>
      <c r="AA21" s="350"/>
    </row>
    <row r="22" spans="2:27">
      <c r="B22" s="347"/>
      <c r="C22" t="s">
        <v>852</v>
      </c>
      <c r="F22" s="9">
        <f>F21/F19</f>
        <v>2.4978946101672939E-2</v>
      </c>
      <c r="G22" s="9">
        <f t="shared" ref="G22:P22" si="2">G21/G19</f>
        <v>2.1368685288533237E-2</v>
      </c>
      <c r="H22" s="9">
        <f t="shared" si="2"/>
        <v>3.0272976489802286E-2</v>
      </c>
      <c r="I22" s="9">
        <f t="shared" si="2"/>
        <v>2.9463358104975301E-2</v>
      </c>
      <c r="J22" s="9">
        <f t="shared" si="2"/>
        <v>3.3205516094392776E-2</v>
      </c>
      <c r="K22" s="9">
        <f t="shared" si="2"/>
        <v>3.4652537397035034E-2</v>
      </c>
      <c r="L22" s="9">
        <f t="shared" si="2"/>
        <v>3.047350288362035E-2</v>
      </c>
      <c r="M22" s="9">
        <f t="shared" si="2"/>
        <v>3.1286090740312036E-2</v>
      </c>
      <c r="N22" s="9">
        <f t="shared" si="2"/>
        <v>3.7527127304490634E-2</v>
      </c>
      <c r="O22" s="9">
        <f t="shared" si="2"/>
        <v>3.9867984972139996E-2</v>
      </c>
      <c r="P22" s="9">
        <f t="shared" si="2"/>
        <v>4.4958092371613752E-2</v>
      </c>
      <c r="AA22" s="350"/>
    </row>
    <row r="23" spans="2:27">
      <c r="B23" s="347"/>
      <c r="AA23" s="350"/>
    </row>
    <row r="24" spans="2:27">
      <c r="B24" s="347"/>
      <c r="C24" t="s">
        <v>187</v>
      </c>
      <c r="F24" s="37">
        <f>'Financial Model'!G234</f>
        <v>25297.530044440529</v>
      </c>
      <c r="G24" s="37">
        <f>'Financial Model'!H234</f>
        <v>29088.813380315467</v>
      </c>
      <c r="H24" s="37">
        <f>'Financial Model'!I234</f>
        <v>36234.223054647533</v>
      </c>
      <c r="I24" s="37">
        <f>'Financial Model'!J234</f>
        <v>46257.164030577813</v>
      </c>
      <c r="J24" s="37">
        <f>'Financial Model'!K234</f>
        <v>52987.668058032665</v>
      </c>
      <c r="K24" s="37">
        <f>'Financial Model'!L234</f>
        <v>59687.819176024226</v>
      </c>
      <c r="L24" s="37">
        <f>'Financial Model'!M234</f>
        <v>64447.047523295769</v>
      </c>
      <c r="M24" s="37">
        <f>'Financial Model'!N234</f>
        <v>71131.766798782599</v>
      </c>
      <c r="N24" s="37">
        <f>'Financial Model'!O234</f>
        <v>78292.251012133609</v>
      </c>
      <c r="O24" s="37">
        <f>'Financial Model'!P234</f>
        <v>85464.102901034959</v>
      </c>
      <c r="P24" s="37">
        <f>'Financial Model'!Q234</f>
        <v>89115.93587347446</v>
      </c>
      <c r="AA24" s="350"/>
    </row>
    <row r="25" spans="2:27">
      <c r="B25" s="347"/>
      <c r="C25" t="s">
        <v>853</v>
      </c>
      <c r="D25" s="363"/>
      <c r="F25" s="42">
        <f>'Financial Model'!G98</f>
        <v>11.897922980934281</v>
      </c>
      <c r="G25" s="42">
        <f>'Financial Model'!H98</f>
        <v>12.657809383502597</v>
      </c>
      <c r="H25" s="42">
        <f>'Financial Model'!I98</f>
        <v>21.852189811338711</v>
      </c>
      <c r="I25" s="42">
        <f>'Financial Model'!J98</f>
        <v>25.343752550366986</v>
      </c>
      <c r="J25" s="42">
        <f>'Financial Model'!K98</f>
        <v>33.402236085083885</v>
      </c>
      <c r="K25" s="42">
        <f>'Financial Model'!L98</f>
        <v>39.524226468885132</v>
      </c>
      <c r="L25" s="42">
        <f>'Financial Model'!M98</f>
        <v>38.440163907655823</v>
      </c>
      <c r="M25" s="42">
        <f>'Financial Model'!N98</f>
        <v>42.707661142002294</v>
      </c>
      <c r="N25" s="42">
        <f>'Financial Model'!O98</f>
        <v>54.828258459329753</v>
      </c>
      <c r="O25" s="42">
        <f>'Financial Model'!P98</f>
        <v>61.582761049684642</v>
      </c>
      <c r="P25" s="42">
        <f>'Financial Model'!Q98</f>
        <v>72.700287847578196</v>
      </c>
      <c r="AA25" s="350"/>
    </row>
    <row r="26" spans="2:27">
      <c r="B26" s="347"/>
      <c r="C26" t="s">
        <v>854</v>
      </c>
      <c r="F26" s="42">
        <f>'Financial Model'!G153/'Financial Model'!G101</f>
        <v>82.001872355805034</v>
      </c>
      <c r="G26" s="42">
        <f>'Financial Model'!H153/'Financial Model'!H101</f>
        <v>97.240489116801498</v>
      </c>
      <c r="H26" s="42">
        <f>'Financial Model'!I153/'Financial Model'!I101</f>
        <v>119.99962310341351</v>
      </c>
      <c r="I26" s="42">
        <f>'Financial Model'!J153/'Financial Model'!J101</f>
        <v>140.08328573602381</v>
      </c>
      <c r="J26" s="42">
        <f>'Financial Model'!K153/'Financial Model'!K101</f>
        <v>161.27367272749879</v>
      </c>
      <c r="K26" s="42">
        <f>'Financial Model'!L153/'Financial Model'!L101</f>
        <v>181.55174720926095</v>
      </c>
      <c r="L26" s="42">
        <f>'Financial Model'!M153/'Financial Model'!M101</f>
        <v>190.85877009401614</v>
      </c>
      <c r="M26" s="42">
        <f>'Financial Model'!N153/'Financial Model'!N101</f>
        <v>201.55265295399914</v>
      </c>
      <c r="N26" s="42">
        <f>'Financial Model'!O153/'Financial Model'!O101</f>
        <v>218.87351533290121</v>
      </c>
      <c r="O26" s="42">
        <f>'Financial Model'!P153/'Financial Model'!P101</f>
        <v>227.69205844294353</v>
      </c>
      <c r="P26" s="42">
        <f>'Financial Model'!Q153/'Financial Model'!Q101</f>
        <v>236.82584515983353</v>
      </c>
      <c r="AA26" s="350"/>
    </row>
    <row r="27" spans="2:27">
      <c r="B27" s="347"/>
      <c r="AA27" s="350"/>
    </row>
    <row r="28" spans="2:27">
      <c r="B28" s="347"/>
      <c r="C28" t="s">
        <v>820</v>
      </c>
      <c r="F28" s="32">
        <f>'Financial Model'!G260</f>
        <v>2071.0351800329709</v>
      </c>
      <c r="G28" s="32">
        <f>'Financial Model'!H260</f>
        <v>2242.508923986195</v>
      </c>
      <c r="H28" s="32">
        <f>'Financial Model'!I260</f>
        <v>2391.5500893990134</v>
      </c>
      <c r="I28" s="32">
        <f>'Financial Model'!J260</f>
        <v>2546.5233107809609</v>
      </c>
      <c r="J28" s="32">
        <f>'Financial Model'!K260</f>
        <v>2694.7719472911745</v>
      </c>
      <c r="K28" s="32">
        <f>'Financial Model'!L260</f>
        <v>2854.2593669776052</v>
      </c>
      <c r="L28" s="32">
        <f>'Financial Model'!M260</f>
        <v>3012.0501005528058</v>
      </c>
      <c r="M28" s="32">
        <f>'Financial Model'!N260</f>
        <v>3174.7910483832538</v>
      </c>
      <c r="N28" s="32">
        <f>'Financial Model'!O260</f>
        <v>3354.8404980001269</v>
      </c>
      <c r="O28" s="32">
        <f>'Financial Model'!P260</f>
        <v>3538.9702744960537</v>
      </c>
      <c r="P28" s="32">
        <f>'Financial Model'!Q260</f>
        <v>3719.92160691558</v>
      </c>
      <c r="AA28" s="350"/>
    </row>
    <row r="29" spans="2:27">
      <c r="B29" s="347"/>
      <c r="AA29" s="350"/>
    </row>
    <row r="30" spans="2:27">
      <c r="B30" s="347"/>
      <c r="C30" t="s">
        <v>701</v>
      </c>
      <c r="F30" s="364">
        <f>$W$11/F19</f>
        <v>3.7584939808837499</v>
      </c>
      <c r="G30" s="364">
        <f t="shared" ref="G30:P30" si="3">$W$11/G19</f>
        <v>2.9834633541234434</v>
      </c>
      <c r="H30" s="364">
        <f t="shared" si="3"/>
        <v>2.4240425658357294</v>
      </c>
      <c r="I30" s="364">
        <f t="shared" si="3"/>
        <v>2.0140490041574277</v>
      </c>
      <c r="J30" s="364">
        <f t="shared" si="3"/>
        <v>1.7051870591521878</v>
      </c>
      <c r="K30" s="364">
        <f t="shared" si="3"/>
        <v>1.4889757432131612</v>
      </c>
      <c r="L30" s="364">
        <f t="shared" si="3"/>
        <v>1.3330048665410577</v>
      </c>
      <c r="M30" s="364">
        <f t="shared" si="3"/>
        <v>1.2196036789171045</v>
      </c>
      <c r="N30" s="364">
        <f t="shared" si="3"/>
        <v>1.1282171801642711</v>
      </c>
      <c r="O30" s="364">
        <f t="shared" si="3"/>
        <v>1.0565634798346246</v>
      </c>
      <c r="P30" s="364">
        <f t="shared" si="3"/>
        <v>0.99926536984584513</v>
      </c>
      <c r="AA30" s="350"/>
    </row>
    <row r="31" spans="2:27">
      <c r="B31" s="347"/>
      <c r="C31" t="s">
        <v>702</v>
      </c>
      <c r="F31" s="364">
        <f>$W$11/F20</f>
        <v>26.462196959165802</v>
      </c>
      <c r="G31" s="364">
        <f t="shared" ref="G31:P31" si="4">$W$11/G20</f>
        <v>21.38684091295984</v>
      </c>
      <c r="H31" s="364">
        <f t="shared" si="4"/>
        <v>16.190842288552368</v>
      </c>
      <c r="I31" s="364">
        <f t="shared" si="4"/>
        <v>13.809940259093242</v>
      </c>
      <c r="J31" s="364">
        <f t="shared" si="4"/>
        <v>11.595900326990392</v>
      </c>
      <c r="K31" s="364">
        <f t="shared" si="4"/>
        <v>9.9839677020958355</v>
      </c>
      <c r="L31" s="364">
        <f t="shared" si="4"/>
        <v>9.3751286419334274</v>
      </c>
      <c r="M31" s="364">
        <f t="shared" si="4"/>
        <v>8.5893036456045149</v>
      </c>
      <c r="N31" s="364">
        <f t="shared" si="4"/>
        <v>7.6235149154092081</v>
      </c>
      <c r="O31" s="364">
        <f t="shared" si="4"/>
        <v>7.1996024109694492</v>
      </c>
      <c r="P31" s="364">
        <f t="shared" si="4"/>
        <v>6.701385049371777</v>
      </c>
      <c r="AA31" s="350"/>
    </row>
    <row r="32" spans="2:27">
      <c r="B32" s="347"/>
      <c r="AA32" s="350"/>
    </row>
    <row r="33" spans="2:27">
      <c r="B33" s="347"/>
      <c r="P33" s="362"/>
      <c r="AA33" s="350"/>
    </row>
    <row r="34" spans="2:27">
      <c r="B34" s="347"/>
      <c r="C34" s="404" t="s">
        <v>855</v>
      </c>
      <c r="D34" s="404"/>
      <c r="E34" s="404"/>
      <c r="F34" s="404"/>
      <c r="G34" s="404"/>
      <c r="H34" s="404"/>
      <c r="J34" s="404" t="s">
        <v>856</v>
      </c>
      <c r="K34" s="404"/>
      <c r="L34" s="404"/>
      <c r="M34" s="404"/>
      <c r="N34" s="404"/>
      <c r="O34" s="404"/>
      <c r="P34" s="404"/>
      <c r="R34" s="404" t="s">
        <v>857</v>
      </c>
      <c r="S34" s="405"/>
      <c r="T34" s="405"/>
      <c r="U34" s="405"/>
      <c r="V34" s="405"/>
      <c r="W34" s="405"/>
      <c r="X34" s="405"/>
      <c r="Y34" s="405"/>
      <c r="Z34" s="405"/>
      <c r="AA34" s="350"/>
    </row>
    <row r="35" spans="2:27">
      <c r="B35" s="347"/>
      <c r="C35" s="1"/>
      <c r="AA35" s="350"/>
    </row>
    <row r="36" spans="2:27">
      <c r="B36" s="347"/>
      <c r="AA36" s="350"/>
    </row>
    <row r="37" spans="2:27">
      <c r="B37" s="347"/>
      <c r="AA37" s="350"/>
    </row>
    <row r="38" spans="2:27">
      <c r="B38" s="347"/>
      <c r="AA38" s="350"/>
    </row>
    <row r="39" spans="2:27">
      <c r="B39" s="347"/>
      <c r="AA39" s="350"/>
    </row>
    <row r="40" spans="2:27">
      <c r="B40" s="347"/>
      <c r="AA40" s="350"/>
    </row>
    <row r="41" spans="2:27">
      <c r="B41" s="347"/>
      <c r="AA41" s="350"/>
    </row>
    <row r="42" spans="2:27">
      <c r="B42" s="347"/>
      <c r="AA42" s="350"/>
    </row>
    <row r="43" spans="2:27">
      <c r="B43" s="347"/>
      <c r="AA43" s="350"/>
    </row>
    <row r="44" spans="2:27">
      <c r="B44" s="347"/>
      <c r="AA44" s="350"/>
    </row>
    <row r="45" spans="2:27">
      <c r="B45" s="347"/>
      <c r="AA45" s="350"/>
    </row>
    <row r="46" spans="2:27">
      <c r="B46" s="347"/>
      <c r="AA46" s="350"/>
    </row>
    <row r="47" spans="2:27">
      <c r="B47" s="347"/>
      <c r="AA47" s="350"/>
    </row>
    <row r="48" spans="2:27" ht="15" thickBot="1">
      <c r="B48" s="365"/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66"/>
      <c r="AA48" s="367"/>
    </row>
    <row r="49" ht="15" thickTop="1"/>
  </sheetData>
  <dataValidations count="1">
    <dataValidation type="list" allowBlank="1" showInputMessage="1" showErrorMessage="1" sqref="J3" xr:uid="{85DD6DC6-CCDF-432C-B2DA-0786F65ED100}">
      <formula1>"Buy, Hold, Sell"</formula1>
    </dataValidation>
  </dataValidations>
  <pageMargins left="0.25" right="0.25" top="0.75" bottom="0.75" header="0.3" footer="0.3"/>
  <pageSetup scale="6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Drop Down 1">
              <controlPr defaultSize="0" autoLine="0" autoPict="0">
                <anchor moveWithCells="1">
                  <from>
                    <xdr:col>16</xdr:col>
                    <xdr:colOff>381000</xdr:colOff>
                    <xdr:row>1</xdr:row>
                    <xdr:rowOff>152400</xdr:rowOff>
                  </from>
                  <to>
                    <xdr:col>18</xdr:col>
                    <xdr:colOff>419100</xdr:colOff>
                    <xdr:row>3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93C5-3A37-4047-9A30-20479BD80808}">
  <sheetPr>
    <tabColor rgb="FFED942D"/>
  </sheetPr>
  <dimension ref="A1:Q40"/>
  <sheetViews>
    <sheetView showGridLines="0" zoomScaleNormal="100" workbookViewId="0">
      <pane ySplit="3" topLeftCell="A4" activePane="bottomLeft" state="frozen"/>
      <selection pane="bottomLeft" activeCell="B25" sqref="B25"/>
    </sheetView>
  </sheetViews>
  <sheetFormatPr baseColWidth="10" defaultColWidth="9" defaultRowHeight="14"/>
  <cols>
    <col min="1" max="1" width="33.796875" customWidth="1"/>
    <col min="2" max="20" width="11.19921875" customWidth="1"/>
  </cols>
  <sheetData>
    <row r="1" spans="1:17" ht="18" customHeight="1">
      <c r="A1" s="3"/>
      <c r="B1" s="22"/>
      <c r="C1" s="22"/>
      <c r="D1" s="22"/>
      <c r="E1" s="22"/>
      <c r="F1" s="22"/>
      <c r="G1" s="24"/>
      <c r="H1" s="26"/>
      <c r="I1" s="161" t="s">
        <v>245</v>
      </c>
      <c r="J1" s="162">
        <f>'Financial Model'!J1</f>
        <v>1031428.9706700671</v>
      </c>
      <c r="K1" s="26"/>
      <c r="L1" s="161" t="s">
        <v>246</v>
      </c>
      <c r="M1" s="162">
        <f>'Financial Model'!M1</f>
        <v>2023.9021370660025</v>
      </c>
      <c r="N1" s="26"/>
      <c r="O1" s="26"/>
      <c r="P1" s="26"/>
      <c r="Q1" s="26"/>
    </row>
    <row r="2" spans="1:17" ht="18">
      <c r="A2" s="58" t="s">
        <v>161</v>
      </c>
      <c r="B2" s="22"/>
      <c r="C2" s="22"/>
      <c r="D2" s="22"/>
      <c r="E2" s="22"/>
      <c r="F2" s="22"/>
      <c r="G2" s="24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5" t="s">
        <v>162</v>
      </c>
      <c r="B3" s="23">
        <v>2013</v>
      </c>
      <c r="C3" s="23">
        <v>2014</v>
      </c>
      <c r="D3" s="23">
        <v>2015</v>
      </c>
      <c r="E3" s="23">
        <v>2016</v>
      </c>
      <c r="F3" s="23">
        <v>2017</v>
      </c>
      <c r="G3" s="25">
        <f>F3+1</f>
        <v>2018</v>
      </c>
      <c r="H3" s="27">
        <f t="shared" ref="H3:Q3" si="0">G3+1</f>
        <v>2019</v>
      </c>
      <c r="I3" s="27">
        <f t="shared" si="0"/>
        <v>2020</v>
      </c>
      <c r="J3" s="27">
        <f t="shared" si="0"/>
        <v>2021</v>
      </c>
      <c r="K3" s="27">
        <f t="shared" si="0"/>
        <v>2022</v>
      </c>
      <c r="L3" s="27">
        <f t="shared" si="0"/>
        <v>2023</v>
      </c>
      <c r="M3" s="27">
        <f t="shared" si="0"/>
        <v>2024</v>
      </c>
      <c r="N3" s="27">
        <f t="shared" si="0"/>
        <v>2025</v>
      </c>
      <c r="O3" s="27">
        <f t="shared" si="0"/>
        <v>2026</v>
      </c>
      <c r="P3" s="27">
        <f t="shared" si="0"/>
        <v>2027</v>
      </c>
      <c r="Q3" s="27">
        <f t="shared" si="0"/>
        <v>2028</v>
      </c>
    </row>
    <row r="5" spans="1:17">
      <c r="A5" s="6" t="s">
        <v>163</v>
      </c>
      <c r="B5" s="59"/>
      <c r="C5" s="59"/>
      <c r="D5" s="59"/>
      <c r="E5" s="59"/>
      <c r="F5" s="59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17">
      <c r="A6" t="s">
        <v>164</v>
      </c>
      <c r="B6" s="43">
        <v>1262</v>
      </c>
      <c r="C6" s="43">
        <v>1336</v>
      </c>
      <c r="D6" s="43">
        <v>1548</v>
      </c>
      <c r="E6" s="43">
        <v>1859</v>
      </c>
      <c r="F6" s="43">
        <v>2290</v>
      </c>
      <c r="G6" s="43">
        <v>2774</v>
      </c>
      <c r="H6" s="43">
        <v>3305</v>
      </c>
      <c r="I6" s="43">
        <v>3879</v>
      </c>
      <c r="J6" s="43">
        <v>4479</v>
      </c>
      <c r="K6" s="37">
        <f>J6*(1+K11)</f>
        <v>5106.0600000000004</v>
      </c>
      <c r="L6" s="37">
        <f t="shared" ref="L6:Q6" si="1">K6*(1+L11)</f>
        <v>5718.7872000000007</v>
      </c>
      <c r="M6" s="37">
        <f t="shared" si="1"/>
        <v>6290.6659200000013</v>
      </c>
      <c r="N6" s="37">
        <f t="shared" si="1"/>
        <v>6793.9191936000016</v>
      </c>
      <c r="O6" s="37">
        <f t="shared" si="1"/>
        <v>7201.5543452160018</v>
      </c>
      <c r="P6" s="37">
        <f t="shared" si="1"/>
        <v>7489.616519024642</v>
      </c>
      <c r="Q6" s="37">
        <f t="shared" si="1"/>
        <v>7789.2011797856276</v>
      </c>
    </row>
    <row r="7" spans="1:17">
      <c r="A7" t="s">
        <v>165</v>
      </c>
      <c r="B7" s="43">
        <v>434.33821428571537</v>
      </c>
      <c r="C7" s="43">
        <v>488.48</v>
      </c>
      <c r="D7" s="43">
        <v>513.55999999999995</v>
      </c>
      <c r="E7" s="43">
        <v>545.76</v>
      </c>
      <c r="F7" s="43">
        <v>584.14</v>
      </c>
      <c r="G7" s="43">
        <v>630.59</v>
      </c>
      <c r="H7" s="43">
        <v>682.89</v>
      </c>
      <c r="I7" s="43">
        <v>722.35</v>
      </c>
      <c r="J7" s="43">
        <v>757.44</v>
      </c>
      <c r="K7" s="37">
        <f t="shared" ref="K7:Q8" si="2">J7*(1+K12)</f>
        <v>795.31200000000013</v>
      </c>
      <c r="L7" s="37">
        <f t="shared" si="2"/>
        <v>833.08932000000016</v>
      </c>
      <c r="M7" s="37">
        <f t="shared" si="2"/>
        <v>870.57833940000012</v>
      </c>
      <c r="N7" s="37">
        <f t="shared" si="2"/>
        <v>907.5779188245001</v>
      </c>
      <c r="O7" s="37">
        <f t="shared" si="2"/>
        <v>943.88103557748013</v>
      </c>
      <c r="P7" s="37">
        <f t="shared" si="2"/>
        <v>979.27657441163569</v>
      </c>
      <c r="Q7" s="37">
        <f t="shared" si="2"/>
        <v>1013.5512545160428</v>
      </c>
    </row>
    <row r="8" spans="1:17">
      <c r="A8" t="s">
        <v>166</v>
      </c>
      <c r="B8" s="43">
        <v>65</v>
      </c>
      <c r="C8" s="43">
        <v>72.482706766917545</v>
      </c>
      <c r="D8" s="43">
        <v>96</v>
      </c>
      <c r="E8" s="43">
        <v>119</v>
      </c>
      <c r="F8" s="43">
        <v>153.5</v>
      </c>
      <c r="G8" s="43">
        <v>186.4</v>
      </c>
      <c r="H8" s="43">
        <v>221.1</v>
      </c>
      <c r="I8" s="43">
        <v>260.2</v>
      </c>
      <c r="J8" s="43">
        <v>302.5</v>
      </c>
      <c r="K8" s="37">
        <f t="shared" si="2"/>
        <v>347.875</v>
      </c>
      <c r="L8" s="37">
        <f t="shared" si="2"/>
        <v>396.57750000000004</v>
      </c>
      <c r="M8" s="37">
        <f t="shared" si="2"/>
        <v>448.13257500000003</v>
      </c>
      <c r="N8" s="37">
        <f t="shared" si="2"/>
        <v>501.9084840000001</v>
      </c>
      <c r="O8" s="37">
        <f t="shared" si="2"/>
        <v>557.11841724000021</v>
      </c>
      <c r="P8" s="37">
        <f t="shared" si="2"/>
        <v>612.83025896400034</v>
      </c>
      <c r="Q8" s="37">
        <f t="shared" si="2"/>
        <v>667.98498227076038</v>
      </c>
    </row>
    <row r="10" spans="1:17">
      <c r="A10" s="6" t="s">
        <v>167</v>
      </c>
      <c r="B10" s="59"/>
      <c r="C10" s="59"/>
      <c r="D10" s="59"/>
      <c r="E10" s="59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 spans="1:17">
      <c r="A11" t="s">
        <v>168</v>
      </c>
      <c r="B11" s="9" t="str">
        <f>IF(IFERROR(#REF!/#REF!-1,"")=-1,"",IFERROR(#REF!/#REF!-1,""))</f>
        <v/>
      </c>
      <c r="C11" s="9">
        <f>C6/B6-1</f>
        <v>5.8637083993660966E-2</v>
      </c>
      <c r="D11" s="9">
        <f t="shared" ref="D11:J11" si="3">D6/C6-1</f>
        <v>0.15868263473053901</v>
      </c>
      <c r="E11" s="9">
        <f t="shared" si="3"/>
        <v>0.20090439276485794</v>
      </c>
      <c r="F11" s="9">
        <f t="shared" si="3"/>
        <v>0.23184507799892407</v>
      </c>
      <c r="G11" s="9">
        <f t="shared" si="3"/>
        <v>0.21135371179039297</v>
      </c>
      <c r="H11" s="9">
        <f t="shared" si="3"/>
        <v>0.19142033165104544</v>
      </c>
      <c r="I11" s="9">
        <f t="shared" si="3"/>
        <v>0.17367624810892579</v>
      </c>
      <c r="J11" s="9">
        <f t="shared" si="3"/>
        <v>0.15467904098994589</v>
      </c>
      <c r="K11" s="61">
        <v>0.14000000000000001</v>
      </c>
      <c r="L11" s="61">
        <v>0.12</v>
      </c>
      <c r="M11" s="61">
        <v>0.1</v>
      </c>
      <c r="N11" s="61">
        <v>0.08</v>
      </c>
      <c r="O11" s="61">
        <v>0.06</v>
      </c>
      <c r="P11" s="61">
        <v>0.04</v>
      </c>
      <c r="Q11" s="61">
        <v>0.04</v>
      </c>
    </row>
    <row r="12" spans="1:17">
      <c r="A12" t="s">
        <v>169</v>
      </c>
      <c r="B12" s="9" t="str">
        <f>IF(IFERROR(#REF!/#REF!-1,"")=-1,"",IFERROR(#REF!/#REF!-1,""))</f>
        <v/>
      </c>
      <c r="C12" s="9">
        <f t="shared" ref="C12:J13" si="4">C7/B7-1</f>
        <v>0.12465351639234123</v>
      </c>
      <c r="D12" s="9">
        <f t="shared" si="4"/>
        <v>5.1342941369144857E-2</v>
      </c>
      <c r="E12" s="9">
        <f t="shared" si="4"/>
        <v>6.2699587195264472E-2</v>
      </c>
      <c r="F12" s="9">
        <f t="shared" si="4"/>
        <v>7.0323951920258088E-2</v>
      </c>
      <c r="G12" s="9">
        <f t="shared" si="4"/>
        <v>7.9518608552744174E-2</v>
      </c>
      <c r="H12" s="9">
        <f t="shared" si="4"/>
        <v>8.2938200732647127E-2</v>
      </c>
      <c r="I12" s="9">
        <f t="shared" si="4"/>
        <v>5.7783830485144128E-2</v>
      </c>
      <c r="J12" s="9">
        <f t="shared" si="4"/>
        <v>4.8577559354883393E-2</v>
      </c>
      <c r="K12" s="61">
        <v>0.05</v>
      </c>
      <c r="L12" s="61">
        <v>4.7500000000000001E-2</v>
      </c>
      <c r="M12" s="61">
        <v>4.4999999999999998E-2</v>
      </c>
      <c r="N12" s="61">
        <v>4.2500000000000003E-2</v>
      </c>
      <c r="O12" s="61">
        <v>0.04</v>
      </c>
      <c r="P12" s="61">
        <v>3.7499999999999999E-2</v>
      </c>
      <c r="Q12" s="61">
        <v>3.5000000000000003E-2</v>
      </c>
    </row>
    <row r="13" spans="1:17">
      <c r="A13" t="s">
        <v>170</v>
      </c>
      <c r="B13" s="9" t="str">
        <f>IF(IFERROR(#REF!/#REF!-1,"")=-1,"",IFERROR(#REF!/#REF!-1,""))</f>
        <v/>
      </c>
      <c r="C13" s="9">
        <f t="shared" si="4"/>
        <v>0.11511856564488521</v>
      </c>
      <c r="D13" s="9">
        <f t="shared" si="4"/>
        <v>0.32445384950519229</v>
      </c>
      <c r="E13" s="9">
        <f t="shared" si="4"/>
        <v>0.23958333333333326</v>
      </c>
      <c r="F13" s="9">
        <f t="shared" si="4"/>
        <v>0.2899159663865547</v>
      </c>
      <c r="G13" s="9">
        <f t="shared" si="4"/>
        <v>0.21433224755700331</v>
      </c>
      <c r="H13" s="9">
        <f t="shared" si="4"/>
        <v>0.18615879828326176</v>
      </c>
      <c r="I13" s="9">
        <f t="shared" si="4"/>
        <v>0.17684305744007234</v>
      </c>
      <c r="J13" s="9">
        <f t="shared" si="4"/>
        <v>0.1625672559569562</v>
      </c>
      <c r="K13" s="61">
        <v>0.15</v>
      </c>
      <c r="L13" s="61">
        <v>0.14000000000000001</v>
      </c>
      <c r="M13" s="61">
        <v>0.13</v>
      </c>
      <c r="N13" s="61">
        <v>0.12</v>
      </c>
      <c r="O13" s="61">
        <v>0.11</v>
      </c>
      <c r="P13" s="61">
        <v>0.1</v>
      </c>
      <c r="Q13" s="61">
        <v>0.09</v>
      </c>
    </row>
    <row r="15" spans="1:17">
      <c r="A15" s="6" t="s">
        <v>171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t="s">
        <v>168</v>
      </c>
      <c r="B16" s="32" t="str">
        <f>IF(IFERROR(#REF!/#REF!-1,"")=-1,"",IFERROR(#REF!/#REF!-1,""))</f>
        <v/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>
      <c r="A17" s="11" t="s">
        <v>172</v>
      </c>
      <c r="B17" s="32">
        <f>'Financial Model'!B67/$B$32</f>
        <v>0</v>
      </c>
      <c r="C17" s="32">
        <f>'Financial Model'!C67/$B$32</f>
        <v>0</v>
      </c>
      <c r="D17" s="32">
        <f>'Financial Model'!D67/$B$32</f>
        <v>76.863</v>
      </c>
      <c r="E17" s="32">
        <f>'Financial Model'!E67/$B$32</f>
        <v>91.430999999999997</v>
      </c>
      <c r="F17" s="32">
        <f>'Financial Model'!F67/$B$32</f>
        <v>108.354</v>
      </c>
      <c r="G17" s="32">
        <f>'Financial Model'!G67/$B$32</f>
        <v>125.32506999999998</v>
      </c>
      <c r="H17" s="32">
        <f>'Financial Model'!H67/$B$32</f>
        <v>146.63033189999996</v>
      </c>
      <c r="I17" s="32">
        <f>'Financial Model'!I67/$B$32</f>
        <v>170.09118500399995</v>
      </c>
      <c r="J17" s="32">
        <f>'Financial Model'!J67/$B$32</f>
        <v>195.60486275459991</v>
      </c>
      <c r="K17" s="32">
        <f>'Financial Model'!K67/$B$32</f>
        <v>222.98954354024394</v>
      </c>
      <c r="L17" s="32">
        <f>'Financial Model'!L67/$B$32</f>
        <v>249.74828876507323</v>
      </c>
      <c r="M17" s="32">
        <f>'Financial Model'!M67/$B$32</f>
        <v>274.72311764158059</v>
      </c>
      <c r="N17" s="32">
        <f>'Financial Model'!N67/$B$32</f>
        <v>296.70096705290706</v>
      </c>
      <c r="O17" s="32">
        <f>'Financial Model'!O67/$B$32</f>
        <v>317.47003474661057</v>
      </c>
      <c r="P17" s="32">
        <f>'Financial Model'!P67/$B$32</f>
        <v>336.51823683140725</v>
      </c>
      <c r="Q17" s="32">
        <f>'Financial Model'!Q67/$B$32</f>
        <v>353.34414867297761</v>
      </c>
    </row>
    <row r="18" spans="1:17">
      <c r="A18" s="11" t="s">
        <v>173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>
      <c r="A19" s="62" t="s">
        <v>174</v>
      </c>
      <c r="B19" s="32">
        <f>'Financial Model'!B69/$B$32</f>
        <v>0</v>
      </c>
      <c r="C19" s="32">
        <f>'Financial Model'!C69/$B$32</f>
        <v>0</v>
      </c>
      <c r="D19" s="32">
        <f>'Financial Model'!D69/$B$32</f>
        <v>16.085999999999999</v>
      </c>
      <c r="E19" s="32">
        <f>'Financial Model'!E69/$B$32</f>
        <v>22.992999999999999</v>
      </c>
      <c r="F19" s="32">
        <f>'Financial Model'!F69/$B$32</f>
        <v>31.881</v>
      </c>
      <c r="G19" s="32">
        <f>'Financial Model'!G69/$B$32</f>
        <v>44.350099999999998</v>
      </c>
      <c r="H19" s="32">
        <f>'Financial Model'!H69/$B$32</f>
        <v>57.65513</v>
      </c>
      <c r="I19" s="32">
        <f>'Financial Model'!I69/$B$32</f>
        <v>72.068912499999996</v>
      </c>
      <c r="J19" s="32">
        <f>'Financial Model'!J69/$B$32</f>
        <v>86.482694999999993</v>
      </c>
      <c r="K19" s="32">
        <f>'Financial Model'!K69/$B$32</f>
        <v>103.77923399999999</v>
      </c>
      <c r="L19" s="32">
        <f>'Financial Model'!L69/$B$32</f>
        <v>119.34611909999997</v>
      </c>
      <c r="M19" s="32">
        <f>'Financial Model'!M69/$B$32</f>
        <v>133.66765339199998</v>
      </c>
      <c r="N19" s="32">
        <f>'Financial Model'!N69/$B$32</f>
        <v>147.03441873119999</v>
      </c>
      <c r="O19" s="32">
        <f>'Financial Model'!O69/$B$32</f>
        <v>158.797172229696</v>
      </c>
      <c r="P19" s="32">
        <f>'Financial Model'!P69/$B$32</f>
        <v>168.3250025634778</v>
      </c>
      <c r="Q19" s="32">
        <f>'Financial Model'!Q69/$B$32</f>
        <v>176.74125269165168</v>
      </c>
    </row>
    <row r="20" spans="1:17">
      <c r="A20" s="62" t="s">
        <v>175</v>
      </c>
      <c r="B20" s="61">
        <v>0.15</v>
      </c>
      <c r="C20" s="61">
        <v>0.15</v>
      </c>
      <c r="D20" s="61">
        <v>0.15</v>
      </c>
      <c r="E20" s="61">
        <v>0.15</v>
      </c>
      <c r="F20" s="61">
        <v>0.15</v>
      </c>
      <c r="G20" s="61">
        <v>0.15</v>
      </c>
      <c r="H20" s="61">
        <v>0.15</v>
      </c>
      <c r="I20" s="61">
        <v>0.15</v>
      </c>
      <c r="J20" s="61">
        <v>0.15</v>
      </c>
      <c r="K20" s="61">
        <v>0.15</v>
      </c>
      <c r="L20" s="61">
        <v>0.15</v>
      </c>
      <c r="M20" s="61">
        <v>0.15</v>
      </c>
      <c r="N20" s="61">
        <v>0.15</v>
      </c>
      <c r="O20" s="61">
        <v>0.15</v>
      </c>
      <c r="P20" s="61">
        <v>0.15</v>
      </c>
      <c r="Q20" s="61">
        <v>0.15</v>
      </c>
    </row>
    <row r="21" spans="1:17">
      <c r="A21" s="62" t="s">
        <v>176</v>
      </c>
      <c r="B21" s="32">
        <f>B19/B20</f>
        <v>0</v>
      </c>
      <c r="C21" s="32">
        <f t="shared" ref="C21:Q21" si="5">C19/C20</f>
        <v>0</v>
      </c>
      <c r="D21" s="32">
        <f t="shared" si="5"/>
        <v>107.24</v>
      </c>
      <c r="E21" s="32">
        <f t="shared" si="5"/>
        <v>153.28666666666666</v>
      </c>
      <c r="F21" s="32">
        <f t="shared" si="5"/>
        <v>212.54000000000002</v>
      </c>
      <c r="G21" s="32">
        <f t="shared" si="5"/>
        <v>295.66733333333332</v>
      </c>
      <c r="H21" s="32">
        <f t="shared" si="5"/>
        <v>384.36753333333337</v>
      </c>
      <c r="I21" s="32">
        <f t="shared" si="5"/>
        <v>480.45941666666664</v>
      </c>
      <c r="J21" s="32">
        <f t="shared" si="5"/>
        <v>576.55129999999997</v>
      </c>
      <c r="K21" s="32">
        <f t="shared" si="5"/>
        <v>691.86155999999994</v>
      </c>
      <c r="L21" s="32">
        <f t="shared" si="5"/>
        <v>795.6407939999998</v>
      </c>
      <c r="M21" s="32">
        <f t="shared" si="5"/>
        <v>891.11768927999992</v>
      </c>
      <c r="N21" s="32">
        <f t="shared" si="5"/>
        <v>980.22945820799998</v>
      </c>
      <c r="O21" s="32">
        <f t="shared" si="5"/>
        <v>1058.6478148646402</v>
      </c>
      <c r="P21" s="32">
        <f t="shared" si="5"/>
        <v>1122.1666837565188</v>
      </c>
      <c r="Q21" s="32">
        <f t="shared" si="5"/>
        <v>1178.2750179443447</v>
      </c>
    </row>
    <row r="22" spans="1:17">
      <c r="A22" s="17" t="s">
        <v>177</v>
      </c>
      <c r="B22" s="63">
        <f>B21+B17</f>
        <v>0</v>
      </c>
      <c r="C22" s="63">
        <f t="shared" ref="C22:Q22" si="6">C21+C17</f>
        <v>0</v>
      </c>
      <c r="D22" s="63">
        <f t="shared" si="6"/>
        <v>184.10300000000001</v>
      </c>
      <c r="E22" s="63">
        <f t="shared" si="6"/>
        <v>244.71766666666667</v>
      </c>
      <c r="F22" s="63">
        <f t="shared" si="6"/>
        <v>320.89400000000001</v>
      </c>
      <c r="G22" s="63">
        <f t="shared" si="6"/>
        <v>420.9924033333333</v>
      </c>
      <c r="H22" s="63">
        <f t="shared" si="6"/>
        <v>530.9978652333333</v>
      </c>
      <c r="I22" s="63">
        <f t="shared" si="6"/>
        <v>650.55060167066654</v>
      </c>
      <c r="J22" s="63">
        <f t="shared" si="6"/>
        <v>772.1561627545999</v>
      </c>
      <c r="K22" s="63">
        <f t="shared" si="6"/>
        <v>914.85110354024391</v>
      </c>
      <c r="L22" s="63">
        <f t="shared" si="6"/>
        <v>1045.389082765073</v>
      </c>
      <c r="M22" s="63">
        <f t="shared" si="6"/>
        <v>1165.8408069215805</v>
      </c>
      <c r="N22" s="63">
        <f t="shared" si="6"/>
        <v>1276.930425260907</v>
      </c>
      <c r="O22" s="63">
        <f t="shared" si="6"/>
        <v>1376.1178496112507</v>
      </c>
      <c r="P22" s="63">
        <f t="shared" si="6"/>
        <v>1458.6849205879259</v>
      </c>
      <c r="Q22" s="63">
        <f t="shared" si="6"/>
        <v>1531.6191666173222</v>
      </c>
    </row>
    <row r="23" spans="1:17">
      <c r="A23" t="s">
        <v>165</v>
      </c>
      <c r="B23" s="32">
        <f>'Financial Model'!B72/$B$32</f>
        <v>0</v>
      </c>
      <c r="C23" s="32">
        <f>'Financial Model'!C72/$B$32</f>
        <v>0</v>
      </c>
      <c r="D23" s="32">
        <f>'Financial Model'!D72/$B$32</f>
        <v>1.71</v>
      </c>
      <c r="E23" s="32">
        <f>'Financial Model'!E72/$B$32</f>
        <v>2.95</v>
      </c>
      <c r="F23" s="32">
        <f>'Financial Model'!F72/$B$32</f>
        <v>4.6529999999999996</v>
      </c>
      <c r="G23" s="32">
        <f>'Financial Model'!G72/$B$32</f>
        <v>10.282950000000001</v>
      </c>
      <c r="H23" s="32">
        <f>'Financial Model'!H72/$B$32</f>
        <v>17.995162500000003</v>
      </c>
      <c r="I23" s="32">
        <f>'Financial Model'!I72/$B$32</f>
        <v>27.532598625000002</v>
      </c>
      <c r="J23" s="32">
        <f>'Financial Model'!J72/$B$32</f>
        <v>39.92226800625</v>
      </c>
      <c r="K23" s="32">
        <f>'Financial Model'!K72/$B$32</f>
        <v>53.895061808437504</v>
      </c>
      <c r="L23" s="32">
        <f>'Financial Model'!L72/$B$32</f>
        <v>67.36882726054688</v>
      </c>
      <c r="M23" s="32">
        <f>'Financial Model'!M72/$B$32</f>
        <v>77.474151349628912</v>
      </c>
      <c r="N23" s="32">
        <f>'Financial Model'!N72/$B$32</f>
        <v>85.221566484591804</v>
      </c>
      <c r="O23" s="32">
        <f>'Financial Model'!O72/$B$32</f>
        <v>92.039291803359163</v>
      </c>
      <c r="P23" s="32">
        <f>'Financial Model'!P72/$B$32</f>
        <v>98.482042229594299</v>
      </c>
      <c r="Q23" s="32">
        <f>'Financial Model'!Q72/$B$32</f>
        <v>104.39096476336996</v>
      </c>
    </row>
    <row r="24" spans="1:17">
      <c r="A24" t="s">
        <v>166</v>
      </c>
      <c r="B24" s="32">
        <f>'Financial Model'!B71/$B$32</f>
        <v>0</v>
      </c>
      <c r="C24" s="32">
        <f>'Financial Model'!C71/$B$32</f>
        <v>0</v>
      </c>
      <c r="D24" s="32">
        <f>'Financial Model'!D71/$B$32</f>
        <v>7.88</v>
      </c>
      <c r="E24" s="32">
        <f>'Financial Model'!E71/$B$32</f>
        <v>12.218999999999999</v>
      </c>
      <c r="F24" s="32">
        <f>'Financial Model'!F71/$B$32</f>
        <v>17.459</v>
      </c>
      <c r="G24" s="32">
        <f>'Financial Model'!G71/$B$32</f>
        <v>25.214479999999998</v>
      </c>
      <c r="H24" s="32">
        <f>'Financial Model'!H71/$B$32</f>
        <v>35.300272</v>
      </c>
      <c r="I24" s="32">
        <f>'Financial Model'!I71/$B$32</f>
        <v>47.655367200000001</v>
      </c>
      <c r="J24" s="32">
        <f>'Financial Model'!J71/$B$32</f>
        <v>59.569209000000001</v>
      </c>
      <c r="K24" s="32">
        <f>'Financial Model'!K71/$B$32</f>
        <v>71.483050800000001</v>
      </c>
      <c r="L24" s="32">
        <f>'Financial Model'!L71/$B$32</f>
        <v>82.205508419999987</v>
      </c>
      <c r="M24" s="32">
        <f>'Financial Model'!M71/$B$32</f>
        <v>94.536334682999978</v>
      </c>
      <c r="N24" s="32">
        <f>'Financial Model'!N71/$B$32</f>
        <v>105.88069484495999</v>
      </c>
      <c r="O24" s="32">
        <f>'Financial Model'!O71/$B$32</f>
        <v>118.58637822635519</v>
      </c>
      <c r="P24" s="32">
        <f>'Financial Model'!P71/$B$32</f>
        <v>130.44501604899074</v>
      </c>
      <c r="Q24" s="32">
        <f>'Financial Model'!Q71/$B$32</f>
        <v>140.88061733290999</v>
      </c>
    </row>
    <row r="25" spans="1:17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7">
      <c r="A26" s="6" t="s">
        <v>178</v>
      </c>
      <c r="B26" s="59"/>
      <c r="C26" s="59"/>
      <c r="D26" s="59"/>
      <c r="E26" s="59"/>
      <c r="F26" s="59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 spans="1:17">
      <c r="A27" t="s">
        <v>168</v>
      </c>
      <c r="B27" s="64">
        <f>B22/B6</f>
        <v>0</v>
      </c>
      <c r="C27" s="64">
        <f t="shared" ref="C27:Q27" si="7">C22/C6</f>
        <v>0</v>
      </c>
      <c r="D27" s="64">
        <f t="shared" si="7"/>
        <v>0.1189295865633075</v>
      </c>
      <c r="E27" s="64">
        <f t="shared" si="7"/>
        <v>0.13163941187018111</v>
      </c>
      <c r="F27" s="64">
        <f t="shared" si="7"/>
        <v>0.14012838427947599</v>
      </c>
      <c r="G27" s="64">
        <f t="shared" si="7"/>
        <v>0.15176366378274453</v>
      </c>
      <c r="H27" s="64">
        <f t="shared" si="7"/>
        <v>0.16066501217347454</v>
      </c>
      <c r="I27" s="64">
        <f t="shared" si="7"/>
        <v>0.16771090530308497</v>
      </c>
      <c r="J27" s="64">
        <f t="shared" si="7"/>
        <v>0.17239476730399642</v>
      </c>
      <c r="K27" s="64">
        <f t="shared" si="7"/>
        <v>0.1791696735918191</v>
      </c>
      <c r="L27" s="64">
        <f t="shared" si="7"/>
        <v>0.18279908767458122</v>
      </c>
      <c r="M27" s="64">
        <f t="shared" si="7"/>
        <v>0.18532867930802152</v>
      </c>
      <c r="N27" s="64">
        <f t="shared" si="7"/>
        <v>0.18795195952047813</v>
      </c>
      <c r="O27" s="64">
        <f t="shared" si="7"/>
        <v>0.1910862271733611</v>
      </c>
      <c r="P27" s="64">
        <f t="shared" si="7"/>
        <v>0.19476096231131038</v>
      </c>
      <c r="Q27" s="64">
        <f t="shared" si="7"/>
        <v>0.19663366387199605</v>
      </c>
    </row>
    <row r="28" spans="1:17">
      <c r="A28" t="s">
        <v>165</v>
      </c>
      <c r="B28" s="64">
        <f t="shared" ref="B28:Q29" si="8">B23/B7</f>
        <v>0</v>
      </c>
      <c r="C28" s="64">
        <f t="shared" si="8"/>
        <v>0</v>
      </c>
      <c r="D28" s="64">
        <f t="shared" si="8"/>
        <v>3.3296985746553475E-3</v>
      </c>
      <c r="E28" s="64">
        <f t="shared" si="8"/>
        <v>5.4053063617707422E-3</v>
      </c>
      <c r="F28" s="64">
        <f t="shared" si="8"/>
        <v>7.9655562022802745E-3</v>
      </c>
      <c r="G28" s="64">
        <f t="shared" si="8"/>
        <v>1.6306871342710794E-2</v>
      </c>
      <c r="H28" s="64">
        <f t="shared" si="8"/>
        <v>2.6351480472696927E-2</v>
      </c>
      <c r="I28" s="64">
        <f t="shared" si="8"/>
        <v>3.8115316155603242E-2</v>
      </c>
      <c r="J28" s="64">
        <f t="shared" si="8"/>
        <v>5.2706838833769011E-2</v>
      </c>
      <c r="K28" s="64">
        <f t="shared" si="8"/>
        <v>6.7765935643417291E-2</v>
      </c>
      <c r="L28" s="64">
        <f t="shared" si="8"/>
        <v>8.0866271650855956E-2</v>
      </c>
      <c r="M28" s="64">
        <f t="shared" si="8"/>
        <v>8.8991590811946755E-2</v>
      </c>
      <c r="N28" s="64">
        <f t="shared" si="8"/>
        <v>9.3899999897497782E-2</v>
      </c>
      <c r="O28" s="64">
        <f t="shared" si="8"/>
        <v>9.7511538355093852E-2</v>
      </c>
      <c r="P28" s="64">
        <f t="shared" si="8"/>
        <v>0.10056611666501244</v>
      </c>
      <c r="Q28" s="64">
        <f t="shared" si="8"/>
        <v>0.10299524991779055</v>
      </c>
    </row>
    <row r="29" spans="1:17">
      <c r="A29" t="s">
        <v>179</v>
      </c>
      <c r="B29" s="64">
        <f t="shared" si="8"/>
        <v>0</v>
      </c>
      <c r="C29" s="64">
        <f t="shared" si="8"/>
        <v>0</v>
      </c>
      <c r="D29" s="64">
        <f t="shared" si="8"/>
        <v>8.2083333333333328E-2</v>
      </c>
      <c r="E29" s="64">
        <f t="shared" si="8"/>
        <v>0.10268067226890756</v>
      </c>
      <c r="F29" s="64">
        <f t="shared" si="8"/>
        <v>0.11373941368078176</v>
      </c>
      <c r="G29" s="64">
        <f t="shared" si="8"/>
        <v>0.13527081545064376</v>
      </c>
      <c r="H29" s="64">
        <f t="shared" si="8"/>
        <v>0.15965749434644957</v>
      </c>
      <c r="I29" s="64">
        <f t="shared" si="8"/>
        <v>0.18314899000768642</v>
      </c>
      <c r="J29" s="64">
        <f t="shared" si="8"/>
        <v>0.19692300495867768</v>
      </c>
      <c r="K29" s="64">
        <f t="shared" si="8"/>
        <v>0.20548487473948976</v>
      </c>
      <c r="L29" s="64">
        <f t="shared" si="8"/>
        <v>0.20728737364071328</v>
      </c>
      <c r="M29" s="64">
        <f t="shared" si="8"/>
        <v>0.21095617671400024</v>
      </c>
      <c r="N29" s="64">
        <f t="shared" si="8"/>
        <v>0.21095617671400024</v>
      </c>
      <c r="O29" s="64">
        <f t="shared" si="8"/>
        <v>0.21285668281052275</v>
      </c>
      <c r="P29" s="64">
        <f t="shared" si="8"/>
        <v>0.21285668281052275</v>
      </c>
      <c r="Q29" s="64">
        <f t="shared" si="8"/>
        <v>0.21090386920675647</v>
      </c>
    </row>
    <row r="30" spans="1:17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</row>
    <row r="31" spans="1:17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spans="1:17">
      <c r="A32" t="s">
        <v>180</v>
      </c>
      <c r="B32" s="65">
        <v>1000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4" spans="1:17">
      <c r="A34" s="66" t="s">
        <v>181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>
      <c r="A35" s="17" t="s">
        <v>887</v>
      </c>
      <c r="B35" s="17"/>
      <c r="C35" s="17"/>
      <c r="D35" s="17"/>
      <c r="E35" s="17"/>
      <c r="F35" s="17"/>
      <c r="G35" s="17"/>
      <c r="H35" s="17"/>
      <c r="I35" s="68"/>
      <c r="J35" s="68"/>
      <c r="K35" s="68"/>
      <c r="L35" s="68"/>
      <c r="M35" s="68"/>
      <c r="N35" s="68"/>
      <c r="O35" s="68"/>
      <c r="P35" s="68"/>
      <c r="Q35" s="68"/>
    </row>
    <row r="36" spans="1:17">
      <c r="A36" t="s">
        <v>888</v>
      </c>
      <c r="I36" s="69"/>
      <c r="J36" s="69"/>
      <c r="K36" s="69"/>
      <c r="L36" s="69"/>
      <c r="M36" s="69"/>
      <c r="N36" s="69"/>
      <c r="O36" s="69"/>
      <c r="P36" s="69"/>
      <c r="Q36" s="69"/>
    </row>
    <row r="37" spans="1:17">
      <c r="A37" t="s">
        <v>889</v>
      </c>
      <c r="I37" s="69"/>
      <c r="J37" s="69"/>
      <c r="K37" s="69"/>
      <c r="L37" s="69"/>
      <c r="M37" s="69"/>
      <c r="N37" s="69"/>
      <c r="O37" s="69"/>
      <c r="P37" s="69"/>
      <c r="Q37" s="69"/>
    </row>
    <row r="38" spans="1:17">
      <c r="A38" t="s">
        <v>890</v>
      </c>
      <c r="I38" s="67"/>
      <c r="J38" s="67"/>
      <c r="K38" s="67"/>
      <c r="L38" s="67"/>
      <c r="M38" s="67"/>
      <c r="N38" s="67"/>
      <c r="O38" s="67"/>
      <c r="P38" s="67"/>
      <c r="Q38" s="67"/>
    </row>
    <row r="39" spans="1:17">
      <c r="A39" t="s">
        <v>891</v>
      </c>
      <c r="I39" s="67"/>
      <c r="J39" s="67"/>
      <c r="K39" s="67"/>
      <c r="L39" s="67"/>
      <c r="M39" s="67"/>
      <c r="N39" s="67"/>
      <c r="O39" s="67"/>
      <c r="P39" s="67"/>
      <c r="Q39" s="67"/>
    </row>
    <row r="40" spans="1:17">
      <c r="A40" t="s">
        <v>892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Drop Down 1">
              <controlPr defaultSize="0" autoLine="0" autoPict="0">
                <anchor moveWithCells="1">
                  <from>
                    <xdr:col>2</xdr:col>
                    <xdr:colOff>76200</xdr:colOff>
                    <xdr:row>0</xdr:row>
                    <xdr:rowOff>63500</xdr:rowOff>
                  </from>
                  <to>
                    <xdr:col>3</xdr:col>
                    <xdr:colOff>355600</xdr:colOff>
                    <xdr:row>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37E0-C592-4163-8A2B-39D858AAB25A}">
  <sheetPr>
    <tabColor rgb="FFFA621C"/>
  </sheetPr>
  <dimension ref="A1:AE276"/>
  <sheetViews>
    <sheetView showGridLines="0" zoomScaleNormal="100" workbookViewId="0">
      <pane ySplit="3" topLeftCell="A249" activePane="bottomLeft" state="frozen"/>
      <selection activeCell="A5" sqref="A5"/>
      <selection pane="bottomLeft" activeCell="H278" sqref="H278"/>
    </sheetView>
  </sheetViews>
  <sheetFormatPr baseColWidth="10" defaultColWidth="9" defaultRowHeight="14" outlineLevelRow="1"/>
  <cols>
    <col min="1" max="1" width="58.59765625" customWidth="1"/>
    <col min="2" max="5" width="11.3984375" customWidth="1"/>
    <col min="6" max="17" width="11" customWidth="1"/>
    <col min="18" max="18" width="10" customWidth="1"/>
  </cols>
  <sheetData>
    <row r="1" spans="1:17">
      <c r="A1" s="3"/>
      <c r="B1" s="22"/>
      <c r="C1" s="22"/>
      <c r="D1" s="22"/>
      <c r="E1" s="22"/>
      <c r="F1" s="22"/>
      <c r="G1" s="24"/>
      <c r="H1" s="26"/>
      <c r="I1" s="161" t="s">
        <v>245</v>
      </c>
      <c r="J1" s="162">
        <f>F253</f>
        <v>1031428.9706700671</v>
      </c>
      <c r="K1" s="26"/>
      <c r="L1" s="161" t="s">
        <v>246</v>
      </c>
      <c r="M1" s="162">
        <f>F260</f>
        <v>2023.9021370660025</v>
      </c>
      <c r="N1" s="26"/>
      <c r="O1" s="26"/>
      <c r="P1" s="26"/>
      <c r="Q1" s="26"/>
    </row>
    <row r="2" spans="1:17" ht="18">
      <c r="A2" s="4" t="s">
        <v>90</v>
      </c>
      <c r="B2" s="22"/>
      <c r="C2" s="22"/>
      <c r="D2" s="22"/>
      <c r="E2" s="22"/>
      <c r="F2" s="22"/>
      <c r="G2" s="24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5" t="s">
        <v>0</v>
      </c>
      <c r="B3" s="23">
        <v>2013</v>
      </c>
      <c r="C3" s="23">
        <v>2014</v>
      </c>
      <c r="D3" s="23">
        <v>2015</v>
      </c>
      <c r="E3" s="23">
        <v>2016</v>
      </c>
      <c r="F3" s="23">
        <v>2017</v>
      </c>
      <c r="G3" s="25">
        <f>F3+1</f>
        <v>2018</v>
      </c>
      <c r="H3" s="27">
        <f t="shared" ref="H3:Q3" si="0">G3+1</f>
        <v>2019</v>
      </c>
      <c r="I3" s="27">
        <f t="shared" si="0"/>
        <v>2020</v>
      </c>
      <c r="J3" s="27">
        <f t="shared" si="0"/>
        <v>2021</v>
      </c>
      <c r="K3" s="27">
        <f t="shared" si="0"/>
        <v>2022</v>
      </c>
      <c r="L3" s="27">
        <f t="shared" si="0"/>
        <v>2023</v>
      </c>
      <c r="M3" s="27">
        <f t="shared" si="0"/>
        <v>2024</v>
      </c>
      <c r="N3" s="27">
        <f t="shared" si="0"/>
        <v>2025</v>
      </c>
      <c r="O3" s="27">
        <f t="shared" si="0"/>
        <v>2026</v>
      </c>
      <c r="P3" s="27">
        <f t="shared" si="0"/>
        <v>2027</v>
      </c>
      <c r="Q3" s="27">
        <f t="shared" si="0"/>
        <v>2028</v>
      </c>
    </row>
    <row r="5" spans="1:17">
      <c r="A5" s="6" t="s">
        <v>90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outlineLevel="1">
      <c r="A6" s="1" t="s">
        <v>123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outlineLevel="1">
      <c r="A7" t="s">
        <v>124</v>
      </c>
      <c r="B7" s="36">
        <v>41275</v>
      </c>
      <c r="C7" s="35">
        <f>DATE(YEAR(B7)+1,MONTH(B7),DAY(B7))</f>
        <v>41640</v>
      </c>
      <c r="D7" s="35">
        <f t="shared" ref="D7:F7" si="1">DATE(YEAR(C7)+1,MONTH(C7),DAY(C7))</f>
        <v>42005</v>
      </c>
      <c r="E7" s="35">
        <f t="shared" si="1"/>
        <v>42370</v>
      </c>
      <c r="F7" s="35">
        <f t="shared" si="1"/>
        <v>42736</v>
      </c>
      <c r="G7" s="35">
        <f t="shared" ref="G7:G8" si="2">DATE(YEAR(F7)+1,MONTH(F7),DAY(F7))</f>
        <v>43101</v>
      </c>
      <c r="H7" s="35">
        <f t="shared" ref="H7:H8" si="3">DATE(YEAR(G7)+1,MONTH(G7),DAY(G7))</f>
        <v>43466</v>
      </c>
      <c r="I7" s="35">
        <f t="shared" ref="I7:I8" si="4">DATE(YEAR(H7)+1,MONTH(H7),DAY(H7))</f>
        <v>43831</v>
      </c>
      <c r="J7" s="35">
        <f t="shared" ref="J7:J8" si="5">DATE(YEAR(I7)+1,MONTH(I7),DAY(I7))</f>
        <v>44197</v>
      </c>
      <c r="K7" s="35">
        <f t="shared" ref="K7:K8" si="6">DATE(YEAR(J7)+1,MONTH(J7),DAY(J7))</f>
        <v>44562</v>
      </c>
      <c r="L7" s="35">
        <f t="shared" ref="L7:L8" si="7">DATE(YEAR(K7)+1,MONTH(K7),DAY(K7))</f>
        <v>44927</v>
      </c>
      <c r="M7" s="35">
        <f t="shared" ref="M7:M8" si="8">DATE(YEAR(L7)+1,MONTH(L7),DAY(L7))</f>
        <v>45292</v>
      </c>
      <c r="N7" s="35">
        <f t="shared" ref="N7:N8" si="9">DATE(YEAR(M7)+1,MONTH(M7),DAY(M7))</f>
        <v>45658</v>
      </c>
      <c r="O7" s="35">
        <f t="shared" ref="O7:O8" si="10">DATE(YEAR(N7)+1,MONTH(N7),DAY(N7))</f>
        <v>46023</v>
      </c>
      <c r="P7" s="35">
        <f t="shared" ref="P7:P8" si="11">DATE(YEAR(O7)+1,MONTH(O7),DAY(O7))</f>
        <v>46388</v>
      </c>
      <c r="Q7" s="35">
        <f t="shared" ref="Q7:Q8" si="12">DATE(YEAR(P7)+1,MONTH(P7),DAY(P7))</f>
        <v>46753</v>
      </c>
    </row>
    <row r="8" spans="1:17" outlineLevel="1">
      <c r="A8" t="s">
        <v>126</v>
      </c>
      <c r="B8" s="36">
        <v>41639</v>
      </c>
      <c r="C8" s="35">
        <f>DATE(YEAR(B8)+1,MONTH(B8),DAY(B8))</f>
        <v>42004</v>
      </c>
      <c r="D8" s="35">
        <f t="shared" ref="D8:F8" si="13">DATE(YEAR(C8)+1,MONTH(C8),DAY(C8))</f>
        <v>42369</v>
      </c>
      <c r="E8" s="35">
        <f t="shared" si="13"/>
        <v>42735</v>
      </c>
      <c r="F8" s="35">
        <f t="shared" si="13"/>
        <v>43100</v>
      </c>
      <c r="G8" s="35">
        <f t="shared" si="2"/>
        <v>43465</v>
      </c>
      <c r="H8" s="35">
        <f t="shared" si="3"/>
        <v>43830</v>
      </c>
      <c r="I8" s="35">
        <f t="shared" si="4"/>
        <v>44196</v>
      </c>
      <c r="J8" s="35">
        <f t="shared" si="5"/>
        <v>44561</v>
      </c>
      <c r="K8" s="35">
        <f t="shared" si="6"/>
        <v>44926</v>
      </c>
      <c r="L8" s="35">
        <f t="shared" si="7"/>
        <v>45291</v>
      </c>
      <c r="M8" s="35">
        <f t="shared" si="8"/>
        <v>45657</v>
      </c>
      <c r="N8" s="35">
        <f t="shared" si="9"/>
        <v>46022</v>
      </c>
      <c r="O8" s="35">
        <f t="shared" si="10"/>
        <v>46387</v>
      </c>
      <c r="P8" s="35">
        <f t="shared" si="11"/>
        <v>46752</v>
      </c>
      <c r="Q8" s="35">
        <f t="shared" si="12"/>
        <v>47118</v>
      </c>
    </row>
    <row r="9" spans="1:17" outlineLevel="1">
      <c r="A9" t="s">
        <v>125</v>
      </c>
      <c r="B9">
        <f>B8-B7+1</f>
        <v>365</v>
      </c>
      <c r="C9">
        <f>C8-C7+1</f>
        <v>365</v>
      </c>
      <c r="D9">
        <f t="shared" ref="D9:F9" si="14">D8-D7+1</f>
        <v>365</v>
      </c>
      <c r="E9">
        <f t="shared" si="14"/>
        <v>366</v>
      </c>
      <c r="F9">
        <f t="shared" si="14"/>
        <v>365</v>
      </c>
      <c r="G9">
        <f t="shared" ref="G9:Q9" si="15">G8-G7+1</f>
        <v>365</v>
      </c>
      <c r="H9">
        <f t="shared" si="15"/>
        <v>365</v>
      </c>
      <c r="I9">
        <f t="shared" si="15"/>
        <v>366</v>
      </c>
      <c r="J9">
        <f t="shared" si="15"/>
        <v>365</v>
      </c>
      <c r="K9">
        <f t="shared" si="15"/>
        <v>365</v>
      </c>
      <c r="L9">
        <f t="shared" si="15"/>
        <v>365</v>
      </c>
      <c r="M9">
        <f t="shared" si="15"/>
        <v>366</v>
      </c>
      <c r="N9">
        <f t="shared" si="15"/>
        <v>365</v>
      </c>
      <c r="O9">
        <f t="shared" si="15"/>
        <v>365</v>
      </c>
      <c r="P9">
        <f t="shared" si="15"/>
        <v>365</v>
      </c>
      <c r="Q9">
        <f t="shared" si="15"/>
        <v>366</v>
      </c>
    </row>
    <row r="10" spans="1:17" outlineLevel="1"/>
    <row r="11" spans="1:17" outlineLevel="1">
      <c r="A11" s="1" t="s">
        <v>153</v>
      </c>
    </row>
    <row r="12" spans="1:17" outlineLevel="1">
      <c r="A12" t="s">
        <v>147</v>
      </c>
      <c r="C12" s="56" t="str">
        <f>IFERROR(C67/B67-1,"na")</f>
        <v>na</v>
      </c>
      <c r="D12" s="56" t="str">
        <f t="shared" ref="D12:F12" si="16">IFERROR(D67/C67-1,"na")</f>
        <v>na</v>
      </c>
      <c r="E12" s="56">
        <f t="shared" si="16"/>
        <v>0.18953202451114315</v>
      </c>
      <c r="F12" s="56">
        <f t="shared" si="16"/>
        <v>0.18509039603635524</v>
      </c>
      <c r="G12" s="163">
        <f>Scenarios!G21</f>
        <v>0.15662615131882518</v>
      </c>
      <c r="H12" s="163">
        <f>Scenarios!H21</f>
        <v>0.16999999999999993</v>
      </c>
      <c r="I12" s="163">
        <f>Scenarios!I21</f>
        <v>0.16</v>
      </c>
      <c r="J12" s="163">
        <f>Scenarios!J21</f>
        <v>0.15</v>
      </c>
      <c r="K12" s="163">
        <f>Scenarios!K21</f>
        <v>0.14000000000000001</v>
      </c>
      <c r="L12" s="163">
        <f>Scenarios!L21</f>
        <v>0.12</v>
      </c>
      <c r="M12" s="163">
        <f>Scenarios!M21</f>
        <v>0.1</v>
      </c>
      <c r="N12" s="163">
        <f>Scenarios!N21</f>
        <v>0.08</v>
      </c>
      <c r="O12" s="163">
        <f>Scenarios!O21</f>
        <v>7.0000000000000007E-2</v>
      </c>
      <c r="P12" s="163">
        <f>Scenarios!P21</f>
        <v>0.06</v>
      </c>
      <c r="Q12" s="163">
        <f>Scenarios!Q21</f>
        <v>0.05</v>
      </c>
    </row>
    <row r="13" spans="1:17" outlineLevel="1">
      <c r="A13" t="s">
        <v>148</v>
      </c>
      <c r="C13" s="56" t="str">
        <f t="shared" ref="C13:F13" si="17">IFERROR(C68/B68-1,"na")</f>
        <v>na</v>
      </c>
      <c r="D13" s="56" t="str">
        <f t="shared" si="17"/>
        <v>na</v>
      </c>
      <c r="E13" s="56" t="str">
        <f t="shared" si="17"/>
        <v>na</v>
      </c>
      <c r="F13" s="56" t="str">
        <f t="shared" si="17"/>
        <v>na</v>
      </c>
      <c r="G13" s="163">
        <f>Scenarios!G22</f>
        <v>2.1417570002314954</v>
      </c>
      <c r="H13" s="163">
        <f>Scenarios!H22</f>
        <v>0.15</v>
      </c>
      <c r="I13" s="163">
        <f>Scenarios!I22</f>
        <v>9.000000000000008E-2</v>
      </c>
      <c r="J13" s="163">
        <f>Scenarios!J22</f>
        <v>9.4189716160863579E-2</v>
      </c>
      <c r="K13" s="163">
        <f>Scenarios!K22</f>
        <v>9.3808933290109309E-2</v>
      </c>
      <c r="L13" s="163">
        <f>Scenarios!L22</f>
        <v>0.10536640610052039</v>
      </c>
      <c r="M13" s="163">
        <f>Scenarios!M22</f>
        <v>0.11246415430906143</v>
      </c>
      <c r="N13" s="163">
        <f>Scenarios!N22</f>
        <v>0.10168344411754604</v>
      </c>
      <c r="O13" s="163">
        <f>Scenarios!O22</f>
        <v>9.9862677050148285E-2</v>
      </c>
      <c r="P13" s="163">
        <f>Scenarios!P22</f>
        <v>0.09</v>
      </c>
      <c r="Q13" s="163">
        <f>Scenarios!Q22</f>
        <v>0.08</v>
      </c>
    </row>
    <row r="14" spans="1:17" outlineLevel="1">
      <c r="A14" t="s">
        <v>149</v>
      </c>
      <c r="C14" s="56" t="str">
        <f t="shared" ref="C14:F14" si="18">IFERROR(C69/B69-1,"na")</f>
        <v>na</v>
      </c>
      <c r="D14" s="56" t="str">
        <f t="shared" si="18"/>
        <v>na</v>
      </c>
      <c r="E14" s="56">
        <f t="shared" si="18"/>
        <v>0.42937958473206517</v>
      </c>
      <c r="F14" s="56">
        <f t="shared" si="18"/>
        <v>0.38655242900013054</v>
      </c>
      <c r="G14" s="163">
        <f>Scenarios!G23</f>
        <v>0.3911138295536527</v>
      </c>
      <c r="H14" s="163">
        <f>Scenarios!H23</f>
        <v>0.30000000000000004</v>
      </c>
      <c r="I14" s="163">
        <f>Scenarios!I23</f>
        <v>0.25</v>
      </c>
      <c r="J14" s="163">
        <f>Scenarios!J23</f>
        <v>0.19999999999999996</v>
      </c>
      <c r="K14" s="163">
        <f>Scenarios!K23</f>
        <v>0.2</v>
      </c>
      <c r="L14" s="163">
        <f>Scenarios!L23</f>
        <v>0.15</v>
      </c>
      <c r="M14" s="163">
        <f>Scenarios!M23</f>
        <v>0.12</v>
      </c>
      <c r="N14" s="163">
        <f>Scenarios!N23</f>
        <v>0.1</v>
      </c>
      <c r="O14" s="163">
        <f>Scenarios!O23</f>
        <v>0.08</v>
      </c>
      <c r="P14" s="163">
        <f>Scenarios!P23</f>
        <v>0.06</v>
      </c>
      <c r="Q14" s="163">
        <f>Scenarios!Q23</f>
        <v>0.05</v>
      </c>
    </row>
    <row r="15" spans="1:17" outlineLevel="1">
      <c r="A15" t="s">
        <v>150</v>
      </c>
      <c r="C15" s="56" t="str">
        <f t="shared" ref="C15:F15" si="19">IFERROR(C70/B70-1,"na")</f>
        <v>na</v>
      </c>
      <c r="D15" s="56" t="str">
        <f t="shared" si="19"/>
        <v>na</v>
      </c>
      <c r="E15" s="56">
        <f t="shared" si="19"/>
        <v>0.43138571748376986</v>
      </c>
      <c r="F15" s="56">
        <f t="shared" si="19"/>
        <v>0.52033156083828591</v>
      </c>
      <c r="G15" s="163">
        <f>Scenarios!G24</f>
        <v>0.56295545725748375</v>
      </c>
      <c r="H15" s="163">
        <f>Scenarios!H24</f>
        <v>0.44999999999999996</v>
      </c>
      <c r="I15" s="163">
        <f>Scenarios!I24</f>
        <v>0.35000000000000009</v>
      </c>
      <c r="J15" s="163">
        <f>Scenarios!J24</f>
        <v>0.30000000000000004</v>
      </c>
      <c r="K15" s="163">
        <f>Scenarios!K24</f>
        <v>0.19999999999999996</v>
      </c>
      <c r="L15" s="163">
        <f>Scenarios!L24</f>
        <v>0.14999999999999991</v>
      </c>
      <c r="M15" s="163">
        <f>Scenarios!M24</f>
        <v>0.10000000000000009</v>
      </c>
      <c r="N15" s="163">
        <f>Scenarios!N24</f>
        <v>8.0000000000000071E-2</v>
      </c>
      <c r="O15" s="163">
        <f>Scenarios!O24</f>
        <v>6.0000000000000053E-2</v>
      </c>
      <c r="P15" s="163">
        <f>Scenarios!P24</f>
        <v>0.05</v>
      </c>
      <c r="Q15" s="163">
        <f>Scenarios!Q24</f>
        <v>0.05</v>
      </c>
    </row>
    <row r="16" spans="1:17" outlineLevel="1">
      <c r="A16" t="s">
        <v>151</v>
      </c>
      <c r="C16" s="56" t="str">
        <f t="shared" ref="C16:F16" si="20">IFERROR(C71/B71-1,"na")</f>
        <v>na</v>
      </c>
      <c r="D16" s="56" t="str">
        <f t="shared" si="20"/>
        <v>na</v>
      </c>
      <c r="E16" s="56">
        <f t="shared" si="20"/>
        <v>0.55063451776649752</v>
      </c>
      <c r="F16" s="56">
        <f t="shared" si="20"/>
        <v>0.42884033063262139</v>
      </c>
      <c r="G16" s="163">
        <f>Scenarios!G25</f>
        <v>0.44421100864883445</v>
      </c>
      <c r="H16" s="163">
        <f>Scenarios!H25</f>
        <v>0.39999999999999991</v>
      </c>
      <c r="I16" s="163">
        <f>Scenarios!I25</f>
        <v>0.35000000000000009</v>
      </c>
      <c r="J16" s="163">
        <f>Scenarios!J25</f>
        <v>0.25</v>
      </c>
      <c r="K16" s="163">
        <f>Scenarios!K25</f>
        <v>0.19999999999999996</v>
      </c>
      <c r="L16" s="163">
        <f>Scenarios!L25</f>
        <v>0.14999999999999991</v>
      </c>
      <c r="M16" s="163">
        <f>Scenarios!M25</f>
        <v>0.14999999999999991</v>
      </c>
      <c r="N16" s="163">
        <f>Scenarios!N25</f>
        <v>0.12</v>
      </c>
      <c r="O16" s="163">
        <f>Scenarios!O25</f>
        <v>0.12</v>
      </c>
      <c r="P16" s="163">
        <f>Scenarios!P25</f>
        <v>0.1</v>
      </c>
      <c r="Q16" s="163">
        <f>Scenarios!Q25</f>
        <v>0.08</v>
      </c>
    </row>
    <row r="17" spans="1:31" outlineLevel="1">
      <c r="A17" t="s">
        <v>152</v>
      </c>
      <c r="C17" s="56" t="str">
        <f t="shared" ref="C17:F18" si="21">IFERROR(C72/B72-1,"na")</f>
        <v>na</v>
      </c>
      <c r="D17" s="56" t="str">
        <f t="shared" si="21"/>
        <v>na</v>
      </c>
      <c r="E17" s="56">
        <f t="shared" si="21"/>
        <v>0.72514619883040932</v>
      </c>
      <c r="F17" s="56">
        <f t="shared" si="21"/>
        <v>0.57728813559322023</v>
      </c>
      <c r="G17" s="163">
        <f>Scenarios!G26</f>
        <v>1.2099613152804642</v>
      </c>
      <c r="H17" s="163">
        <f>Scenarios!H26</f>
        <v>0.75</v>
      </c>
      <c r="I17" s="163">
        <f>Scenarios!I26</f>
        <v>0.53</v>
      </c>
      <c r="J17" s="163">
        <f>Scenarios!J26</f>
        <v>0.44999999999999996</v>
      </c>
      <c r="K17" s="163">
        <f>Scenarios!K26</f>
        <v>0.35000000000000009</v>
      </c>
      <c r="L17" s="163">
        <f>Scenarios!L26</f>
        <v>0.25</v>
      </c>
      <c r="M17" s="163">
        <f>Scenarios!M26</f>
        <v>0.14999999999999991</v>
      </c>
      <c r="N17" s="163">
        <f>Scenarios!N26</f>
        <v>0.10000000000000009</v>
      </c>
      <c r="O17" s="163">
        <f>Scenarios!O26</f>
        <v>8.0000000000000071E-2</v>
      </c>
      <c r="P17" s="163">
        <f>Scenarios!P26</f>
        <v>7.0000000000000007E-2</v>
      </c>
      <c r="Q17" s="163">
        <f>Scenarios!Q26</f>
        <v>0.06</v>
      </c>
    </row>
    <row r="18" spans="1:31" outlineLevel="1">
      <c r="A18" s="15" t="s">
        <v>3</v>
      </c>
      <c r="B18" s="13"/>
      <c r="C18" s="31">
        <f t="shared" si="21"/>
        <v>0.1952398861011122</v>
      </c>
      <c r="D18" s="31">
        <f t="shared" si="21"/>
        <v>0.20247673843664304</v>
      </c>
      <c r="E18" s="31">
        <f t="shared" si="21"/>
        <v>0.27083528026465808</v>
      </c>
      <c r="F18" s="31">
        <f t="shared" si="21"/>
        <v>0.30796326119408479</v>
      </c>
      <c r="G18" s="31">
        <f t="shared" ref="G18" si="22">IFERROR(G73/F73-1,"na")</f>
        <v>0.34135808466678408</v>
      </c>
      <c r="H18" s="31">
        <f t="shared" ref="H18" si="23">IFERROR(H73/G73-1,"na")</f>
        <v>0.25977548063030054</v>
      </c>
      <c r="I18" s="31">
        <f t="shared" ref="I18" si="24">IFERROR(I73/H73-1,"na")</f>
        <v>0.23078010104779012</v>
      </c>
      <c r="J18" s="31">
        <f t="shared" ref="J18" si="25">IFERROR(J73/I73-1,"na")</f>
        <v>0.20356682525201109</v>
      </c>
      <c r="K18" s="31">
        <f t="shared" ref="K18" si="26">IFERROR(K73/J73-1,"na")</f>
        <v>0.18113082863695018</v>
      </c>
      <c r="L18" s="31">
        <f t="shared" ref="L18" si="27">IFERROR(L73/K73-1,"na")</f>
        <v>0.14520808476869473</v>
      </c>
      <c r="M18" s="31">
        <f t="shared" ref="M18" si="28">IFERROR(M73/L73-1,"na")</f>
        <v>0.11700698218516181</v>
      </c>
      <c r="N18" s="31">
        <f t="shared" ref="N18" si="29">IFERROR(N73/M73-1,"na")</f>
        <v>9.2981998647825526E-2</v>
      </c>
      <c r="O18" s="31">
        <f t="shared" ref="O18" si="30">IFERROR(O73/N73-1,"na")</f>
        <v>8.1000804064627729E-2</v>
      </c>
      <c r="P18" s="31">
        <f t="shared" ref="P18" si="31">IFERROR(P73/O73-1,"na")</f>
        <v>6.7817695478990192E-2</v>
      </c>
      <c r="Q18" s="31">
        <f t="shared" ref="Q18" si="32">IFERROR(Q73/P73-1,"na")</f>
        <v>5.7340233853614642E-2</v>
      </c>
    </row>
    <row r="19" spans="1:31" outlineLevel="1">
      <c r="A19" s="1"/>
      <c r="B19" s="55"/>
      <c r="C19" s="55"/>
      <c r="D19" s="54"/>
      <c r="E19" s="54"/>
      <c r="F19" s="54"/>
    </row>
    <row r="20" spans="1:31" ht="14.25" customHeight="1" outlineLevel="1">
      <c r="A20" s="28" t="s">
        <v>100</v>
      </c>
      <c r="C20" s="8"/>
      <c r="D20" s="8"/>
      <c r="E20" s="8"/>
      <c r="F20" s="8"/>
    </row>
    <row r="21" spans="1:31" ht="14.25" customHeight="1" outlineLevel="1">
      <c r="A21" t="s">
        <v>5</v>
      </c>
      <c r="B21" s="8">
        <f>B81/B$79</f>
        <v>0.72773061838499975</v>
      </c>
      <c r="C21" s="8">
        <f t="shared" ref="C21:F21" si="33">C81/C$79</f>
        <v>0.70517373128961214</v>
      </c>
      <c r="D21" s="8">
        <f t="shared" si="33"/>
        <v>0.66959796646916991</v>
      </c>
      <c r="E21" s="8">
        <f t="shared" si="33"/>
        <v>0.64906939633935601</v>
      </c>
      <c r="F21" s="8">
        <f t="shared" si="33"/>
        <v>0.6293164517108385</v>
      </c>
      <c r="G21" s="163">
        <f>Scenarios!G30</f>
        <v>0.61043695815951304</v>
      </c>
      <c r="H21" s="163">
        <f>Scenarios!H30</f>
        <v>0.61043695815951304</v>
      </c>
      <c r="I21" s="163">
        <f>Scenarios!I30</f>
        <v>0.59499999999999997</v>
      </c>
      <c r="J21" s="163">
        <f>Scenarios!J30</f>
        <v>0.59499999999999997</v>
      </c>
      <c r="K21" s="163">
        <f>Scenarios!K30</f>
        <v>0.59</v>
      </c>
      <c r="L21" s="163">
        <f>Scenarios!L30</f>
        <v>0.59</v>
      </c>
      <c r="M21" s="163">
        <f>Scenarios!M30</f>
        <v>0.59499999999999997</v>
      </c>
      <c r="N21" s="163">
        <f>Scenarios!N30</f>
        <v>0.59499999999999997</v>
      </c>
      <c r="O21" s="163">
        <f>Scenarios!O30</f>
        <v>0.59</v>
      </c>
      <c r="P21" s="163">
        <f>Scenarios!P30</f>
        <v>0.59</v>
      </c>
      <c r="Q21" s="163">
        <f>Scenarios!Q30</f>
        <v>0.58499999999999996</v>
      </c>
    </row>
    <row r="22" spans="1:31" ht="14.25" customHeight="1" outlineLevel="1">
      <c r="A22" s="10" t="s">
        <v>6</v>
      </c>
      <c r="B22" s="8">
        <f t="shared" ref="B22:F27" si="34">B82/B$79</f>
        <v>0.11530919249986568</v>
      </c>
      <c r="C22" s="8">
        <f t="shared" si="34"/>
        <v>0.12098260439609836</v>
      </c>
      <c r="D22" s="8">
        <f t="shared" si="34"/>
        <v>0.1253200755097845</v>
      </c>
      <c r="E22" s="8">
        <f t="shared" si="34"/>
        <v>0.12956385536852788</v>
      </c>
      <c r="F22" s="8">
        <f t="shared" si="34"/>
        <v>0.14195517974205302</v>
      </c>
      <c r="G22" s="163">
        <f>Scenarios!G31</f>
        <v>0.1462138351343146</v>
      </c>
      <c r="H22" s="163">
        <f>Scenarios!H31</f>
        <v>0.15060025018834405</v>
      </c>
      <c r="I22" s="163">
        <f>Scenarios!I31</f>
        <v>0.15361225519211094</v>
      </c>
      <c r="J22" s="163">
        <f>Scenarios!J31</f>
        <v>0.155</v>
      </c>
      <c r="K22" s="163">
        <f>Scenarios!K31</f>
        <v>0.156</v>
      </c>
      <c r="L22" s="163">
        <f>Scenarios!L31</f>
        <v>0.157</v>
      </c>
      <c r="M22" s="163">
        <f>Scenarios!M31</f>
        <v>0.158</v>
      </c>
      <c r="N22" s="163">
        <f>Scenarios!N31</f>
        <v>0.16</v>
      </c>
      <c r="O22" s="163">
        <f>Scenarios!O31</f>
        <v>0.16</v>
      </c>
      <c r="P22" s="163">
        <f>Scenarios!P31</f>
        <v>0.16</v>
      </c>
      <c r="Q22" s="163">
        <f>Scenarios!Q31</f>
        <v>0.16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spans="1:31" ht="14.25" customHeight="1" outlineLevel="1">
      <c r="A23" s="10" t="s">
        <v>7</v>
      </c>
      <c r="B23" s="8">
        <f t="shared" si="34"/>
        <v>4.2080803739321979E-2</v>
      </c>
      <c r="C23" s="8">
        <f t="shared" si="34"/>
        <v>4.8680720996089361E-2</v>
      </c>
      <c r="D23" s="8">
        <f t="shared" si="34"/>
        <v>4.9100050464459935E-2</v>
      </c>
      <c r="E23" s="8">
        <f t="shared" si="34"/>
        <v>5.3188907763242074E-2</v>
      </c>
      <c r="F23" s="8">
        <f t="shared" si="34"/>
        <v>5.6610032271485276E-2</v>
      </c>
      <c r="G23" s="163">
        <f>Scenarios!G32</f>
        <v>5.8308333239629834E-2</v>
      </c>
      <c r="H23" s="163">
        <f>Scenarios!H32</f>
        <v>6.0057583236818729E-2</v>
      </c>
      <c r="I23" s="163">
        <f>Scenarios!I32</f>
        <v>6.1258734901555104E-2</v>
      </c>
      <c r="J23" s="163">
        <f>Scenarios!J32</f>
        <v>6.2483909599586204E-2</v>
      </c>
      <c r="K23" s="163">
        <f>Scenarios!K32</f>
        <v>6.2483909599586204E-2</v>
      </c>
      <c r="L23" s="163">
        <f>Scenarios!L32</f>
        <v>6.2483909599586204E-2</v>
      </c>
      <c r="M23" s="163">
        <f>Scenarios!M32</f>
        <v>6.2483909599586204E-2</v>
      </c>
      <c r="N23" s="163">
        <f>Scenarios!N32</f>
        <v>6.0999999999999999E-2</v>
      </c>
      <c r="O23" s="163">
        <f>Scenarios!O32</f>
        <v>6.0999999999999999E-2</v>
      </c>
      <c r="P23" s="163">
        <f>Scenarios!P32</f>
        <v>6.0999999999999999E-2</v>
      </c>
      <c r="Q23" s="163">
        <f>Scenarios!Q32</f>
        <v>0.06</v>
      </c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 spans="1:31" ht="14.25" customHeight="1" outlineLevel="1">
      <c r="A24" s="10" t="s">
        <v>8</v>
      </c>
      <c r="B24" s="8">
        <f t="shared" si="34"/>
        <v>8.8177617794014937E-2</v>
      </c>
      <c r="C24" s="8">
        <f t="shared" si="34"/>
        <v>0.10422753629702881</v>
      </c>
      <c r="D24" s="8">
        <f t="shared" si="34"/>
        <v>0.11718969029774032</v>
      </c>
      <c r="E24" s="8">
        <f t="shared" si="34"/>
        <v>0.11828336532168517</v>
      </c>
      <c r="F24" s="8">
        <f t="shared" si="34"/>
        <v>0.12717438970910686</v>
      </c>
      <c r="G24" s="163">
        <f>Scenarios!G33</f>
        <v>0.12717438970910686</v>
      </c>
      <c r="H24" s="163">
        <f>Scenarios!H33</f>
        <v>0.12717438970910686</v>
      </c>
      <c r="I24" s="163">
        <f>Scenarios!I33</f>
        <v>0.12717438970910686</v>
      </c>
      <c r="J24" s="163">
        <f>Scenarios!J33</f>
        <v>0.12717438970910686</v>
      </c>
      <c r="K24" s="163">
        <f>Scenarios!K33</f>
        <v>0.12717438970910686</v>
      </c>
      <c r="L24" s="163">
        <f>Scenarios!L33</f>
        <v>0.125</v>
      </c>
      <c r="M24" s="163">
        <f>Scenarios!M33</f>
        <v>0.125</v>
      </c>
      <c r="N24" s="163">
        <f>Scenarios!N33</f>
        <v>0.125</v>
      </c>
      <c r="O24" s="163">
        <f>Scenarios!O33</f>
        <v>0.1225</v>
      </c>
      <c r="P24" s="163">
        <f>Scenarios!P33</f>
        <v>0.12</v>
      </c>
      <c r="Q24" s="163">
        <f>Scenarios!Q33</f>
        <v>0.12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ht="14.25" customHeight="1" outlineLevel="1">
      <c r="A25" s="10" t="s">
        <v>9</v>
      </c>
      <c r="B25" s="8">
        <f t="shared" si="34"/>
        <v>1.5164132595497771E-2</v>
      </c>
      <c r="C25" s="8">
        <f t="shared" si="34"/>
        <v>1.7440553782532477E-2</v>
      </c>
      <c r="D25" s="8">
        <f t="shared" si="34"/>
        <v>1.6326187316599069E-2</v>
      </c>
      <c r="E25" s="8">
        <f t="shared" si="34"/>
        <v>1.7884062447145684E-2</v>
      </c>
      <c r="F25" s="8">
        <f t="shared" si="34"/>
        <v>2.0655999460267842E-2</v>
      </c>
      <c r="G25" s="163">
        <f>Scenarios!G34</f>
        <v>2.0655999460267842E-2</v>
      </c>
      <c r="H25" s="163">
        <f>Scenarios!H34</f>
        <v>2.0655999460267842E-2</v>
      </c>
      <c r="I25" s="163">
        <f>Scenarios!I34</f>
        <v>2.0655999460267842E-2</v>
      </c>
      <c r="J25" s="163">
        <f>Scenarios!J34</f>
        <v>0.02</v>
      </c>
      <c r="K25" s="163">
        <f>Scenarios!K34</f>
        <v>0.02</v>
      </c>
      <c r="L25" s="163">
        <f>Scenarios!L34</f>
        <v>0.02</v>
      </c>
      <c r="M25" s="163">
        <f>Scenarios!M34</f>
        <v>0.02</v>
      </c>
      <c r="N25" s="163">
        <f>Scenarios!N34</f>
        <v>1.9E-2</v>
      </c>
      <c r="O25" s="163">
        <f>Scenarios!O34</f>
        <v>1.9E-2</v>
      </c>
      <c r="P25" s="163">
        <f>Scenarios!P34</f>
        <v>1.9E-2</v>
      </c>
      <c r="Q25" s="163">
        <f>Scenarios!Q34</f>
        <v>1.9E-2</v>
      </c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 spans="1:31" ht="14.25" customHeight="1" outlineLevel="1">
      <c r="A26" s="10" t="s">
        <v>10</v>
      </c>
      <c r="B26" s="8">
        <f t="shared" si="34"/>
        <v>1.5311878794391017E-3</v>
      </c>
      <c r="C26" s="8">
        <f t="shared" si="34"/>
        <v>1.4945835393536206E-3</v>
      </c>
      <c r="D26" s="8">
        <f t="shared" si="34"/>
        <v>1.5980412313328224E-3</v>
      </c>
      <c r="E26" s="8">
        <f t="shared" si="34"/>
        <v>1.2280585644215991E-3</v>
      </c>
      <c r="F26" s="8">
        <f t="shared" si="34"/>
        <v>1.2031529353558298E-3</v>
      </c>
      <c r="G26" s="163">
        <f>Scenarios!G35</f>
        <v>1.1429952885880382E-3</v>
      </c>
      <c r="H26" s="163">
        <f>Scenarios!H35</f>
        <v>1.0858455241586362E-3</v>
      </c>
      <c r="I26" s="163">
        <f>Scenarios!I35</f>
        <v>1.0315532479507044E-3</v>
      </c>
      <c r="J26" s="163">
        <f>Scenarios!J35</f>
        <v>9.7997558555316922E-4</v>
      </c>
      <c r="K26" s="163">
        <f>Scenarios!K35</f>
        <v>9.3097680627551068E-4</v>
      </c>
      <c r="L26" s="163">
        <f>Scenarios!L35</f>
        <v>8.844279659617351E-4</v>
      </c>
      <c r="M26" s="163">
        <f>Scenarios!M35</f>
        <v>8.4020656766364832E-4</v>
      </c>
      <c r="N26" s="163">
        <f>Scenarios!N35</f>
        <v>7.9819623928046582E-4</v>
      </c>
      <c r="O26" s="163">
        <f>Scenarios!O35</f>
        <v>7.5828642731644248E-4</v>
      </c>
      <c r="P26" s="163">
        <f>Scenarios!P35</f>
        <v>7.5828642731644248E-4</v>
      </c>
      <c r="Q26" s="163">
        <f>Scenarios!Q35</f>
        <v>7.5828642731644248E-4</v>
      </c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 spans="1:31" ht="14.25" customHeight="1" outlineLevel="1">
      <c r="A27" s="30" t="s">
        <v>11</v>
      </c>
      <c r="B27" s="31">
        <f t="shared" si="34"/>
        <v>0.98999355289313917</v>
      </c>
      <c r="C27" s="31">
        <f t="shared" si="34"/>
        <v>0.99799973030071465</v>
      </c>
      <c r="D27" s="31">
        <f t="shared" si="34"/>
        <v>0.97913201128908656</v>
      </c>
      <c r="E27" s="31">
        <f t="shared" si="34"/>
        <v>0.96921764580437841</v>
      </c>
      <c r="F27" s="31">
        <f t="shared" si="34"/>
        <v>0.97691520582910729</v>
      </c>
      <c r="G27" s="31">
        <f>SUM(G21:G26)</f>
        <v>0.9639325109914203</v>
      </c>
      <c r="H27" s="31">
        <f t="shared" ref="H27:Q27" si="35">SUM(H21:H26)</f>
        <v>0.97001102627820934</v>
      </c>
      <c r="I27" s="31">
        <f t="shared" si="35"/>
        <v>0.95873293251099145</v>
      </c>
      <c r="J27" s="31">
        <f t="shared" si="35"/>
        <v>0.96063827489424625</v>
      </c>
      <c r="K27" s="31">
        <f t="shared" si="35"/>
        <v>0.95658927611496858</v>
      </c>
      <c r="L27" s="31">
        <f t="shared" si="35"/>
        <v>0.95536833756554795</v>
      </c>
      <c r="M27" s="31">
        <f t="shared" si="35"/>
        <v>0.96132411616724989</v>
      </c>
      <c r="N27" s="31">
        <f t="shared" si="35"/>
        <v>0.96079819623928053</v>
      </c>
      <c r="O27" s="31">
        <f t="shared" si="35"/>
        <v>0.95325828642731647</v>
      </c>
      <c r="P27" s="31">
        <f t="shared" si="35"/>
        <v>0.95075828642731641</v>
      </c>
      <c r="Q27" s="31">
        <f t="shared" si="35"/>
        <v>0.94475828642731641</v>
      </c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 spans="1:31" ht="14.25" customHeight="1" outlineLevel="1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 spans="1:31" ht="14.25" customHeight="1" outlineLevel="1">
      <c r="A29" s="10" t="s">
        <v>101</v>
      </c>
      <c r="B29" s="9">
        <f>B145/SUM(B82:B86)</f>
        <v>5.807641093926047E-2</v>
      </c>
      <c r="C29" s="9">
        <f>C145/SUM(C82:C86)</f>
        <v>5.7448768132627219E-2</v>
      </c>
      <c r="D29" s="9">
        <f t="shared" ref="D29:F29" si="36">D145/SUM(D82:D86)</f>
        <v>6.3975605337841912E-2</v>
      </c>
      <c r="E29" s="9">
        <f t="shared" si="36"/>
        <v>6.8334252113193675E-2</v>
      </c>
      <c r="F29" s="9">
        <f t="shared" si="36"/>
        <v>6.8175201371591235E-2</v>
      </c>
      <c r="G29" s="163">
        <f>Scenarios!G38</f>
        <v>6.8000000000000005E-2</v>
      </c>
      <c r="H29" s="163">
        <f>Scenarios!H38</f>
        <v>6.8000000000000005E-2</v>
      </c>
      <c r="I29" s="163">
        <f>Scenarios!I38</f>
        <v>6.8000000000000005E-2</v>
      </c>
      <c r="J29" s="163">
        <f>Scenarios!J38</f>
        <v>6.8000000000000005E-2</v>
      </c>
      <c r="K29" s="163">
        <f>Scenarios!K38</f>
        <v>6.8000000000000005E-2</v>
      </c>
      <c r="L29" s="163">
        <f>Scenarios!L38</f>
        <v>6.8000000000000005E-2</v>
      </c>
      <c r="M29" s="163">
        <f>Scenarios!M38</f>
        <v>6.8000000000000005E-2</v>
      </c>
      <c r="N29" s="163">
        <f>Scenarios!N38</f>
        <v>6.8000000000000005E-2</v>
      </c>
      <c r="O29" s="163">
        <f>Scenarios!O38</f>
        <v>6.8000000000000005E-2</v>
      </c>
      <c r="P29" s="163">
        <f>Scenarios!P38</f>
        <v>6.8000000000000005E-2</v>
      </c>
      <c r="Q29" s="163">
        <f>Scenarios!Q38</f>
        <v>6.8000000000000005E-2</v>
      </c>
    </row>
    <row r="30" spans="1:31" ht="14.25" customHeight="1" outlineLevel="1">
      <c r="A30" s="10" t="s">
        <v>91</v>
      </c>
      <c r="B30" s="9">
        <f>IF(-B94/B93&lt;0,0,-B94/B93)</f>
        <v>0.31818181818181818</v>
      </c>
      <c r="C30" s="9">
        <f t="shared" ref="C30:F30" si="37">IF(-C94/C93&lt;0,0,-C94/C93)</f>
        <v>0</v>
      </c>
      <c r="D30" s="9">
        <f t="shared" si="37"/>
        <v>0.60586734693877553</v>
      </c>
      <c r="E30" s="9">
        <f t="shared" si="37"/>
        <v>0.36613566289825283</v>
      </c>
      <c r="F30" s="9">
        <f t="shared" si="37"/>
        <v>0.20204939569101418</v>
      </c>
      <c r="G30" s="163">
        <f>Scenarios!G39</f>
        <v>0.2</v>
      </c>
      <c r="H30" s="163">
        <f>Scenarios!H39</f>
        <v>0.2</v>
      </c>
      <c r="I30" s="163">
        <f>Scenarios!I39</f>
        <v>0.22500000000000001</v>
      </c>
      <c r="J30" s="163">
        <f>Scenarios!J39</f>
        <v>0.22500000000000001</v>
      </c>
      <c r="K30" s="163">
        <f>Scenarios!K39</f>
        <v>0.22500000000000001</v>
      </c>
      <c r="L30" s="163">
        <f>Scenarios!L39</f>
        <v>0.22500000000000001</v>
      </c>
      <c r="M30" s="163">
        <f>Scenarios!M39</f>
        <v>0.22500000000000001</v>
      </c>
      <c r="N30" s="163">
        <f>Scenarios!N39</f>
        <v>0.22500000000000001</v>
      </c>
      <c r="O30" s="163">
        <f>Scenarios!O39</f>
        <v>0.22500000000000001</v>
      </c>
      <c r="P30" s="163">
        <f>Scenarios!P39</f>
        <v>0.22500000000000001</v>
      </c>
      <c r="Q30" s="163">
        <f>Scenarios!Q39</f>
        <v>0.22500000000000001</v>
      </c>
    </row>
    <row r="31" spans="1:31" ht="14.25" customHeight="1" outlineLevel="1">
      <c r="A31" s="10" t="s">
        <v>102</v>
      </c>
      <c r="B31" s="9">
        <f>B89/B139</f>
        <v>4.7006432459178625E-3</v>
      </c>
      <c r="C31" s="9">
        <f>C89/C139</f>
        <v>4.5045045045045045E-3</v>
      </c>
      <c r="D31" s="9">
        <f t="shared" ref="D31:F31" si="38">D89/D139</f>
        <v>3.4347736484165695E-3</v>
      </c>
      <c r="E31" s="9">
        <f t="shared" si="38"/>
        <v>6.2932662051604785E-3</v>
      </c>
      <c r="F31" s="9">
        <f t="shared" si="38"/>
        <v>1.0447915589117616E-2</v>
      </c>
      <c r="G31" s="163">
        <f>Scenarios!G40</f>
        <v>0.01</v>
      </c>
      <c r="H31" s="163">
        <f>Scenarios!H40</f>
        <v>0.01</v>
      </c>
      <c r="I31" s="163">
        <f>Scenarios!I40</f>
        <v>0.01</v>
      </c>
      <c r="J31" s="163">
        <f>Scenarios!J40</f>
        <v>0.01</v>
      </c>
      <c r="K31" s="163">
        <f>Scenarios!K40</f>
        <v>0.01</v>
      </c>
      <c r="L31" s="163">
        <f>Scenarios!L40</f>
        <v>0.01</v>
      </c>
      <c r="M31" s="163">
        <f>Scenarios!M40</f>
        <v>0.01</v>
      </c>
      <c r="N31" s="163">
        <f>Scenarios!N40</f>
        <v>0.01</v>
      </c>
      <c r="O31" s="163">
        <f>Scenarios!O40</f>
        <v>0.01</v>
      </c>
      <c r="P31" s="163">
        <f>Scenarios!P40</f>
        <v>0.01</v>
      </c>
      <c r="Q31" s="163">
        <f>Scenarios!Q40</f>
        <v>0.01</v>
      </c>
    </row>
    <row r="32" spans="1:31" ht="14.25" customHeight="1" outlineLevel="1">
      <c r="A32" s="10" t="s">
        <v>103</v>
      </c>
      <c r="B32" s="9"/>
      <c r="C32" s="9">
        <f>-C90/AVERAGE(B123:C123)</f>
        <v>3.6662011173184357E-2</v>
      </c>
      <c r="D32" s="9">
        <f t="shared" ref="D32:F32" si="39">-D90/AVERAGE(C123:D123)</f>
        <v>5.5636363636363637E-2</v>
      </c>
      <c r="E32" s="9">
        <f t="shared" si="39"/>
        <v>6.0769665390168877E-2</v>
      </c>
      <c r="F32" s="9">
        <f t="shared" si="39"/>
        <v>5.2285969725930262E-2</v>
      </c>
      <c r="G32" s="163">
        <f>Scenarios!G41</f>
        <v>5.5E-2</v>
      </c>
      <c r="H32" s="163">
        <f>Scenarios!H41</f>
        <v>5.5E-2</v>
      </c>
      <c r="I32" s="163">
        <f>Scenarios!I41</f>
        <v>5.5E-2</v>
      </c>
      <c r="J32" s="163">
        <f>Scenarios!J41</f>
        <v>5.5E-2</v>
      </c>
      <c r="K32" s="163">
        <f>Scenarios!K41</f>
        <v>5.5E-2</v>
      </c>
      <c r="L32" s="163">
        <f>Scenarios!L41</f>
        <v>5.5E-2</v>
      </c>
      <c r="M32" s="163">
        <f>Scenarios!M41</f>
        <v>5.5E-2</v>
      </c>
      <c r="N32" s="163">
        <f>Scenarios!N41</f>
        <v>5.5E-2</v>
      </c>
      <c r="O32" s="163">
        <f>Scenarios!O41</f>
        <v>5.5E-2</v>
      </c>
      <c r="P32" s="163">
        <f>Scenarios!P41</f>
        <v>5.5E-2</v>
      </c>
      <c r="Q32" s="163">
        <f>Scenarios!Q41</f>
        <v>5.5E-2</v>
      </c>
    </row>
    <row r="33" spans="1:17" ht="14.25" customHeight="1" outlineLevel="1">
      <c r="A33" s="10"/>
      <c r="B33" s="9"/>
      <c r="C33" s="9"/>
      <c r="D33" s="9"/>
      <c r="E33" s="9"/>
      <c r="F33" s="9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</row>
    <row r="34" spans="1:17" ht="14.25" customHeight="1" outlineLevel="1">
      <c r="A34" s="28" t="s">
        <v>93</v>
      </c>
      <c r="B34" s="9"/>
      <c r="C34" s="9"/>
      <c r="D34" s="9"/>
      <c r="E34" s="9"/>
      <c r="F34" s="9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</row>
    <row r="35" spans="1:17" ht="14.25" customHeight="1" outlineLevel="1">
      <c r="A35" s="10" t="s">
        <v>104</v>
      </c>
      <c r="B35" s="32">
        <f>B109/B81*B$9</f>
        <v>49.925527398903682</v>
      </c>
      <c r="C35" s="32">
        <f>C109/C81*C$9</f>
        <v>48.271529194288625</v>
      </c>
      <c r="D35" s="32">
        <f>D109/D81*D$9</f>
        <v>52.179243834698752</v>
      </c>
      <c r="E35" s="32">
        <f>E109/E81*E$9</f>
        <v>47.524228176513908</v>
      </c>
      <c r="F35" s="32">
        <f>F109/F81*F$9</f>
        <v>52.326862258116392</v>
      </c>
      <c r="G35" s="165">
        <f>Scenarios!G44</f>
        <v>52</v>
      </c>
      <c r="H35" s="165">
        <f>Scenarios!H44</f>
        <v>52</v>
      </c>
      <c r="I35" s="165">
        <f>Scenarios!I44</f>
        <v>52</v>
      </c>
      <c r="J35" s="165">
        <f>Scenarios!J44</f>
        <v>52</v>
      </c>
      <c r="K35" s="165">
        <f>Scenarios!K44</f>
        <v>52</v>
      </c>
      <c r="L35" s="165">
        <f>Scenarios!L44</f>
        <v>52</v>
      </c>
      <c r="M35" s="165">
        <f>Scenarios!M44</f>
        <v>52</v>
      </c>
      <c r="N35" s="165">
        <f>Scenarios!N44</f>
        <v>52</v>
      </c>
      <c r="O35" s="165">
        <f>Scenarios!O44</f>
        <v>52</v>
      </c>
      <c r="P35" s="165">
        <f>Scenarios!P44</f>
        <v>52</v>
      </c>
      <c r="Q35" s="165">
        <f>Scenarios!Q44</f>
        <v>52</v>
      </c>
    </row>
    <row r="36" spans="1:17" ht="14.25" customHeight="1" outlineLevel="1">
      <c r="A36" s="10" t="s">
        <v>105</v>
      </c>
      <c r="B36" s="32">
        <f>B110/B79*B$9</f>
        <v>23.370157954118092</v>
      </c>
      <c r="C36" s="32">
        <f>C110/C79*C$9</f>
        <v>23.018609250685486</v>
      </c>
      <c r="D36" s="32">
        <f>D110/D79*D$9</f>
        <v>21.909005102517618</v>
      </c>
      <c r="E36" s="32">
        <f>E110/E79*E$9</f>
        <v>22.443865957775376</v>
      </c>
      <c r="F36" s="32">
        <f>F110/F79*F$9</f>
        <v>27.013931836326226</v>
      </c>
      <c r="G36" s="165">
        <f>Scenarios!G45</f>
        <v>27</v>
      </c>
      <c r="H36" s="165">
        <f>Scenarios!H45</f>
        <v>27</v>
      </c>
      <c r="I36" s="165">
        <f>Scenarios!I45</f>
        <v>27</v>
      </c>
      <c r="J36" s="165">
        <f>Scenarios!J45</f>
        <v>27</v>
      </c>
      <c r="K36" s="165">
        <f>Scenarios!K45</f>
        <v>27</v>
      </c>
      <c r="L36" s="165">
        <f>Scenarios!L45</f>
        <v>27</v>
      </c>
      <c r="M36" s="165">
        <f>Scenarios!M45</f>
        <v>27</v>
      </c>
      <c r="N36" s="165">
        <f>Scenarios!N45</f>
        <v>27</v>
      </c>
      <c r="O36" s="165">
        <f>Scenarios!O45</f>
        <v>27</v>
      </c>
      <c r="P36" s="165">
        <f>Scenarios!P45</f>
        <v>27</v>
      </c>
      <c r="Q36" s="165">
        <f>Scenarios!Q45</f>
        <v>27</v>
      </c>
    </row>
    <row r="37" spans="1:17" ht="14.25" customHeight="1" outlineLevel="1">
      <c r="A37" s="10" t="s">
        <v>106</v>
      </c>
      <c r="B37" s="32"/>
      <c r="C37" s="32">
        <f>C113-B113</f>
        <v>664</v>
      </c>
      <c r="D37" s="32">
        <f t="shared" ref="D37:F37" si="40">D113-C113</f>
        <v>440</v>
      </c>
      <c r="E37" s="32">
        <f t="shared" si="40"/>
        <v>25</v>
      </c>
      <c r="F37" s="32">
        <f t="shared" si="40"/>
        <v>9566</v>
      </c>
      <c r="G37" s="166">
        <f>Scenarios!G46</f>
        <v>0</v>
      </c>
      <c r="H37" s="166">
        <f>Scenarios!H46</f>
        <v>0</v>
      </c>
      <c r="I37" s="166">
        <f>Scenarios!I46</f>
        <v>0</v>
      </c>
      <c r="J37" s="166">
        <f>Scenarios!J46</f>
        <v>0</v>
      </c>
      <c r="K37" s="166">
        <f>Scenarios!K46</f>
        <v>0</v>
      </c>
      <c r="L37" s="166">
        <f>Scenarios!L46</f>
        <v>0</v>
      </c>
      <c r="M37" s="166">
        <f>Scenarios!M46</f>
        <v>0</v>
      </c>
      <c r="N37" s="166">
        <f>Scenarios!N46</f>
        <v>0</v>
      </c>
      <c r="O37" s="166">
        <f>Scenarios!O46</f>
        <v>0</v>
      </c>
      <c r="P37" s="166">
        <f>Scenarios!P46</f>
        <v>0</v>
      </c>
      <c r="Q37" s="166">
        <f>Scenarios!Q46</f>
        <v>0</v>
      </c>
    </row>
    <row r="38" spans="1:17" ht="14.25" customHeight="1" outlineLevel="1">
      <c r="A38" s="10" t="s">
        <v>107</v>
      </c>
      <c r="B38" s="33"/>
      <c r="C38" s="9">
        <f>C114/B114-1</f>
        <v>0.49844559585492232</v>
      </c>
      <c r="D38" s="9">
        <f t="shared" ref="D38:F38" si="41">D114/C114-1</f>
        <v>0.16632088520055333</v>
      </c>
      <c r="E38" s="9">
        <f t="shared" si="41"/>
        <v>0.40023717758671795</v>
      </c>
      <c r="F38" s="9">
        <f t="shared" si="41"/>
        <v>0.88376032182934572</v>
      </c>
      <c r="G38" s="163">
        <f>Scenarios!G47</f>
        <v>0</v>
      </c>
      <c r="H38" s="163">
        <f>Scenarios!H47</f>
        <v>0</v>
      </c>
      <c r="I38" s="163">
        <f>Scenarios!I47</f>
        <v>0</v>
      </c>
      <c r="J38" s="163">
        <f>Scenarios!J47</f>
        <v>0</v>
      </c>
      <c r="K38" s="163">
        <f>Scenarios!K47</f>
        <v>0</v>
      </c>
      <c r="L38" s="163">
        <f>Scenarios!L47</f>
        <v>0</v>
      </c>
      <c r="M38" s="163">
        <f>Scenarios!M47</f>
        <v>0</v>
      </c>
      <c r="N38" s="163">
        <f>Scenarios!N47</f>
        <v>0</v>
      </c>
      <c r="O38" s="163">
        <f>Scenarios!O47</f>
        <v>0</v>
      </c>
      <c r="P38" s="163">
        <f>Scenarios!P47</f>
        <v>0</v>
      </c>
      <c r="Q38" s="163">
        <f>Scenarios!Q47</f>
        <v>0</v>
      </c>
    </row>
    <row r="39" spans="1:17" ht="14.25" customHeight="1" outlineLevel="1">
      <c r="A39" s="10" t="s">
        <v>108</v>
      </c>
      <c r="B39" s="33"/>
      <c r="C39" s="9">
        <f>C108/B108-1</f>
        <v>-0.24544734758511477</v>
      </c>
      <c r="D39" s="9">
        <f t="shared" ref="D39:F39" si="42">D108/C108-1</f>
        <v>0.37040923399790127</v>
      </c>
      <c r="E39" s="9">
        <f t="shared" si="42"/>
        <v>0.69652884124553349</v>
      </c>
      <c r="F39" s="9">
        <f t="shared" si="42"/>
        <v>0.57424401985858275</v>
      </c>
      <c r="G39" s="163">
        <f>Scenarios!G48</f>
        <v>0</v>
      </c>
      <c r="H39" s="163">
        <f>Scenarios!H48</f>
        <v>0</v>
      </c>
      <c r="I39" s="163">
        <f>Scenarios!I48</f>
        <v>0</v>
      </c>
      <c r="J39" s="163">
        <f>Scenarios!J48</f>
        <v>0</v>
      </c>
      <c r="K39" s="163">
        <f>Scenarios!K48</f>
        <v>0</v>
      </c>
      <c r="L39" s="163">
        <f>Scenarios!L48</f>
        <v>0</v>
      </c>
      <c r="M39" s="163">
        <f>Scenarios!M48</f>
        <v>0</v>
      </c>
      <c r="N39" s="163">
        <f>Scenarios!N48</f>
        <v>0</v>
      </c>
      <c r="O39" s="163">
        <f>Scenarios!O48</f>
        <v>0</v>
      </c>
      <c r="P39" s="163">
        <f>Scenarios!P48</f>
        <v>0</v>
      </c>
      <c r="Q39" s="163">
        <f>Scenarios!Q48</f>
        <v>0</v>
      </c>
    </row>
    <row r="40" spans="1:17" ht="14.25" customHeight="1" outlineLevel="1">
      <c r="A40" s="10"/>
      <c r="B40" s="9"/>
      <c r="C40" s="9"/>
      <c r="D40" s="9"/>
      <c r="E40" s="9"/>
      <c r="F40" s="9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</row>
    <row r="41" spans="1:17" ht="14.25" customHeight="1" outlineLevel="1">
      <c r="A41" s="10" t="s">
        <v>109</v>
      </c>
      <c r="B41" s="32">
        <f>B119/B81*B9</f>
        <v>101.946161938687</v>
      </c>
      <c r="C41" s="32">
        <f>C119/C81*C9</f>
        <v>95.734558261091294</v>
      </c>
      <c r="D41" s="32">
        <f>D119/D81*D9</f>
        <v>103.90510948905109</v>
      </c>
      <c r="E41" s="32">
        <f>E119/E81*E9</f>
        <v>104.94640004531807</v>
      </c>
      <c r="F41" s="32">
        <f>F119/F81*F9</f>
        <v>112.87758857898403</v>
      </c>
      <c r="G41" s="165">
        <f>Scenarios!G50</f>
        <v>115</v>
      </c>
      <c r="H41" s="165">
        <f>Scenarios!H50</f>
        <v>115</v>
      </c>
      <c r="I41" s="165">
        <f>Scenarios!I50</f>
        <v>115</v>
      </c>
      <c r="J41" s="165">
        <f>Scenarios!J50</f>
        <v>115</v>
      </c>
      <c r="K41" s="165">
        <f>Scenarios!K50</f>
        <v>115</v>
      </c>
      <c r="L41" s="165">
        <f>Scenarios!L50</f>
        <v>115</v>
      </c>
      <c r="M41" s="165">
        <f>Scenarios!M50</f>
        <v>115</v>
      </c>
      <c r="N41" s="165">
        <f>Scenarios!N50</f>
        <v>115</v>
      </c>
      <c r="O41" s="165">
        <f>Scenarios!O50</f>
        <v>115</v>
      </c>
      <c r="P41" s="165">
        <f>Scenarios!P50</f>
        <v>115</v>
      </c>
      <c r="Q41" s="165">
        <f>Scenarios!Q50</f>
        <v>115</v>
      </c>
    </row>
    <row r="42" spans="1:17" ht="14.25" customHeight="1" outlineLevel="1">
      <c r="A42" s="10" t="s">
        <v>110</v>
      </c>
      <c r="B42" s="9">
        <f>B120/B79</f>
        <v>8.9829688927093962E-2</v>
      </c>
      <c r="C42" s="9">
        <f t="shared" ref="C42:F42" si="43">C120/C79</f>
        <v>0.1102058704544433</v>
      </c>
      <c r="D42" s="9">
        <f t="shared" si="43"/>
        <v>9.7041287404444607E-2</v>
      </c>
      <c r="E42" s="9">
        <f t="shared" si="43"/>
        <v>0.10103171626699611</v>
      </c>
      <c r="F42" s="9">
        <f t="shared" si="43"/>
        <v>0.10215555530567956</v>
      </c>
      <c r="G42" s="163">
        <f>Scenarios!G51</f>
        <v>0.1</v>
      </c>
      <c r="H42" s="163">
        <f>Scenarios!H51</f>
        <v>0.1</v>
      </c>
      <c r="I42" s="163">
        <f>Scenarios!I51</f>
        <v>0.1</v>
      </c>
      <c r="J42" s="163">
        <f>Scenarios!J51</f>
        <v>0.1</v>
      </c>
      <c r="K42" s="163">
        <f>Scenarios!K51</f>
        <v>0.1</v>
      </c>
      <c r="L42" s="163">
        <f>Scenarios!L51</f>
        <v>0.1</v>
      </c>
      <c r="M42" s="163">
        <f>Scenarios!M51</f>
        <v>0.1</v>
      </c>
      <c r="N42" s="163">
        <f>Scenarios!N51</f>
        <v>0.1</v>
      </c>
      <c r="O42" s="163">
        <f>Scenarios!O51</f>
        <v>0.1</v>
      </c>
      <c r="P42" s="163">
        <f>Scenarios!P51</f>
        <v>0.1</v>
      </c>
      <c r="Q42" s="163">
        <f>Scenarios!Q51</f>
        <v>0.1</v>
      </c>
    </row>
    <row r="43" spans="1:17" ht="14.25" customHeight="1" outlineLevel="1">
      <c r="A43" s="10" t="s">
        <v>41</v>
      </c>
      <c r="B43" s="9">
        <f>B121/B79</f>
        <v>1.5567076774297533E-2</v>
      </c>
      <c r="C43" s="9">
        <f t="shared" ref="C43:F43" si="44">C121/C79</f>
        <v>2.0485908212343237E-2</v>
      </c>
      <c r="D43" s="9">
        <f t="shared" si="44"/>
        <v>2.9138552978337662E-2</v>
      </c>
      <c r="E43" s="9">
        <f t="shared" si="44"/>
        <v>3.5062175060851408E-2</v>
      </c>
      <c r="F43" s="9">
        <f t="shared" si="44"/>
        <v>2.865640425938628E-2</v>
      </c>
      <c r="G43" s="163">
        <f>Scenarios!G52</f>
        <v>0.03</v>
      </c>
      <c r="H43" s="163">
        <f>Scenarios!H52</f>
        <v>0.03</v>
      </c>
      <c r="I43" s="163">
        <f>Scenarios!I52</f>
        <v>0.03</v>
      </c>
      <c r="J43" s="163">
        <f>Scenarios!J52</f>
        <v>0.03</v>
      </c>
      <c r="K43" s="163">
        <f>Scenarios!K52</f>
        <v>0.03</v>
      </c>
      <c r="L43" s="163">
        <f>Scenarios!L52</f>
        <v>0.03</v>
      </c>
      <c r="M43" s="163">
        <f>Scenarios!M52</f>
        <v>0.03</v>
      </c>
      <c r="N43" s="163">
        <f>Scenarios!N52</f>
        <v>0.03</v>
      </c>
      <c r="O43" s="163">
        <f>Scenarios!O52</f>
        <v>0.03</v>
      </c>
      <c r="P43" s="163">
        <f>Scenarios!P52</f>
        <v>0.03</v>
      </c>
      <c r="Q43" s="163">
        <f>Scenarios!Q52</f>
        <v>0.03</v>
      </c>
    </row>
    <row r="44" spans="1:17" ht="14.25" customHeight="1" outlineLevel="1">
      <c r="A44" s="10"/>
      <c r="B44" s="9"/>
      <c r="C44" s="9"/>
      <c r="D44" s="9"/>
      <c r="E44" s="9"/>
      <c r="F44" s="9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</row>
    <row r="45" spans="1:17" ht="14.25" customHeight="1" outlineLevel="1">
      <c r="A45" s="10" t="s">
        <v>111</v>
      </c>
      <c r="B45" s="9">
        <f>-B156/B79</f>
        <v>4.6257991726212859E-2</v>
      </c>
      <c r="C45" s="9">
        <f>-C156/C79</f>
        <v>5.4984941789904256E-2</v>
      </c>
      <c r="D45" s="9">
        <f>-D156/D79</f>
        <v>5.0342971422163242E-2</v>
      </c>
      <c r="E45" s="9">
        <f>-E156/E79</f>
        <v>5.7387838543390177E-2</v>
      </c>
      <c r="F45" s="9">
        <f>-F156/F79</f>
        <v>6.7213520290555814E-2</v>
      </c>
      <c r="G45" s="163">
        <f>Scenarios!G54</f>
        <v>7.0000000000000007E-2</v>
      </c>
      <c r="H45" s="163">
        <f>Scenarios!H54</f>
        <v>7.0000000000000007E-2</v>
      </c>
      <c r="I45" s="163">
        <f>Scenarios!I54</f>
        <v>7.0000000000000007E-2</v>
      </c>
      <c r="J45" s="163">
        <f>Scenarios!J54</f>
        <v>0.06</v>
      </c>
      <c r="K45" s="163">
        <f>Scenarios!K54</f>
        <v>0.06</v>
      </c>
      <c r="L45" s="163">
        <f>Scenarios!L54</f>
        <v>0.06</v>
      </c>
      <c r="M45" s="163">
        <f>Scenarios!M54</f>
        <v>5.5E-2</v>
      </c>
      <c r="N45" s="163">
        <f>Scenarios!N54</f>
        <v>0.05</v>
      </c>
      <c r="O45" s="163">
        <f>Scenarios!O54</f>
        <v>0.05</v>
      </c>
      <c r="P45" s="163">
        <f>Scenarios!P54</f>
        <v>4.4999999999999998E-2</v>
      </c>
      <c r="Q45" s="163">
        <f>Scenarios!Q54</f>
        <v>4.4999999999999998E-2</v>
      </c>
    </row>
    <row r="46" spans="1:17" ht="14.25" customHeight="1" outlineLevel="1">
      <c r="A46" s="10" t="s">
        <v>112</v>
      </c>
      <c r="B46" s="9"/>
      <c r="C46" s="9">
        <f>C182/C79</f>
        <v>5.3389221018564303E-2</v>
      </c>
      <c r="D46" s="9">
        <f>D182/D79</f>
        <v>5.0025232229968415E-2</v>
      </c>
      <c r="E46" s="9">
        <f>E182/E79</f>
        <v>4.8482575540308992E-2</v>
      </c>
      <c r="F46" s="9">
        <f>F182/F79</f>
        <v>7.1081600755625016E-2</v>
      </c>
      <c r="G46" s="163">
        <f>Scenarios!G55</f>
        <v>7.4999999999999997E-2</v>
      </c>
      <c r="H46" s="163">
        <f>Scenarios!H55</f>
        <v>0.06</v>
      </c>
      <c r="I46" s="163">
        <f>Scenarios!I55</f>
        <v>0.05</v>
      </c>
      <c r="J46" s="163">
        <f>Scenarios!J55</f>
        <v>0.05</v>
      </c>
      <c r="K46" s="163">
        <f>Scenarios!K55</f>
        <v>0.05</v>
      </c>
      <c r="L46" s="163">
        <f>Scenarios!L55</f>
        <v>0.04</v>
      </c>
      <c r="M46" s="163">
        <f>Scenarios!M55</f>
        <v>0.04</v>
      </c>
      <c r="N46" s="163">
        <f>Scenarios!N55</f>
        <v>0.04</v>
      </c>
      <c r="O46" s="163">
        <f>Scenarios!O55</f>
        <v>0.03</v>
      </c>
      <c r="P46" s="163">
        <f>Scenarios!P55</f>
        <v>2.9000000000000001E-2</v>
      </c>
      <c r="Q46" s="163">
        <f>Scenarios!Q55</f>
        <v>2.9000000000000001E-2</v>
      </c>
    </row>
    <row r="47" spans="1:17" ht="14.25" customHeight="1" outlineLevel="1">
      <c r="A47" s="10" t="s">
        <v>113</v>
      </c>
      <c r="B47" s="9"/>
      <c r="C47" s="9">
        <f>C144/B112</f>
        <v>0.43346424330989131</v>
      </c>
      <c r="D47" s="9">
        <f t="shared" ref="D47:F47" si="45">D144/C112</f>
        <v>0.37018919078210644</v>
      </c>
      <c r="E47" s="9">
        <f t="shared" si="45"/>
        <v>0.37164575510577891</v>
      </c>
      <c r="F47" s="9">
        <f t="shared" si="45"/>
        <v>0.39424331936525381</v>
      </c>
      <c r="G47" s="163">
        <f>Scenarios!G56</f>
        <v>0.4</v>
      </c>
      <c r="H47" s="163">
        <f>Scenarios!H56</f>
        <v>0.4</v>
      </c>
      <c r="I47" s="163">
        <f>Scenarios!I56</f>
        <v>0.4</v>
      </c>
      <c r="J47" s="163">
        <f>Scenarios!J56</f>
        <v>0.4</v>
      </c>
      <c r="K47" s="163">
        <f>Scenarios!K56</f>
        <v>0.4</v>
      </c>
      <c r="L47" s="163">
        <f>Scenarios!L56</f>
        <v>0.4</v>
      </c>
      <c r="M47" s="163">
        <f>Scenarios!M56</f>
        <v>0.4</v>
      </c>
      <c r="N47" s="163">
        <f>Scenarios!N56</f>
        <v>0.4</v>
      </c>
      <c r="O47" s="163">
        <f>Scenarios!O56</f>
        <v>0.4</v>
      </c>
      <c r="P47" s="163">
        <f>Scenarios!P56</f>
        <v>0.4</v>
      </c>
      <c r="Q47" s="163">
        <f>Scenarios!Q56</f>
        <v>0.4</v>
      </c>
    </row>
    <row r="48" spans="1:17" ht="14.25" customHeight="1" outlineLevel="1">
      <c r="A48" s="10" t="s">
        <v>114</v>
      </c>
      <c r="B48" s="9"/>
      <c r="C48" s="9">
        <f>(-C164-C165)/C199</f>
        <v>0.47763202152707701</v>
      </c>
      <c r="D48" s="9">
        <f>(-D164-D165)/D199</f>
        <v>0.40973984771573602</v>
      </c>
      <c r="E48" s="9">
        <f>(-E164-E165)/E199</f>
        <v>0.4415913599294688</v>
      </c>
      <c r="F48" s="9">
        <f>(-F164-F165)/F199</f>
        <v>0.42873070325900514</v>
      </c>
      <c r="G48" s="163">
        <f>Scenarios!G57</f>
        <v>0.38</v>
      </c>
      <c r="H48" s="163">
        <f>Scenarios!H57</f>
        <v>0.38</v>
      </c>
      <c r="I48" s="163">
        <f>Scenarios!I57</f>
        <v>0.38</v>
      </c>
      <c r="J48" s="163">
        <f>Scenarios!J57</f>
        <v>0.38</v>
      </c>
      <c r="K48" s="163">
        <f>Scenarios!K57</f>
        <v>0.38</v>
      </c>
      <c r="L48" s="163">
        <f>Scenarios!L57</f>
        <v>0.38</v>
      </c>
      <c r="M48" s="163">
        <f>Scenarios!M57</f>
        <v>0.38</v>
      </c>
      <c r="N48" s="163">
        <f>Scenarios!N57</f>
        <v>0.38</v>
      </c>
      <c r="O48" s="163">
        <f>Scenarios!O57</f>
        <v>0.38</v>
      </c>
      <c r="P48" s="163">
        <f>Scenarios!P57</f>
        <v>0.38</v>
      </c>
      <c r="Q48" s="163">
        <f>Scenarios!Q57</f>
        <v>0.38</v>
      </c>
    </row>
    <row r="49" spans="1:20" ht="14.25" customHeight="1" outlineLevel="1">
      <c r="A49" s="10"/>
      <c r="B49" s="9"/>
      <c r="C49" s="9"/>
      <c r="D49" s="9"/>
      <c r="E49" s="9"/>
      <c r="F49" s="9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</row>
    <row r="50" spans="1:20" ht="14.25" customHeight="1" outlineLevel="1">
      <c r="A50" s="10" t="s">
        <v>115</v>
      </c>
      <c r="B50" s="9"/>
      <c r="C50" s="32">
        <f>C123-B123</f>
        <v>5074</v>
      </c>
      <c r="D50" s="32">
        <f t="shared" ref="D50:F50" si="46">D123-C123</f>
        <v>-30</v>
      </c>
      <c r="E50" s="32">
        <f t="shared" si="46"/>
        <v>-541</v>
      </c>
      <c r="F50" s="32">
        <f t="shared" si="46"/>
        <v>17049</v>
      </c>
      <c r="G50" s="166">
        <f>Scenarios!G59</f>
        <v>0</v>
      </c>
      <c r="H50" s="166">
        <f>Scenarios!H59</f>
        <v>0</v>
      </c>
      <c r="I50" s="166">
        <f>Scenarios!I59</f>
        <v>0</v>
      </c>
      <c r="J50" s="166">
        <f>Scenarios!J59</f>
        <v>0</v>
      </c>
      <c r="K50" s="166">
        <f>Scenarios!K59</f>
        <v>0</v>
      </c>
      <c r="L50" s="166">
        <f>Scenarios!L59</f>
        <v>0</v>
      </c>
      <c r="M50" s="166">
        <f>Scenarios!M59</f>
        <v>0</v>
      </c>
      <c r="N50" s="166">
        <f>Scenarios!N59</f>
        <v>0</v>
      </c>
      <c r="O50" s="166">
        <f>Scenarios!O59</f>
        <v>0</v>
      </c>
      <c r="P50" s="166">
        <f>Scenarios!P59</f>
        <v>0</v>
      </c>
      <c r="Q50" s="166">
        <f>Scenarios!Q59</f>
        <v>0</v>
      </c>
    </row>
    <row r="51" spans="1:20" ht="14.25" customHeight="1" outlineLevel="1">
      <c r="A51" s="10" t="s">
        <v>116</v>
      </c>
      <c r="B51" s="9"/>
      <c r="C51" s="32">
        <f>C127-B127</f>
        <v>0</v>
      </c>
      <c r="D51" s="32">
        <f t="shared" ref="D51:F51" si="47">D127-C127</f>
        <v>0</v>
      </c>
      <c r="E51" s="32">
        <f t="shared" si="47"/>
        <v>0</v>
      </c>
      <c r="F51" s="32">
        <f t="shared" si="47"/>
        <v>0</v>
      </c>
      <c r="G51" s="166">
        <f>Scenarios!G60</f>
        <v>0</v>
      </c>
      <c r="H51" s="166">
        <f>Scenarios!H60</f>
        <v>0</v>
      </c>
      <c r="I51" s="166">
        <f>Scenarios!I60</f>
        <v>0</v>
      </c>
      <c r="J51" s="166">
        <f>Scenarios!J60</f>
        <v>0</v>
      </c>
      <c r="K51" s="166">
        <f>Scenarios!K60</f>
        <v>0</v>
      </c>
      <c r="L51" s="166">
        <f>Scenarios!L60</f>
        <v>0</v>
      </c>
      <c r="M51" s="166">
        <f>Scenarios!M60</f>
        <v>0</v>
      </c>
      <c r="N51" s="166">
        <f>Scenarios!N60</f>
        <v>0</v>
      </c>
      <c r="O51" s="166">
        <f>Scenarios!O60</f>
        <v>0</v>
      </c>
      <c r="P51" s="166">
        <f>Scenarios!P60</f>
        <v>0</v>
      </c>
      <c r="Q51" s="166">
        <f>Scenarios!Q60</f>
        <v>0</v>
      </c>
    </row>
    <row r="52" spans="1:20" ht="14.25" customHeight="1" outlineLevel="1">
      <c r="A52" s="10" t="s">
        <v>117</v>
      </c>
      <c r="B52" s="9"/>
      <c r="C52" s="32">
        <f t="shared" ref="C52:F53" si="48">C128-B128</f>
        <v>0</v>
      </c>
      <c r="D52" s="32">
        <f t="shared" si="48"/>
        <v>0</v>
      </c>
      <c r="E52" s="32">
        <f t="shared" si="48"/>
        <v>0</v>
      </c>
      <c r="F52" s="32">
        <f t="shared" si="48"/>
        <v>0</v>
      </c>
      <c r="G52" s="166">
        <f>Scenarios!G61</f>
        <v>0</v>
      </c>
      <c r="H52" s="166">
        <f>Scenarios!H61</f>
        <v>0</v>
      </c>
      <c r="I52" s="166">
        <f>Scenarios!I61</f>
        <v>0</v>
      </c>
      <c r="J52" s="166">
        <f>Scenarios!J61</f>
        <v>0</v>
      </c>
      <c r="K52" s="166">
        <f>Scenarios!K61</f>
        <v>0</v>
      </c>
      <c r="L52" s="166">
        <f>Scenarios!L61</f>
        <v>0</v>
      </c>
      <c r="M52" s="166">
        <f>Scenarios!M61</f>
        <v>0</v>
      </c>
      <c r="N52" s="166">
        <f>Scenarios!N61</f>
        <v>0</v>
      </c>
      <c r="O52" s="166">
        <f>Scenarios!O61</f>
        <v>0</v>
      </c>
      <c r="P52" s="166">
        <f>Scenarios!P61</f>
        <v>0</v>
      </c>
      <c r="Q52" s="166">
        <f>Scenarios!Q61</f>
        <v>0</v>
      </c>
    </row>
    <row r="53" spans="1:20" ht="14.25" customHeight="1" outlineLevel="1">
      <c r="A53" s="10" t="s">
        <v>118</v>
      </c>
      <c r="B53" s="9"/>
      <c r="C53" s="32">
        <f t="shared" si="48"/>
        <v>1562</v>
      </c>
      <c r="D53" s="32">
        <f t="shared" si="48"/>
        <v>2259</v>
      </c>
      <c r="E53" s="32">
        <f t="shared" si="48"/>
        <v>3792</v>
      </c>
      <c r="F53" s="32">
        <f t="shared" si="48"/>
        <v>4203</v>
      </c>
      <c r="G53" s="166">
        <f>Scenarios!G62</f>
        <v>0</v>
      </c>
      <c r="H53" s="166">
        <f>Scenarios!H62</f>
        <v>0</v>
      </c>
      <c r="I53" s="166">
        <f>Scenarios!I62</f>
        <v>0</v>
      </c>
      <c r="J53" s="166">
        <f>Scenarios!J62</f>
        <v>0</v>
      </c>
      <c r="K53" s="166">
        <f>Scenarios!K62</f>
        <v>0</v>
      </c>
      <c r="L53" s="166">
        <f>Scenarios!L62</f>
        <v>0</v>
      </c>
      <c r="M53" s="166">
        <f>Scenarios!M62</f>
        <v>0</v>
      </c>
      <c r="N53" s="166">
        <f>Scenarios!N62</f>
        <v>0</v>
      </c>
      <c r="O53" s="166">
        <f>Scenarios!O62</f>
        <v>0</v>
      </c>
      <c r="P53" s="166">
        <f>Scenarios!P62</f>
        <v>0</v>
      </c>
      <c r="Q53" s="166">
        <f>Scenarios!Q62</f>
        <v>0</v>
      </c>
    </row>
    <row r="54" spans="1:20" ht="14.25" customHeight="1" outlineLevel="1">
      <c r="A54" s="10"/>
      <c r="B54" s="10"/>
      <c r="C54" s="10"/>
      <c r="D54" s="10"/>
      <c r="E54" s="10"/>
      <c r="F54" s="10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</row>
    <row r="55" spans="1:20" ht="14.25" customHeight="1" outlineLevel="1">
      <c r="A55" s="10" t="s">
        <v>119</v>
      </c>
      <c r="B55" s="34"/>
      <c r="C55" s="52"/>
      <c r="D55" s="52"/>
      <c r="E55" s="52"/>
      <c r="F55" s="52"/>
      <c r="G55" s="166">
        <f>Scenarios!G64</f>
        <v>0</v>
      </c>
      <c r="H55" s="166">
        <f>Scenarios!H64</f>
        <v>0</v>
      </c>
      <c r="I55" s="166">
        <f>Scenarios!I64</f>
        <v>0</v>
      </c>
      <c r="J55" s="166">
        <f>Scenarios!J64</f>
        <v>0</v>
      </c>
      <c r="K55" s="166">
        <f>Scenarios!K64</f>
        <v>0</v>
      </c>
      <c r="L55" s="166">
        <f>Scenarios!L64</f>
        <v>0</v>
      </c>
      <c r="M55" s="166">
        <f>Scenarios!M64</f>
        <v>0</v>
      </c>
      <c r="N55" s="166">
        <f>Scenarios!N64</f>
        <v>0</v>
      </c>
      <c r="O55" s="166">
        <f>Scenarios!O64</f>
        <v>0</v>
      </c>
      <c r="P55" s="166">
        <f>Scenarios!P64</f>
        <v>0</v>
      </c>
      <c r="Q55" s="166">
        <f>Scenarios!Q64</f>
        <v>0</v>
      </c>
    </row>
    <row r="56" spans="1:20" ht="14.25" customHeight="1" outlineLevel="1">
      <c r="A56" t="s">
        <v>71</v>
      </c>
      <c r="B56" s="34"/>
      <c r="C56" s="52"/>
      <c r="D56" s="52"/>
      <c r="E56" s="52"/>
      <c r="F56" s="52"/>
      <c r="G56" s="166">
        <f>Scenarios!G65</f>
        <v>0</v>
      </c>
      <c r="H56" s="166">
        <f>Scenarios!H65</f>
        <v>0</v>
      </c>
      <c r="I56" s="166">
        <f>Scenarios!I65</f>
        <v>0</v>
      </c>
      <c r="J56" s="166">
        <f>Scenarios!J65</f>
        <v>0</v>
      </c>
      <c r="K56" s="166">
        <f>Scenarios!K65</f>
        <v>0</v>
      </c>
      <c r="L56" s="166">
        <f>Scenarios!L65</f>
        <v>0</v>
      </c>
      <c r="M56" s="166">
        <f>Scenarios!M65</f>
        <v>0</v>
      </c>
      <c r="N56" s="166">
        <f>Scenarios!N65</f>
        <v>0</v>
      </c>
      <c r="O56" s="166">
        <f>Scenarios!O65</f>
        <v>0</v>
      </c>
      <c r="P56" s="166">
        <f>Scenarios!P65</f>
        <v>0</v>
      </c>
      <c r="Q56" s="166">
        <f>Scenarios!Q65</f>
        <v>0</v>
      </c>
    </row>
    <row r="57" spans="1:20" ht="14.25" customHeight="1" outlineLevel="1">
      <c r="A57" t="s">
        <v>122</v>
      </c>
      <c r="B57" s="34"/>
      <c r="C57" s="52"/>
      <c r="D57" s="52"/>
      <c r="E57" s="52"/>
      <c r="F57" s="52"/>
      <c r="G57" s="166">
        <f>Scenarios!G66</f>
        <v>0</v>
      </c>
      <c r="H57" s="166">
        <f>Scenarios!H66</f>
        <v>0</v>
      </c>
      <c r="I57" s="166">
        <f>Scenarios!I66</f>
        <v>0</v>
      </c>
      <c r="J57" s="166">
        <f>Scenarios!J66</f>
        <v>0</v>
      </c>
      <c r="K57" s="166">
        <f>Scenarios!K66</f>
        <v>0</v>
      </c>
      <c r="L57" s="166">
        <f>Scenarios!L66</f>
        <v>0</v>
      </c>
      <c r="M57" s="166">
        <f>Scenarios!M66</f>
        <v>0</v>
      </c>
      <c r="N57" s="166">
        <f>Scenarios!N66</f>
        <v>0</v>
      </c>
      <c r="O57" s="166">
        <f>Scenarios!O66</f>
        <v>0</v>
      </c>
      <c r="P57" s="166">
        <f>Scenarios!P66</f>
        <v>0</v>
      </c>
      <c r="Q57" s="166">
        <f>Scenarios!Q66</f>
        <v>0</v>
      </c>
    </row>
    <row r="58" spans="1:20" ht="14.25" customHeight="1" outlineLevel="1">
      <c r="A58" t="s">
        <v>73</v>
      </c>
      <c r="B58" s="34"/>
      <c r="C58" s="52"/>
      <c r="D58" s="52"/>
      <c r="E58" s="52"/>
      <c r="F58" s="52"/>
      <c r="G58" s="166">
        <f>Scenarios!G67</f>
        <v>0</v>
      </c>
      <c r="H58" s="166">
        <f>Scenarios!H67</f>
        <v>0</v>
      </c>
      <c r="I58" s="166">
        <f>Scenarios!I67</f>
        <v>0</v>
      </c>
      <c r="J58" s="166">
        <f>Scenarios!J67</f>
        <v>0</v>
      </c>
      <c r="K58" s="166">
        <f>Scenarios!K67</f>
        <v>0</v>
      </c>
      <c r="L58" s="166">
        <f>Scenarios!L67</f>
        <v>0</v>
      </c>
      <c r="M58" s="166">
        <f>Scenarios!M67</f>
        <v>0</v>
      </c>
      <c r="N58" s="166">
        <f>Scenarios!N67</f>
        <v>0</v>
      </c>
      <c r="O58" s="166">
        <f>Scenarios!O67</f>
        <v>0</v>
      </c>
      <c r="P58" s="166">
        <f>Scenarios!P67</f>
        <v>0</v>
      </c>
      <c r="Q58" s="166">
        <f>Scenarios!Q67</f>
        <v>0</v>
      </c>
    </row>
    <row r="59" spans="1:20" ht="14.25" customHeight="1" outlineLevel="1">
      <c r="A59" s="10"/>
      <c r="B59" s="9"/>
      <c r="C59" s="9"/>
      <c r="D59" s="9"/>
      <c r="E59" s="9"/>
      <c r="F59" s="9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</row>
    <row r="60" spans="1:20" ht="14.25" customHeight="1" outlineLevel="1">
      <c r="A60" s="10" t="s">
        <v>120</v>
      </c>
      <c r="B60" s="9"/>
      <c r="C60" s="9">
        <f>C100/B100-1</f>
        <v>1.0940919037199182E-2</v>
      </c>
      <c r="D60" s="9">
        <f t="shared" ref="D60:F60" si="49">D100/C100-1</f>
        <v>1.0822510822510845E-2</v>
      </c>
      <c r="E60" s="9">
        <f t="shared" si="49"/>
        <v>1.4989293361884259E-2</v>
      </c>
      <c r="F60" s="9">
        <f t="shared" si="49"/>
        <v>1.2658227848101333E-2</v>
      </c>
      <c r="G60" s="163">
        <f>Scenarios!G69</f>
        <v>1.2E-2</v>
      </c>
      <c r="H60" s="163">
        <f>Scenarios!H69</f>
        <v>1.0999999999999999E-2</v>
      </c>
      <c r="I60" s="163">
        <f>Scenarios!I69</f>
        <v>0.01</v>
      </c>
      <c r="J60" s="163">
        <f>Scenarios!J69</f>
        <v>0.01</v>
      </c>
      <c r="K60" s="163">
        <f>Scenarios!K69</f>
        <v>0.01</v>
      </c>
      <c r="L60" s="163">
        <f>Scenarios!L69</f>
        <v>0.01</v>
      </c>
      <c r="M60" s="163">
        <f>Scenarios!M69</f>
        <v>0.01</v>
      </c>
      <c r="N60" s="163">
        <f>Scenarios!N69</f>
        <v>0.01</v>
      </c>
      <c r="O60" s="163">
        <f>Scenarios!O69</f>
        <v>0.01</v>
      </c>
      <c r="P60" s="163">
        <f>Scenarios!P69</f>
        <v>0.01</v>
      </c>
      <c r="Q60" s="163">
        <f>Scenarios!Q69</f>
        <v>0.01</v>
      </c>
    </row>
    <row r="61" spans="1:20" ht="14.25" customHeight="1" outlineLevel="1">
      <c r="A61" s="10" t="s">
        <v>121</v>
      </c>
      <c r="B61" s="9"/>
      <c r="C61" s="9">
        <f>C101/B101-1</f>
        <v>-6.4516129032258229E-3</v>
      </c>
      <c r="D61" s="9">
        <f t="shared" ref="D61:F61" si="50">D101/C101-1</f>
        <v>3.2467532467532534E-2</v>
      </c>
      <c r="E61" s="9">
        <f t="shared" si="50"/>
        <v>1.467505241090139E-2</v>
      </c>
      <c r="F61" s="9">
        <f t="shared" si="50"/>
        <v>1.8595041322314154E-2</v>
      </c>
      <c r="G61" s="163">
        <f>Scenarios!G70</f>
        <v>1.6E-2</v>
      </c>
      <c r="H61" s="163">
        <f>Scenarios!H70</f>
        <v>1.2999999999999999E-2</v>
      </c>
      <c r="I61" s="163">
        <f>Scenarios!I70</f>
        <v>0.01</v>
      </c>
      <c r="J61" s="163">
        <f>Scenarios!J70</f>
        <v>0.01</v>
      </c>
      <c r="K61" s="163">
        <f>Scenarios!K70</f>
        <v>0.01</v>
      </c>
      <c r="L61" s="163">
        <f>Scenarios!L70</f>
        <v>0.01</v>
      </c>
      <c r="M61" s="163">
        <f>Scenarios!M70</f>
        <v>0.01</v>
      </c>
      <c r="N61" s="163">
        <f>Scenarios!N70</f>
        <v>0.01</v>
      </c>
      <c r="O61" s="163">
        <f>Scenarios!O70</f>
        <v>0.01</v>
      </c>
      <c r="P61" s="163">
        <f>Scenarios!P70</f>
        <v>0.01</v>
      </c>
      <c r="Q61" s="163">
        <f>Scenarios!Q70</f>
        <v>0.01</v>
      </c>
    </row>
    <row r="62" spans="1:20" outlineLevel="1">
      <c r="A62" s="10"/>
      <c r="B62" s="9"/>
      <c r="C62" s="9"/>
      <c r="D62" s="9"/>
      <c r="E62" s="9"/>
      <c r="F62" s="9"/>
      <c r="S62" s="10"/>
      <c r="T62" s="10"/>
    </row>
    <row r="63" spans="1:20">
      <c r="A63" s="1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>
      <c r="A64" s="6" t="s">
        <v>92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10"/>
      <c r="S64" s="10"/>
      <c r="T64" s="10"/>
    </row>
    <row r="65" spans="1:18" outlineLevel="1"/>
    <row r="66" spans="1:18" outlineLevel="1">
      <c r="A66" s="1" t="s">
        <v>146</v>
      </c>
    </row>
    <row r="67" spans="1:18" outlineLevel="1">
      <c r="A67" t="s">
        <v>147</v>
      </c>
      <c r="D67" s="53">
        <v>76863</v>
      </c>
      <c r="E67" s="53">
        <v>91431</v>
      </c>
      <c r="F67" s="53">
        <v>108354</v>
      </c>
      <c r="G67" s="79">
        <f>F67*(1+G12)</f>
        <v>125325.06999999998</v>
      </c>
      <c r="H67" s="79">
        <f t="shared" ref="H67:Q67" si="51">G67*(1+H12)</f>
        <v>146630.33189999996</v>
      </c>
      <c r="I67" s="79">
        <f t="shared" si="51"/>
        <v>170091.18500399994</v>
      </c>
      <c r="J67" s="79">
        <f t="shared" si="51"/>
        <v>195604.86275459992</v>
      </c>
      <c r="K67" s="79">
        <f t="shared" si="51"/>
        <v>222989.54354024393</v>
      </c>
      <c r="L67" s="79">
        <f t="shared" si="51"/>
        <v>249748.28876507323</v>
      </c>
      <c r="M67" s="79">
        <f t="shared" si="51"/>
        <v>274723.11764158058</v>
      </c>
      <c r="N67" s="79">
        <f t="shared" si="51"/>
        <v>296700.96705290704</v>
      </c>
      <c r="O67" s="79">
        <f t="shared" si="51"/>
        <v>317470.03474661056</v>
      </c>
      <c r="P67" s="79">
        <f t="shared" si="51"/>
        <v>336518.23683140724</v>
      </c>
      <c r="Q67" s="79">
        <f t="shared" si="51"/>
        <v>353344.14867297764</v>
      </c>
      <c r="R67" s="71" t="s">
        <v>182</v>
      </c>
    </row>
    <row r="68" spans="1:18" outlineLevel="1">
      <c r="A68" t="s">
        <v>148</v>
      </c>
      <c r="D68" s="53"/>
      <c r="E68" s="53"/>
      <c r="F68" s="53">
        <v>5798</v>
      </c>
      <c r="G68" s="79">
        <f t="shared" ref="G68:Q72" si="52">F68*(1+G13)</f>
        <v>18215.90708734221</v>
      </c>
      <c r="H68" s="79">
        <f t="shared" si="52"/>
        <v>20948.29315044354</v>
      </c>
      <c r="I68" s="79">
        <f t="shared" si="52"/>
        <v>22833.63953398346</v>
      </c>
      <c r="J68" s="79">
        <f t="shared" si="52"/>
        <v>24984.333560608837</v>
      </c>
      <c r="K68" s="79">
        <f t="shared" si="52"/>
        <v>27328.08724089383</v>
      </c>
      <c r="L68" s="79">
        <f t="shared" si="52"/>
        <v>30207.549579068298</v>
      </c>
      <c r="M68" s="79">
        <f t="shared" si="52"/>
        <v>33604.81609622726</v>
      </c>
      <c r="N68" s="79">
        <f t="shared" si="52"/>
        <v>37021.869535828395</v>
      </c>
      <c r="O68" s="79">
        <f t="shared" si="52"/>
        <v>40718.972537077549</v>
      </c>
      <c r="P68" s="79">
        <f t="shared" si="52"/>
        <v>44383.680065414534</v>
      </c>
      <c r="Q68" s="79">
        <f t="shared" si="52"/>
        <v>47934.374470647701</v>
      </c>
      <c r="R68" s="71" t="s">
        <v>182</v>
      </c>
    </row>
    <row r="69" spans="1:18" outlineLevel="1">
      <c r="A69" t="s">
        <v>149</v>
      </c>
      <c r="D69" s="53">
        <v>16086</v>
      </c>
      <c r="E69" s="53">
        <v>22993</v>
      </c>
      <c r="F69" s="53">
        <v>31881</v>
      </c>
      <c r="G69" s="79">
        <f t="shared" si="52"/>
        <v>44350.1</v>
      </c>
      <c r="H69" s="79">
        <f t="shared" si="52"/>
        <v>57655.13</v>
      </c>
      <c r="I69" s="79">
        <f t="shared" si="52"/>
        <v>72068.912499999991</v>
      </c>
      <c r="J69" s="79">
        <f t="shared" si="52"/>
        <v>86482.694999999992</v>
      </c>
      <c r="K69" s="79">
        <f>J69*(1+K14)</f>
        <v>103779.23399999998</v>
      </c>
      <c r="L69" s="79">
        <f t="shared" ref="L69" si="53">K69*(1+L14)</f>
        <v>119346.11909999997</v>
      </c>
      <c r="M69" s="79">
        <f t="shared" ref="M69" si="54">L69*(1+M14)</f>
        <v>133667.65339199998</v>
      </c>
      <c r="N69" s="79">
        <f t="shared" ref="N69" si="55">M69*(1+N14)</f>
        <v>147034.41873119998</v>
      </c>
      <c r="O69" s="79">
        <f t="shared" ref="O69" si="56">N69*(1+O14)</f>
        <v>158797.17222969601</v>
      </c>
      <c r="P69" s="79">
        <f t="shared" ref="P69" si="57">O69*(1+P14)</f>
        <v>168325.00256347778</v>
      </c>
      <c r="Q69" s="79">
        <f t="shared" ref="Q69" si="58">P69*(1+Q14)</f>
        <v>176741.25269165169</v>
      </c>
      <c r="R69" s="70" t="s">
        <v>183</v>
      </c>
    </row>
    <row r="70" spans="1:18" outlineLevel="1">
      <c r="A70" t="s">
        <v>150</v>
      </c>
      <c r="D70" s="53">
        <v>4467</v>
      </c>
      <c r="E70" s="53">
        <v>6394</v>
      </c>
      <c r="F70" s="53">
        <v>9721</v>
      </c>
      <c r="G70" s="79">
        <f t="shared" si="52"/>
        <v>15193.49</v>
      </c>
      <c r="H70" s="79">
        <f t="shared" si="52"/>
        <v>22030.5605</v>
      </c>
      <c r="I70" s="79">
        <f t="shared" si="52"/>
        <v>29741.256675000001</v>
      </c>
      <c r="J70" s="79">
        <f t="shared" si="52"/>
        <v>38663.633677500002</v>
      </c>
      <c r="K70" s="79">
        <f t="shared" si="52"/>
        <v>46396.360413000002</v>
      </c>
      <c r="L70" s="79">
        <f t="shared" si="52"/>
        <v>53355.814474949999</v>
      </c>
      <c r="M70" s="79">
        <f t="shared" si="52"/>
        <v>58691.395922445001</v>
      </c>
      <c r="N70" s="79">
        <f t="shared" si="52"/>
        <v>63386.707596240602</v>
      </c>
      <c r="O70" s="79">
        <f t="shared" si="52"/>
        <v>67189.910052015039</v>
      </c>
      <c r="P70" s="79">
        <f t="shared" si="52"/>
        <v>70549.405554615791</v>
      </c>
      <c r="Q70" s="79">
        <f t="shared" si="52"/>
        <v>74076.875832346588</v>
      </c>
      <c r="R70" s="72" t="s">
        <v>184</v>
      </c>
    </row>
    <row r="71" spans="1:18" outlineLevel="1">
      <c r="A71" t="s">
        <v>151</v>
      </c>
      <c r="D71" s="53">
        <v>7880</v>
      </c>
      <c r="E71" s="53">
        <v>12219</v>
      </c>
      <c r="F71" s="53">
        <v>17459</v>
      </c>
      <c r="G71" s="79">
        <f t="shared" si="52"/>
        <v>25214.48</v>
      </c>
      <c r="H71" s="79">
        <f t="shared" si="52"/>
        <v>35300.271999999997</v>
      </c>
      <c r="I71" s="79">
        <f t="shared" si="52"/>
        <v>47655.367200000001</v>
      </c>
      <c r="J71" s="79">
        <f t="shared" si="52"/>
        <v>59569.209000000003</v>
      </c>
      <c r="K71" s="79">
        <f t="shared" si="52"/>
        <v>71483.050799999997</v>
      </c>
      <c r="L71" s="79">
        <f t="shared" si="52"/>
        <v>82205.508419999984</v>
      </c>
      <c r="M71" s="79">
        <f t="shared" si="52"/>
        <v>94536.334682999979</v>
      </c>
      <c r="N71" s="79">
        <f t="shared" si="52"/>
        <v>105880.69484495999</v>
      </c>
      <c r="O71" s="79">
        <f t="shared" si="52"/>
        <v>118586.3782263552</v>
      </c>
      <c r="P71" s="79">
        <f t="shared" si="52"/>
        <v>130445.01604899073</v>
      </c>
      <c r="Q71" s="79">
        <f t="shared" si="52"/>
        <v>140880.61733290998</v>
      </c>
      <c r="R71" s="73" t="s">
        <v>166</v>
      </c>
    </row>
    <row r="72" spans="1:18" outlineLevel="1">
      <c r="A72" t="s">
        <v>152</v>
      </c>
      <c r="D72" s="53">
        <v>1710</v>
      </c>
      <c r="E72" s="53">
        <v>2950</v>
      </c>
      <c r="F72" s="53">
        <v>4653</v>
      </c>
      <c r="G72" s="79">
        <f t="shared" si="52"/>
        <v>10282.950000000001</v>
      </c>
      <c r="H72" s="79">
        <f t="shared" si="52"/>
        <v>17995.162500000002</v>
      </c>
      <c r="I72" s="79">
        <f t="shared" si="52"/>
        <v>27532.598625000002</v>
      </c>
      <c r="J72" s="79">
        <f t="shared" si="52"/>
        <v>39922.26800625</v>
      </c>
      <c r="K72" s="79">
        <f t="shared" si="52"/>
        <v>53895.061808437502</v>
      </c>
      <c r="L72" s="79">
        <f t="shared" si="52"/>
        <v>67368.827260546881</v>
      </c>
      <c r="M72" s="79">
        <f t="shared" si="52"/>
        <v>77474.151349628912</v>
      </c>
      <c r="N72" s="79">
        <f t="shared" si="52"/>
        <v>85221.566484591807</v>
      </c>
      <c r="O72" s="79">
        <f t="shared" si="52"/>
        <v>92039.291803359156</v>
      </c>
      <c r="P72" s="79">
        <f t="shared" si="52"/>
        <v>98482.042229594299</v>
      </c>
      <c r="Q72" s="79">
        <f t="shared" si="52"/>
        <v>104390.96476336996</v>
      </c>
      <c r="R72" s="74" t="s">
        <v>165</v>
      </c>
    </row>
    <row r="73" spans="1:18" outlineLevel="1">
      <c r="A73" s="15" t="s">
        <v>3</v>
      </c>
      <c r="B73" s="88">
        <f>B79</f>
        <v>74452</v>
      </c>
      <c r="C73" s="88">
        <f>C79</f>
        <v>88988</v>
      </c>
      <c r="D73" s="80">
        <f>SUM(D67:D72)</f>
        <v>107006</v>
      </c>
      <c r="E73" s="80">
        <f t="shared" ref="E73:P73" si="59">SUM(E67:E72)</f>
        <v>135987</v>
      </c>
      <c r="F73" s="80">
        <f t="shared" si="59"/>
        <v>177866</v>
      </c>
      <c r="G73" s="80">
        <f t="shared" si="59"/>
        <v>238581.9970873422</v>
      </c>
      <c r="H73" s="80">
        <f t="shared" si="59"/>
        <v>300559.75005044346</v>
      </c>
      <c r="I73" s="80">
        <f t="shared" si="59"/>
        <v>369922.95953798335</v>
      </c>
      <c r="J73" s="80">
        <f t="shared" si="59"/>
        <v>445227.00199895876</v>
      </c>
      <c r="K73" s="80">
        <f t="shared" si="59"/>
        <v>525871.3378025752</v>
      </c>
      <c r="L73" s="80">
        <f t="shared" si="59"/>
        <v>602232.1075996384</v>
      </c>
      <c r="M73" s="80">
        <f t="shared" si="59"/>
        <v>672697.46908488171</v>
      </c>
      <c r="N73" s="80">
        <f t="shared" si="59"/>
        <v>735246.22424572788</v>
      </c>
      <c r="O73" s="80">
        <f t="shared" si="59"/>
        <v>794801.75959511346</v>
      </c>
      <c r="P73" s="80">
        <f t="shared" si="59"/>
        <v>848703.3832935004</v>
      </c>
      <c r="Q73" s="80">
        <f>SUM(Q67:Q72)</f>
        <v>897368.23376390361</v>
      </c>
    </row>
    <row r="74" spans="1:18" outlineLevel="1">
      <c r="A74" s="1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1:18" outlineLevel="1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</row>
    <row r="76" spans="1:18" outlineLevel="1">
      <c r="A76" s="1" t="s">
        <v>92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8" outlineLevel="1">
      <c r="A77" t="s">
        <v>1</v>
      </c>
      <c r="B77" s="43">
        <v>60903</v>
      </c>
      <c r="C77" s="43">
        <v>70080</v>
      </c>
      <c r="D77" s="43">
        <v>79268</v>
      </c>
      <c r="E77" s="43">
        <v>94665</v>
      </c>
      <c r="F77" s="43">
        <v>118573</v>
      </c>
      <c r="G77" s="37">
        <f>G67+G68+G72</f>
        <v>153823.92708734219</v>
      </c>
      <c r="H77" s="37">
        <f t="shared" ref="H77:Q77" si="60">H67+H68+H72</f>
        <v>185573.78755044352</v>
      </c>
      <c r="I77" s="37">
        <f t="shared" si="60"/>
        <v>220457.42316298341</v>
      </c>
      <c r="J77" s="37">
        <f t="shared" si="60"/>
        <v>260511.46432145874</v>
      </c>
      <c r="K77" s="37">
        <f t="shared" si="60"/>
        <v>304212.69258957525</v>
      </c>
      <c r="L77" s="37">
        <f t="shared" si="60"/>
        <v>347324.66560468846</v>
      </c>
      <c r="M77" s="37">
        <f t="shared" si="60"/>
        <v>385802.08508743678</v>
      </c>
      <c r="N77" s="37">
        <f t="shared" si="60"/>
        <v>418944.40307332727</v>
      </c>
      <c r="O77" s="37">
        <f t="shared" si="60"/>
        <v>450228.29908704729</v>
      </c>
      <c r="P77" s="37">
        <f t="shared" si="60"/>
        <v>479383.95912641607</v>
      </c>
      <c r="Q77" s="37">
        <f t="shared" si="60"/>
        <v>505669.48790699535</v>
      </c>
    </row>
    <row r="78" spans="1:18" outlineLevel="1">
      <c r="A78" t="s">
        <v>2</v>
      </c>
      <c r="B78" s="43">
        <v>13549</v>
      </c>
      <c r="C78" s="43">
        <v>18908</v>
      </c>
      <c r="D78" s="43">
        <v>27738</v>
      </c>
      <c r="E78" s="43">
        <v>41322</v>
      </c>
      <c r="F78" s="43">
        <v>59293</v>
      </c>
      <c r="G78" s="37">
        <f>G69+G70+G71</f>
        <v>84758.069999999992</v>
      </c>
      <c r="H78" s="37">
        <f t="shared" ref="H78:Q78" si="61">H69+H70+H71</f>
        <v>114985.96249999999</v>
      </c>
      <c r="I78" s="37">
        <f t="shared" si="61"/>
        <v>149465.536375</v>
      </c>
      <c r="J78" s="37">
        <f t="shared" si="61"/>
        <v>184715.53767749999</v>
      </c>
      <c r="K78" s="37">
        <f t="shared" si="61"/>
        <v>221658.64521299998</v>
      </c>
      <c r="L78" s="37">
        <f t="shared" si="61"/>
        <v>254907.44199494994</v>
      </c>
      <c r="M78" s="37">
        <f t="shared" si="61"/>
        <v>286895.38399744494</v>
      </c>
      <c r="N78" s="37">
        <f t="shared" si="61"/>
        <v>316301.82117240055</v>
      </c>
      <c r="O78" s="37">
        <f t="shared" si="61"/>
        <v>344573.46050806623</v>
      </c>
      <c r="P78" s="37">
        <f t="shared" si="61"/>
        <v>369319.42416708427</v>
      </c>
      <c r="Q78" s="37">
        <f t="shared" si="61"/>
        <v>391698.74585690827</v>
      </c>
    </row>
    <row r="79" spans="1:18" outlineLevel="1">
      <c r="A79" s="12" t="s">
        <v>3</v>
      </c>
      <c r="B79" s="81">
        <f>SUM(B77:B78)</f>
        <v>74452</v>
      </c>
      <c r="C79" s="81">
        <f t="shared" ref="C79:Q79" si="62">SUM(C77:C78)</f>
        <v>88988</v>
      </c>
      <c r="D79" s="81">
        <f t="shared" si="62"/>
        <v>107006</v>
      </c>
      <c r="E79" s="81">
        <f t="shared" si="62"/>
        <v>135987</v>
      </c>
      <c r="F79" s="81">
        <f t="shared" si="62"/>
        <v>177866</v>
      </c>
      <c r="G79" s="81">
        <f t="shared" si="62"/>
        <v>238581.9970873422</v>
      </c>
      <c r="H79" s="81">
        <f t="shared" si="62"/>
        <v>300559.75005044352</v>
      </c>
      <c r="I79" s="81">
        <f t="shared" si="62"/>
        <v>369922.95953798341</v>
      </c>
      <c r="J79" s="81">
        <f t="shared" si="62"/>
        <v>445227.00199895876</v>
      </c>
      <c r="K79" s="81">
        <f t="shared" si="62"/>
        <v>525871.3378025752</v>
      </c>
      <c r="L79" s="81">
        <f t="shared" si="62"/>
        <v>602232.1075996384</v>
      </c>
      <c r="M79" s="81">
        <f t="shared" si="62"/>
        <v>672697.46908488171</v>
      </c>
      <c r="N79" s="81">
        <f t="shared" si="62"/>
        <v>735246.22424572776</v>
      </c>
      <c r="O79" s="81">
        <f t="shared" si="62"/>
        <v>794801.75959511357</v>
      </c>
      <c r="P79" s="81">
        <f t="shared" si="62"/>
        <v>848703.3832935004</v>
      </c>
      <c r="Q79" s="81">
        <f t="shared" si="62"/>
        <v>897368.23376390361</v>
      </c>
    </row>
    <row r="80" spans="1:18" outlineLevel="1">
      <c r="A80" t="s">
        <v>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outlineLevel="1">
      <c r="A81" s="11" t="s">
        <v>5</v>
      </c>
      <c r="B81" s="43">
        <v>54181</v>
      </c>
      <c r="C81" s="43">
        <v>62752</v>
      </c>
      <c r="D81" s="43">
        <v>71651</v>
      </c>
      <c r="E81" s="43">
        <v>88265</v>
      </c>
      <c r="F81" s="43">
        <v>111934</v>
      </c>
      <c r="G81" s="37">
        <f>G$79*G21</f>
        <v>145639.26857361896</v>
      </c>
      <c r="H81" s="37">
        <f t="shared" ref="H81:Q81" si="63">H$79*H21</f>
        <v>183472.77956597629</v>
      </c>
      <c r="I81" s="37">
        <f t="shared" si="63"/>
        <v>220104.16092510012</v>
      </c>
      <c r="J81" s="37">
        <f t="shared" si="63"/>
        <v>264910.06618938048</v>
      </c>
      <c r="K81" s="37">
        <f t="shared" si="63"/>
        <v>310264.08930351934</v>
      </c>
      <c r="L81" s="37">
        <f t="shared" si="63"/>
        <v>355316.94348378666</v>
      </c>
      <c r="M81" s="37">
        <f t="shared" si="63"/>
        <v>400254.99410550459</v>
      </c>
      <c r="N81" s="37">
        <f t="shared" si="63"/>
        <v>437471.50342620799</v>
      </c>
      <c r="O81" s="37">
        <f t="shared" si="63"/>
        <v>468933.038161117</v>
      </c>
      <c r="P81" s="37">
        <f t="shared" si="63"/>
        <v>500734.99614316522</v>
      </c>
      <c r="Q81" s="37">
        <f t="shared" si="63"/>
        <v>524960.41675188357</v>
      </c>
    </row>
    <row r="82" spans="1:17" outlineLevel="1">
      <c r="A82" s="11" t="s">
        <v>6</v>
      </c>
      <c r="B82" s="43">
        <v>8585</v>
      </c>
      <c r="C82" s="43">
        <v>10766</v>
      </c>
      <c r="D82" s="43">
        <v>13410</v>
      </c>
      <c r="E82" s="43">
        <v>17619</v>
      </c>
      <c r="F82" s="43">
        <v>25249</v>
      </c>
      <c r="G82" s="37">
        <f t="shared" ref="G82:G86" si="64">G$79*G22</f>
        <v>34883.988788144175</v>
      </c>
      <c r="H82" s="37">
        <f t="shared" ref="H82:Q82" si="65">H$79*H22</f>
        <v>45264.373554142949</v>
      </c>
      <c r="I82" s="37">
        <f t="shared" si="65"/>
        <v>56824.700061969634</v>
      </c>
      <c r="J82" s="37">
        <f t="shared" si="65"/>
        <v>69010.185309838605</v>
      </c>
      <c r="K82" s="37">
        <f t="shared" si="65"/>
        <v>82035.928697201729</v>
      </c>
      <c r="L82" s="37">
        <f t="shared" si="65"/>
        <v>94550.440893143226</v>
      </c>
      <c r="M82" s="37">
        <f t="shared" si="65"/>
        <v>106286.20011541131</v>
      </c>
      <c r="N82" s="37">
        <f t="shared" si="65"/>
        <v>117639.39587931645</v>
      </c>
      <c r="O82" s="37">
        <f t="shared" si="65"/>
        <v>127168.28153521818</v>
      </c>
      <c r="P82" s="37">
        <f t="shared" si="65"/>
        <v>135792.54132696005</v>
      </c>
      <c r="Q82" s="37">
        <f t="shared" si="65"/>
        <v>143578.91740222459</v>
      </c>
    </row>
    <row r="83" spans="1:17" outlineLevel="1">
      <c r="A83" s="11" t="s">
        <v>7</v>
      </c>
      <c r="B83" s="43">
        <v>3133</v>
      </c>
      <c r="C83" s="43">
        <v>4332</v>
      </c>
      <c r="D83" s="43">
        <v>5254</v>
      </c>
      <c r="E83" s="43">
        <v>7233</v>
      </c>
      <c r="F83" s="43">
        <v>10069</v>
      </c>
      <c r="G83" s="37">
        <f t="shared" si="64"/>
        <v>13911.318591145144</v>
      </c>
      <c r="H83" s="37">
        <f t="shared" ref="H83:Q83" si="66">H$79*H23</f>
        <v>18050.892206291945</v>
      </c>
      <c r="I83" s="37">
        <f t="shared" si="66"/>
        <v>22661.012512336019</v>
      </c>
      <c r="J83" s="37">
        <f t="shared" si="66"/>
        <v>27819.523744197726</v>
      </c>
      <c r="K83" s="37">
        <f t="shared" si="66"/>
        <v>32858.497132269571</v>
      </c>
      <c r="L83" s="37">
        <f t="shared" si="66"/>
        <v>37629.81656922408</v>
      </c>
      <c r="M83" s="37">
        <f t="shared" si="66"/>
        <v>42032.767846170187</v>
      </c>
      <c r="N83" s="37">
        <f t="shared" si="66"/>
        <v>44850.019678989389</v>
      </c>
      <c r="O83" s="37">
        <f t="shared" si="66"/>
        <v>48482.907335301927</v>
      </c>
      <c r="P83" s="37">
        <f t="shared" si="66"/>
        <v>51770.906380903521</v>
      </c>
      <c r="Q83" s="37">
        <f t="shared" si="66"/>
        <v>53842.094025834216</v>
      </c>
    </row>
    <row r="84" spans="1:17" outlineLevel="1">
      <c r="A84" s="11" t="s">
        <v>8</v>
      </c>
      <c r="B84" s="43">
        <v>6565</v>
      </c>
      <c r="C84" s="43">
        <v>9275</v>
      </c>
      <c r="D84" s="43">
        <v>12540</v>
      </c>
      <c r="E84" s="43">
        <v>16085</v>
      </c>
      <c r="F84" s="43">
        <v>22620</v>
      </c>
      <c r="G84" s="37">
        <f t="shared" si="64"/>
        <v>30341.519875162652</v>
      </c>
      <c r="H84" s="37">
        <f t="shared" ref="H84:Q84" si="67">H$79*H24</f>
        <v>38223.502783786855</v>
      </c>
      <c r="I84" s="37">
        <f t="shared" si="67"/>
        <v>47044.726618629669</v>
      </c>
      <c r="J84" s="37">
        <f t="shared" si="67"/>
        <v>56621.472261232877</v>
      </c>
      <c r="K84" s="37">
        <f t="shared" si="67"/>
        <v>66877.36645055408</v>
      </c>
      <c r="L84" s="37">
        <f t="shared" si="67"/>
        <v>75279.0134499548</v>
      </c>
      <c r="M84" s="37">
        <f t="shared" si="67"/>
        <v>84087.183635610214</v>
      </c>
      <c r="N84" s="37">
        <f t="shared" si="67"/>
        <v>91905.77803071597</v>
      </c>
      <c r="O84" s="37">
        <f t="shared" si="67"/>
        <v>97363.215550401408</v>
      </c>
      <c r="P84" s="37">
        <f t="shared" si="67"/>
        <v>101844.40599522005</v>
      </c>
      <c r="Q84" s="37">
        <f t="shared" si="67"/>
        <v>107684.18805166843</v>
      </c>
    </row>
    <row r="85" spans="1:17" outlineLevel="1">
      <c r="A85" s="11" t="s">
        <v>9</v>
      </c>
      <c r="B85" s="43">
        <v>1129</v>
      </c>
      <c r="C85" s="43">
        <v>1552</v>
      </c>
      <c r="D85" s="43">
        <v>1747</v>
      </c>
      <c r="E85" s="43">
        <v>2432</v>
      </c>
      <c r="F85" s="43">
        <v>3674</v>
      </c>
      <c r="G85" s="37">
        <f t="shared" si="64"/>
        <v>4928.1496030657645</v>
      </c>
      <c r="H85" s="37">
        <f t="shared" ref="H85:Q85" si="68">H$79*H25</f>
        <v>6208.3620348201985</v>
      </c>
      <c r="I85" s="37">
        <f t="shared" si="68"/>
        <v>7641.1284525572682</v>
      </c>
      <c r="J85" s="37">
        <f t="shared" si="68"/>
        <v>8904.5400399791761</v>
      </c>
      <c r="K85" s="37">
        <f t="shared" si="68"/>
        <v>10517.426756051504</v>
      </c>
      <c r="L85" s="37">
        <f t="shared" si="68"/>
        <v>12044.642151992768</v>
      </c>
      <c r="M85" s="37">
        <f t="shared" si="68"/>
        <v>13453.949381697634</v>
      </c>
      <c r="N85" s="37">
        <f t="shared" si="68"/>
        <v>13969.678260668827</v>
      </c>
      <c r="O85" s="37">
        <f t="shared" si="68"/>
        <v>15101.233432307157</v>
      </c>
      <c r="P85" s="37">
        <f t="shared" si="68"/>
        <v>16125.364282576507</v>
      </c>
      <c r="Q85" s="37">
        <f t="shared" si="68"/>
        <v>17049.996441514169</v>
      </c>
    </row>
    <row r="86" spans="1:17" outlineLevel="1">
      <c r="A86" s="11" t="s">
        <v>10</v>
      </c>
      <c r="B86" s="43">
        <v>114</v>
      </c>
      <c r="C86" s="43">
        <v>133</v>
      </c>
      <c r="D86" s="43">
        <v>171</v>
      </c>
      <c r="E86" s="43">
        <v>167</v>
      </c>
      <c r="F86" s="43">
        <v>214</v>
      </c>
      <c r="G86" s="37">
        <f t="shared" si="64"/>
        <v>272.69809861275718</v>
      </c>
      <c r="H86" s="37">
        <f t="shared" ref="H86:Q86" si="69">H$79*H26</f>
        <v>326.36145933451252</v>
      </c>
      <c r="I86" s="37">
        <f t="shared" si="69"/>
        <v>381.5952304029438</v>
      </c>
      <c r="J86" s="37">
        <f t="shared" si="69"/>
        <v>436.31159198801163</v>
      </c>
      <c r="K86" s="37">
        <f t="shared" si="69"/>
        <v>489.57401857927169</v>
      </c>
      <c r="L86" s="37">
        <f t="shared" si="69"/>
        <v>532.63091796119693</v>
      </c>
      <c r="M86" s="37">
        <f t="shared" si="69"/>
        <v>565.20483157583169</v>
      </c>
      <c r="N86" s="37">
        <f t="shared" si="69"/>
        <v>586.87077113810199</v>
      </c>
      <c r="O86" s="37">
        <f t="shared" si="69"/>
        <v>602.68738670820073</v>
      </c>
      <c r="P86" s="37">
        <f t="shared" si="69"/>
        <v>643.56025636900574</v>
      </c>
      <c r="Q86" s="37">
        <f t="shared" si="69"/>
        <v>680.46215196809669</v>
      </c>
    </row>
    <row r="87" spans="1:17" outlineLevel="1">
      <c r="A87" s="14" t="s">
        <v>11</v>
      </c>
      <c r="B87" s="38">
        <f>SUM(B81:B86)</f>
        <v>73707</v>
      </c>
      <c r="C87" s="38">
        <f t="shared" ref="C87:F87" si="70">SUM(C81:C86)</f>
        <v>88810</v>
      </c>
      <c r="D87" s="38">
        <f t="shared" si="70"/>
        <v>104773</v>
      </c>
      <c r="E87" s="38">
        <f t="shared" si="70"/>
        <v>131801</v>
      </c>
      <c r="F87" s="38">
        <f t="shared" si="70"/>
        <v>173760</v>
      </c>
      <c r="G87" s="38">
        <f>SUM(G81:G86)</f>
        <v>229976.94352974943</v>
      </c>
      <c r="H87" s="38">
        <f t="shared" ref="H87:Q87" si="71">SUM(H81:H86)</f>
        <v>291546.27160435275</v>
      </c>
      <c r="I87" s="38">
        <f t="shared" si="71"/>
        <v>354657.32380099565</v>
      </c>
      <c r="J87" s="38">
        <f t="shared" si="71"/>
        <v>427702.09913661686</v>
      </c>
      <c r="K87" s="38">
        <f t="shared" si="71"/>
        <v>503042.88235817541</v>
      </c>
      <c r="L87" s="38">
        <f t="shared" si="71"/>
        <v>575353.48746606277</v>
      </c>
      <c r="M87" s="38">
        <f t="shared" si="71"/>
        <v>646680.29991596995</v>
      </c>
      <c r="N87" s="38">
        <f t="shared" si="71"/>
        <v>706423.24604703684</v>
      </c>
      <c r="O87" s="38">
        <f t="shared" si="71"/>
        <v>757651.36340105382</v>
      </c>
      <c r="P87" s="38">
        <f t="shared" si="71"/>
        <v>806911.77438519441</v>
      </c>
      <c r="Q87" s="38">
        <f t="shared" si="71"/>
        <v>847796.07482509315</v>
      </c>
    </row>
    <row r="88" spans="1:17" outlineLevel="1">
      <c r="A88" s="15" t="s">
        <v>12</v>
      </c>
      <c r="B88" s="81">
        <f>B79-B87</f>
        <v>745</v>
      </c>
      <c r="C88" s="81">
        <f t="shared" ref="C88:F88" si="72">C79-C87</f>
        <v>178</v>
      </c>
      <c r="D88" s="81">
        <f t="shared" si="72"/>
        <v>2233</v>
      </c>
      <c r="E88" s="81">
        <f t="shared" si="72"/>
        <v>4186</v>
      </c>
      <c r="F88" s="81">
        <f t="shared" si="72"/>
        <v>4106</v>
      </c>
      <c r="G88" s="81">
        <f>G79-G87</f>
        <v>8605.0535575927643</v>
      </c>
      <c r="H88" s="81">
        <f t="shared" ref="H88:Q88" si="73">H79-H87</f>
        <v>9013.4784460907686</v>
      </c>
      <c r="I88" s="81">
        <f t="shared" si="73"/>
        <v>15265.635736987751</v>
      </c>
      <c r="J88" s="81">
        <f t="shared" si="73"/>
        <v>17524.9028623419</v>
      </c>
      <c r="K88" s="81">
        <f t="shared" si="73"/>
        <v>22828.455444399791</v>
      </c>
      <c r="L88" s="81">
        <f t="shared" si="73"/>
        <v>26878.620133575634</v>
      </c>
      <c r="M88" s="81">
        <f t="shared" si="73"/>
        <v>26017.169168911758</v>
      </c>
      <c r="N88" s="81">
        <f t="shared" si="73"/>
        <v>28822.978198690922</v>
      </c>
      <c r="O88" s="81">
        <f t="shared" si="73"/>
        <v>37150.396194059751</v>
      </c>
      <c r="P88" s="81">
        <f t="shared" si="73"/>
        <v>41791.608908305992</v>
      </c>
      <c r="Q88" s="81">
        <f t="shared" si="73"/>
        <v>49572.158938810462</v>
      </c>
    </row>
    <row r="89" spans="1:17" outlineLevel="1">
      <c r="A89" t="s">
        <v>13</v>
      </c>
      <c r="B89" s="43">
        <v>38</v>
      </c>
      <c r="C89" s="43">
        <v>39</v>
      </c>
      <c r="D89" s="43">
        <v>50</v>
      </c>
      <c r="E89" s="43">
        <v>100</v>
      </c>
      <c r="F89" s="43">
        <v>202</v>
      </c>
      <c r="G89" s="37">
        <f>G139*G31</f>
        <v>205.22</v>
      </c>
      <c r="H89" s="37">
        <f t="shared" ref="H89:Q89" si="74">H139*H31</f>
        <v>375.59494044440521</v>
      </c>
      <c r="I89" s="37">
        <f t="shared" si="74"/>
        <v>545.12482060122261</v>
      </c>
      <c r="J89" s="37">
        <f t="shared" si="74"/>
        <v>762.26226398052302</v>
      </c>
      <c r="K89" s="37">
        <f t="shared" si="74"/>
        <v>1063.8020342882958</v>
      </c>
      <c r="L89" s="37">
        <f t="shared" si="74"/>
        <v>1409.8198732523649</v>
      </c>
      <c r="M89" s="37">
        <f t="shared" si="74"/>
        <v>1794.5968168459888</v>
      </c>
      <c r="N89" s="37">
        <f t="shared" si="74"/>
        <v>2219.1514312750769</v>
      </c>
      <c r="O89" s="37">
        <f t="shared" si="74"/>
        <v>2696.4388887260388</v>
      </c>
      <c r="P89" s="37">
        <f t="shared" si="74"/>
        <v>3228.731873564519</v>
      </c>
      <c r="Q89" s="37">
        <f t="shared" si="74"/>
        <v>3845.4337320404506</v>
      </c>
    </row>
    <row r="90" spans="1:17" outlineLevel="1">
      <c r="A90" t="s">
        <v>14</v>
      </c>
      <c r="B90" s="43">
        <v>-141</v>
      </c>
      <c r="C90" s="43">
        <v>-210</v>
      </c>
      <c r="D90" s="43">
        <v>-459</v>
      </c>
      <c r="E90" s="43">
        <v>-484</v>
      </c>
      <c r="F90" s="43">
        <v>-848</v>
      </c>
      <c r="G90" s="37">
        <f>-G195</f>
        <v>-1360.865</v>
      </c>
      <c r="H90" s="37">
        <f t="shared" ref="H90:Q90" si="75">-H195</f>
        <v>-1360.865</v>
      </c>
      <c r="I90" s="37">
        <f t="shared" si="75"/>
        <v>-1360.865</v>
      </c>
      <c r="J90" s="37">
        <f t="shared" si="75"/>
        <v>-1360.865</v>
      </c>
      <c r="K90" s="37">
        <f t="shared" si="75"/>
        <v>-1360.865</v>
      </c>
      <c r="L90" s="37">
        <f t="shared" si="75"/>
        <v>-1360.865</v>
      </c>
      <c r="M90" s="37">
        <f t="shared" si="75"/>
        <v>-1360.865</v>
      </c>
      <c r="N90" s="37">
        <f t="shared" si="75"/>
        <v>-1360.865</v>
      </c>
      <c r="O90" s="37">
        <f t="shared" si="75"/>
        <v>-1360.865</v>
      </c>
      <c r="P90" s="37">
        <f t="shared" si="75"/>
        <v>-1360.865</v>
      </c>
      <c r="Q90" s="37">
        <f t="shared" si="75"/>
        <v>-1360.865</v>
      </c>
    </row>
    <row r="91" spans="1:17" outlineLevel="1">
      <c r="A91" t="s">
        <v>15</v>
      </c>
      <c r="B91" s="43">
        <v>-136</v>
      </c>
      <c r="C91" s="43">
        <v>-118</v>
      </c>
      <c r="D91" s="43">
        <v>-256</v>
      </c>
      <c r="E91" s="43">
        <v>90</v>
      </c>
      <c r="F91" s="43">
        <v>346</v>
      </c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</row>
    <row r="92" spans="1:17" outlineLevel="1">
      <c r="A92" s="16" t="s">
        <v>16</v>
      </c>
      <c r="B92" s="38">
        <f>SUM(B89:B91)</f>
        <v>-239</v>
      </c>
      <c r="C92" s="38">
        <f t="shared" ref="C92:F92" si="76">SUM(C89:C91)</f>
        <v>-289</v>
      </c>
      <c r="D92" s="38">
        <f t="shared" si="76"/>
        <v>-665</v>
      </c>
      <c r="E92" s="38">
        <f t="shared" si="76"/>
        <v>-294</v>
      </c>
      <c r="F92" s="38">
        <f t="shared" si="76"/>
        <v>-300</v>
      </c>
      <c r="G92" s="38">
        <f>SUM(G89:G91)</f>
        <v>-1155.645</v>
      </c>
      <c r="H92" s="38">
        <f t="shared" ref="H92:Q92" si="77">SUM(H89:H91)</f>
        <v>-985.2700595555948</v>
      </c>
      <c r="I92" s="38">
        <f t="shared" si="77"/>
        <v>-815.7401793987774</v>
      </c>
      <c r="J92" s="38">
        <f t="shared" si="77"/>
        <v>-598.60273601947699</v>
      </c>
      <c r="K92" s="38">
        <f t="shared" si="77"/>
        <v>-297.06296571170424</v>
      </c>
      <c r="L92" s="38">
        <f t="shared" si="77"/>
        <v>48.954873252364905</v>
      </c>
      <c r="M92" s="38">
        <f t="shared" si="77"/>
        <v>433.73181684598876</v>
      </c>
      <c r="N92" s="38">
        <f t="shared" si="77"/>
        <v>858.28643127507689</v>
      </c>
      <c r="O92" s="38">
        <f t="shared" si="77"/>
        <v>1335.5738887260388</v>
      </c>
      <c r="P92" s="38">
        <f t="shared" si="77"/>
        <v>1867.866873564519</v>
      </c>
      <c r="Q92" s="38">
        <f t="shared" si="77"/>
        <v>2484.5687320404504</v>
      </c>
    </row>
    <row r="93" spans="1:17" outlineLevel="1">
      <c r="A93" s="17" t="s">
        <v>17</v>
      </c>
      <c r="B93" s="38">
        <f>B88+B92</f>
        <v>506</v>
      </c>
      <c r="C93" s="38">
        <f t="shared" ref="C93:F93" si="78">C88+C92</f>
        <v>-111</v>
      </c>
      <c r="D93" s="38">
        <f t="shared" si="78"/>
        <v>1568</v>
      </c>
      <c r="E93" s="38">
        <f t="shared" si="78"/>
        <v>3892</v>
      </c>
      <c r="F93" s="38">
        <f t="shared" si="78"/>
        <v>3806</v>
      </c>
      <c r="G93" s="38">
        <f>G88+G92</f>
        <v>7449.4085575927638</v>
      </c>
      <c r="H93" s="38">
        <f t="shared" ref="H93:Q93" si="79">H88+H92</f>
        <v>8028.2083865351742</v>
      </c>
      <c r="I93" s="38">
        <f t="shared" si="79"/>
        <v>14449.895557588974</v>
      </c>
      <c r="J93" s="38">
        <f t="shared" si="79"/>
        <v>16926.300126322421</v>
      </c>
      <c r="K93" s="38">
        <f t="shared" si="79"/>
        <v>22531.392478688089</v>
      </c>
      <c r="L93" s="38">
        <f t="shared" si="79"/>
        <v>26927.575006827999</v>
      </c>
      <c r="M93" s="38">
        <f t="shared" si="79"/>
        <v>26450.900985757748</v>
      </c>
      <c r="N93" s="38">
        <f t="shared" si="79"/>
        <v>29681.264629965997</v>
      </c>
      <c r="O93" s="38">
        <f t="shared" si="79"/>
        <v>38485.970082785789</v>
      </c>
      <c r="P93" s="38">
        <f t="shared" si="79"/>
        <v>43659.475781870511</v>
      </c>
      <c r="Q93" s="38">
        <f t="shared" si="79"/>
        <v>52056.727670850916</v>
      </c>
    </row>
    <row r="94" spans="1:17" outlineLevel="1">
      <c r="A94" t="s">
        <v>18</v>
      </c>
      <c r="B94" s="43">
        <v>-161</v>
      </c>
      <c r="C94" s="43">
        <v>-167</v>
      </c>
      <c r="D94" s="43">
        <v>-950</v>
      </c>
      <c r="E94" s="43">
        <v>-1425</v>
      </c>
      <c r="F94" s="43">
        <v>-769</v>
      </c>
      <c r="G94" s="37">
        <f>G93*-G30</f>
        <v>-1489.8817115185529</v>
      </c>
      <c r="H94" s="37">
        <f t="shared" ref="H94:Q94" si="80">H93*-H30</f>
        <v>-1605.641677307035</v>
      </c>
      <c r="I94" s="37">
        <f t="shared" si="80"/>
        <v>-3251.2265004575193</v>
      </c>
      <c r="J94" s="37">
        <f t="shared" si="80"/>
        <v>-3808.4175284225448</v>
      </c>
      <c r="K94" s="37">
        <f t="shared" si="80"/>
        <v>-5069.5633077048205</v>
      </c>
      <c r="L94" s="37">
        <f t="shared" si="80"/>
        <v>-6058.7043765362996</v>
      </c>
      <c r="M94" s="37">
        <f t="shared" si="80"/>
        <v>-5951.4527217954937</v>
      </c>
      <c r="N94" s="37">
        <f t="shared" si="80"/>
        <v>-6678.2845417423496</v>
      </c>
      <c r="O94" s="37">
        <f t="shared" si="80"/>
        <v>-8659.3432686268025</v>
      </c>
      <c r="P94" s="37">
        <f t="shared" si="80"/>
        <v>-9823.3820509208654</v>
      </c>
      <c r="Q94" s="37">
        <f t="shared" si="80"/>
        <v>-11712.763725941457</v>
      </c>
    </row>
    <row r="95" spans="1:17" outlineLevel="1">
      <c r="A95" t="s">
        <v>19</v>
      </c>
      <c r="B95" s="43">
        <v>-71</v>
      </c>
      <c r="C95" s="43">
        <v>37</v>
      </c>
      <c r="D95" s="43">
        <v>-22</v>
      </c>
      <c r="E95" s="43">
        <v>-96</v>
      </c>
      <c r="F95" s="43">
        <v>-4</v>
      </c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</row>
    <row r="96" spans="1:17" ht="15" outlineLevel="1" thickBot="1">
      <c r="A96" s="18" t="s">
        <v>20</v>
      </c>
      <c r="B96" s="82">
        <f>SUM(B93:B95)</f>
        <v>274</v>
      </c>
      <c r="C96" s="82">
        <f t="shared" ref="C96:F96" si="81">SUM(C93:C95)</f>
        <v>-241</v>
      </c>
      <c r="D96" s="82">
        <f t="shared" si="81"/>
        <v>596</v>
      </c>
      <c r="E96" s="82">
        <f t="shared" si="81"/>
        <v>2371</v>
      </c>
      <c r="F96" s="82">
        <f t="shared" si="81"/>
        <v>3033</v>
      </c>
      <c r="G96" s="82">
        <f>SUM(G93:G95)</f>
        <v>5959.5268460742109</v>
      </c>
      <c r="H96" s="82">
        <f t="shared" ref="H96:Q96" si="82">SUM(H93:H95)</f>
        <v>6422.5667092281392</v>
      </c>
      <c r="I96" s="82">
        <f t="shared" si="82"/>
        <v>11198.669057131454</v>
      </c>
      <c r="J96" s="82">
        <f t="shared" si="82"/>
        <v>13117.882597899876</v>
      </c>
      <c r="K96" s="82">
        <f t="shared" si="82"/>
        <v>17461.82917098327</v>
      </c>
      <c r="L96" s="82">
        <f t="shared" si="82"/>
        <v>20868.870630291698</v>
      </c>
      <c r="M96" s="82">
        <f t="shared" si="82"/>
        <v>20499.448263962255</v>
      </c>
      <c r="N96" s="82">
        <f t="shared" si="82"/>
        <v>23002.980088223649</v>
      </c>
      <c r="O96" s="82">
        <f t="shared" si="82"/>
        <v>29826.626814158986</v>
      </c>
      <c r="P96" s="82">
        <f t="shared" si="82"/>
        <v>33836.093730949644</v>
      </c>
      <c r="Q96" s="82">
        <f t="shared" si="82"/>
        <v>40343.963944909461</v>
      </c>
    </row>
    <row r="97" spans="1:17" ht="16" outlineLevel="1" thickTop="1" thickBot="1">
      <c r="A97" s="19" t="s">
        <v>21</v>
      </c>
      <c r="B97" s="83">
        <f>B$96/B100</f>
        <v>0.59956236323851209</v>
      </c>
      <c r="C97" s="83">
        <f t="shared" ref="C97:F97" si="83">C$96/C100</f>
        <v>-0.52164502164502169</v>
      </c>
      <c r="D97" s="83">
        <f t="shared" si="83"/>
        <v>1.2762312633832977</v>
      </c>
      <c r="E97" s="83">
        <f t="shared" si="83"/>
        <v>5.0021097046413505</v>
      </c>
      <c r="F97" s="83">
        <f t="shared" si="83"/>
        <v>6.3187499999999996</v>
      </c>
      <c r="G97" s="83">
        <f>G$96/G100</f>
        <v>12.268459416325369</v>
      </c>
      <c r="H97" s="83">
        <f t="shared" ref="H97:Q97" si="84">H$96/H100</f>
        <v>13.077830925913721</v>
      </c>
      <c r="I97" s="83">
        <f t="shared" si="84"/>
        <v>22.577306629860377</v>
      </c>
      <c r="J97" s="83">
        <f t="shared" si="84"/>
        <v>26.184729192862875</v>
      </c>
      <c r="K97" s="83">
        <f t="shared" si="84"/>
        <v>34.510615765593435</v>
      </c>
      <c r="L97" s="83">
        <f t="shared" si="84"/>
        <v>40.835750924744325</v>
      </c>
      <c r="M97" s="83">
        <f t="shared" si="84"/>
        <v>39.715716133625762</v>
      </c>
      <c r="N97" s="83">
        <f t="shared" si="84"/>
        <v>44.124820870210463</v>
      </c>
      <c r="O97" s="83">
        <f t="shared" si="84"/>
        <v>56.647613530027684</v>
      </c>
      <c r="P97" s="83">
        <f t="shared" si="84"/>
        <v>63.626249421040299</v>
      </c>
      <c r="Q97" s="83">
        <f t="shared" si="84"/>
        <v>75.112686874164154</v>
      </c>
    </row>
    <row r="98" spans="1:17" ht="16" outlineLevel="1" thickTop="1" thickBot="1">
      <c r="A98" s="19" t="s">
        <v>22</v>
      </c>
      <c r="B98" s="83">
        <f>B$96/B101</f>
        <v>0.58924731182795698</v>
      </c>
      <c r="C98" s="83">
        <f t="shared" ref="C98:F98" si="85">C$96/C101</f>
        <v>-0.52164502164502169</v>
      </c>
      <c r="D98" s="83">
        <f t="shared" si="85"/>
        <v>1.249475890985325</v>
      </c>
      <c r="E98" s="83">
        <f t="shared" si="85"/>
        <v>4.8987603305785123</v>
      </c>
      <c r="F98" s="83">
        <f t="shared" si="85"/>
        <v>6.1521298174442194</v>
      </c>
      <c r="G98" s="83">
        <f>G$96/G101</f>
        <v>11.897922980934281</v>
      </c>
      <c r="H98" s="83">
        <f t="shared" ref="H98:Q98" si="86">H$96/H101</f>
        <v>12.657809383502597</v>
      </c>
      <c r="I98" s="83">
        <f t="shared" si="86"/>
        <v>21.852189811338711</v>
      </c>
      <c r="J98" s="83">
        <f t="shared" si="86"/>
        <v>25.343752550366986</v>
      </c>
      <c r="K98" s="83">
        <f t="shared" si="86"/>
        <v>33.402236085083885</v>
      </c>
      <c r="L98" s="83">
        <f t="shared" si="86"/>
        <v>39.524226468885132</v>
      </c>
      <c r="M98" s="83">
        <f t="shared" si="86"/>
        <v>38.440163907655823</v>
      </c>
      <c r="N98" s="83">
        <f t="shared" si="86"/>
        <v>42.707661142002294</v>
      </c>
      <c r="O98" s="83">
        <f t="shared" si="86"/>
        <v>54.828258459329753</v>
      </c>
      <c r="P98" s="83">
        <f t="shared" si="86"/>
        <v>61.582761049684642</v>
      </c>
      <c r="Q98" s="83">
        <f t="shared" si="86"/>
        <v>72.700287847578196</v>
      </c>
    </row>
    <row r="99" spans="1:17" ht="15" outlineLevel="1" thickTop="1">
      <c r="A99" t="s">
        <v>23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</row>
    <row r="100" spans="1:17" outlineLevel="1">
      <c r="A100" s="11" t="s">
        <v>24</v>
      </c>
      <c r="B100" s="43">
        <v>457</v>
      </c>
      <c r="C100" s="43">
        <v>462</v>
      </c>
      <c r="D100" s="43">
        <v>467</v>
      </c>
      <c r="E100" s="43">
        <v>474</v>
      </c>
      <c r="F100" s="43">
        <v>480</v>
      </c>
      <c r="G100" s="37">
        <f>F100*(1+G60)</f>
        <v>485.76</v>
      </c>
      <c r="H100" s="37">
        <f t="shared" ref="H100:Q100" si="87">G100*(1+H60)</f>
        <v>491.10335999999995</v>
      </c>
      <c r="I100" s="37">
        <f t="shared" si="87"/>
        <v>496.01439359999995</v>
      </c>
      <c r="J100" s="37">
        <f t="shared" si="87"/>
        <v>500.97453753599996</v>
      </c>
      <c r="K100" s="37">
        <f t="shared" si="87"/>
        <v>505.98428291135997</v>
      </c>
      <c r="L100" s="37">
        <f t="shared" si="87"/>
        <v>511.04412574047359</v>
      </c>
      <c r="M100" s="37">
        <f t="shared" si="87"/>
        <v>516.15456699787831</v>
      </c>
      <c r="N100" s="37">
        <f t="shared" si="87"/>
        <v>521.31611266785706</v>
      </c>
      <c r="O100" s="37">
        <f t="shared" si="87"/>
        <v>526.52927379453558</v>
      </c>
      <c r="P100" s="37">
        <f t="shared" si="87"/>
        <v>531.79456653248099</v>
      </c>
      <c r="Q100" s="37">
        <f t="shared" si="87"/>
        <v>537.11251219780581</v>
      </c>
    </row>
    <row r="101" spans="1:17" outlineLevel="1">
      <c r="A101" s="11" t="s">
        <v>25</v>
      </c>
      <c r="B101" s="43">
        <v>465</v>
      </c>
      <c r="C101" s="43">
        <v>462</v>
      </c>
      <c r="D101" s="43">
        <v>477</v>
      </c>
      <c r="E101" s="43">
        <v>484</v>
      </c>
      <c r="F101" s="43">
        <v>493</v>
      </c>
      <c r="G101" s="37">
        <f>F101*(1+G61)</f>
        <v>500.88800000000003</v>
      </c>
      <c r="H101" s="37">
        <f t="shared" ref="H101:Q101" si="88">G101*(1+H61)</f>
        <v>507.39954399999999</v>
      </c>
      <c r="I101" s="37">
        <f t="shared" si="88"/>
        <v>512.47353943999997</v>
      </c>
      <c r="J101" s="37">
        <f t="shared" si="88"/>
        <v>517.59827483439994</v>
      </c>
      <c r="K101" s="37">
        <f t="shared" si="88"/>
        <v>522.77425758274399</v>
      </c>
      <c r="L101" s="37">
        <f t="shared" si="88"/>
        <v>528.00200015857138</v>
      </c>
      <c r="M101" s="37">
        <f t="shared" si="88"/>
        <v>533.28202016015712</v>
      </c>
      <c r="N101" s="37">
        <f t="shared" si="88"/>
        <v>538.61484036175864</v>
      </c>
      <c r="O101" s="37">
        <f t="shared" si="88"/>
        <v>544.00098876537618</v>
      </c>
      <c r="P101" s="37">
        <f t="shared" si="88"/>
        <v>549.44099865302996</v>
      </c>
      <c r="Q101" s="37">
        <f t="shared" si="88"/>
        <v>554.93540863956025</v>
      </c>
    </row>
    <row r="102" spans="1:17" outlineLevel="1">
      <c r="B102" s="37"/>
      <c r="C102" s="89"/>
      <c r="D102" s="89"/>
      <c r="E102" s="89"/>
      <c r="F102" s="89"/>
      <c r="G102" s="37"/>
      <c r="H102" s="37"/>
      <c r="I102" s="37"/>
      <c r="J102" s="8"/>
      <c r="K102" s="8"/>
      <c r="L102" s="8"/>
      <c r="M102" s="8"/>
      <c r="N102" s="8"/>
      <c r="O102" s="8"/>
      <c r="P102" s="8"/>
      <c r="Q102" s="8"/>
    </row>
    <row r="103" spans="1:17">
      <c r="B103" s="37"/>
      <c r="C103" s="89"/>
      <c r="D103" s="89"/>
      <c r="E103" s="89"/>
      <c r="F103" s="89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</row>
    <row r="104" spans="1:17">
      <c r="A104" s="6" t="s">
        <v>93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outlineLevel="1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</row>
    <row r="106" spans="1:17" outlineLevel="1">
      <c r="A106" t="s">
        <v>27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</row>
    <row r="107" spans="1:17" outlineLevel="1">
      <c r="A107" s="11" t="s">
        <v>28</v>
      </c>
      <c r="B107" s="43">
        <v>8658</v>
      </c>
      <c r="C107" s="43">
        <v>14557</v>
      </c>
      <c r="D107" s="43">
        <v>15890</v>
      </c>
      <c r="E107" s="43">
        <v>19334</v>
      </c>
      <c r="F107" s="43">
        <v>20522</v>
      </c>
      <c r="G107" s="37">
        <f>G173</f>
        <v>37559.494044440522</v>
      </c>
      <c r="H107" s="37">
        <f t="shared" ref="H107:Q107" si="89">H173</f>
        <v>54512.48206012226</v>
      </c>
      <c r="I107" s="37">
        <f t="shared" si="89"/>
        <v>76226.226398052298</v>
      </c>
      <c r="J107" s="37">
        <f t="shared" si="89"/>
        <v>106380.20342882958</v>
      </c>
      <c r="K107" s="37">
        <f t="shared" si="89"/>
        <v>140981.98732523649</v>
      </c>
      <c r="L107" s="37">
        <f t="shared" si="89"/>
        <v>179459.68168459888</v>
      </c>
      <c r="M107" s="37">
        <f t="shared" si="89"/>
        <v>221915.1431275077</v>
      </c>
      <c r="N107" s="37">
        <f t="shared" si="89"/>
        <v>269643.88887260389</v>
      </c>
      <c r="O107" s="37">
        <f t="shared" si="89"/>
        <v>322873.18735645188</v>
      </c>
      <c r="P107" s="37">
        <f t="shared" si="89"/>
        <v>384543.37320404506</v>
      </c>
      <c r="Q107" s="37">
        <f t="shared" si="89"/>
        <v>450582.39995507483</v>
      </c>
    </row>
    <row r="108" spans="1:17" outlineLevel="1">
      <c r="A108" s="11" t="s">
        <v>29</v>
      </c>
      <c r="B108" s="43">
        <v>3789</v>
      </c>
      <c r="C108" s="43">
        <v>2859</v>
      </c>
      <c r="D108" s="43">
        <v>3918</v>
      </c>
      <c r="E108" s="43">
        <v>6647</v>
      </c>
      <c r="F108" s="43">
        <v>10464</v>
      </c>
      <c r="G108" s="37">
        <f>F108*(1+G39)-G58</f>
        <v>10464</v>
      </c>
      <c r="H108" s="37">
        <f t="shared" ref="H108:Q108" si="90">G108*(1+H39)-H58</f>
        <v>10464</v>
      </c>
      <c r="I108" s="37">
        <f t="shared" si="90"/>
        <v>10464</v>
      </c>
      <c r="J108" s="37">
        <f t="shared" si="90"/>
        <v>10464</v>
      </c>
      <c r="K108" s="37">
        <f t="shared" si="90"/>
        <v>10464</v>
      </c>
      <c r="L108" s="37">
        <f t="shared" si="90"/>
        <v>10464</v>
      </c>
      <c r="M108" s="37">
        <f t="shared" si="90"/>
        <v>10464</v>
      </c>
      <c r="N108" s="37">
        <f t="shared" si="90"/>
        <v>10464</v>
      </c>
      <c r="O108" s="37">
        <f t="shared" si="90"/>
        <v>10464</v>
      </c>
      <c r="P108" s="37">
        <f t="shared" si="90"/>
        <v>10464</v>
      </c>
      <c r="Q108" s="37">
        <f t="shared" si="90"/>
        <v>10464</v>
      </c>
    </row>
    <row r="109" spans="1:17" outlineLevel="1">
      <c r="A109" s="11" t="s">
        <v>30</v>
      </c>
      <c r="B109" s="43">
        <v>7411</v>
      </c>
      <c r="C109" s="43">
        <v>8299</v>
      </c>
      <c r="D109" s="43">
        <v>10243</v>
      </c>
      <c r="E109" s="43">
        <v>11461</v>
      </c>
      <c r="F109" s="43">
        <v>16047</v>
      </c>
      <c r="G109" s="37">
        <f>G81/G9*G35</f>
        <v>20748.608125556671</v>
      </c>
      <c r="H109" s="37">
        <f t="shared" ref="H109:Q109" si="91">H81/H9*H35</f>
        <v>26138.587773782925</v>
      </c>
      <c r="I109" s="37">
        <f t="shared" si="91"/>
        <v>31271.629421052472</v>
      </c>
      <c r="J109" s="37">
        <f t="shared" si="91"/>
        <v>37740.612169445987</v>
      </c>
      <c r="K109" s="37">
        <f t="shared" si="91"/>
        <v>44202.007243241111</v>
      </c>
      <c r="L109" s="37">
        <f t="shared" si="91"/>
        <v>50620.496057964127</v>
      </c>
      <c r="M109" s="37">
        <f t="shared" si="91"/>
        <v>56866.829763623609</v>
      </c>
      <c r="N109" s="37">
        <f t="shared" si="91"/>
        <v>62324.707337432366</v>
      </c>
      <c r="O109" s="37">
        <f t="shared" si="91"/>
        <v>66806.898587337215</v>
      </c>
      <c r="P109" s="37">
        <f t="shared" si="91"/>
        <v>71337.588491629009</v>
      </c>
      <c r="Q109" s="37">
        <f t="shared" si="91"/>
        <v>74584.54008496707</v>
      </c>
    </row>
    <row r="110" spans="1:17" outlineLevel="1">
      <c r="A110" s="11" t="s">
        <v>31</v>
      </c>
      <c r="B110" s="43">
        <v>4767</v>
      </c>
      <c r="C110" s="43">
        <v>5612</v>
      </c>
      <c r="D110" s="43">
        <v>6423</v>
      </c>
      <c r="E110" s="43">
        <v>8339</v>
      </c>
      <c r="F110" s="43">
        <v>13164</v>
      </c>
      <c r="G110" s="37">
        <f>G79/G9*G36</f>
        <v>17648.531291392439</v>
      </c>
      <c r="H110" s="37">
        <f t="shared" ref="H110:Q110" si="92">H79/H9*H36</f>
        <v>22233.186990032806</v>
      </c>
      <c r="I110" s="37">
        <f t="shared" si="92"/>
        <v>27289.398654441397</v>
      </c>
      <c r="J110" s="37">
        <f t="shared" si="92"/>
        <v>32934.600147868186</v>
      </c>
      <c r="K110" s="37">
        <f t="shared" si="92"/>
        <v>38900.071563478166</v>
      </c>
      <c r="L110" s="37">
        <f t="shared" si="92"/>
        <v>44548.676452575986</v>
      </c>
      <c r="M110" s="37">
        <f t="shared" si="92"/>
        <v>49625.223129212587</v>
      </c>
      <c r="N110" s="37">
        <f t="shared" si="92"/>
        <v>54388.076862012742</v>
      </c>
      <c r="O110" s="37">
        <f t="shared" si="92"/>
        <v>58793.554819364566</v>
      </c>
      <c r="P110" s="37">
        <f t="shared" si="92"/>
        <v>62780.798216231538</v>
      </c>
      <c r="Q110" s="37">
        <f t="shared" si="92"/>
        <v>66199.295933402725</v>
      </c>
    </row>
    <row r="111" spans="1:17" outlineLevel="1">
      <c r="A111" s="14" t="s">
        <v>32</v>
      </c>
      <c r="B111" s="38">
        <f>SUM(B107:B110)</f>
        <v>24625</v>
      </c>
      <c r="C111" s="38">
        <f t="shared" ref="C111:F111" si="93">SUM(C107:C110)</f>
        <v>31327</v>
      </c>
      <c r="D111" s="38">
        <f t="shared" si="93"/>
        <v>36474</v>
      </c>
      <c r="E111" s="38">
        <f t="shared" si="93"/>
        <v>45781</v>
      </c>
      <c r="F111" s="38">
        <f t="shared" si="93"/>
        <v>60197</v>
      </c>
      <c r="G111" s="38">
        <f>SUM(G107:G110)</f>
        <v>86420.633461389632</v>
      </c>
      <c r="H111" s="38">
        <f t="shared" ref="H111:Q111" si="94">SUM(H107:H110)</f>
        <v>113348.25682393799</v>
      </c>
      <c r="I111" s="38">
        <f t="shared" si="94"/>
        <v>145251.25447354617</v>
      </c>
      <c r="J111" s="38">
        <f t="shared" si="94"/>
        <v>187519.41574614376</v>
      </c>
      <c r="K111" s="38">
        <f t="shared" si="94"/>
        <v>234548.06613195577</v>
      </c>
      <c r="L111" s="38">
        <f t="shared" si="94"/>
        <v>285092.85419513902</v>
      </c>
      <c r="M111" s="38">
        <f t="shared" si="94"/>
        <v>338871.19602034386</v>
      </c>
      <c r="N111" s="38">
        <f t="shared" si="94"/>
        <v>396820.67307204899</v>
      </c>
      <c r="O111" s="38">
        <f t="shared" si="94"/>
        <v>458937.64076315367</v>
      </c>
      <c r="P111" s="38">
        <f t="shared" si="94"/>
        <v>529125.75991190562</v>
      </c>
      <c r="Q111" s="38">
        <f t="shared" si="94"/>
        <v>601830.23597344465</v>
      </c>
    </row>
    <row r="112" spans="1:17" outlineLevel="1">
      <c r="A112" t="s">
        <v>33</v>
      </c>
      <c r="B112" s="43">
        <v>10949</v>
      </c>
      <c r="C112" s="43">
        <v>16967</v>
      </c>
      <c r="D112" s="43">
        <v>21838</v>
      </c>
      <c r="E112" s="43">
        <v>29114</v>
      </c>
      <c r="F112" s="43">
        <v>48866</v>
      </c>
      <c r="G112" s="37">
        <f>G184</f>
        <v>63913.989577664601</v>
      </c>
      <c r="H112" s="37">
        <f t="shared" ref="H112:Q112" si="95">H184</f>
        <v>77421.161253156417</v>
      </c>
      <c r="I112" s="37">
        <f t="shared" si="95"/>
        <v>90843.45189645185</v>
      </c>
      <c r="J112" s="37">
        <f t="shared" si="95"/>
        <v>103481.04135775658</v>
      </c>
      <c r="K112" s="37">
        <f t="shared" si="95"/>
        <v>119934.47197293722</v>
      </c>
      <c r="L112" s="37">
        <f t="shared" si="95"/>
        <v>132183.89394372617</v>
      </c>
      <c r="M112" s="37">
        <f t="shared" si="95"/>
        <v>143216.59592929945</v>
      </c>
      <c r="N112" s="37">
        <f t="shared" si="95"/>
        <v>152102.11773969518</v>
      </c>
      <c r="O112" s="37">
        <f t="shared" si="95"/>
        <v>154845.4114114262</v>
      </c>
      <c r="P112" s="37">
        <f t="shared" si="95"/>
        <v>155711.29721057476</v>
      </c>
      <c r="Q112" s="37">
        <f t="shared" si="95"/>
        <v>159832.02762487374</v>
      </c>
    </row>
    <row r="113" spans="1:17" outlineLevel="1">
      <c r="A113" t="s">
        <v>34</v>
      </c>
      <c r="B113" s="43">
        <v>2655</v>
      </c>
      <c r="C113" s="43">
        <v>3319</v>
      </c>
      <c r="D113" s="43">
        <v>3759</v>
      </c>
      <c r="E113" s="43">
        <v>3784</v>
      </c>
      <c r="F113" s="43">
        <v>13350</v>
      </c>
      <c r="G113" s="37">
        <f>F113+G37</f>
        <v>13350</v>
      </c>
      <c r="H113" s="37">
        <f t="shared" ref="H113:Q113" si="96">G113+H37</f>
        <v>13350</v>
      </c>
      <c r="I113" s="37">
        <f t="shared" si="96"/>
        <v>13350</v>
      </c>
      <c r="J113" s="37">
        <f t="shared" si="96"/>
        <v>13350</v>
      </c>
      <c r="K113" s="37">
        <f t="shared" si="96"/>
        <v>13350</v>
      </c>
      <c r="L113" s="37">
        <f t="shared" si="96"/>
        <v>13350</v>
      </c>
      <c r="M113" s="37">
        <f t="shared" si="96"/>
        <v>13350</v>
      </c>
      <c r="N113" s="37">
        <f t="shared" si="96"/>
        <v>13350</v>
      </c>
      <c r="O113" s="37">
        <f t="shared" si="96"/>
        <v>13350</v>
      </c>
      <c r="P113" s="37">
        <f t="shared" si="96"/>
        <v>13350</v>
      </c>
      <c r="Q113" s="37">
        <f t="shared" si="96"/>
        <v>13350</v>
      </c>
    </row>
    <row r="114" spans="1:17" outlineLevel="1">
      <c r="A114" t="s">
        <v>35</v>
      </c>
      <c r="B114" s="43">
        <v>1930</v>
      </c>
      <c r="C114" s="43">
        <v>2892</v>
      </c>
      <c r="D114" s="43">
        <v>3373</v>
      </c>
      <c r="E114" s="43">
        <v>4723</v>
      </c>
      <c r="F114" s="43">
        <v>8897</v>
      </c>
      <c r="G114" s="37">
        <f>F114*(1+G38)</f>
        <v>8897</v>
      </c>
      <c r="H114" s="37">
        <f t="shared" ref="H114:Q114" si="97">G114*(1+H38)</f>
        <v>8897</v>
      </c>
      <c r="I114" s="37">
        <f t="shared" si="97"/>
        <v>8897</v>
      </c>
      <c r="J114" s="37">
        <f t="shared" si="97"/>
        <v>8897</v>
      </c>
      <c r="K114" s="37">
        <f t="shared" si="97"/>
        <v>8897</v>
      </c>
      <c r="L114" s="37">
        <f t="shared" si="97"/>
        <v>8897</v>
      </c>
      <c r="M114" s="37">
        <f t="shared" si="97"/>
        <v>8897</v>
      </c>
      <c r="N114" s="37">
        <f t="shared" si="97"/>
        <v>8897</v>
      </c>
      <c r="O114" s="37">
        <f t="shared" si="97"/>
        <v>8897</v>
      </c>
      <c r="P114" s="37">
        <f t="shared" si="97"/>
        <v>8897</v>
      </c>
      <c r="Q114" s="37">
        <f t="shared" si="97"/>
        <v>8897</v>
      </c>
    </row>
    <row r="115" spans="1:17" ht="15" outlineLevel="1" thickBot="1">
      <c r="A115" s="18" t="s">
        <v>36</v>
      </c>
      <c r="B115" s="82">
        <f>SUM(B111:B114)</f>
        <v>40159</v>
      </c>
      <c r="C115" s="82">
        <f t="shared" ref="C115:F115" si="98">SUM(C111:C114)</f>
        <v>54505</v>
      </c>
      <c r="D115" s="82">
        <f t="shared" si="98"/>
        <v>65444</v>
      </c>
      <c r="E115" s="82">
        <f t="shared" si="98"/>
        <v>83402</v>
      </c>
      <c r="F115" s="82">
        <f t="shared" si="98"/>
        <v>131310</v>
      </c>
      <c r="G115" s="82">
        <f>SUM(G111:G114)</f>
        <v>172581.62303905422</v>
      </c>
      <c r="H115" s="82">
        <f t="shared" ref="H115:Q115" si="99">SUM(H111:H114)</f>
        <v>213016.41807709442</v>
      </c>
      <c r="I115" s="82">
        <f t="shared" si="99"/>
        <v>258341.70636999802</v>
      </c>
      <c r="J115" s="82">
        <f t="shared" si="99"/>
        <v>313247.45710390032</v>
      </c>
      <c r="K115" s="82">
        <f t="shared" si="99"/>
        <v>376729.538104893</v>
      </c>
      <c r="L115" s="82">
        <f t="shared" si="99"/>
        <v>439523.74813886522</v>
      </c>
      <c r="M115" s="82">
        <f t="shared" si="99"/>
        <v>504334.79194964329</v>
      </c>
      <c r="N115" s="82">
        <f t="shared" si="99"/>
        <v>571169.79081174417</v>
      </c>
      <c r="O115" s="82">
        <f t="shared" si="99"/>
        <v>636030.05217457982</v>
      </c>
      <c r="P115" s="82">
        <f t="shared" si="99"/>
        <v>707084.05712248036</v>
      </c>
      <c r="Q115" s="82">
        <f t="shared" si="99"/>
        <v>783909.26359831844</v>
      </c>
    </row>
    <row r="116" spans="1:17" ht="15" outlineLevel="1" thickTop="1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</row>
    <row r="117" spans="1:17" outlineLevel="1">
      <c r="A117" t="s">
        <v>37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</row>
    <row r="118" spans="1:17" outlineLevel="1">
      <c r="A118" t="s">
        <v>38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</row>
    <row r="119" spans="1:17" outlineLevel="1">
      <c r="A119" s="11" t="s">
        <v>39</v>
      </c>
      <c r="B119" s="43">
        <v>15133</v>
      </c>
      <c r="C119" s="43">
        <v>16459</v>
      </c>
      <c r="D119" s="43">
        <v>20397</v>
      </c>
      <c r="E119" s="43">
        <v>25309</v>
      </c>
      <c r="F119" s="43">
        <v>34616</v>
      </c>
      <c r="G119" s="37">
        <f>G81/G9*G41</f>
        <v>45886.344893058027</v>
      </c>
      <c r="H119" s="37">
        <f t="shared" ref="H119:Q119" si="100">H81/H9*H41</f>
        <v>57806.492192019927</v>
      </c>
      <c r="I119" s="37">
        <f t="shared" si="100"/>
        <v>69158.41121963528</v>
      </c>
      <c r="J119" s="37">
        <f t="shared" si="100"/>
        <v>83464.815374736325</v>
      </c>
      <c r="K119" s="37">
        <f t="shared" si="100"/>
        <v>97754.439095629379</v>
      </c>
      <c r="L119" s="37">
        <f t="shared" si="100"/>
        <v>111949.17397434375</v>
      </c>
      <c r="M119" s="37">
        <f t="shared" si="100"/>
        <v>125763.18120801375</v>
      </c>
      <c r="N119" s="37">
        <f t="shared" si="100"/>
        <v>137833.48738086005</v>
      </c>
      <c r="O119" s="37">
        <f t="shared" si="100"/>
        <v>147746.02572199577</v>
      </c>
      <c r="P119" s="37">
        <f t="shared" si="100"/>
        <v>157765.8207026411</v>
      </c>
      <c r="Q119" s="37">
        <f t="shared" si="100"/>
        <v>164946.57903406178</v>
      </c>
    </row>
    <row r="120" spans="1:17" outlineLevel="1">
      <c r="A120" s="11" t="s">
        <v>40</v>
      </c>
      <c r="B120" s="43">
        <v>6688</v>
      </c>
      <c r="C120" s="43">
        <v>9807</v>
      </c>
      <c r="D120" s="43">
        <v>10384</v>
      </c>
      <c r="E120" s="43">
        <v>13739</v>
      </c>
      <c r="F120" s="43">
        <v>18170</v>
      </c>
      <c r="G120" s="37">
        <f>G$79*G42</f>
        <v>23858.199708734221</v>
      </c>
      <c r="H120" s="37">
        <f t="shared" ref="H120:Q120" si="101">H$79*H42</f>
        <v>30055.975005044354</v>
      </c>
      <c r="I120" s="37">
        <f t="shared" si="101"/>
        <v>36992.295953798341</v>
      </c>
      <c r="J120" s="37">
        <f t="shared" si="101"/>
        <v>44522.70019989588</v>
      </c>
      <c r="K120" s="37">
        <f t="shared" si="101"/>
        <v>52587.133780257522</v>
      </c>
      <c r="L120" s="37">
        <f t="shared" si="101"/>
        <v>60223.21075996384</v>
      </c>
      <c r="M120" s="37">
        <f t="shared" si="101"/>
        <v>67269.746908488174</v>
      </c>
      <c r="N120" s="37">
        <f t="shared" si="101"/>
        <v>73524.622424572779</v>
      </c>
      <c r="O120" s="37">
        <f t="shared" si="101"/>
        <v>79480.175959511369</v>
      </c>
      <c r="P120" s="37">
        <f t="shared" si="101"/>
        <v>84870.338329350052</v>
      </c>
      <c r="Q120" s="37">
        <f t="shared" si="101"/>
        <v>89736.82337639037</v>
      </c>
    </row>
    <row r="121" spans="1:17" outlineLevel="1">
      <c r="A121" s="11" t="s">
        <v>41</v>
      </c>
      <c r="B121" s="43">
        <v>1159</v>
      </c>
      <c r="C121" s="43">
        <v>1823</v>
      </c>
      <c r="D121" s="43">
        <v>3118</v>
      </c>
      <c r="E121" s="43">
        <v>4768</v>
      </c>
      <c r="F121" s="43">
        <v>5097</v>
      </c>
      <c r="G121" s="37">
        <f>G$79*G43</f>
        <v>7157.4599126202656</v>
      </c>
      <c r="H121" s="37">
        <f t="shared" ref="H121:Q121" si="102">H$79*H43</f>
        <v>9016.792501513306</v>
      </c>
      <c r="I121" s="37">
        <f t="shared" si="102"/>
        <v>11097.688786139503</v>
      </c>
      <c r="J121" s="37">
        <f t="shared" si="102"/>
        <v>13356.810059968762</v>
      </c>
      <c r="K121" s="37">
        <f t="shared" si="102"/>
        <v>15776.140134077255</v>
      </c>
      <c r="L121" s="37">
        <f t="shared" si="102"/>
        <v>18066.963227989152</v>
      </c>
      <c r="M121" s="37">
        <f t="shared" si="102"/>
        <v>20180.924072546451</v>
      </c>
      <c r="N121" s="37">
        <f t="shared" si="102"/>
        <v>22057.386727371832</v>
      </c>
      <c r="O121" s="37">
        <f t="shared" si="102"/>
        <v>23844.052787853405</v>
      </c>
      <c r="P121" s="37">
        <f t="shared" si="102"/>
        <v>25461.101498805012</v>
      </c>
      <c r="Q121" s="37">
        <f t="shared" si="102"/>
        <v>26921.047012917108</v>
      </c>
    </row>
    <row r="122" spans="1:17" outlineLevel="1">
      <c r="A122" s="14" t="s">
        <v>42</v>
      </c>
      <c r="B122" s="38">
        <f>SUM(B119:B121)</f>
        <v>22980</v>
      </c>
      <c r="C122" s="38">
        <f t="shared" ref="C122:F122" si="103">SUM(C119:C121)</f>
        <v>28089</v>
      </c>
      <c r="D122" s="38">
        <f t="shared" si="103"/>
        <v>33899</v>
      </c>
      <c r="E122" s="38">
        <f t="shared" si="103"/>
        <v>43816</v>
      </c>
      <c r="F122" s="38">
        <f t="shared" si="103"/>
        <v>57883</v>
      </c>
      <c r="G122" s="38">
        <f>SUM(G119:G121)</f>
        <v>76902.004514412518</v>
      </c>
      <c r="H122" s="38">
        <f t="shared" ref="H122:Q122" si="104">SUM(H119:H121)</f>
        <v>96879.259698577589</v>
      </c>
      <c r="I122" s="38">
        <f t="shared" si="104"/>
        <v>117248.39595957313</v>
      </c>
      <c r="J122" s="38">
        <f t="shared" si="104"/>
        <v>141344.32563460097</v>
      </c>
      <c r="K122" s="38">
        <f t="shared" si="104"/>
        <v>166117.71300996415</v>
      </c>
      <c r="L122" s="38">
        <f t="shared" si="104"/>
        <v>190239.34796229674</v>
      </c>
      <c r="M122" s="38">
        <f t="shared" si="104"/>
        <v>213213.85218904837</v>
      </c>
      <c r="N122" s="38">
        <f t="shared" si="104"/>
        <v>233415.49653280468</v>
      </c>
      <c r="O122" s="38">
        <f t="shared" si="104"/>
        <v>251070.25446936055</v>
      </c>
      <c r="P122" s="38">
        <f t="shared" si="104"/>
        <v>268097.26053079613</v>
      </c>
      <c r="Q122" s="38">
        <f t="shared" si="104"/>
        <v>281604.44942336925</v>
      </c>
    </row>
    <row r="123" spans="1:17" outlineLevel="1">
      <c r="A123" t="s">
        <v>43</v>
      </c>
      <c r="B123" s="43">
        <v>3191</v>
      </c>
      <c r="C123" s="43">
        <v>8265</v>
      </c>
      <c r="D123" s="43">
        <v>8235</v>
      </c>
      <c r="E123" s="43">
        <v>7694</v>
      </c>
      <c r="F123" s="43">
        <v>24743</v>
      </c>
      <c r="G123" s="37">
        <f>G191</f>
        <v>24743</v>
      </c>
      <c r="H123" s="37">
        <f t="shared" ref="H123:Q123" si="105">H191</f>
        <v>24743</v>
      </c>
      <c r="I123" s="37">
        <f t="shared" si="105"/>
        <v>24743</v>
      </c>
      <c r="J123" s="37">
        <f t="shared" si="105"/>
        <v>24743</v>
      </c>
      <c r="K123" s="37">
        <f t="shared" si="105"/>
        <v>24743</v>
      </c>
      <c r="L123" s="37">
        <f t="shared" si="105"/>
        <v>24743</v>
      </c>
      <c r="M123" s="37">
        <f t="shared" si="105"/>
        <v>24743</v>
      </c>
      <c r="N123" s="37">
        <f t="shared" si="105"/>
        <v>24743</v>
      </c>
      <c r="O123" s="37">
        <f t="shared" si="105"/>
        <v>24743</v>
      </c>
      <c r="P123" s="37">
        <f t="shared" si="105"/>
        <v>24743</v>
      </c>
      <c r="Q123" s="37">
        <f t="shared" si="105"/>
        <v>24743</v>
      </c>
    </row>
    <row r="124" spans="1:17" outlineLevel="1">
      <c r="A124" t="s">
        <v>44</v>
      </c>
      <c r="B124" s="43">
        <v>4242</v>
      </c>
      <c r="C124" s="43">
        <v>7410</v>
      </c>
      <c r="D124" s="43">
        <v>9926</v>
      </c>
      <c r="E124" s="43">
        <v>12607</v>
      </c>
      <c r="F124" s="43">
        <v>20975</v>
      </c>
      <c r="G124" s="37">
        <f>F124+G201+G200</f>
        <v>31533.129781550659</v>
      </c>
      <c r="H124" s="37">
        <f t="shared" ref="H124:Q124" si="106">G124+H201+H200</f>
        <v>38219.105467588015</v>
      </c>
      <c r="I124" s="37">
        <f t="shared" si="106"/>
        <v>42826.973366803737</v>
      </c>
      <c r="J124" s="37">
        <f t="shared" si="106"/>
        <v>49449.053587366259</v>
      </c>
      <c r="K124" s="37">
        <f t="shared" si="106"/>
        <v>57586.960114295842</v>
      </c>
      <c r="L124" s="37">
        <f t="shared" si="106"/>
        <v>60428.179574848953</v>
      </c>
      <c r="M124" s="37">
        <f t="shared" si="106"/>
        <v>65008.35009980161</v>
      </c>
      <c r="N124" s="37">
        <f t="shared" si="106"/>
        <v>70350.006031706114</v>
      </c>
      <c r="O124" s="37">
        <f t="shared" si="106"/>
        <v>68096.036527511198</v>
      </c>
      <c r="P124" s="37">
        <f t="shared" si="106"/>
        <v>67466.920762568465</v>
      </c>
      <c r="Q124" s="37">
        <f t="shared" si="106"/>
        <v>68488.149651945656</v>
      </c>
    </row>
    <row r="125" spans="1:17" outlineLevel="1">
      <c r="A125" s="16" t="s">
        <v>94</v>
      </c>
      <c r="B125" s="84">
        <f>SUM(B122:B124)</f>
        <v>30413</v>
      </c>
      <c r="C125" s="84">
        <f t="shared" ref="C125:F125" si="107">SUM(C122:C124)</f>
        <v>43764</v>
      </c>
      <c r="D125" s="84">
        <f t="shared" si="107"/>
        <v>52060</v>
      </c>
      <c r="E125" s="84">
        <f t="shared" si="107"/>
        <v>64117</v>
      </c>
      <c r="F125" s="84">
        <f t="shared" si="107"/>
        <v>103601</v>
      </c>
      <c r="G125" s="84">
        <f>SUM(G122:G124)</f>
        <v>133178.13429596319</v>
      </c>
      <c r="H125" s="84">
        <f t="shared" ref="H125:Q125" si="108">SUM(H122:H124)</f>
        <v>159841.3651661656</v>
      </c>
      <c r="I125" s="84">
        <f t="shared" si="108"/>
        <v>184818.36932637688</v>
      </c>
      <c r="J125" s="84">
        <f t="shared" si="108"/>
        <v>215536.37922196725</v>
      </c>
      <c r="K125" s="84">
        <f t="shared" si="108"/>
        <v>248447.67312425998</v>
      </c>
      <c r="L125" s="84">
        <f t="shared" si="108"/>
        <v>275410.52753714571</v>
      </c>
      <c r="M125" s="84">
        <f t="shared" si="108"/>
        <v>302965.20228884998</v>
      </c>
      <c r="N125" s="84">
        <f t="shared" si="108"/>
        <v>328508.5025645108</v>
      </c>
      <c r="O125" s="84">
        <f t="shared" si="108"/>
        <v>343909.29099687177</v>
      </c>
      <c r="P125" s="84">
        <f t="shared" si="108"/>
        <v>360307.18129336461</v>
      </c>
      <c r="Q125" s="84">
        <f t="shared" si="108"/>
        <v>374835.59907531494</v>
      </c>
    </row>
    <row r="126" spans="1:17" outlineLevel="1">
      <c r="A126" t="s">
        <v>46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</row>
    <row r="127" spans="1:17" outlineLevel="1">
      <c r="A127" s="11" t="s">
        <v>95</v>
      </c>
      <c r="B127" s="43">
        <v>5</v>
      </c>
      <c r="C127" s="43">
        <v>5</v>
      </c>
      <c r="D127" s="43">
        <v>5</v>
      </c>
      <c r="E127" s="43">
        <v>5</v>
      </c>
      <c r="F127" s="43">
        <v>5</v>
      </c>
      <c r="G127" s="37">
        <f>F127+G51</f>
        <v>5</v>
      </c>
      <c r="H127" s="37">
        <f t="shared" ref="H127:Q127" si="109">G127+H51</f>
        <v>5</v>
      </c>
      <c r="I127" s="37">
        <f t="shared" si="109"/>
        <v>5</v>
      </c>
      <c r="J127" s="37">
        <f t="shared" si="109"/>
        <v>5</v>
      </c>
      <c r="K127" s="37">
        <f t="shared" si="109"/>
        <v>5</v>
      </c>
      <c r="L127" s="37">
        <f t="shared" si="109"/>
        <v>5</v>
      </c>
      <c r="M127" s="37">
        <f t="shared" si="109"/>
        <v>5</v>
      </c>
      <c r="N127" s="37">
        <f t="shared" si="109"/>
        <v>5</v>
      </c>
      <c r="O127" s="37">
        <f t="shared" si="109"/>
        <v>5</v>
      </c>
      <c r="P127" s="37">
        <f t="shared" si="109"/>
        <v>5</v>
      </c>
      <c r="Q127" s="37">
        <f t="shared" si="109"/>
        <v>5</v>
      </c>
    </row>
    <row r="128" spans="1:17" outlineLevel="1">
      <c r="A128" s="11" t="s">
        <v>54</v>
      </c>
      <c r="B128" s="43">
        <v>-1837</v>
      </c>
      <c r="C128" s="43">
        <v>-1837</v>
      </c>
      <c r="D128" s="43">
        <v>-1837</v>
      </c>
      <c r="E128" s="43">
        <v>-1837</v>
      </c>
      <c r="F128" s="43">
        <v>-1837</v>
      </c>
      <c r="G128" s="37">
        <f>F128+G52</f>
        <v>-1837</v>
      </c>
      <c r="H128" s="37">
        <f t="shared" ref="H128:Q128" si="110">G128+H52</f>
        <v>-1837</v>
      </c>
      <c r="I128" s="37">
        <f t="shared" si="110"/>
        <v>-1837</v>
      </c>
      <c r="J128" s="37">
        <f t="shared" si="110"/>
        <v>-1837</v>
      </c>
      <c r="K128" s="37">
        <f t="shared" si="110"/>
        <v>-1837</v>
      </c>
      <c r="L128" s="37">
        <f t="shared" si="110"/>
        <v>-1837</v>
      </c>
      <c r="M128" s="37">
        <f t="shared" si="110"/>
        <v>-1837</v>
      </c>
      <c r="N128" s="37">
        <f t="shared" si="110"/>
        <v>-1837</v>
      </c>
      <c r="O128" s="37">
        <f t="shared" si="110"/>
        <v>-1837</v>
      </c>
      <c r="P128" s="37">
        <f t="shared" si="110"/>
        <v>-1837</v>
      </c>
      <c r="Q128" s="37">
        <f t="shared" si="110"/>
        <v>-1837</v>
      </c>
    </row>
    <row r="129" spans="1:17" outlineLevel="1">
      <c r="A129" s="11" t="s">
        <v>55</v>
      </c>
      <c r="B129" s="43">
        <v>9573</v>
      </c>
      <c r="C129" s="43">
        <v>11135</v>
      </c>
      <c r="D129" s="43">
        <v>13394</v>
      </c>
      <c r="E129" s="43">
        <v>17186</v>
      </c>
      <c r="F129" s="43">
        <v>21389</v>
      </c>
      <c r="G129" s="37">
        <f>F129+G53+G145</f>
        <v>27123.961897016874</v>
      </c>
      <c r="H129" s="37">
        <f t="shared" ref="H129:Q129" si="111">G129+H53+H145</f>
        <v>34472.959355626474</v>
      </c>
      <c r="I129" s="37">
        <f t="shared" si="111"/>
        <v>43622.574431187371</v>
      </c>
      <c r="J129" s="37">
        <f t="shared" si="111"/>
        <v>54692.432671599447</v>
      </c>
      <c r="K129" s="37">
        <f t="shared" si="111"/>
        <v>67801.390599316073</v>
      </c>
      <c r="L129" s="37">
        <f t="shared" si="111"/>
        <v>82763.875590110838</v>
      </c>
      <c r="M129" s="37">
        <f t="shared" si="111"/>
        <v>99520.796385222464</v>
      </c>
      <c r="N129" s="37">
        <f t="shared" si="111"/>
        <v>117809.51488343882</v>
      </c>
      <c r="O129" s="37">
        <f t="shared" si="111"/>
        <v>137442.36099975454</v>
      </c>
      <c r="P129" s="37">
        <f t="shared" si="111"/>
        <v>158262.38192021253</v>
      </c>
      <c r="Q129" s="37">
        <f t="shared" si="111"/>
        <v>180215.20666919078</v>
      </c>
    </row>
    <row r="130" spans="1:17" outlineLevel="1">
      <c r="A130" s="11" t="s">
        <v>56</v>
      </c>
      <c r="B130" s="43">
        <v>-185</v>
      </c>
      <c r="C130" s="43">
        <v>-511</v>
      </c>
      <c r="D130" s="43">
        <v>-723</v>
      </c>
      <c r="E130" s="43">
        <v>-985</v>
      </c>
      <c r="F130" s="43">
        <v>-484</v>
      </c>
      <c r="G130" s="37">
        <f>F130</f>
        <v>-484</v>
      </c>
      <c r="H130" s="37">
        <f t="shared" ref="H130:Q130" si="112">G130</f>
        <v>-484</v>
      </c>
      <c r="I130" s="37">
        <f t="shared" si="112"/>
        <v>-484</v>
      </c>
      <c r="J130" s="37">
        <f t="shared" si="112"/>
        <v>-484</v>
      </c>
      <c r="K130" s="37">
        <f t="shared" si="112"/>
        <v>-484</v>
      </c>
      <c r="L130" s="37">
        <f t="shared" si="112"/>
        <v>-484</v>
      </c>
      <c r="M130" s="37">
        <f t="shared" si="112"/>
        <v>-484</v>
      </c>
      <c r="N130" s="37">
        <f t="shared" si="112"/>
        <v>-484</v>
      </c>
      <c r="O130" s="37">
        <f t="shared" si="112"/>
        <v>-484</v>
      </c>
      <c r="P130" s="37">
        <f t="shared" si="112"/>
        <v>-484</v>
      </c>
      <c r="Q130" s="37">
        <f t="shared" si="112"/>
        <v>-484</v>
      </c>
    </row>
    <row r="131" spans="1:17" outlineLevel="1">
      <c r="A131" s="11" t="s">
        <v>57</v>
      </c>
      <c r="B131" s="43">
        <v>2190</v>
      </c>
      <c r="C131" s="43">
        <v>1949</v>
      </c>
      <c r="D131" s="43">
        <v>2545</v>
      </c>
      <c r="E131" s="43">
        <v>4916</v>
      </c>
      <c r="F131" s="43">
        <v>8636</v>
      </c>
      <c r="G131" s="37">
        <f>F131+G96-G55</f>
        <v>14595.526846074212</v>
      </c>
      <c r="H131" s="37">
        <f t="shared" ref="H131:Q131" si="113">G131+H96-H55</f>
        <v>21018.093555302352</v>
      </c>
      <c r="I131" s="37">
        <f t="shared" si="113"/>
        <v>32216.762612433806</v>
      </c>
      <c r="J131" s="37">
        <f t="shared" si="113"/>
        <v>45334.645210333678</v>
      </c>
      <c r="K131" s="37">
        <f t="shared" si="113"/>
        <v>62796.474381316948</v>
      </c>
      <c r="L131" s="37">
        <f t="shared" si="113"/>
        <v>83665.345011608646</v>
      </c>
      <c r="M131" s="37">
        <f t="shared" si="113"/>
        <v>104164.7932755709</v>
      </c>
      <c r="N131" s="37">
        <f t="shared" si="113"/>
        <v>127167.77336379455</v>
      </c>
      <c r="O131" s="37">
        <f t="shared" si="113"/>
        <v>156994.40017795353</v>
      </c>
      <c r="P131" s="37">
        <f t="shared" si="113"/>
        <v>190830.49390890318</v>
      </c>
      <c r="Q131" s="37">
        <f t="shared" si="113"/>
        <v>231174.45785381264</v>
      </c>
    </row>
    <row r="132" spans="1:17" outlineLevel="1">
      <c r="A132" s="16" t="s">
        <v>58</v>
      </c>
      <c r="B132" s="38">
        <f>SUM(B127:B131)</f>
        <v>9746</v>
      </c>
      <c r="C132" s="38">
        <f t="shared" ref="C132:F132" si="114">SUM(C127:C131)</f>
        <v>10741</v>
      </c>
      <c r="D132" s="38">
        <f t="shared" si="114"/>
        <v>13384</v>
      </c>
      <c r="E132" s="38">
        <f t="shared" si="114"/>
        <v>19285</v>
      </c>
      <c r="F132" s="38">
        <f t="shared" si="114"/>
        <v>27709</v>
      </c>
      <c r="G132" s="38">
        <f>SUM(G127:G131)</f>
        <v>39403.488743091089</v>
      </c>
      <c r="H132" s="38">
        <f t="shared" ref="H132:Q132" si="115">SUM(H127:H131)</f>
        <v>53175.052910928825</v>
      </c>
      <c r="I132" s="38">
        <f t="shared" si="115"/>
        <v>73523.33704362117</v>
      </c>
      <c r="J132" s="38">
        <f t="shared" si="115"/>
        <v>97711.077881933132</v>
      </c>
      <c r="K132" s="38">
        <f t="shared" si="115"/>
        <v>128281.86498063302</v>
      </c>
      <c r="L132" s="38">
        <f t="shared" si="115"/>
        <v>164113.22060171948</v>
      </c>
      <c r="M132" s="38">
        <f t="shared" si="115"/>
        <v>201369.58966079337</v>
      </c>
      <c r="N132" s="38">
        <f t="shared" si="115"/>
        <v>242661.28824723337</v>
      </c>
      <c r="O132" s="38">
        <f t="shared" si="115"/>
        <v>292120.76117770805</v>
      </c>
      <c r="P132" s="38">
        <f t="shared" si="115"/>
        <v>346776.87582911574</v>
      </c>
      <c r="Q132" s="38">
        <f t="shared" si="115"/>
        <v>409073.66452300339</v>
      </c>
    </row>
    <row r="133" spans="1:17" ht="15" outlineLevel="1" thickBot="1">
      <c r="A133" s="18" t="s">
        <v>59</v>
      </c>
      <c r="B133" s="82">
        <f>B132+B125</f>
        <v>40159</v>
      </c>
      <c r="C133" s="82">
        <f t="shared" ref="C133:G133" si="116">C132+C125</f>
        <v>54505</v>
      </c>
      <c r="D133" s="82">
        <f t="shared" si="116"/>
        <v>65444</v>
      </c>
      <c r="E133" s="82">
        <f t="shared" si="116"/>
        <v>83402</v>
      </c>
      <c r="F133" s="82">
        <f t="shared" si="116"/>
        <v>131310</v>
      </c>
      <c r="G133" s="82">
        <f t="shared" si="116"/>
        <v>172581.62303905428</v>
      </c>
      <c r="H133" s="82">
        <f t="shared" ref="H133:Q133" si="117">H132+H125</f>
        <v>213016.41807709442</v>
      </c>
      <c r="I133" s="82">
        <f t="shared" si="117"/>
        <v>258341.70636999805</v>
      </c>
      <c r="J133" s="82">
        <f t="shared" si="117"/>
        <v>313247.45710390038</v>
      </c>
      <c r="K133" s="82">
        <f t="shared" si="117"/>
        <v>376729.538104893</v>
      </c>
      <c r="L133" s="82">
        <f t="shared" si="117"/>
        <v>439523.74813886522</v>
      </c>
      <c r="M133" s="82">
        <f t="shared" si="117"/>
        <v>504334.79194964335</v>
      </c>
      <c r="N133" s="82">
        <f t="shared" si="117"/>
        <v>571169.79081174417</v>
      </c>
      <c r="O133" s="82">
        <f t="shared" si="117"/>
        <v>636030.05217457982</v>
      </c>
      <c r="P133" s="82">
        <f t="shared" si="117"/>
        <v>707084.05712248036</v>
      </c>
      <c r="Q133" s="82">
        <f t="shared" si="117"/>
        <v>783909.26359831833</v>
      </c>
    </row>
    <row r="134" spans="1:17" ht="15" outlineLevel="1" thickTop="1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</row>
    <row r="135" spans="1:17" s="39" customFormat="1" outlineLevel="1">
      <c r="A135" s="57" t="s">
        <v>154</v>
      </c>
      <c r="B135" s="85">
        <f>B133-B115</f>
        <v>0</v>
      </c>
      <c r="C135" s="85">
        <f t="shared" ref="C135:Q135" si="118">C133-C115</f>
        <v>0</v>
      </c>
      <c r="D135" s="85">
        <f t="shared" si="118"/>
        <v>0</v>
      </c>
      <c r="E135" s="85">
        <f t="shared" si="118"/>
        <v>0</v>
      </c>
      <c r="F135" s="85">
        <f t="shared" si="118"/>
        <v>0</v>
      </c>
      <c r="G135" s="85">
        <f t="shared" si="118"/>
        <v>0</v>
      </c>
      <c r="H135" s="85">
        <f t="shared" si="118"/>
        <v>0</v>
      </c>
      <c r="I135" s="85">
        <f t="shared" si="118"/>
        <v>0</v>
      </c>
      <c r="J135" s="85">
        <f t="shared" si="118"/>
        <v>0</v>
      </c>
      <c r="K135" s="85">
        <f t="shared" si="118"/>
        <v>0</v>
      </c>
      <c r="L135" s="85">
        <f t="shared" si="118"/>
        <v>0</v>
      </c>
      <c r="M135" s="85">
        <f t="shared" si="118"/>
        <v>0</v>
      </c>
      <c r="N135" s="85">
        <f t="shared" si="118"/>
        <v>0</v>
      </c>
      <c r="O135" s="85">
        <f t="shared" si="118"/>
        <v>0</v>
      </c>
      <c r="P135" s="85">
        <f t="shared" si="118"/>
        <v>0</v>
      </c>
      <c r="Q135" s="85">
        <f t="shared" si="118"/>
        <v>0</v>
      </c>
    </row>
    <row r="136" spans="1:17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</row>
    <row r="137" spans="1:17">
      <c r="A137" s="6" t="s">
        <v>96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outlineLevel="1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</row>
    <row r="139" spans="1:17" outlineLevel="1">
      <c r="A139" t="s">
        <v>60</v>
      </c>
      <c r="B139" s="43">
        <v>8084</v>
      </c>
      <c r="C139" s="43">
        <v>8658</v>
      </c>
      <c r="D139" s="43">
        <v>14557</v>
      </c>
      <c r="E139" s="43">
        <v>15890</v>
      </c>
      <c r="F139" s="43">
        <v>19334</v>
      </c>
      <c r="G139" s="37">
        <f>F173</f>
        <v>20522</v>
      </c>
      <c r="H139" s="37">
        <f t="shared" ref="H139:Q139" si="119">G173</f>
        <v>37559.494044440522</v>
      </c>
      <c r="I139" s="37">
        <f t="shared" si="119"/>
        <v>54512.48206012226</v>
      </c>
      <c r="J139" s="37">
        <f t="shared" si="119"/>
        <v>76226.226398052298</v>
      </c>
      <c r="K139" s="37">
        <f t="shared" si="119"/>
        <v>106380.20342882958</v>
      </c>
      <c r="L139" s="37">
        <f t="shared" si="119"/>
        <v>140981.98732523649</v>
      </c>
      <c r="M139" s="37">
        <f t="shared" si="119"/>
        <v>179459.68168459888</v>
      </c>
      <c r="N139" s="37">
        <f t="shared" si="119"/>
        <v>221915.1431275077</v>
      </c>
      <c r="O139" s="37">
        <f t="shared" si="119"/>
        <v>269643.88887260389</v>
      </c>
      <c r="P139" s="37">
        <f t="shared" si="119"/>
        <v>322873.18735645188</v>
      </c>
      <c r="Q139" s="37">
        <f t="shared" si="119"/>
        <v>384543.37320404506</v>
      </c>
    </row>
    <row r="140" spans="1:17" outlineLevel="1">
      <c r="A140" t="s">
        <v>26</v>
      </c>
      <c r="B140" s="43"/>
      <c r="C140" s="37"/>
      <c r="D140" s="43"/>
      <c r="E140" s="43"/>
      <c r="F140" s="43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</row>
    <row r="141" spans="1:17" outlineLevel="1">
      <c r="A141" t="s">
        <v>61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</row>
    <row r="142" spans="1:17" outlineLevel="1">
      <c r="A142" t="s">
        <v>20</v>
      </c>
      <c r="B142" s="37">
        <f>B96</f>
        <v>274</v>
      </c>
      <c r="C142" s="37">
        <f t="shared" ref="C142:F142" si="120">C96</f>
        <v>-241</v>
      </c>
      <c r="D142" s="37">
        <f t="shared" si="120"/>
        <v>596</v>
      </c>
      <c r="E142" s="37">
        <f t="shared" si="120"/>
        <v>2371</v>
      </c>
      <c r="F142" s="37">
        <f t="shared" si="120"/>
        <v>3033</v>
      </c>
      <c r="G142" s="37">
        <f>G96</f>
        <v>5959.5268460742109</v>
      </c>
      <c r="H142" s="37">
        <f t="shared" ref="H142:Q142" si="121">H96</f>
        <v>6422.5667092281392</v>
      </c>
      <c r="I142" s="37">
        <f t="shared" si="121"/>
        <v>11198.669057131454</v>
      </c>
      <c r="J142" s="37">
        <f t="shared" si="121"/>
        <v>13117.882597899876</v>
      </c>
      <c r="K142" s="37">
        <f t="shared" si="121"/>
        <v>17461.82917098327</v>
      </c>
      <c r="L142" s="37">
        <f t="shared" si="121"/>
        <v>20868.870630291698</v>
      </c>
      <c r="M142" s="37">
        <f t="shared" si="121"/>
        <v>20499.448263962255</v>
      </c>
      <c r="N142" s="37">
        <f t="shared" si="121"/>
        <v>23002.980088223649</v>
      </c>
      <c r="O142" s="37">
        <f t="shared" si="121"/>
        <v>29826.626814158986</v>
      </c>
      <c r="P142" s="37">
        <f t="shared" si="121"/>
        <v>33836.093730949644</v>
      </c>
      <c r="Q142" s="37">
        <f t="shared" si="121"/>
        <v>40343.963944909461</v>
      </c>
    </row>
    <row r="143" spans="1:17" outlineLevel="1">
      <c r="A143" t="s">
        <v>62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</row>
    <row r="144" spans="1:17" ht="15" outlineLevel="1">
      <c r="A144" s="21" t="s">
        <v>155</v>
      </c>
      <c r="B144" s="43">
        <v>3253</v>
      </c>
      <c r="C144" s="43">
        <v>4746</v>
      </c>
      <c r="D144" s="43">
        <v>6281</v>
      </c>
      <c r="E144" s="43">
        <v>8116</v>
      </c>
      <c r="F144" s="43">
        <v>11478</v>
      </c>
      <c r="G144" s="37">
        <f>-G180</f>
        <v>19546.399999999994</v>
      </c>
      <c r="H144" s="37">
        <f t="shared" ref="H144:Q144" si="122">-H180</f>
        <v>25565.595831065843</v>
      </c>
      <c r="I144" s="37">
        <f t="shared" si="122"/>
        <v>30968.46450126257</v>
      </c>
      <c r="J144" s="37">
        <f t="shared" si="122"/>
        <v>36337.380758580744</v>
      </c>
      <c r="K144" s="37">
        <f t="shared" si="122"/>
        <v>41392.416543102634</v>
      </c>
      <c r="L144" s="37">
        <f t="shared" si="122"/>
        <v>47973.788789174891</v>
      </c>
      <c r="M144" s="37">
        <f t="shared" si="122"/>
        <v>52873.557577490472</v>
      </c>
      <c r="N144" s="37">
        <f t="shared" si="122"/>
        <v>57286.638371719782</v>
      </c>
      <c r="O144" s="37">
        <f t="shared" si="122"/>
        <v>60840.847095878074</v>
      </c>
      <c r="P144" s="37">
        <f t="shared" si="122"/>
        <v>61938.164564570485</v>
      </c>
      <c r="Q144" s="37">
        <f t="shared" si="122"/>
        <v>62284.51888422991</v>
      </c>
    </row>
    <row r="145" spans="1:17" outlineLevel="1">
      <c r="A145" s="11" t="s">
        <v>64</v>
      </c>
      <c r="B145" s="43">
        <v>1134</v>
      </c>
      <c r="C145" s="43">
        <v>1497</v>
      </c>
      <c r="D145" s="43">
        <v>2119</v>
      </c>
      <c r="E145" s="43">
        <v>2975</v>
      </c>
      <c r="F145" s="43">
        <v>4215</v>
      </c>
      <c r="G145" s="37">
        <f>SUM(G82:G86)*G29</f>
        <v>5734.961897016874</v>
      </c>
      <c r="H145" s="37">
        <f t="shared" ref="H145:Q145" si="123">SUM(H82:H86)*H29</f>
        <v>7348.9974586095996</v>
      </c>
      <c r="I145" s="37">
        <f t="shared" si="123"/>
        <v>9149.6150755608978</v>
      </c>
      <c r="J145" s="37">
        <f t="shared" si="123"/>
        <v>11069.858240412077</v>
      </c>
      <c r="K145" s="37">
        <f t="shared" si="123"/>
        <v>13108.957927716619</v>
      </c>
      <c r="L145" s="37">
        <f t="shared" si="123"/>
        <v>14962.484990794772</v>
      </c>
      <c r="M145" s="37">
        <f t="shared" si="123"/>
        <v>16756.920795111633</v>
      </c>
      <c r="N145" s="37">
        <f t="shared" si="123"/>
        <v>18288.718498216356</v>
      </c>
      <c r="O145" s="37">
        <f t="shared" si="123"/>
        <v>19632.846116315708</v>
      </c>
      <c r="P145" s="37">
        <f t="shared" si="123"/>
        <v>20820.020920457984</v>
      </c>
      <c r="Q145" s="37">
        <f t="shared" si="123"/>
        <v>21952.824748978244</v>
      </c>
    </row>
    <row r="146" spans="1:17" outlineLevel="1">
      <c r="A146" s="11" t="s">
        <v>156</v>
      </c>
      <c r="B146" s="43">
        <v>123</v>
      </c>
      <c r="C146" s="43">
        <v>-128</v>
      </c>
      <c r="D146" s="43">
        <v>486</v>
      </c>
      <c r="E146" s="43">
        <v>-106</v>
      </c>
      <c r="F146" s="43">
        <v>-119</v>
      </c>
      <c r="G146" s="37">
        <f>-G37</f>
        <v>0</v>
      </c>
      <c r="H146" s="37">
        <f t="shared" ref="H146:Q146" si="124">-H37</f>
        <v>0</v>
      </c>
      <c r="I146" s="37">
        <f t="shared" si="124"/>
        <v>0</v>
      </c>
      <c r="J146" s="37">
        <f t="shared" si="124"/>
        <v>0</v>
      </c>
      <c r="K146" s="37">
        <f t="shared" si="124"/>
        <v>0</v>
      </c>
      <c r="L146" s="37">
        <f t="shared" si="124"/>
        <v>0</v>
      </c>
      <c r="M146" s="37">
        <f t="shared" si="124"/>
        <v>0</v>
      </c>
      <c r="N146" s="37">
        <f t="shared" si="124"/>
        <v>0</v>
      </c>
      <c r="O146" s="37">
        <f t="shared" si="124"/>
        <v>0</v>
      </c>
      <c r="P146" s="37">
        <f t="shared" si="124"/>
        <v>0</v>
      </c>
      <c r="Q146" s="37">
        <f t="shared" si="124"/>
        <v>0</v>
      </c>
    </row>
    <row r="147" spans="1:17" outlineLevel="1">
      <c r="A147" s="10" t="s">
        <v>68</v>
      </c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</row>
    <row r="148" spans="1:17" outlineLevel="1">
      <c r="A148" s="11" t="s">
        <v>30</v>
      </c>
      <c r="B148" s="43">
        <v>-1410</v>
      </c>
      <c r="C148" s="43">
        <v>-1193</v>
      </c>
      <c r="D148" s="43">
        <v>-2187</v>
      </c>
      <c r="E148" s="43">
        <v>-1426</v>
      </c>
      <c r="F148" s="43">
        <v>-3583</v>
      </c>
      <c r="G148" s="37">
        <f>-(G109-F109)</f>
        <v>-4701.6081255566714</v>
      </c>
      <c r="H148" s="37">
        <f t="shared" ref="H148:Q148" si="125">-(H109-G109)</f>
        <v>-5389.9796482262536</v>
      </c>
      <c r="I148" s="37">
        <f t="shared" si="125"/>
        <v>-5133.041647269547</v>
      </c>
      <c r="J148" s="37">
        <f t="shared" si="125"/>
        <v>-6468.9827483935151</v>
      </c>
      <c r="K148" s="37">
        <f t="shared" si="125"/>
        <v>-6461.3950737951236</v>
      </c>
      <c r="L148" s="37">
        <f t="shared" si="125"/>
        <v>-6418.4888147230158</v>
      </c>
      <c r="M148" s="37">
        <f t="shared" si="125"/>
        <v>-6246.3337056594828</v>
      </c>
      <c r="N148" s="37">
        <f t="shared" si="125"/>
        <v>-5457.877573808757</v>
      </c>
      <c r="O148" s="37">
        <f t="shared" si="125"/>
        <v>-4482.1912499048485</v>
      </c>
      <c r="P148" s="37">
        <f t="shared" si="125"/>
        <v>-4530.6899042917939</v>
      </c>
      <c r="Q148" s="37">
        <f t="shared" si="125"/>
        <v>-3246.9515933380608</v>
      </c>
    </row>
    <row r="149" spans="1:17" outlineLevel="1">
      <c r="A149" s="11" t="s">
        <v>31</v>
      </c>
      <c r="B149" s="43">
        <v>-846</v>
      </c>
      <c r="C149" s="43">
        <v>-1039</v>
      </c>
      <c r="D149" s="43">
        <v>-1755</v>
      </c>
      <c r="E149" s="43">
        <v>-3367</v>
      </c>
      <c r="F149" s="43">
        <v>-4786</v>
      </c>
      <c r="G149" s="37">
        <f>-(G110-F110)</f>
        <v>-4484.531291392439</v>
      </c>
      <c r="H149" s="37">
        <f t="shared" ref="H149:Q149" si="126">-(H110-G110)</f>
        <v>-4584.6556986403666</v>
      </c>
      <c r="I149" s="37">
        <f t="shared" si="126"/>
        <v>-5056.2116644085909</v>
      </c>
      <c r="J149" s="37">
        <f t="shared" si="126"/>
        <v>-5645.20149342679</v>
      </c>
      <c r="K149" s="37">
        <f t="shared" si="126"/>
        <v>-5965.4714156099799</v>
      </c>
      <c r="L149" s="37">
        <f t="shared" si="126"/>
        <v>-5648.60488909782</v>
      </c>
      <c r="M149" s="37">
        <f t="shared" si="126"/>
        <v>-5076.5466766366008</v>
      </c>
      <c r="N149" s="37">
        <f t="shared" si="126"/>
        <v>-4762.8537328001548</v>
      </c>
      <c r="O149" s="37">
        <f t="shared" si="126"/>
        <v>-4405.4779573518244</v>
      </c>
      <c r="P149" s="37">
        <f t="shared" si="126"/>
        <v>-3987.243396866972</v>
      </c>
      <c r="Q149" s="37">
        <f t="shared" si="126"/>
        <v>-3418.4977171711871</v>
      </c>
    </row>
    <row r="150" spans="1:17" outlineLevel="1">
      <c r="A150" s="11" t="s">
        <v>39</v>
      </c>
      <c r="B150" s="43">
        <v>1888</v>
      </c>
      <c r="C150" s="43">
        <v>1759</v>
      </c>
      <c r="D150" s="43">
        <v>4294</v>
      </c>
      <c r="E150" s="43">
        <v>5030</v>
      </c>
      <c r="F150" s="43">
        <v>7175</v>
      </c>
      <c r="G150" s="37">
        <f>G119-F119</f>
        <v>11270.344893058027</v>
      </c>
      <c r="H150" s="37">
        <f t="shared" ref="H150:Q150" si="127">H119-G119</f>
        <v>11920.1472989619</v>
      </c>
      <c r="I150" s="37">
        <f t="shared" si="127"/>
        <v>11351.919027615353</v>
      </c>
      <c r="J150" s="37">
        <f t="shared" si="127"/>
        <v>14306.404155101045</v>
      </c>
      <c r="K150" s="37">
        <f t="shared" si="127"/>
        <v>14289.623720893054</v>
      </c>
      <c r="L150" s="37">
        <f t="shared" si="127"/>
        <v>14194.734878714371</v>
      </c>
      <c r="M150" s="37">
        <f t="shared" si="127"/>
        <v>13814.007233669996</v>
      </c>
      <c r="N150" s="37">
        <f t="shared" si="127"/>
        <v>12070.306172846307</v>
      </c>
      <c r="O150" s="37">
        <f t="shared" si="127"/>
        <v>9912.5383411357179</v>
      </c>
      <c r="P150" s="37">
        <f t="shared" si="127"/>
        <v>10019.794980645325</v>
      </c>
      <c r="Q150" s="37">
        <f t="shared" si="127"/>
        <v>7180.7583314206859</v>
      </c>
    </row>
    <row r="151" spans="1:17" outlineLevel="1">
      <c r="A151" s="11" t="s">
        <v>40</v>
      </c>
      <c r="B151" s="43">
        <v>736</v>
      </c>
      <c r="C151" s="43">
        <v>706</v>
      </c>
      <c r="D151" s="43">
        <v>913</v>
      </c>
      <c r="E151" s="43">
        <v>1724</v>
      </c>
      <c r="F151" s="43">
        <v>283</v>
      </c>
      <c r="G151" s="37">
        <f t="shared" ref="G151:Q152" si="128">G120-F120</f>
        <v>5688.1997087342206</v>
      </c>
      <c r="H151" s="37">
        <f t="shared" si="128"/>
        <v>6197.7752963101339</v>
      </c>
      <c r="I151" s="37">
        <f t="shared" si="128"/>
        <v>6936.3209487539862</v>
      </c>
      <c r="J151" s="37">
        <f t="shared" si="128"/>
        <v>7530.4042460975397</v>
      </c>
      <c r="K151" s="37">
        <f t="shared" si="128"/>
        <v>8064.4335803616414</v>
      </c>
      <c r="L151" s="37">
        <f t="shared" si="128"/>
        <v>7636.0769797063185</v>
      </c>
      <c r="M151" s="37">
        <f t="shared" si="128"/>
        <v>7046.5361485243338</v>
      </c>
      <c r="N151" s="37">
        <f t="shared" si="128"/>
        <v>6254.8755160846049</v>
      </c>
      <c r="O151" s="37">
        <f t="shared" si="128"/>
        <v>5955.55353493859</v>
      </c>
      <c r="P151" s="37">
        <f t="shared" si="128"/>
        <v>5390.1623698386829</v>
      </c>
      <c r="Q151" s="37">
        <f t="shared" si="128"/>
        <v>4866.485047040318</v>
      </c>
    </row>
    <row r="152" spans="1:17" outlineLevel="1">
      <c r="A152" s="11" t="s">
        <v>41</v>
      </c>
      <c r="B152" s="43">
        <v>401</v>
      </c>
      <c r="C152" s="43">
        <v>741</v>
      </c>
      <c r="D152" s="43">
        <v>1292</v>
      </c>
      <c r="E152" s="43">
        <v>1955</v>
      </c>
      <c r="F152" s="43">
        <v>738</v>
      </c>
      <c r="G152" s="37">
        <f t="shared" si="128"/>
        <v>2060.4599126202656</v>
      </c>
      <c r="H152" s="37">
        <f t="shared" si="128"/>
        <v>1859.3325888930403</v>
      </c>
      <c r="I152" s="37">
        <f t="shared" si="128"/>
        <v>2080.8962846261966</v>
      </c>
      <c r="J152" s="37">
        <f t="shared" si="128"/>
        <v>2259.1212738292597</v>
      </c>
      <c r="K152" s="37">
        <f t="shared" si="128"/>
        <v>2419.3300741084931</v>
      </c>
      <c r="L152" s="37">
        <f t="shared" si="128"/>
        <v>2290.8230939118966</v>
      </c>
      <c r="M152" s="37">
        <f t="shared" si="128"/>
        <v>2113.9608445572994</v>
      </c>
      <c r="N152" s="37">
        <f t="shared" si="128"/>
        <v>1876.46265482538</v>
      </c>
      <c r="O152" s="37">
        <f t="shared" si="128"/>
        <v>1786.6660604815734</v>
      </c>
      <c r="P152" s="37">
        <f t="shared" si="128"/>
        <v>1617.0487109516071</v>
      </c>
      <c r="Q152" s="37">
        <f t="shared" si="128"/>
        <v>1459.9455141120961</v>
      </c>
    </row>
    <row r="153" spans="1:17" outlineLevel="1">
      <c r="A153" s="15" t="s">
        <v>69</v>
      </c>
      <c r="B153" s="81">
        <f t="shared" ref="B153:G153" si="129">SUM(B142:B152)</f>
        <v>5553</v>
      </c>
      <c r="C153" s="81">
        <f t="shared" si="129"/>
        <v>6848</v>
      </c>
      <c r="D153" s="81">
        <f t="shared" si="129"/>
        <v>12039</v>
      </c>
      <c r="E153" s="81">
        <f t="shared" si="129"/>
        <v>17272</v>
      </c>
      <c r="F153" s="81">
        <f t="shared" si="129"/>
        <v>18434</v>
      </c>
      <c r="G153" s="81">
        <f t="shared" si="129"/>
        <v>41073.753840554476</v>
      </c>
      <c r="H153" s="81">
        <f t="shared" ref="H153:Q153" si="130">SUM(H142:H152)</f>
        <v>49339.77983620204</v>
      </c>
      <c r="I153" s="81">
        <f t="shared" si="130"/>
        <v>61496.631583272319</v>
      </c>
      <c r="J153" s="81">
        <f t="shared" si="130"/>
        <v>72506.867030100228</v>
      </c>
      <c r="K153" s="81">
        <f t="shared" si="130"/>
        <v>84309.724527760613</v>
      </c>
      <c r="L153" s="81">
        <f t="shared" si="130"/>
        <v>95859.685658773116</v>
      </c>
      <c r="M153" s="81">
        <f t="shared" si="130"/>
        <v>101781.55048101991</v>
      </c>
      <c r="N153" s="81">
        <f t="shared" si="130"/>
        <v>108559.24999530718</v>
      </c>
      <c r="O153" s="81">
        <f t="shared" si="130"/>
        <v>119067.40875565198</v>
      </c>
      <c r="P153" s="81">
        <f t="shared" si="130"/>
        <v>125103.35197625495</v>
      </c>
      <c r="Q153" s="81">
        <f t="shared" si="130"/>
        <v>131423.04716018145</v>
      </c>
    </row>
    <row r="154" spans="1:17" outlineLevel="1">
      <c r="A154" t="s">
        <v>26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</row>
    <row r="155" spans="1:17" outlineLevel="1">
      <c r="A155" t="s">
        <v>97</v>
      </c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</row>
    <row r="156" spans="1:17" outlineLevel="1">
      <c r="A156" t="s">
        <v>70</v>
      </c>
      <c r="B156" s="43">
        <v>-3444</v>
      </c>
      <c r="C156" s="43">
        <v>-4893</v>
      </c>
      <c r="D156" s="43">
        <v>-5387</v>
      </c>
      <c r="E156" s="43">
        <v>-7804</v>
      </c>
      <c r="F156" s="43">
        <v>-11955</v>
      </c>
      <c r="G156" s="37">
        <f>-G181</f>
        <v>-16700.739796113954</v>
      </c>
      <c r="H156" s="37">
        <f t="shared" ref="H156:Q156" si="131">-H181</f>
        <v>-21039.182503531047</v>
      </c>
      <c r="I156" s="37">
        <f t="shared" si="131"/>
        <v>-25894.60716765884</v>
      </c>
      <c r="J156" s="37">
        <f t="shared" si="131"/>
        <v>-26713.620119937525</v>
      </c>
      <c r="K156" s="37">
        <f t="shared" si="131"/>
        <v>-31552.280268154511</v>
      </c>
      <c r="L156" s="37">
        <f t="shared" si="131"/>
        <v>-36133.926455978304</v>
      </c>
      <c r="M156" s="37">
        <f t="shared" si="131"/>
        <v>-36998.360799668495</v>
      </c>
      <c r="N156" s="37">
        <f t="shared" si="131"/>
        <v>-36762.311212286389</v>
      </c>
      <c r="O156" s="37">
        <f t="shared" si="131"/>
        <v>-39740.087979755685</v>
      </c>
      <c r="P156" s="37">
        <f t="shared" si="131"/>
        <v>-38191.652248207516</v>
      </c>
      <c r="Q156" s="37">
        <f t="shared" si="131"/>
        <v>-40381.570519375658</v>
      </c>
    </row>
    <row r="157" spans="1:17" outlineLevel="1">
      <c r="A157" t="s">
        <v>71</v>
      </c>
      <c r="B157" s="37"/>
      <c r="C157" s="37"/>
      <c r="D157" s="43">
        <v>798</v>
      </c>
      <c r="E157" s="43">
        <v>1067</v>
      </c>
      <c r="F157" s="43">
        <v>1897</v>
      </c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</row>
    <row r="158" spans="1:17" outlineLevel="1">
      <c r="A158" t="s">
        <v>72</v>
      </c>
      <c r="B158" s="43">
        <v>-312</v>
      </c>
      <c r="C158" s="43">
        <v>-979</v>
      </c>
      <c r="D158" s="43">
        <v>-795</v>
      </c>
      <c r="E158" s="43">
        <v>-116</v>
      </c>
      <c r="F158" s="43">
        <v>-13972</v>
      </c>
      <c r="G158" s="37">
        <f>-(G114-F114)-G57</f>
        <v>0</v>
      </c>
      <c r="H158" s="37">
        <f t="shared" ref="H158:Q158" si="132">-(H114-G114)-H57</f>
        <v>0</v>
      </c>
      <c r="I158" s="37">
        <f t="shared" si="132"/>
        <v>0</v>
      </c>
      <c r="J158" s="37">
        <f t="shared" si="132"/>
        <v>0</v>
      </c>
      <c r="K158" s="37">
        <f t="shared" si="132"/>
        <v>0</v>
      </c>
      <c r="L158" s="37">
        <f t="shared" si="132"/>
        <v>0</v>
      </c>
      <c r="M158" s="37">
        <f t="shared" si="132"/>
        <v>0</v>
      </c>
      <c r="N158" s="37">
        <f t="shared" si="132"/>
        <v>0</v>
      </c>
      <c r="O158" s="37">
        <f t="shared" si="132"/>
        <v>0</v>
      </c>
      <c r="P158" s="37">
        <f t="shared" si="132"/>
        <v>0</v>
      </c>
      <c r="Q158" s="37">
        <f t="shared" si="132"/>
        <v>0</v>
      </c>
    </row>
    <row r="159" spans="1:17" outlineLevel="1">
      <c r="A159" t="s">
        <v>157</v>
      </c>
      <c r="B159" s="43">
        <v>-520</v>
      </c>
      <c r="C159" s="43">
        <v>807</v>
      </c>
      <c r="D159" s="43">
        <v>-1066</v>
      </c>
      <c r="E159" s="43">
        <v>-3023</v>
      </c>
      <c r="F159" s="43">
        <v>-3789</v>
      </c>
      <c r="G159" s="37">
        <f>-(G108-F108)</f>
        <v>0</v>
      </c>
      <c r="H159" s="37">
        <f t="shared" ref="H159:Q159" si="133">-(H108-G108)</f>
        <v>0</v>
      </c>
      <c r="I159" s="37">
        <f t="shared" si="133"/>
        <v>0</v>
      </c>
      <c r="J159" s="37">
        <f t="shared" si="133"/>
        <v>0</v>
      </c>
      <c r="K159" s="37">
        <f t="shared" si="133"/>
        <v>0</v>
      </c>
      <c r="L159" s="37">
        <f t="shared" si="133"/>
        <v>0</v>
      </c>
      <c r="M159" s="37">
        <f t="shared" si="133"/>
        <v>0</v>
      </c>
      <c r="N159" s="37">
        <f t="shared" si="133"/>
        <v>0</v>
      </c>
      <c r="O159" s="37">
        <f t="shared" si="133"/>
        <v>0</v>
      </c>
      <c r="P159" s="37">
        <f t="shared" si="133"/>
        <v>0</v>
      </c>
      <c r="Q159" s="37">
        <f t="shared" si="133"/>
        <v>0</v>
      </c>
    </row>
    <row r="160" spans="1:17" outlineLevel="1">
      <c r="A160" s="15" t="s">
        <v>75</v>
      </c>
      <c r="B160" s="81">
        <f t="shared" ref="B160:G160" si="134">SUM(B156:B159)</f>
        <v>-4276</v>
      </c>
      <c r="C160" s="81">
        <f t="shared" si="134"/>
        <v>-5065</v>
      </c>
      <c r="D160" s="81">
        <f t="shared" si="134"/>
        <v>-6450</v>
      </c>
      <c r="E160" s="81">
        <f t="shared" si="134"/>
        <v>-9876</v>
      </c>
      <c r="F160" s="81">
        <f t="shared" si="134"/>
        <v>-27819</v>
      </c>
      <c r="G160" s="81">
        <f t="shared" si="134"/>
        <v>-16700.739796113954</v>
      </c>
      <c r="H160" s="81">
        <f t="shared" ref="H160:Q160" si="135">SUM(H156:H159)</f>
        <v>-21039.182503531047</v>
      </c>
      <c r="I160" s="81">
        <f t="shared" si="135"/>
        <v>-25894.60716765884</v>
      </c>
      <c r="J160" s="81">
        <f t="shared" si="135"/>
        <v>-26713.620119937525</v>
      </c>
      <c r="K160" s="81">
        <f t="shared" si="135"/>
        <v>-31552.280268154511</v>
      </c>
      <c r="L160" s="81">
        <f t="shared" si="135"/>
        <v>-36133.926455978304</v>
      </c>
      <c r="M160" s="81">
        <f t="shared" si="135"/>
        <v>-36998.360799668495</v>
      </c>
      <c r="N160" s="81">
        <f t="shared" si="135"/>
        <v>-36762.311212286389</v>
      </c>
      <c r="O160" s="81">
        <f t="shared" si="135"/>
        <v>-39740.087979755685</v>
      </c>
      <c r="P160" s="81">
        <f t="shared" si="135"/>
        <v>-38191.652248207516</v>
      </c>
      <c r="Q160" s="81">
        <f t="shared" si="135"/>
        <v>-40381.570519375658</v>
      </c>
    </row>
    <row r="161" spans="1:17" outlineLevel="1">
      <c r="A161" t="s">
        <v>26</v>
      </c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</row>
    <row r="162" spans="1:17" outlineLevel="1">
      <c r="A162" t="s">
        <v>98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</row>
    <row r="163" spans="1:17" outlineLevel="1">
      <c r="A163" t="s">
        <v>158</v>
      </c>
      <c r="B163" s="43">
        <v>163</v>
      </c>
      <c r="C163" s="43">
        <v>5846</v>
      </c>
      <c r="D163" s="43">
        <v>-1299</v>
      </c>
      <c r="E163" s="43">
        <v>267</v>
      </c>
      <c r="F163" s="43">
        <v>14859</v>
      </c>
      <c r="G163" s="37">
        <f>G123-F123</f>
        <v>0</v>
      </c>
      <c r="H163" s="37">
        <f t="shared" ref="H163:Q163" si="136">H123-G123</f>
        <v>0</v>
      </c>
      <c r="I163" s="37">
        <f t="shared" si="136"/>
        <v>0</v>
      </c>
      <c r="J163" s="37">
        <f t="shared" si="136"/>
        <v>0</v>
      </c>
      <c r="K163" s="37">
        <f t="shared" si="136"/>
        <v>0</v>
      </c>
      <c r="L163" s="37">
        <f t="shared" si="136"/>
        <v>0</v>
      </c>
      <c r="M163" s="37">
        <f t="shared" si="136"/>
        <v>0</v>
      </c>
      <c r="N163" s="37">
        <f t="shared" si="136"/>
        <v>0</v>
      </c>
      <c r="O163" s="37">
        <f t="shared" si="136"/>
        <v>0</v>
      </c>
      <c r="P163" s="37">
        <f t="shared" si="136"/>
        <v>0</v>
      </c>
      <c r="Q163" s="37">
        <f t="shared" si="136"/>
        <v>0</v>
      </c>
    </row>
    <row r="164" spans="1:17" outlineLevel="1">
      <c r="A164" t="s">
        <v>78</v>
      </c>
      <c r="B164" s="43">
        <v>-775</v>
      </c>
      <c r="C164" s="43">
        <v>-1285</v>
      </c>
      <c r="D164" s="43">
        <v>-2462</v>
      </c>
      <c r="E164" s="43">
        <v>-3860</v>
      </c>
      <c r="F164" s="43">
        <v>-4799</v>
      </c>
      <c r="G164" s="37">
        <f>G200</f>
        <v>-7335.52</v>
      </c>
      <c r="H164" s="37">
        <f t="shared" ref="H164:Q164" si="137">H200</f>
        <v>-11347.609316989252</v>
      </c>
      <c r="I164" s="37">
        <f t="shared" si="137"/>
        <v>-13888.280077683448</v>
      </c>
      <c r="J164" s="37">
        <f t="shared" si="137"/>
        <v>-15639.269879385423</v>
      </c>
      <c r="K164" s="37">
        <f t="shared" si="137"/>
        <v>-18155.660363199178</v>
      </c>
      <c r="L164" s="37">
        <f t="shared" si="137"/>
        <v>-21248.064843432421</v>
      </c>
      <c r="M164" s="37">
        <f t="shared" si="137"/>
        <v>-22327.728238442603</v>
      </c>
      <c r="N164" s="37">
        <f t="shared" si="137"/>
        <v>-24068.193037924611</v>
      </c>
      <c r="O164" s="37">
        <f t="shared" si="137"/>
        <v>-26098.022292048325</v>
      </c>
      <c r="P164" s="37">
        <f t="shared" si="137"/>
        <v>-25241.513880454255</v>
      </c>
      <c r="Q164" s="37">
        <f t="shared" si="137"/>
        <v>-25002.449889776017</v>
      </c>
    </row>
    <row r="165" spans="1:17" outlineLevel="1">
      <c r="A165" t="s">
        <v>79</v>
      </c>
      <c r="B165" s="43">
        <v>-5</v>
      </c>
      <c r="C165" s="43">
        <v>-135</v>
      </c>
      <c r="D165" s="43">
        <v>-121</v>
      </c>
      <c r="E165" s="43">
        <v>-147</v>
      </c>
      <c r="F165" s="43">
        <v>-200</v>
      </c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</row>
    <row r="166" spans="1:17" outlineLevel="1">
      <c r="A166" t="s">
        <v>159</v>
      </c>
      <c r="B166" s="43">
        <v>0</v>
      </c>
      <c r="C166" s="43">
        <v>0</v>
      </c>
      <c r="D166" s="43">
        <v>0</v>
      </c>
      <c r="E166" s="43">
        <v>0</v>
      </c>
      <c r="F166" s="43">
        <v>0</v>
      </c>
      <c r="G166" s="37">
        <f>G53+G52+G51</f>
        <v>0</v>
      </c>
      <c r="H166" s="37">
        <f t="shared" ref="H166:Q166" si="138">H53+H52+H51</f>
        <v>0</v>
      </c>
      <c r="I166" s="37">
        <f t="shared" si="138"/>
        <v>0</v>
      </c>
      <c r="J166" s="37">
        <f t="shared" si="138"/>
        <v>0</v>
      </c>
      <c r="K166" s="37">
        <f t="shared" si="138"/>
        <v>0</v>
      </c>
      <c r="L166" s="37">
        <f t="shared" si="138"/>
        <v>0</v>
      </c>
      <c r="M166" s="37">
        <f t="shared" si="138"/>
        <v>0</v>
      </c>
      <c r="N166" s="37">
        <f t="shared" si="138"/>
        <v>0</v>
      </c>
      <c r="O166" s="37">
        <f t="shared" si="138"/>
        <v>0</v>
      </c>
      <c r="P166" s="37">
        <f t="shared" si="138"/>
        <v>0</v>
      </c>
      <c r="Q166" s="37">
        <f t="shared" si="138"/>
        <v>0</v>
      </c>
    </row>
    <row r="167" spans="1:17" outlineLevel="1">
      <c r="A167" t="s">
        <v>160</v>
      </c>
      <c r="B167" s="43">
        <v>0</v>
      </c>
      <c r="C167" s="43">
        <v>0</v>
      </c>
      <c r="D167" s="43">
        <v>0</v>
      </c>
      <c r="E167" s="43">
        <v>0</v>
      </c>
      <c r="F167" s="43">
        <v>0</v>
      </c>
      <c r="G167" s="37">
        <f>-G55</f>
        <v>0</v>
      </c>
      <c r="H167" s="37">
        <f t="shared" ref="H167:Q167" si="139">-H55</f>
        <v>0</v>
      </c>
      <c r="I167" s="37">
        <f t="shared" si="139"/>
        <v>0</v>
      </c>
      <c r="J167" s="37">
        <f t="shared" si="139"/>
        <v>0</v>
      </c>
      <c r="K167" s="37">
        <f t="shared" si="139"/>
        <v>0</v>
      </c>
      <c r="L167" s="37">
        <f t="shared" si="139"/>
        <v>0</v>
      </c>
      <c r="M167" s="37">
        <f t="shared" si="139"/>
        <v>0</v>
      </c>
      <c r="N167" s="37">
        <f t="shared" si="139"/>
        <v>0</v>
      </c>
      <c r="O167" s="37">
        <f t="shared" si="139"/>
        <v>0</v>
      </c>
      <c r="P167" s="37">
        <f t="shared" si="139"/>
        <v>0</v>
      </c>
      <c r="Q167" s="37">
        <f t="shared" si="139"/>
        <v>0</v>
      </c>
    </row>
    <row r="168" spans="1:17" outlineLevel="1">
      <c r="A168" s="15" t="s">
        <v>80</v>
      </c>
      <c r="B168" s="81">
        <f>SUM(B163:B166)</f>
        <v>-617</v>
      </c>
      <c r="C168" s="81">
        <f>SUM(C163:C165)</f>
        <v>4426</v>
      </c>
      <c r="D168" s="81">
        <f>SUM(D163:D165)</f>
        <v>-3882</v>
      </c>
      <c r="E168" s="81">
        <f>SUM(E163:E165)</f>
        <v>-3740</v>
      </c>
      <c r="F168" s="81">
        <f>SUM(F163:F165)</f>
        <v>9860</v>
      </c>
      <c r="G168" s="81">
        <f>SUM(G163:G167)</f>
        <v>-7335.52</v>
      </c>
      <c r="H168" s="81">
        <f t="shared" ref="H168:Q168" si="140">SUM(H163:H167)</f>
        <v>-11347.609316989252</v>
      </c>
      <c r="I168" s="81">
        <f t="shared" si="140"/>
        <v>-13888.280077683448</v>
      </c>
      <c r="J168" s="81">
        <f t="shared" si="140"/>
        <v>-15639.269879385423</v>
      </c>
      <c r="K168" s="81">
        <f t="shared" si="140"/>
        <v>-18155.660363199178</v>
      </c>
      <c r="L168" s="81">
        <f t="shared" si="140"/>
        <v>-21248.064843432421</v>
      </c>
      <c r="M168" s="81">
        <f t="shared" si="140"/>
        <v>-22327.728238442603</v>
      </c>
      <c r="N168" s="81">
        <f t="shared" si="140"/>
        <v>-24068.193037924611</v>
      </c>
      <c r="O168" s="81">
        <f t="shared" si="140"/>
        <v>-26098.022292048325</v>
      </c>
      <c r="P168" s="81">
        <f t="shared" si="140"/>
        <v>-25241.513880454255</v>
      </c>
      <c r="Q168" s="81">
        <f t="shared" si="140"/>
        <v>-25002.449889776017</v>
      </c>
    </row>
    <row r="169" spans="1:17" outlineLevel="1">
      <c r="A169" t="s">
        <v>26</v>
      </c>
      <c r="B169" s="37"/>
      <c r="C169" s="8"/>
      <c r="D169" s="8"/>
      <c r="E169" s="8"/>
      <c r="F169" s="8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</row>
    <row r="170" spans="1:17" outlineLevel="1">
      <c r="A170" t="s">
        <v>81</v>
      </c>
      <c r="B170" s="43">
        <v>-86</v>
      </c>
      <c r="C170" s="43">
        <v>-310</v>
      </c>
      <c r="D170" s="43">
        <v>-374</v>
      </c>
      <c r="E170" s="43">
        <v>-212</v>
      </c>
      <c r="F170" s="43">
        <v>713</v>
      </c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</row>
    <row r="171" spans="1:17" outlineLevel="1">
      <c r="A171" s="17" t="s">
        <v>82</v>
      </c>
      <c r="B171" s="38">
        <f>+B153+B160+B168+B170</f>
        <v>574</v>
      </c>
      <c r="C171" s="38">
        <f t="shared" ref="C171:F171" si="141">+C153+C160+C168+C170</f>
        <v>5899</v>
      </c>
      <c r="D171" s="38">
        <f t="shared" si="141"/>
        <v>1333</v>
      </c>
      <c r="E171" s="38">
        <f t="shared" si="141"/>
        <v>3444</v>
      </c>
      <c r="F171" s="38">
        <f t="shared" si="141"/>
        <v>1188</v>
      </c>
      <c r="G171" s="38">
        <f>G153+G160+G168</f>
        <v>17037.494044440522</v>
      </c>
      <c r="H171" s="38">
        <f t="shared" ref="H171:Q171" si="142">H153+H160+H168</f>
        <v>16952.988015681742</v>
      </c>
      <c r="I171" s="38">
        <f t="shared" si="142"/>
        <v>21713.744337930031</v>
      </c>
      <c r="J171" s="38">
        <f t="shared" si="142"/>
        <v>30153.977030777285</v>
      </c>
      <c r="K171" s="38">
        <f t="shared" si="142"/>
        <v>34601.783896406923</v>
      </c>
      <c r="L171" s="38">
        <f t="shared" si="142"/>
        <v>38477.694359362387</v>
      </c>
      <c r="M171" s="38">
        <f t="shared" si="142"/>
        <v>42455.461442908811</v>
      </c>
      <c r="N171" s="38">
        <f t="shared" si="142"/>
        <v>47728.745745096188</v>
      </c>
      <c r="O171" s="38">
        <f t="shared" si="142"/>
        <v>53229.298483847975</v>
      </c>
      <c r="P171" s="38">
        <f t="shared" si="142"/>
        <v>61670.185847593195</v>
      </c>
      <c r="Q171" s="38">
        <f t="shared" si="142"/>
        <v>66039.026751029771</v>
      </c>
    </row>
    <row r="172" spans="1:17" outlineLevel="1">
      <c r="A172" t="s">
        <v>26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</row>
    <row r="173" spans="1:17" ht="15" outlineLevel="1" thickBot="1">
      <c r="A173" s="18" t="s">
        <v>99</v>
      </c>
      <c r="B173" s="82">
        <f>B139+B171</f>
        <v>8658</v>
      </c>
      <c r="C173" s="82">
        <f t="shared" ref="C173:F173" si="143">C139+C171</f>
        <v>14557</v>
      </c>
      <c r="D173" s="82">
        <f t="shared" si="143"/>
        <v>15890</v>
      </c>
      <c r="E173" s="82">
        <f t="shared" si="143"/>
        <v>19334</v>
      </c>
      <c r="F173" s="82">
        <f t="shared" si="143"/>
        <v>20522</v>
      </c>
      <c r="G173" s="82">
        <f>G139+G171</f>
        <v>37559.494044440522</v>
      </c>
      <c r="H173" s="82">
        <f t="shared" ref="H173:Q173" si="144">H139+H171</f>
        <v>54512.48206012226</v>
      </c>
      <c r="I173" s="82">
        <f t="shared" si="144"/>
        <v>76226.226398052298</v>
      </c>
      <c r="J173" s="82">
        <f t="shared" si="144"/>
        <v>106380.20342882958</v>
      </c>
      <c r="K173" s="82">
        <f t="shared" si="144"/>
        <v>140981.98732523649</v>
      </c>
      <c r="L173" s="82">
        <f t="shared" si="144"/>
        <v>179459.68168459888</v>
      </c>
      <c r="M173" s="82">
        <f t="shared" si="144"/>
        <v>221915.1431275077</v>
      </c>
      <c r="N173" s="82">
        <f t="shared" si="144"/>
        <v>269643.88887260389</v>
      </c>
      <c r="O173" s="82">
        <f t="shared" si="144"/>
        <v>322873.18735645188</v>
      </c>
      <c r="P173" s="82">
        <f t="shared" si="144"/>
        <v>384543.37320404506</v>
      </c>
      <c r="Q173" s="82">
        <f t="shared" si="144"/>
        <v>450582.39995507483</v>
      </c>
    </row>
    <row r="174" spans="1:17" ht="15" outlineLevel="1" thickTop="1">
      <c r="B174" s="2"/>
      <c r="C174" s="2"/>
      <c r="D174" s="2"/>
      <c r="E174" s="2"/>
      <c r="F174" s="2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</row>
    <row r="175" spans="1:17"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</row>
    <row r="176" spans="1:17">
      <c r="A176" s="6" t="s">
        <v>127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outlineLevel="1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</row>
    <row r="178" spans="1:17" outlineLevel="1">
      <c r="A178" s="1" t="s">
        <v>128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</row>
    <row r="179" spans="1:17" outlineLevel="1">
      <c r="A179" t="s">
        <v>129</v>
      </c>
      <c r="B179" s="37"/>
      <c r="C179" s="37">
        <f>B184</f>
        <v>10949</v>
      </c>
      <c r="D179" s="37">
        <f t="shared" ref="D179:F179" si="145">C184</f>
        <v>16967</v>
      </c>
      <c r="E179" s="37">
        <f t="shared" si="145"/>
        <v>21838.000000000004</v>
      </c>
      <c r="F179" s="37">
        <f t="shared" si="145"/>
        <v>29114.000000000004</v>
      </c>
      <c r="G179" s="37">
        <f>F184</f>
        <v>48865.999999999985</v>
      </c>
      <c r="H179" s="37">
        <f t="shared" ref="H179:Q179" si="146">G184</f>
        <v>63913.989577664601</v>
      </c>
      <c r="I179" s="37">
        <f t="shared" si="146"/>
        <v>77421.161253156417</v>
      </c>
      <c r="J179" s="37">
        <f t="shared" si="146"/>
        <v>90843.45189645185</v>
      </c>
      <c r="K179" s="37">
        <f t="shared" si="146"/>
        <v>103481.04135775658</v>
      </c>
      <c r="L179" s="37">
        <f t="shared" si="146"/>
        <v>119934.47197293722</v>
      </c>
      <c r="M179" s="37">
        <f t="shared" si="146"/>
        <v>132183.89394372617</v>
      </c>
      <c r="N179" s="37">
        <f t="shared" si="146"/>
        <v>143216.59592929945</v>
      </c>
      <c r="O179" s="37">
        <f t="shared" si="146"/>
        <v>152102.11773969518</v>
      </c>
      <c r="P179" s="37">
        <f t="shared" si="146"/>
        <v>154845.4114114262</v>
      </c>
      <c r="Q179" s="37">
        <f t="shared" si="146"/>
        <v>155711.29721057476</v>
      </c>
    </row>
    <row r="180" spans="1:17" outlineLevel="1">
      <c r="A180" s="11" t="s">
        <v>130</v>
      </c>
      <c r="B180" s="37"/>
      <c r="C180" s="37">
        <f>-C144</f>
        <v>-4746</v>
      </c>
      <c r="D180" s="37">
        <f>-D144</f>
        <v>-6281</v>
      </c>
      <c r="E180" s="37">
        <f>-E144</f>
        <v>-8116</v>
      </c>
      <c r="F180" s="37">
        <f>-F144</f>
        <v>-11478</v>
      </c>
      <c r="G180" s="37">
        <f>-G179*G47</f>
        <v>-19546.399999999994</v>
      </c>
      <c r="H180" s="37">
        <f t="shared" ref="H180:Q180" si="147">-H179*H47</f>
        <v>-25565.595831065843</v>
      </c>
      <c r="I180" s="37">
        <f t="shared" si="147"/>
        <v>-30968.46450126257</v>
      </c>
      <c r="J180" s="37">
        <f t="shared" si="147"/>
        <v>-36337.380758580744</v>
      </c>
      <c r="K180" s="37">
        <f t="shared" si="147"/>
        <v>-41392.416543102634</v>
      </c>
      <c r="L180" s="37">
        <f t="shared" si="147"/>
        <v>-47973.788789174891</v>
      </c>
      <c r="M180" s="37">
        <f t="shared" si="147"/>
        <v>-52873.557577490472</v>
      </c>
      <c r="N180" s="37">
        <f t="shared" si="147"/>
        <v>-57286.638371719782</v>
      </c>
      <c r="O180" s="37">
        <f t="shared" si="147"/>
        <v>-60840.847095878074</v>
      </c>
      <c r="P180" s="37">
        <f t="shared" si="147"/>
        <v>-61938.164564570485</v>
      </c>
      <c r="Q180" s="37">
        <f t="shared" si="147"/>
        <v>-62284.51888422991</v>
      </c>
    </row>
    <row r="181" spans="1:17" outlineLevel="1">
      <c r="A181" s="11" t="s">
        <v>131</v>
      </c>
      <c r="B181" s="37"/>
      <c r="C181" s="37">
        <f>-C156-C157</f>
        <v>4893</v>
      </c>
      <c r="D181" s="37">
        <f>-D156-D157</f>
        <v>4589</v>
      </c>
      <c r="E181" s="37">
        <f>-E156-E157</f>
        <v>6737</v>
      </c>
      <c r="F181" s="37">
        <f>-F156-F157</f>
        <v>10058</v>
      </c>
      <c r="G181" s="37">
        <f>G79*G45</f>
        <v>16700.739796113954</v>
      </c>
      <c r="H181" s="37">
        <f t="shared" ref="H181:Q181" si="148">H79*H45</f>
        <v>21039.182503531047</v>
      </c>
      <c r="I181" s="37">
        <f t="shared" si="148"/>
        <v>25894.60716765884</v>
      </c>
      <c r="J181" s="37">
        <f t="shared" si="148"/>
        <v>26713.620119937525</v>
      </c>
      <c r="K181" s="37">
        <f t="shared" si="148"/>
        <v>31552.280268154511</v>
      </c>
      <c r="L181" s="37">
        <f t="shared" si="148"/>
        <v>36133.926455978304</v>
      </c>
      <c r="M181" s="37">
        <f t="shared" si="148"/>
        <v>36998.360799668495</v>
      </c>
      <c r="N181" s="37">
        <f t="shared" si="148"/>
        <v>36762.311212286389</v>
      </c>
      <c r="O181" s="37">
        <f t="shared" si="148"/>
        <v>39740.087979755685</v>
      </c>
      <c r="P181" s="37">
        <f t="shared" si="148"/>
        <v>38191.652248207516</v>
      </c>
      <c r="Q181" s="37">
        <f t="shared" si="148"/>
        <v>40381.570519375658</v>
      </c>
    </row>
    <row r="182" spans="1:17" outlineLevel="1">
      <c r="A182" s="45" t="s">
        <v>132</v>
      </c>
      <c r="B182" s="46"/>
      <c r="C182" s="46">
        <f>C201</f>
        <v>4751</v>
      </c>
      <c r="D182" s="46">
        <f t="shared" ref="D182:F182" si="149">D201</f>
        <v>5353</v>
      </c>
      <c r="E182" s="46">
        <f t="shared" si="149"/>
        <v>6592.9999999999991</v>
      </c>
      <c r="F182" s="46">
        <f t="shared" si="149"/>
        <v>12643</v>
      </c>
      <c r="G182" s="37">
        <f>G201</f>
        <v>17893.649781550663</v>
      </c>
      <c r="H182" s="37">
        <f t="shared" ref="H182:Q182" si="150">H201</f>
        <v>18033.585003026612</v>
      </c>
      <c r="I182" s="37">
        <f t="shared" si="150"/>
        <v>18496.14797689917</v>
      </c>
      <c r="J182" s="37">
        <f t="shared" si="150"/>
        <v>22261.35009994794</v>
      </c>
      <c r="K182" s="37">
        <f t="shared" si="150"/>
        <v>26293.566890128761</v>
      </c>
      <c r="L182" s="37">
        <f t="shared" si="150"/>
        <v>24089.284303985536</v>
      </c>
      <c r="M182" s="37">
        <f t="shared" si="150"/>
        <v>26907.898763395267</v>
      </c>
      <c r="N182" s="37">
        <f t="shared" si="150"/>
        <v>29409.848969829112</v>
      </c>
      <c r="O182" s="37">
        <f t="shared" si="150"/>
        <v>23844.052787853405</v>
      </c>
      <c r="P182" s="37">
        <f t="shared" si="150"/>
        <v>24612.398115511514</v>
      </c>
      <c r="Q182" s="37">
        <f t="shared" si="150"/>
        <v>26023.678779153208</v>
      </c>
    </row>
    <row r="183" spans="1:17" outlineLevel="1">
      <c r="A183" s="45" t="s">
        <v>133</v>
      </c>
      <c r="B183" s="46"/>
      <c r="C183" s="47">
        <v>1120.0000000000011</v>
      </c>
      <c r="D183" s="47">
        <v>1210.0000000000032</v>
      </c>
      <c r="E183" s="47">
        <v>2061.9999999999995</v>
      </c>
      <c r="F183" s="47">
        <v>8528.9999999999818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47">
        <v>0</v>
      </c>
      <c r="P183" s="47">
        <v>0</v>
      </c>
      <c r="Q183" s="47">
        <v>0</v>
      </c>
    </row>
    <row r="184" spans="1:17" outlineLevel="1">
      <c r="A184" s="16" t="s">
        <v>134</v>
      </c>
      <c r="B184" s="38">
        <f>B186</f>
        <v>10949</v>
      </c>
      <c r="C184" s="38">
        <f>SUM(C179:C183)</f>
        <v>16967</v>
      </c>
      <c r="D184" s="38">
        <f t="shared" ref="D184:F184" si="151">SUM(D179:D183)</f>
        <v>21838.000000000004</v>
      </c>
      <c r="E184" s="38">
        <f t="shared" si="151"/>
        <v>29114.000000000004</v>
      </c>
      <c r="F184" s="38">
        <f t="shared" si="151"/>
        <v>48865.999999999985</v>
      </c>
      <c r="G184" s="38">
        <f>SUM(G179:G183)</f>
        <v>63913.989577664601</v>
      </c>
      <c r="H184" s="38">
        <f t="shared" ref="H184:Q184" si="152">SUM(H179:H183)</f>
        <v>77421.161253156417</v>
      </c>
      <c r="I184" s="38">
        <f t="shared" si="152"/>
        <v>90843.45189645185</v>
      </c>
      <c r="J184" s="38">
        <f t="shared" si="152"/>
        <v>103481.04135775658</v>
      </c>
      <c r="K184" s="38">
        <f t="shared" si="152"/>
        <v>119934.47197293722</v>
      </c>
      <c r="L184" s="38">
        <f t="shared" si="152"/>
        <v>132183.89394372617</v>
      </c>
      <c r="M184" s="38">
        <f t="shared" si="152"/>
        <v>143216.59592929945</v>
      </c>
      <c r="N184" s="38">
        <f t="shared" si="152"/>
        <v>152102.11773969518</v>
      </c>
      <c r="O184" s="38">
        <f t="shared" si="152"/>
        <v>154845.4114114262</v>
      </c>
      <c r="P184" s="38">
        <f t="shared" si="152"/>
        <v>155711.29721057476</v>
      </c>
      <c r="Q184" s="38">
        <f t="shared" si="152"/>
        <v>159832.02762487374</v>
      </c>
    </row>
    <row r="185" spans="1:17" outlineLevel="1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</row>
    <row r="186" spans="1:17" outlineLevel="1">
      <c r="A186" s="39" t="s">
        <v>135</v>
      </c>
      <c r="B186" s="41">
        <f t="shared" ref="B186:G186" si="153">B112</f>
        <v>10949</v>
      </c>
      <c r="C186" s="41">
        <f t="shared" si="153"/>
        <v>16967</v>
      </c>
      <c r="D186" s="41">
        <f t="shared" si="153"/>
        <v>21838</v>
      </c>
      <c r="E186" s="41">
        <f t="shared" si="153"/>
        <v>29114</v>
      </c>
      <c r="F186" s="41">
        <f t="shared" si="153"/>
        <v>48866</v>
      </c>
      <c r="G186" s="41">
        <f t="shared" si="153"/>
        <v>63913.989577664601</v>
      </c>
      <c r="H186" s="41">
        <f t="shared" ref="H186:Q186" si="154">H112</f>
        <v>77421.161253156417</v>
      </c>
      <c r="I186" s="41">
        <f t="shared" si="154"/>
        <v>90843.45189645185</v>
      </c>
      <c r="J186" s="41">
        <f t="shared" si="154"/>
        <v>103481.04135775658</v>
      </c>
      <c r="K186" s="41">
        <f t="shared" si="154"/>
        <v>119934.47197293722</v>
      </c>
      <c r="L186" s="41">
        <f t="shared" si="154"/>
        <v>132183.89394372617</v>
      </c>
      <c r="M186" s="41">
        <f t="shared" si="154"/>
        <v>143216.59592929945</v>
      </c>
      <c r="N186" s="41">
        <f t="shared" si="154"/>
        <v>152102.11773969518</v>
      </c>
      <c r="O186" s="41">
        <f t="shared" si="154"/>
        <v>154845.4114114262</v>
      </c>
      <c r="P186" s="41">
        <f t="shared" si="154"/>
        <v>155711.29721057476</v>
      </c>
      <c r="Q186" s="41">
        <f t="shared" si="154"/>
        <v>159832.02762487374</v>
      </c>
    </row>
    <row r="187" spans="1:17" outlineLevel="1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</row>
    <row r="188" spans="1:17" outlineLevel="1">
      <c r="A188" s="1" t="s">
        <v>136</v>
      </c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</row>
    <row r="189" spans="1:17" outlineLevel="1">
      <c r="A189" t="s">
        <v>129</v>
      </c>
      <c r="B189" s="37"/>
      <c r="C189" s="37">
        <f>B191</f>
        <v>3191</v>
      </c>
      <c r="D189" s="37">
        <f t="shared" ref="D189:F189" si="155">C191</f>
        <v>8265</v>
      </c>
      <c r="E189" s="37">
        <f t="shared" si="155"/>
        <v>8235</v>
      </c>
      <c r="F189" s="37">
        <f t="shared" si="155"/>
        <v>7694</v>
      </c>
      <c r="G189" s="37">
        <f>F191</f>
        <v>24743</v>
      </c>
      <c r="H189" s="37">
        <f t="shared" ref="H189:Q189" si="156">G191</f>
        <v>24743</v>
      </c>
      <c r="I189" s="37">
        <f t="shared" si="156"/>
        <v>24743</v>
      </c>
      <c r="J189" s="37">
        <f t="shared" si="156"/>
        <v>24743</v>
      </c>
      <c r="K189" s="37">
        <f t="shared" si="156"/>
        <v>24743</v>
      </c>
      <c r="L189" s="37">
        <f t="shared" si="156"/>
        <v>24743</v>
      </c>
      <c r="M189" s="37">
        <f t="shared" si="156"/>
        <v>24743</v>
      </c>
      <c r="N189" s="37">
        <f t="shared" si="156"/>
        <v>24743</v>
      </c>
      <c r="O189" s="37">
        <f t="shared" si="156"/>
        <v>24743</v>
      </c>
      <c r="P189" s="37">
        <f t="shared" si="156"/>
        <v>24743</v>
      </c>
      <c r="Q189" s="37">
        <f t="shared" si="156"/>
        <v>24743</v>
      </c>
    </row>
    <row r="190" spans="1:17" outlineLevel="1">
      <c r="A190" s="11" t="s">
        <v>137</v>
      </c>
      <c r="B190" s="37"/>
      <c r="C190" s="43">
        <v>5074</v>
      </c>
      <c r="D190" s="43">
        <v>-29.999999999999407</v>
      </c>
      <c r="E190" s="43">
        <v>-540.99999999999966</v>
      </c>
      <c r="F190" s="43">
        <v>17049</v>
      </c>
      <c r="G190" s="37">
        <f>G50</f>
        <v>0</v>
      </c>
      <c r="H190" s="37">
        <f t="shared" ref="H190:Q190" si="157">H50</f>
        <v>0</v>
      </c>
      <c r="I190" s="37">
        <f t="shared" si="157"/>
        <v>0</v>
      </c>
      <c r="J190" s="37">
        <f t="shared" si="157"/>
        <v>0</v>
      </c>
      <c r="K190" s="37">
        <f t="shared" si="157"/>
        <v>0</v>
      </c>
      <c r="L190" s="37">
        <f t="shared" si="157"/>
        <v>0</v>
      </c>
      <c r="M190" s="37">
        <f t="shared" si="157"/>
        <v>0</v>
      </c>
      <c r="N190" s="37">
        <f t="shared" si="157"/>
        <v>0</v>
      </c>
      <c r="O190" s="37">
        <f t="shared" si="157"/>
        <v>0</v>
      </c>
      <c r="P190" s="37">
        <f t="shared" si="157"/>
        <v>0</v>
      </c>
      <c r="Q190" s="37">
        <f t="shared" si="157"/>
        <v>0</v>
      </c>
    </row>
    <row r="191" spans="1:17" outlineLevel="1">
      <c r="A191" s="17" t="s">
        <v>134</v>
      </c>
      <c r="B191" s="38">
        <f>B193</f>
        <v>3191</v>
      </c>
      <c r="C191" s="38">
        <f>SUM(C189:C190)</f>
        <v>8265</v>
      </c>
      <c r="D191" s="38">
        <f t="shared" ref="D191:F191" si="158">SUM(D189:D190)</f>
        <v>8235</v>
      </c>
      <c r="E191" s="38">
        <f t="shared" si="158"/>
        <v>7694</v>
      </c>
      <c r="F191" s="38">
        <f t="shared" si="158"/>
        <v>24743</v>
      </c>
      <c r="G191" s="38">
        <f>SUM(G189:G190)</f>
        <v>24743</v>
      </c>
      <c r="H191" s="38">
        <f t="shared" ref="H191:Q191" si="159">SUM(H189:H190)</f>
        <v>24743</v>
      </c>
      <c r="I191" s="38">
        <f t="shared" si="159"/>
        <v>24743</v>
      </c>
      <c r="J191" s="38">
        <f t="shared" si="159"/>
        <v>24743</v>
      </c>
      <c r="K191" s="38">
        <f t="shared" si="159"/>
        <v>24743</v>
      </c>
      <c r="L191" s="38">
        <f t="shared" si="159"/>
        <v>24743</v>
      </c>
      <c r="M191" s="38">
        <f t="shared" si="159"/>
        <v>24743</v>
      </c>
      <c r="N191" s="38">
        <f t="shared" si="159"/>
        <v>24743</v>
      </c>
      <c r="O191" s="38">
        <f t="shared" si="159"/>
        <v>24743</v>
      </c>
      <c r="P191" s="38">
        <f t="shared" si="159"/>
        <v>24743</v>
      </c>
      <c r="Q191" s="38">
        <f t="shared" si="159"/>
        <v>24743</v>
      </c>
    </row>
    <row r="192" spans="1:17" outlineLevel="1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</row>
    <row r="193" spans="1:17" outlineLevel="1">
      <c r="A193" s="39" t="s">
        <v>138</v>
      </c>
      <c r="B193" s="41">
        <f t="shared" ref="B193:G193" si="160">B123</f>
        <v>3191</v>
      </c>
      <c r="C193" s="41">
        <f t="shared" si="160"/>
        <v>8265</v>
      </c>
      <c r="D193" s="41">
        <f t="shared" si="160"/>
        <v>8235</v>
      </c>
      <c r="E193" s="41">
        <f t="shared" si="160"/>
        <v>7694</v>
      </c>
      <c r="F193" s="41">
        <f t="shared" si="160"/>
        <v>24743</v>
      </c>
      <c r="G193" s="41">
        <f t="shared" si="160"/>
        <v>24743</v>
      </c>
      <c r="H193" s="41">
        <f t="shared" ref="H193:Q193" si="161">H123</f>
        <v>24743</v>
      </c>
      <c r="I193" s="41">
        <f t="shared" si="161"/>
        <v>24743</v>
      </c>
      <c r="J193" s="41">
        <f t="shared" si="161"/>
        <v>24743</v>
      </c>
      <c r="K193" s="41">
        <f t="shared" si="161"/>
        <v>24743</v>
      </c>
      <c r="L193" s="41">
        <f t="shared" si="161"/>
        <v>24743</v>
      </c>
      <c r="M193" s="41">
        <f t="shared" si="161"/>
        <v>24743</v>
      </c>
      <c r="N193" s="41">
        <f t="shared" si="161"/>
        <v>24743</v>
      </c>
      <c r="O193" s="41">
        <f t="shared" si="161"/>
        <v>24743</v>
      </c>
      <c r="P193" s="41">
        <f t="shared" si="161"/>
        <v>24743</v>
      </c>
      <c r="Q193" s="41">
        <f t="shared" si="161"/>
        <v>24743</v>
      </c>
    </row>
    <row r="194" spans="1:17" outlineLevel="1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</row>
    <row r="195" spans="1:17" outlineLevel="1">
      <c r="A195" t="s">
        <v>14</v>
      </c>
      <c r="B195" s="37">
        <f>-B90</f>
        <v>141</v>
      </c>
      <c r="C195" s="37">
        <f>-C90</f>
        <v>210</v>
      </c>
      <c r="D195" s="37">
        <f>-D90</f>
        <v>459</v>
      </c>
      <c r="E195" s="37">
        <f>-E90</f>
        <v>484</v>
      </c>
      <c r="F195" s="37">
        <f>-F90</f>
        <v>848</v>
      </c>
      <c r="G195" s="37">
        <f>AVERAGE(F191:G191)*G196</f>
        <v>1360.865</v>
      </c>
      <c r="H195" s="37">
        <f t="shared" ref="H195:Q195" si="162">AVERAGE(G191:H191)*H196</f>
        <v>1360.865</v>
      </c>
      <c r="I195" s="37">
        <f t="shared" si="162"/>
        <v>1360.865</v>
      </c>
      <c r="J195" s="37">
        <f t="shared" si="162"/>
        <v>1360.865</v>
      </c>
      <c r="K195" s="37">
        <f t="shared" si="162"/>
        <v>1360.865</v>
      </c>
      <c r="L195" s="37">
        <f t="shared" si="162"/>
        <v>1360.865</v>
      </c>
      <c r="M195" s="37">
        <f t="shared" si="162"/>
        <v>1360.865</v>
      </c>
      <c r="N195" s="37">
        <f t="shared" si="162"/>
        <v>1360.865</v>
      </c>
      <c r="O195" s="37">
        <f t="shared" si="162"/>
        <v>1360.865</v>
      </c>
      <c r="P195" s="37">
        <f t="shared" si="162"/>
        <v>1360.865</v>
      </c>
      <c r="Q195" s="37">
        <f t="shared" si="162"/>
        <v>1360.865</v>
      </c>
    </row>
    <row r="196" spans="1:17" outlineLevel="1">
      <c r="A196" t="s">
        <v>139</v>
      </c>
      <c r="B196" s="37"/>
      <c r="C196" s="9">
        <f>C195/AVERAGE(B191:C191)</f>
        <v>3.6662011173184357E-2</v>
      </c>
      <c r="D196" s="9">
        <f t="shared" ref="D196:F196" si="163">D195/AVERAGE(C191:D191)</f>
        <v>5.5636363636363637E-2</v>
      </c>
      <c r="E196" s="9">
        <f t="shared" si="163"/>
        <v>6.0769665390168877E-2</v>
      </c>
      <c r="F196" s="9">
        <f t="shared" si="163"/>
        <v>5.2285969725930262E-2</v>
      </c>
      <c r="G196" s="9">
        <f>G32</f>
        <v>5.5E-2</v>
      </c>
      <c r="H196" s="9">
        <f t="shared" ref="H196:Q196" si="164">H32</f>
        <v>5.5E-2</v>
      </c>
      <c r="I196" s="9">
        <f t="shared" si="164"/>
        <v>5.5E-2</v>
      </c>
      <c r="J196" s="9">
        <f t="shared" si="164"/>
        <v>5.5E-2</v>
      </c>
      <c r="K196" s="9">
        <f t="shared" si="164"/>
        <v>5.5E-2</v>
      </c>
      <c r="L196" s="9">
        <f t="shared" si="164"/>
        <v>5.5E-2</v>
      </c>
      <c r="M196" s="9">
        <f t="shared" si="164"/>
        <v>5.5E-2</v>
      </c>
      <c r="N196" s="9">
        <f t="shared" si="164"/>
        <v>5.5E-2</v>
      </c>
      <c r="O196" s="9">
        <f t="shared" si="164"/>
        <v>5.5E-2</v>
      </c>
      <c r="P196" s="9">
        <f t="shared" si="164"/>
        <v>5.5E-2</v>
      </c>
      <c r="Q196" s="9">
        <f t="shared" si="164"/>
        <v>5.5E-2</v>
      </c>
    </row>
    <row r="197" spans="1:17" outlineLevel="1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</row>
    <row r="198" spans="1:17" outlineLevel="1">
      <c r="A198" s="1" t="s">
        <v>140</v>
      </c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</row>
    <row r="199" spans="1:17" outlineLevel="1">
      <c r="A199" s="10" t="s">
        <v>141</v>
      </c>
      <c r="B199" s="44">
        <f>737+9+555</f>
        <v>1301</v>
      </c>
      <c r="C199" s="2">
        <f>B202</f>
        <v>2973</v>
      </c>
      <c r="D199" s="2">
        <f t="shared" ref="D199:F199" si="165">C202</f>
        <v>6304</v>
      </c>
      <c r="E199" s="2">
        <f t="shared" si="165"/>
        <v>9074</v>
      </c>
      <c r="F199" s="2">
        <f t="shared" si="165"/>
        <v>11660</v>
      </c>
      <c r="G199" s="2">
        <f>F202</f>
        <v>19304</v>
      </c>
      <c r="H199" s="2">
        <f t="shared" ref="H199:Q199" si="166">G202</f>
        <v>29862.129781550662</v>
      </c>
      <c r="I199" s="2">
        <f t="shared" si="166"/>
        <v>36548.105467588022</v>
      </c>
      <c r="J199" s="2">
        <f t="shared" si="166"/>
        <v>41155.973366803744</v>
      </c>
      <c r="K199" s="2">
        <f t="shared" si="166"/>
        <v>47778.053587366259</v>
      </c>
      <c r="L199" s="2">
        <f t="shared" si="166"/>
        <v>55915.960114295842</v>
      </c>
      <c r="M199" s="2">
        <f t="shared" si="166"/>
        <v>58757.179574848953</v>
      </c>
      <c r="N199" s="2">
        <f t="shared" si="166"/>
        <v>63337.35009980161</v>
      </c>
      <c r="O199" s="2">
        <f t="shared" si="166"/>
        <v>68679.006031706114</v>
      </c>
      <c r="P199" s="2">
        <f t="shared" si="166"/>
        <v>66425.036527511198</v>
      </c>
      <c r="Q199" s="2">
        <f t="shared" si="166"/>
        <v>65795.920762568465</v>
      </c>
    </row>
    <row r="200" spans="1:17" outlineLevel="1">
      <c r="A200" s="11" t="s">
        <v>142</v>
      </c>
      <c r="B200" s="37">
        <f>SUM(B164:B165)</f>
        <v>-780</v>
      </c>
      <c r="C200" s="37">
        <f>SUM(C164:C165)</f>
        <v>-1420</v>
      </c>
      <c r="D200" s="37">
        <f>SUM(D164:D165)</f>
        <v>-2583</v>
      </c>
      <c r="E200" s="37">
        <f>SUM(E164:E165)</f>
        <v>-4007</v>
      </c>
      <c r="F200" s="37">
        <f>SUM(F164:F165)</f>
        <v>-4999</v>
      </c>
      <c r="G200" s="37">
        <f>G199*-G48</f>
        <v>-7335.52</v>
      </c>
      <c r="H200" s="37">
        <f t="shared" ref="H200:Q200" si="167">H199*-H48</f>
        <v>-11347.609316989252</v>
      </c>
      <c r="I200" s="37">
        <f t="shared" si="167"/>
        <v>-13888.280077683448</v>
      </c>
      <c r="J200" s="37">
        <f t="shared" si="167"/>
        <v>-15639.269879385423</v>
      </c>
      <c r="K200" s="37">
        <f t="shared" si="167"/>
        <v>-18155.660363199178</v>
      </c>
      <c r="L200" s="37">
        <f t="shared" si="167"/>
        <v>-21248.064843432421</v>
      </c>
      <c r="M200" s="37">
        <f t="shared" si="167"/>
        <v>-22327.728238442603</v>
      </c>
      <c r="N200" s="37">
        <f t="shared" si="167"/>
        <v>-24068.193037924611</v>
      </c>
      <c r="O200" s="37">
        <f t="shared" si="167"/>
        <v>-26098.022292048325</v>
      </c>
      <c r="P200" s="37">
        <f t="shared" si="167"/>
        <v>-25241.513880454255</v>
      </c>
      <c r="Q200" s="37">
        <f t="shared" si="167"/>
        <v>-25002.449889776017</v>
      </c>
    </row>
    <row r="201" spans="1:17" outlineLevel="1">
      <c r="A201" s="11" t="s">
        <v>143</v>
      </c>
      <c r="B201" s="44">
        <v>2452</v>
      </c>
      <c r="C201" s="44">
        <v>4751</v>
      </c>
      <c r="D201" s="44">
        <v>5353</v>
      </c>
      <c r="E201" s="44">
        <v>6592.9999999999991</v>
      </c>
      <c r="F201" s="44">
        <v>12643</v>
      </c>
      <c r="G201" s="37">
        <f>G79*G46</f>
        <v>17893.649781550663</v>
      </c>
      <c r="H201" s="37">
        <f t="shared" ref="H201:Q201" si="168">H79*H46</f>
        <v>18033.585003026612</v>
      </c>
      <c r="I201" s="37">
        <f t="shared" si="168"/>
        <v>18496.14797689917</v>
      </c>
      <c r="J201" s="37">
        <f t="shared" si="168"/>
        <v>22261.35009994794</v>
      </c>
      <c r="K201" s="37">
        <f t="shared" si="168"/>
        <v>26293.566890128761</v>
      </c>
      <c r="L201" s="37">
        <f t="shared" si="168"/>
        <v>24089.284303985536</v>
      </c>
      <c r="M201" s="37">
        <f t="shared" si="168"/>
        <v>26907.898763395267</v>
      </c>
      <c r="N201" s="37">
        <f t="shared" si="168"/>
        <v>29409.848969829112</v>
      </c>
      <c r="O201" s="37">
        <f t="shared" si="168"/>
        <v>23844.052787853405</v>
      </c>
      <c r="P201" s="37">
        <f t="shared" si="168"/>
        <v>24612.398115511514</v>
      </c>
      <c r="Q201" s="37">
        <f t="shared" si="168"/>
        <v>26023.678779153208</v>
      </c>
    </row>
    <row r="202" spans="1:17" outlineLevel="1">
      <c r="A202" s="17" t="s">
        <v>144</v>
      </c>
      <c r="B202" s="20">
        <f>SUM(B199:B201)</f>
        <v>2973</v>
      </c>
      <c r="C202" s="20">
        <f>SUM(C199:C201)</f>
        <v>6304</v>
      </c>
      <c r="D202" s="20">
        <f t="shared" ref="D202:F202" si="169">SUM(D199:D201)</f>
        <v>9074</v>
      </c>
      <c r="E202" s="20">
        <f t="shared" si="169"/>
        <v>11660</v>
      </c>
      <c r="F202" s="20">
        <f t="shared" si="169"/>
        <v>19304</v>
      </c>
      <c r="G202" s="20">
        <f>SUM(G199:G201)</f>
        <v>29862.129781550662</v>
      </c>
      <c r="H202" s="20">
        <f t="shared" ref="H202:Q202" si="170">SUM(H199:H201)</f>
        <v>36548.105467588022</v>
      </c>
      <c r="I202" s="20">
        <f t="shared" si="170"/>
        <v>41155.973366803744</v>
      </c>
      <c r="J202" s="20">
        <f t="shared" si="170"/>
        <v>47778.053587366259</v>
      </c>
      <c r="K202" s="20">
        <f t="shared" si="170"/>
        <v>55915.960114295842</v>
      </c>
      <c r="L202" s="20">
        <f t="shared" si="170"/>
        <v>58757.179574848953</v>
      </c>
      <c r="M202" s="20">
        <f t="shared" si="170"/>
        <v>63337.35009980161</v>
      </c>
      <c r="N202" s="20">
        <f t="shared" si="170"/>
        <v>68679.006031706114</v>
      </c>
      <c r="O202" s="20">
        <f t="shared" si="170"/>
        <v>66425.036527511198</v>
      </c>
      <c r="P202" s="20">
        <f t="shared" si="170"/>
        <v>65795.920762568465</v>
      </c>
      <c r="Q202" s="20">
        <f t="shared" si="170"/>
        <v>66817.149651945656</v>
      </c>
    </row>
    <row r="203" spans="1:17" outlineLevel="1">
      <c r="A203" s="51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</row>
    <row r="204" spans="1:17" outlineLevel="1">
      <c r="A204" s="39" t="s">
        <v>145</v>
      </c>
      <c r="B204" s="48">
        <f>1435+555+955+28</f>
        <v>2973</v>
      </c>
      <c r="C204" s="48">
        <f>2013+67+3026+1198</f>
        <v>6304</v>
      </c>
      <c r="D204" s="48">
        <f>3027+99+4212+1736</f>
        <v>9074</v>
      </c>
      <c r="E204" s="48">
        <f>3997+144+5080+2439</f>
        <v>11660</v>
      </c>
      <c r="F204" s="48">
        <f>5839+282+8438+4745</f>
        <v>19304</v>
      </c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</row>
    <row r="205" spans="1:17" outlineLevel="1">
      <c r="B205" s="50"/>
      <c r="C205" s="50"/>
      <c r="D205" s="50"/>
      <c r="E205" s="50"/>
      <c r="F205" s="50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</row>
    <row r="206" spans="1:17" outlineLevel="1"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</row>
    <row r="207" spans="1:17"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</row>
    <row r="208" spans="1:17">
      <c r="A208" s="6" t="s">
        <v>224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8" outlineLevel="1"/>
    <row r="210" spans="1:18" outlineLevel="1">
      <c r="A210" s="1" t="s">
        <v>185</v>
      </c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</row>
    <row r="211" spans="1:18" outlineLevel="1">
      <c r="A211" t="s">
        <v>69</v>
      </c>
      <c r="B211" s="37">
        <f>B153</f>
        <v>5553</v>
      </c>
      <c r="C211" s="37">
        <f t="shared" ref="C211:Q211" si="171">C153</f>
        <v>6848</v>
      </c>
      <c r="D211" s="37">
        <f t="shared" si="171"/>
        <v>12039</v>
      </c>
      <c r="E211" s="37">
        <f t="shared" si="171"/>
        <v>17272</v>
      </c>
      <c r="F211" s="37">
        <f t="shared" si="171"/>
        <v>18434</v>
      </c>
      <c r="G211" s="37">
        <f t="shared" si="171"/>
        <v>41073.753840554476</v>
      </c>
      <c r="H211" s="37">
        <f t="shared" si="171"/>
        <v>49339.77983620204</v>
      </c>
      <c r="I211" s="37">
        <f t="shared" si="171"/>
        <v>61496.631583272319</v>
      </c>
      <c r="J211" s="37">
        <f t="shared" si="171"/>
        <v>72506.867030100228</v>
      </c>
      <c r="K211" s="37">
        <f t="shared" si="171"/>
        <v>84309.724527760613</v>
      </c>
      <c r="L211" s="37">
        <f t="shared" si="171"/>
        <v>95859.685658773116</v>
      </c>
      <c r="M211" s="37">
        <f t="shared" si="171"/>
        <v>101781.55048101991</v>
      </c>
      <c r="N211" s="37">
        <f t="shared" si="171"/>
        <v>108559.24999530718</v>
      </c>
      <c r="O211" s="37">
        <f t="shared" si="171"/>
        <v>119067.40875565198</v>
      </c>
      <c r="P211" s="37">
        <f t="shared" si="171"/>
        <v>125103.35197625495</v>
      </c>
      <c r="Q211" s="37">
        <f t="shared" si="171"/>
        <v>131423.04716018145</v>
      </c>
      <c r="R211" s="37"/>
    </row>
    <row r="212" spans="1:18" outlineLevel="1">
      <c r="A212" t="s">
        <v>186</v>
      </c>
      <c r="B212" s="37">
        <f>B156+B157</f>
        <v>-3444</v>
      </c>
      <c r="C212" s="37">
        <f t="shared" ref="C212:Q212" si="172">C156+C157</f>
        <v>-4893</v>
      </c>
      <c r="D212" s="37">
        <f t="shared" si="172"/>
        <v>-4589</v>
      </c>
      <c r="E212" s="37">
        <f t="shared" si="172"/>
        <v>-6737</v>
      </c>
      <c r="F212" s="37">
        <f t="shared" si="172"/>
        <v>-10058</v>
      </c>
      <c r="G212" s="37">
        <f t="shared" si="172"/>
        <v>-16700.739796113954</v>
      </c>
      <c r="H212" s="37">
        <f t="shared" si="172"/>
        <v>-21039.182503531047</v>
      </c>
      <c r="I212" s="37">
        <f t="shared" si="172"/>
        <v>-25894.60716765884</v>
      </c>
      <c r="J212" s="37">
        <f t="shared" si="172"/>
        <v>-26713.620119937525</v>
      </c>
      <c r="K212" s="37">
        <f t="shared" si="172"/>
        <v>-31552.280268154511</v>
      </c>
      <c r="L212" s="37">
        <f t="shared" si="172"/>
        <v>-36133.926455978304</v>
      </c>
      <c r="M212" s="37">
        <f t="shared" si="172"/>
        <v>-36998.360799668495</v>
      </c>
      <c r="N212" s="37">
        <f t="shared" si="172"/>
        <v>-36762.311212286389</v>
      </c>
      <c r="O212" s="37">
        <f t="shared" si="172"/>
        <v>-39740.087979755685</v>
      </c>
      <c r="P212" s="37">
        <f t="shared" si="172"/>
        <v>-38191.652248207516</v>
      </c>
      <c r="Q212" s="37">
        <f t="shared" si="172"/>
        <v>-40381.570519375658</v>
      </c>
      <c r="R212" s="37"/>
    </row>
    <row r="213" spans="1:18" outlineLevel="1">
      <c r="A213" s="15" t="s">
        <v>187</v>
      </c>
      <c r="B213" s="81">
        <f>SUM(B211:B212)</f>
        <v>2109</v>
      </c>
      <c r="C213" s="81">
        <f t="shared" ref="C213:Q213" si="173">SUM(C211:C212)</f>
        <v>1955</v>
      </c>
      <c r="D213" s="81">
        <f t="shared" si="173"/>
        <v>7450</v>
      </c>
      <c r="E213" s="81">
        <f t="shared" si="173"/>
        <v>10535</v>
      </c>
      <c r="F213" s="81">
        <f t="shared" si="173"/>
        <v>8376</v>
      </c>
      <c r="G213" s="81">
        <f t="shared" si="173"/>
        <v>24373.014044440522</v>
      </c>
      <c r="H213" s="81">
        <f t="shared" si="173"/>
        <v>28300.597332670994</v>
      </c>
      <c r="I213" s="81">
        <f t="shared" si="173"/>
        <v>35602.02441561348</v>
      </c>
      <c r="J213" s="81">
        <f t="shared" si="173"/>
        <v>45793.246910162707</v>
      </c>
      <c r="K213" s="81">
        <f t="shared" si="173"/>
        <v>52757.444259606098</v>
      </c>
      <c r="L213" s="81">
        <f t="shared" si="173"/>
        <v>59725.759202794812</v>
      </c>
      <c r="M213" s="81">
        <f t="shared" si="173"/>
        <v>64783.18968135141</v>
      </c>
      <c r="N213" s="81">
        <f t="shared" si="173"/>
        <v>71796.9387830208</v>
      </c>
      <c r="O213" s="81">
        <f t="shared" si="173"/>
        <v>79327.320775896296</v>
      </c>
      <c r="P213" s="81">
        <f t="shared" si="173"/>
        <v>86911.699728047446</v>
      </c>
      <c r="Q213" s="81">
        <f t="shared" si="173"/>
        <v>91041.476640805791</v>
      </c>
      <c r="R213" s="37"/>
    </row>
    <row r="214" spans="1:18" outlineLevel="1">
      <c r="A214" s="1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37"/>
    </row>
    <row r="215" spans="1:18" outlineLevel="1">
      <c r="A215" t="s">
        <v>893</v>
      </c>
      <c r="B215" s="37">
        <f>-B201</f>
        <v>-2452</v>
      </c>
      <c r="C215" s="37">
        <f t="shared" ref="C215:Q215" si="174">-C201</f>
        <v>-4751</v>
      </c>
      <c r="D215" s="37">
        <f t="shared" si="174"/>
        <v>-5353</v>
      </c>
      <c r="E215" s="37">
        <f t="shared" si="174"/>
        <v>-6592.9999999999991</v>
      </c>
      <c r="F215" s="37">
        <f t="shared" si="174"/>
        <v>-12643</v>
      </c>
      <c r="G215" s="37">
        <f t="shared" si="174"/>
        <v>-17893.649781550663</v>
      </c>
      <c r="H215" s="37">
        <f t="shared" si="174"/>
        <v>-18033.585003026612</v>
      </c>
      <c r="I215" s="37">
        <f t="shared" si="174"/>
        <v>-18496.14797689917</v>
      </c>
      <c r="J215" s="37">
        <f t="shared" si="174"/>
        <v>-22261.35009994794</v>
      </c>
      <c r="K215" s="37">
        <f t="shared" si="174"/>
        <v>-26293.566890128761</v>
      </c>
      <c r="L215" s="37">
        <f t="shared" si="174"/>
        <v>-24089.284303985536</v>
      </c>
      <c r="M215" s="37">
        <f t="shared" si="174"/>
        <v>-26907.898763395267</v>
      </c>
      <c r="N215" s="37">
        <f t="shared" si="174"/>
        <v>-29409.848969829112</v>
      </c>
      <c r="O215" s="37">
        <f t="shared" si="174"/>
        <v>-23844.052787853405</v>
      </c>
      <c r="P215" s="37">
        <f t="shared" si="174"/>
        <v>-24612.398115511514</v>
      </c>
      <c r="Q215" s="37">
        <f t="shared" si="174"/>
        <v>-26023.678779153208</v>
      </c>
      <c r="R215" s="37"/>
    </row>
    <row r="216" spans="1:18" outlineLevel="1">
      <c r="A216" s="15" t="s">
        <v>188</v>
      </c>
      <c r="B216" s="81">
        <f>SUM(B213:B215)</f>
        <v>-343</v>
      </c>
      <c r="C216" s="81">
        <f t="shared" ref="C216:Q216" si="175">SUM(C213:C215)</f>
        <v>-2796</v>
      </c>
      <c r="D216" s="81">
        <f t="shared" si="175"/>
        <v>2097</v>
      </c>
      <c r="E216" s="81">
        <f t="shared" si="175"/>
        <v>3942.0000000000009</v>
      </c>
      <c r="F216" s="81">
        <f t="shared" si="175"/>
        <v>-4267</v>
      </c>
      <c r="G216" s="81">
        <f t="shared" si="175"/>
        <v>6479.3642628898597</v>
      </c>
      <c r="H216" s="81">
        <f t="shared" si="175"/>
        <v>10267.012329644382</v>
      </c>
      <c r="I216" s="81">
        <f t="shared" si="175"/>
        <v>17105.876438714309</v>
      </c>
      <c r="J216" s="81">
        <f t="shared" si="175"/>
        <v>23531.896810214766</v>
      </c>
      <c r="K216" s="81">
        <f t="shared" si="175"/>
        <v>26463.877369477337</v>
      </c>
      <c r="L216" s="81">
        <f t="shared" si="175"/>
        <v>35636.474898809276</v>
      </c>
      <c r="M216" s="81">
        <f t="shared" si="175"/>
        <v>37875.290917956139</v>
      </c>
      <c r="N216" s="81">
        <f t="shared" si="175"/>
        <v>42387.089813191691</v>
      </c>
      <c r="O216" s="81">
        <f t="shared" si="175"/>
        <v>55483.267988042891</v>
      </c>
      <c r="P216" s="81">
        <f t="shared" si="175"/>
        <v>62299.301612535928</v>
      </c>
      <c r="Q216" s="81">
        <f t="shared" si="175"/>
        <v>65017.79786165258</v>
      </c>
      <c r="R216" s="37"/>
    </row>
    <row r="217" spans="1:18" outlineLevel="1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</row>
    <row r="218" spans="1:18" outlineLevel="1">
      <c r="A218" t="s">
        <v>189</v>
      </c>
      <c r="B218" s="37">
        <f>B88</f>
        <v>745</v>
      </c>
      <c r="C218" s="37">
        <f t="shared" ref="C218:Q218" si="176">C88</f>
        <v>178</v>
      </c>
      <c r="D218" s="37">
        <f t="shared" si="176"/>
        <v>2233</v>
      </c>
      <c r="E218" s="37">
        <f t="shared" si="176"/>
        <v>4186</v>
      </c>
      <c r="F218" s="37">
        <f t="shared" si="176"/>
        <v>4106</v>
      </c>
      <c r="G218" s="37">
        <f t="shared" si="176"/>
        <v>8605.0535575927643</v>
      </c>
      <c r="H218" s="37">
        <f t="shared" si="176"/>
        <v>9013.4784460907686</v>
      </c>
      <c r="I218" s="37">
        <f t="shared" si="176"/>
        <v>15265.635736987751</v>
      </c>
      <c r="J218" s="37">
        <f t="shared" si="176"/>
        <v>17524.9028623419</v>
      </c>
      <c r="K218" s="37">
        <f t="shared" si="176"/>
        <v>22828.455444399791</v>
      </c>
      <c r="L218" s="37">
        <f t="shared" si="176"/>
        <v>26878.620133575634</v>
      </c>
      <c r="M218" s="37">
        <f t="shared" si="176"/>
        <v>26017.169168911758</v>
      </c>
      <c r="N218" s="37">
        <f t="shared" si="176"/>
        <v>28822.978198690922</v>
      </c>
      <c r="O218" s="37">
        <f t="shared" si="176"/>
        <v>37150.396194059751</v>
      </c>
      <c r="P218" s="37">
        <f t="shared" si="176"/>
        <v>41791.608908305992</v>
      </c>
      <c r="Q218" s="37">
        <f t="shared" si="176"/>
        <v>49572.158938810462</v>
      </c>
      <c r="R218" s="37"/>
    </row>
    <row r="219" spans="1:18" outlineLevel="1">
      <c r="A219" t="s">
        <v>190</v>
      </c>
      <c r="B219" s="37">
        <f>B144</f>
        <v>3253</v>
      </c>
      <c r="C219" s="37">
        <f t="shared" ref="C219:Q219" si="177">C144</f>
        <v>4746</v>
      </c>
      <c r="D219" s="37">
        <f t="shared" si="177"/>
        <v>6281</v>
      </c>
      <c r="E219" s="37">
        <f t="shared" si="177"/>
        <v>8116</v>
      </c>
      <c r="F219" s="37">
        <f t="shared" si="177"/>
        <v>11478</v>
      </c>
      <c r="G219" s="37">
        <f t="shared" si="177"/>
        <v>19546.399999999994</v>
      </c>
      <c r="H219" s="37">
        <f t="shared" si="177"/>
        <v>25565.595831065843</v>
      </c>
      <c r="I219" s="37">
        <f t="shared" si="177"/>
        <v>30968.46450126257</v>
      </c>
      <c r="J219" s="37">
        <f t="shared" si="177"/>
        <v>36337.380758580744</v>
      </c>
      <c r="K219" s="37">
        <f t="shared" si="177"/>
        <v>41392.416543102634</v>
      </c>
      <c r="L219" s="37">
        <f t="shared" si="177"/>
        <v>47973.788789174891</v>
      </c>
      <c r="M219" s="37">
        <f t="shared" si="177"/>
        <v>52873.557577490472</v>
      </c>
      <c r="N219" s="37">
        <f t="shared" si="177"/>
        <v>57286.638371719782</v>
      </c>
      <c r="O219" s="37">
        <f t="shared" si="177"/>
        <v>60840.847095878074</v>
      </c>
      <c r="P219" s="37">
        <f t="shared" si="177"/>
        <v>61938.164564570485</v>
      </c>
      <c r="Q219" s="37">
        <f t="shared" si="177"/>
        <v>62284.51888422991</v>
      </c>
      <c r="R219" s="37"/>
    </row>
    <row r="220" spans="1:18" outlineLevel="1">
      <c r="A220" s="15" t="s">
        <v>191</v>
      </c>
      <c r="B220" s="81">
        <f>SUM(B218:B219)</f>
        <v>3998</v>
      </c>
      <c r="C220" s="81">
        <f t="shared" ref="C220:Q220" si="178">SUM(C218:C219)</f>
        <v>4924</v>
      </c>
      <c r="D220" s="81">
        <f t="shared" si="178"/>
        <v>8514</v>
      </c>
      <c r="E220" s="81">
        <f t="shared" si="178"/>
        <v>12302</v>
      </c>
      <c r="F220" s="81">
        <f t="shared" si="178"/>
        <v>15584</v>
      </c>
      <c r="G220" s="81">
        <f t="shared" si="178"/>
        <v>28151.453557592758</v>
      </c>
      <c r="H220" s="81">
        <f t="shared" si="178"/>
        <v>34579.074277156615</v>
      </c>
      <c r="I220" s="81">
        <f t="shared" si="178"/>
        <v>46234.100238250321</v>
      </c>
      <c r="J220" s="81">
        <f t="shared" si="178"/>
        <v>53862.283620922644</v>
      </c>
      <c r="K220" s="81">
        <f t="shared" si="178"/>
        <v>64220.871987502425</v>
      </c>
      <c r="L220" s="81">
        <f t="shared" si="178"/>
        <v>74852.408922750532</v>
      </c>
      <c r="M220" s="81">
        <f t="shared" si="178"/>
        <v>78890.72674640223</v>
      </c>
      <c r="N220" s="81">
        <f t="shared" si="178"/>
        <v>86109.616570410697</v>
      </c>
      <c r="O220" s="81">
        <f t="shared" si="178"/>
        <v>97991.243289937818</v>
      </c>
      <c r="P220" s="81">
        <f t="shared" si="178"/>
        <v>103729.77347287648</v>
      </c>
      <c r="Q220" s="81">
        <f t="shared" si="178"/>
        <v>111856.67782304037</v>
      </c>
      <c r="R220" s="37"/>
    </row>
    <row r="221" spans="1:18" outlineLevel="1">
      <c r="A221" s="1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37"/>
    </row>
    <row r="222" spans="1:18" outlineLevel="1">
      <c r="A222" t="s">
        <v>192</v>
      </c>
      <c r="B222" s="37">
        <f>B145</f>
        <v>1134</v>
      </c>
      <c r="C222" s="37">
        <f t="shared" ref="C222:Q222" si="179">C145</f>
        <v>1497</v>
      </c>
      <c r="D222" s="37">
        <f t="shared" si="179"/>
        <v>2119</v>
      </c>
      <c r="E222" s="37">
        <f t="shared" si="179"/>
        <v>2975</v>
      </c>
      <c r="F222" s="37">
        <f t="shared" si="179"/>
        <v>4215</v>
      </c>
      <c r="G222" s="37">
        <f t="shared" si="179"/>
        <v>5734.961897016874</v>
      </c>
      <c r="H222" s="37">
        <f t="shared" si="179"/>
        <v>7348.9974586095996</v>
      </c>
      <c r="I222" s="37">
        <f t="shared" si="179"/>
        <v>9149.6150755608978</v>
      </c>
      <c r="J222" s="37">
        <f t="shared" si="179"/>
        <v>11069.858240412077</v>
      </c>
      <c r="K222" s="37">
        <f t="shared" si="179"/>
        <v>13108.957927716619</v>
      </c>
      <c r="L222" s="37">
        <f t="shared" si="179"/>
        <v>14962.484990794772</v>
      </c>
      <c r="M222" s="37">
        <f t="shared" si="179"/>
        <v>16756.920795111633</v>
      </c>
      <c r="N222" s="37">
        <f t="shared" si="179"/>
        <v>18288.718498216356</v>
      </c>
      <c r="O222" s="37">
        <f t="shared" si="179"/>
        <v>19632.846116315708</v>
      </c>
      <c r="P222" s="37">
        <f t="shared" si="179"/>
        <v>20820.020920457984</v>
      </c>
      <c r="Q222" s="37">
        <f t="shared" si="179"/>
        <v>21952.824748978244</v>
      </c>
      <c r="R222" s="37"/>
    </row>
    <row r="223" spans="1:18" outlineLevel="1">
      <c r="A223" s="15" t="s">
        <v>193</v>
      </c>
      <c r="B223" s="81">
        <f>SUM(B220:B222)</f>
        <v>5132</v>
      </c>
      <c r="C223" s="81">
        <f t="shared" ref="C223:Q223" si="180">SUM(C220:C222)</f>
        <v>6421</v>
      </c>
      <c r="D223" s="81">
        <f t="shared" si="180"/>
        <v>10633</v>
      </c>
      <c r="E223" s="81">
        <f t="shared" si="180"/>
        <v>15277</v>
      </c>
      <c r="F223" s="81">
        <f t="shared" si="180"/>
        <v>19799</v>
      </c>
      <c r="G223" s="81">
        <f t="shared" si="180"/>
        <v>33886.415454609632</v>
      </c>
      <c r="H223" s="81">
        <f t="shared" si="180"/>
        <v>41928.071735766214</v>
      </c>
      <c r="I223" s="81">
        <f t="shared" si="180"/>
        <v>55383.715313811219</v>
      </c>
      <c r="J223" s="81">
        <f t="shared" si="180"/>
        <v>64932.14186133472</v>
      </c>
      <c r="K223" s="81">
        <f t="shared" si="180"/>
        <v>77329.829915219045</v>
      </c>
      <c r="L223" s="81">
        <f t="shared" si="180"/>
        <v>89814.893913545297</v>
      </c>
      <c r="M223" s="81">
        <f t="shared" si="180"/>
        <v>95647.64754151387</v>
      </c>
      <c r="N223" s="81">
        <f t="shared" si="180"/>
        <v>104398.33506862706</v>
      </c>
      <c r="O223" s="81">
        <f t="shared" si="180"/>
        <v>117624.08940625352</v>
      </c>
      <c r="P223" s="81">
        <f t="shared" si="180"/>
        <v>124549.79439333446</v>
      </c>
      <c r="Q223" s="81">
        <f t="shared" si="180"/>
        <v>133809.50257201862</v>
      </c>
      <c r="R223" s="37"/>
    </row>
    <row r="224" spans="1:18" outlineLevel="1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</row>
    <row r="225" spans="1:18" outlineLevel="1">
      <c r="A225" s="1" t="s">
        <v>194</v>
      </c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</row>
    <row r="226" spans="1:18" outlineLevel="1">
      <c r="A226" t="s">
        <v>195</v>
      </c>
      <c r="B226" s="37">
        <f>B88</f>
        <v>745</v>
      </c>
      <c r="C226" s="37">
        <f t="shared" ref="C226:Q226" si="181">C88</f>
        <v>178</v>
      </c>
      <c r="D226" s="37">
        <f t="shared" si="181"/>
        <v>2233</v>
      </c>
      <c r="E226" s="37">
        <f t="shared" si="181"/>
        <v>4186</v>
      </c>
      <c r="F226" s="37">
        <f t="shared" si="181"/>
        <v>4106</v>
      </c>
      <c r="G226" s="37">
        <f t="shared" si="181"/>
        <v>8605.0535575927643</v>
      </c>
      <c r="H226" s="37">
        <f t="shared" si="181"/>
        <v>9013.4784460907686</v>
      </c>
      <c r="I226" s="37">
        <f t="shared" si="181"/>
        <v>15265.635736987751</v>
      </c>
      <c r="J226" s="37">
        <f t="shared" si="181"/>
        <v>17524.9028623419</v>
      </c>
      <c r="K226" s="37">
        <f t="shared" si="181"/>
        <v>22828.455444399791</v>
      </c>
      <c r="L226" s="37">
        <f t="shared" si="181"/>
        <v>26878.620133575634</v>
      </c>
      <c r="M226" s="37">
        <f t="shared" si="181"/>
        <v>26017.169168911758</v>
      </c>
      <c r="N226" s="37">
        <f t="shared" si="181"/>
        <v>28822.978198690922</v>
      </c>
      <c r="O226" s="37">
        <f t="shared" si="181"/>
        <v>37150.396194059751</v>
      </c>
      <c r="P226" s="37">
        <f t="shared" si="181"/>
        <v>41791.608908305992</v>
      </c>
      <c r="Q226" s="37">
        <f t="shared" si="181"/>
        <v>49572.158938810462</v>
      </c>
      <c r="R226" s="37"/>
    </row>
    <row r="227" spans="1:18" outlineLevel="1">
      <c r="A227" s="10" t="s">
        <v>196</v>
      </c>
      <c r="B227" s="37">
        <f>-B226*B30</f>
        <v>-237.04545454545453</v>
      </c>
      <c r="C227" s="37">
        <f t="shared" ref="C227:Q227" si="182">-C226*C30</f>
        <v>0</v>
      </c>
      <c r="D227" s="37">
        <f t="shared" si="182"/>
        <v>-1352.9017857142858</v>
      </c>
      <c r="E227" s="37">
        <f t="shared" si="182"/>
        <v>-1532.6438848920864</v>
      </c>
      <c r="F227" s="37">
        <f t="shared" si="182"/>
        <v>-829.61481870730427</v>
      </c>
      <c r="G227" s="37">
        <f t="shared" si="182"/>
        <v>-1721.0107115185529</v>
      </c>
      <c r="H227" s="37">
        <f t="shared" si="182"/>
        <v>-1802.6956892181538</v>
      </c>
      <c r="I227" s="37">
        <f t="shared" si="182"/>
        <v>-3434.7680408222441</v>
      </c>
      <c r="J227" s="37">
        <f t="shared" si="182"/>
        <v>-3943.1031440269276</v>
      </c>
      <c r="K227" s="37">
        <f t="shared" si="182"/>
        <v>-5136.4024749899536</v>
      </c>
      <c r="L227" s="37">
        <f t="shared" si="182"/>
        <v>-6047.6895300545175</v>
      </c>
      <c r="M227" s="37">
        <f t="shared" si="182"/>
        <v>-5853.8630630051457</v>
      </c>
      <c r="N227" s="37">
        <f t="shared" si="182"/>
        <v>-6485.1700947054578</v>
      </c>
      <c r="O227" s="37">
        <f t="shared" si="182"/>
        <v>-8358.8391436634447</v>
      </c>
      <c r="P227" s="37">
        <f t="shared" si="182"/>
        <v>-9403.1120043688479</v>
      </c>
      <c r="Q227" s="37">
        <f t="shared" si="182"/>
        <v>-11153.735761232354</v>
      </c>
      <c r="R227" s="37"/>
    </row>
    <row r="228" spans="1:18" outlineLevel="1">
      <c r="A228" s="15" t="s">
        <v>197</v>
      </c>
      <c r="B228" s="81">
        <f>SUM(B226:B227)</f>
        <v>507.9545454545455</v>
      </c>
      <c r="C228" s="81">
        <f t="shared" ref="C228:Q228" si="183">SUM(C226:C227)</f>
        <v>178</v>
      </c>
      <c r="D228" s="81">
        <f t="shared" si="183"/>
        <v>880.09821428571422</v>
      </c>
      <c r="E228" s="81">
        <f t="shared" si="183"/>
        <v>2653.3561151079139</v>
      </c>
      <c r="F228" s="81">
        <f t="shared" si="183"/>
        <v>3276.385181292696</v>
      </c>
      <c r="G228" s="81">
        <f t="shared" si="183"/>
        <v>6884.0428460742114</v>
      </c>
      <c r="H228" s="81">
        <f t="shared" si="183"/>
        <v>7210.7827568726152</v>
      </c>
      <c r="I228" s="81">
        <f t="shared" si="183"/>
        <v>11830.867696165507</v>
      </c>
      <c r="J228" s="81">
        <f t="shared" si="183"/>
        <v>13581.799718314973</v>
      </c>
      <c r="K228" s="81">
        <f t="shared" si="183"/>
        <v>17692.052969409837</v>
      </c>
      <c r="L228" s="81">
        <f t="shared" si="183"/>
        <v>20830.930603521116</v>
      </c>
      <c r="M228" s="81">
        <f t="shared" si="183"/>
        <v>20163.306105906613</v>
      </c>
      <c r="N228" s="81">
        <f t="shared" si="183"/>
        <v>22337.808103985466</v>
      </c>
      <c r="O228" s="81">
        <f t="shared" si="183"/>
        <v>28791.557050396306</v>
      </c>
      <c r="P228" s="81">
        <f t="shared" si="183"/>
        <v>32388.496903937143</v>
      </c>
      <c r="Q228" s="81">
        <f t="shared" si="183"/>
        <v>38418.423177578108</v>
      </c>
      <c r="R228" s="37"/>
    </row>
    <row r="229" spans="1:18" outlineLevel="1">
      <c r="A229" s="10" t="s">
        <v>198</v>
      </c>
      <c r="B229" s="37">
        <f>B144</f>
        <v>3253</v>
      </c>
      <c r="C229" s="37">
        <f t="shared" ref="C229:Q229" si="184">C144</f>
        <v>4746</v>
      </c>
      <c r="D229" s="37">
        <f t="shared" si="184"/>
        <v>6281</v>
      </c>
      <c r="E229" s="37">
        <f t="shared" si="184"/>
        <v>8116</v>
      </c>
      <c r="F229" s="37">
        <f t="shared" si="184"/>
        <v>11478</v>
      </c>
      <c r="G229" s="37">
        <f t="shared" si="184"/>
        <v>19546.399999999994</v>
      </c>
      <c r="H229" s="37">
        <f t="shared" si="184"/>
        <v>25565.595831065843</v>
      </c>
      <c r="I229" s="37">
        <f t="shared" si="184"/>
        <v>30968.46450126257</v>
      </c>
      <c r="J229" s="37">
        <f t="shared" si="184"/>
        <v>36337.380758580744</v>
      </c>
      <c r="K229" s="37">
        <f t="shared" si="184"/>
        <v>41392.416543102634</v>
      </c>
      <c r="L229" s="37">
        <f t="shared" si="184"/>
        <v>47973.788789174891</v>
      </c>
      <c r="M229" s="37">
        <f t="shared" si="184"/>
        <v>52873.557577490472</v>
      </c>
      <c r="N229" s="37">
        <f t="shared" si="184"/>
        <v>57286.638371719782</v>
      </c>
      <c r="O229" s="37">
        <f t="shared" si="184"/>
        <v>60840.847095878074</v>
      </c>
      <c r="P229" s="37">
        <f t="shared" si="184"/>
        <v>61938.164564570485</v>
      </c>
      <c r="Q229" s="37">
        <f t="shared" si="184"/>
        <v>62284.51888422991</v>
      </c>
      <c r="R229" s="37"/>
    </row>
    <row r="230" spans="1:18" outlineLevel="1">
      <c r="A230" s="10" t="s">
        <v>199</v>
      </c>
      <c r="B230" s="37">
        <f>B145</f>
        <v>1134</v>
      </c>
      <c r="C230" s="37">
        <f t="shared" ref="C230:Q230" si="185">C145</f>
        <v>1497</v>
      </c>
      <c r="D230" s="37">
        <f t="shared" si="185"/>
        <v>2119</v>
      </c>
      <c r="E230" s="37">
        <f t="shared" si="185"/>
        <v>2975</v>
      </c>
      <c r="F230" s="37">
        <f t="shared" si="185"/>
        <v>4215</v>
      </c>
      <c r="G230" s="37">
        <f t="shared" si="185"/>
        <v>5734.961897016874</v>
      </c>
      <c r="H230" s="37">
        <f t="shared" si="185"/>
        <v>7348.9974586095996</v>
      </c>
      <c r="I230" s="37">
        <f t="shared" si="185"/>
        <v>9149.6150755608978</v>
      </c>
      <c r="J230" s="37">
        <f t="shared" si="185"/>
        <v>11069.858240412077</v>
      </c>
      <c r="K230" s="37">
        <f t="shared" si="185"/>
        <v>13108.957927716619</v>
      </c>
      <c r="L230" s="37">
        <f t="shared" si="185"/>
        <v>14962.484990794772</v>
      </c>
      <c r="M230" s="37">
        <f t="shared" si="185"/>
        <v>16756.920795111633</v>
      </c>
      <c r="N230" s="37">
        <f t="shared" si="185"/>
        <v>18288.718498216356</v>
      </c>
      <c r="O230" s="37">
        <f t="shared" si="185"/>
        <v>19632.846116315708</v>
      </c>
      <c r="P230" s="37">
        <f t="shared" si="185"/>
        <v>20820.020920457984</v>
      </c>
      <c r="Q230" s="37">
        <f t="shared" si="185"/>
        <v>21952.824748978244</v>
      </c>
      <c r="R230" s="37"/>
    </row>
    <row r="231" spans="1:18" outlineLevel="1">
      <c r="A231" s="10" t="s">
        <v>200</v>
      </c>
      <c r="B231" s="37">
        <f>B146</f>
        <v>123</v>
      </c>
      <c r="C231" s="37">
        <f t="shared" ref="C231:Q231" si="186">C146</f>
        <v>-128</v>
      </c>
      <c r="D231" s="37">
        <f t="shared" si="186"/>
        <v>486</v>
      </c>
      <c r="E231" s="37">
        <f t="shared" si="186"/>
        <v>-106</v>
      </c>
      <c r="F231" s="37">
        <f t="shared" si="186"/>
        <v>-119</v>
      </c>
      <c r="G231" s="37">
        <f t="shared" si="186"/>
        <v>0</v>
      </c>
      <c r="H231" s="37">
        <f t="shared" si="186"/>
        <v>0</v>
      </c>
      <c r="I231" s="37">
        <f t="shared" si="186"/>
        <v>0</v>
      </c>
      <c r="J231" s="37">
        <f t="shared" si="186"/>
        <v>0</v>
      </c>
      <c r="K231" s="37">
        <f t="shared" si="186"/>
        <v>0</v>
      </c>
      <c r="L231" s="37">
        <f t="shared" si="186"/>
        <v>0</v>
      </c>
      <c r="M231" s="37">
        <f t="shared" si="186"/>
        <v>0</v>
      </c>
      <c r="N231" s="37">
        <f t="shared" si="186"/>
        <v>0</v>
      </c>
      <c r="O231" s="37">
        <f t="shared" si="186"/>
        <v>0</v>
      </c>
      <c r="P231" s="37">
        <f t="shared" si="186"/>
        <v>0</v>
      </c>
      <c r="Q231" s="37">
        <f t="shared" si="186"/>
        <v>0</v>
      </c>
      <c r="R231" s="37"/>
    </row>
    <row r="232" spans="1:18" outlineLevel="1">
      <c r="A232" s="10" t="s">
        <v>201</v>
      </c>
      <c r="B232" s="37">
        <f>B212</f>
        <v>-3444</v>
      </c>
      <c r="C232" s="37">
        <f t="shared" ref="C232:Q232" si="187">C212</f>
        <v>-4893</v>
      </c>
      <c r="D232" s="37">
        <f t="shared" si="187"/>
        <v>-4589</v>
      </c>
      <c r="E232" s="37">
        <f t="shared" si="187"/>
        <v>-6737</v>
      </c>
      <c r="F232" s="37">
        <f t="shared" si="187"/>
        <v>-10058</v>
      </c>
      <c r="G232" s="37">
        <f t="shared" si="187"/>
        <v>-16700.739796113954</v>
      </c>
      <c r="H232" s="37">
        <f t="shared" si="187"/>
        <v>-21039.182503531047</v>
      </c>
      <c r="I232" s="37">
        <f t="shared" si="187"/>
        <v>-25894.60716765884</v>
      </c>
      <c r="J232" s="37">
        <f t="shared" si="187"/>
        <v>-26713.620119937525</v>
      </c>
      <c r="K232" s="37">
        <f t="shared" si="187"/>
        <v>-31552.280268154511</v>
      </c>
      <c r="L232" s="37">
        <f t="shared" si="187"/>
        <v>-36133.926455978304</v>
      </c>
      <c r="M232" s="37">
        <f t="shared" si="187"/>
        <v>-36998.360799668495</v>
      </c>
      <c r="N232" s="37">
        <f t="shared" si="187"/>
        <v>-36762.311212286389</v>
      </c>
      <c r="O232" s="37">
        <f t="shared" si="187"/>
        <v>-39740.087979755685</v>
      </c>
      <c r="P232" s="37">
        <f t="shared" si="187"/>
        <v>-38191.652248207516</v>
      </c>
      <c r="Q232" s="37">
        <f t="shared" si="187"/>
        <v>-40381.570519375658</v>
      </c>
      <c r="R232" s="37"/>
    </row>
    <row r="233" spans="1:18" outlineLevel="1">
      <c r="A233" s="10" t="s">
        <v>202</v>
      </c>
      <c r="B233" s="37">
        <f>SUM(B148:B152)</f>
        <v>769</v>
      </c>
      <c r="C233" s="37">
        <f t="shared" ref="C233:Q233" si="188">SUM(C148:C152)</f>
        <v>974</v>
      </c>
      <c r="D233" s="37">
        <f t="shared" si="188"/>
        <v>2557</v>
      </c>
      <c r="E233" s="37">
        <f t="shared" si="188"/>
        <v>3916</v>
      </c>
      <c r="F233" s="37">
        <f t="shared" si="188"/>
        <v>-173</v>
      </c>
      <c r="G233" s="37">
        <f t="shared" si="188"/>
        <v>9832.8650974634038</v>
      </c>
      <c r="H233" s="37">
        <f t="shared" si="188"/>
        <v>10002.619837298455</v>
      </c>
      <c r="I233" s="37">
        <f t="shared" si="188"/>
        <v>10179.882949317398</v>
      </c>
      <c r="J233" s="37">
        <f t="shared" si="188"/>
        <v>11981.745433207539</v>
      </c>
      <c r="K233" s="37">
        <f t="shared" si="188"/>
        <v>12346.520885958085</v>
      </c>
      <c r="L233" s="37">
        <f t="shared" si="188"/>
        <v>12054.54124851175</v>
      </c>
      <c r="M233" s="37">
        <f t="shared" si="188"/>
        <v>11651.623844455546</v>
      </c>
      <c r="N233" s="37">
        <f t="shared" si="188"/>
        <v>9980.9130371473802</v>
      </c>
      <c r="O233" s="37">
        <f t="shared" si="188"/>
        <v>8767.0887292992084</v>
      </c>
      <c r="P233" s="37">
        <f t="shared" si="188"/>
        <v>8509.0727602768493</v>
      </c>
      <c r="Q233" s="37">
        <f t="shared" si="188"/>
        <v>6841.7395820638521</v>
      </c>
      <c r="R233" s="37"/>
    </row>
    <row r="234" spans="1:18" outlineLevel="1">
      <c r="A234" s="30" t="s">
        <v>194</v>
      </c>
      <c r="B234" s="81">
        <f>SUM(B228:B233)</f>
        <v>2342.954545454546</v>
      </c>
      <c r="C234" s="81">
        <f t="shared" ref="C234:Q234" si="189">SUM(C228:C233)</f>
        <v>2374</v>
      </c>
      <c r="D234" s="81">
        <f t="shared" si="189"/>
        <v>7734.0982142857138</v>
      </c>
      <c r="E234" s="81">
        <f t="shared" si="189"/>
        <v>10817.356115107914</v>
      </c>
      <c r="F234" s="81">
        <f t="shared" si="189"/>
        <v>8619.3851812926951</v>
      </c>
      <c r="G234" s="81">
        <f t="shared" si="189"/>
        <v>25297.530044440529</v>
      </c>
      <c r="H234" s="81">
        <f t="shared" si="189"/>
        <v>29088.813380315467</v>
      </c>
      <c r="I234" s="81">
        <f t="shared" si="189"/>
        <v>36234.223054647533</v>
      </c>
      <c r="J234" s="81">
        <f t="shared" si="189"/>
        <v>46257.164030577813</v>
      </c>
      <c r="K234" s="81">
        <f t="shared" si="189"/>
        <v>52987.668058032665</v>
      </c>
      <c r="L234" s="81">
        <f t="shared" si="189"/>
        <v>59687.819176024226</v>
      </c>
      <c r="M234" s="81">
        <f t="shared" si="189"/>
        <v>64447.047523295769</v>
      </c>
      <c r="N234" s="81">
        <f t="shared" si="189"/>
        <v>71131.766798782599</v>
      </c>
      <c r="O234" s="81">
        <f t="shared" si="189"/>
        <v>78292.251012133609</v>
      </c>
      <c r="P234" s="81">
        <f t="shared" si="189"/>
        <v>85464.102901034959</v>
      </c>
      <c r="Q234" s="81">
        <f t="shared" si="189"/>
        <v>89115.93587347446</v>
      </c>
      <c r="R234" s="37"/>
    </row>
    <row r="235" spans="1:18" outlineLevel="1">
      <c r="A235" s="28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37"/>
    </row>
    <row r="236" spans="1:18" outlineLevel="1">
      <c r="A236" s="10" t="s">
        <v>203</v>
      </c>
      <c r="B236" s="37">
        <f>-B201</f>
        <v>-2452</v>
      </c>
      <c r="C236" s="37">
        <f t="shared" ref="C236:Q236" si="190">-C201</f>
        <v>-4751</v>
      </c>
      <c r="D236" s="37">
        <f t="shared" si="190"/>
        <v>-5353</v>
      </c>
      <c r="E236" s="37">
        <f t="shared" si="190"/>
        <v>-6592.9999999999991</v>
      </c>
      <c r="F236" s="37">
        <f t="shared" si="190"/>
        <v>-12643</v>
      </c>
      <c r="G236" s="37">
        <f t="shared" si="190"/>
        <v>-17893.649781550663</v>
      </c>
      <c r="H236" s="37">
        <f t="shared" si="190"/>
        <v>-18033.585003026612</v>
      </c>
      <c r="I236" s="37">
        <f t="shared" si="190"/>
        <v>-18496.14797689917</v>
      </c>
      <c r="J236" s="37">
        <f t="shared" si="190"/>
        <v>-22261.35009994794</v>
      </c>
      <c r="K236" s="37">
        <f t="shared" si="190"/>
        <v>-26293.566890128761</v>
      </c>
      <c r="L236" s="37">
        <f t="shared" si="190"/>
        <v>-24089.284303985536</v>
      </c>
      <c r="M236" s="37">
        <f t="shared" si="190"/>
        <v>-26907.898763395267</v>
      </c>
      <c r="N236" s="37">
        <f t="shared" si="190"/>
        <v>-29409.848969829112</v>
      </c>
      <c r="O236" s="37">
        <f t="shared" si="190"/>
        <v>-23844.052787853405</v>
      </c>
      <c r="P236" s="37">
        <f t="shared" si="190"/>
        <v>-24612.398115511514</v>
      </c>
      <c r="Q236" s="37">
        <f t="shared" si="190"/>
        <v>-26023.678779153208</v>
      </c>
      <c r="R236" s="37"/>
    </row>
    <row r="237" spans="1:18" outlineLevel="1">
      <c r="A237" s="30" t="s">
        <v>204</v>
      </c>
      <c r="B237" s="81">
        <f>SUM(B234:B236)</f>
        <v>-109.04545454545405</v>
      </c>
      <c r="C237" s="81">
        <f t="shared" ref="C237:Q237" si="191">SUM(C234:C236)</f>
        <v>-2377</v>
      </c>
      <c r="D237" s="81">
        <f t="shared" si="191"/>
        <v>2381.0982142857138</v>
      </c>
      <c r="E237" s="81">
        <f t="shared" si="191"/>
        <v>4224.3561151079148</v>
      </c>
      <c r="F237" s="81">
        <f t="shared" si="191"/>
        <v>-4023.6148187073049</v>
      </c>
      <c r="G237" s="81">
        <f t="shared" si="191"/>
        <v>7403.8802628898666</v>
      </c>
      <c r="H237" s="81">
        <f t="shared" si="191"/>
        <v>11055.228377288855</v>
      </c>
      <c r="I237" s="81">
        <f t="shared" si="191"/>
        <v>17738.075077748363</v>
      </c>
      <c r="J237" s="81">
        <f t="shared" si="191"/>
        <v>23995.813930629873</v>
      </c>
      <c r="K237" s="81">
        <f t="shared" si="191"/>
        <v>26694.101167903904</v>
      </c>
      <c r="L237" s="81">
        <f t="shared" si="191"/>
        <v>35598.53487203869</v>
      </c>
      <c r="M237" s="81">
        <f t="shared" si="191"/>
        <v>37539.148759900505</v>
      </c>
      <c r="N237" s="81">
        <f t="shared" si="191"/>
        <v>41721.91782895349</v>
      </c>
      <c r="O237" s="81">
        <f t="shared" si="191"/>
        <v>54448.198224280204</v>
      </c>
      <c r="P237" s="81">
        <f t="shared" si="191"/>
        <v>60851.704785523441</v>
      </c>
      <c r="Q237" s="81">
        <f t="shared" si="191"/>
        <v>63092.257094321249</v>
      </c>
      <c r="R237" s="37"/>
    </row>
    <row r="238" spans="1:18" outlineLevel="1"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</row>
    <row r="239" spans="1:18" outlineLevel="1">
      <c r="A239" s="1" t="s">
        <v>205</v>
      </c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</row>
    <row r="240" spans="1:18" outlineLevel="1">
      <c r="A240" s="90"/>
      <c r="B240" s="91" t="s">
        <v>206</v>
      </c>
      <c r="C240" s="91" t="s">
        <v>207</v>
      </c>
      <c r="D240" s="92" t="s">
        <v>208</v>
      </c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</row>
    <row r="241" spans="1:18" outlineLevel="1">
      <c r="A241" s="93" t="s">
        <v>209</v>
      </c>
      <c r="B241" s="94" t="s">
        <v>207</v>
      </c>
      <c r="C241" s="95">
        <v>12</v>
      </c>
      <c r="D241" s="96">
        <v>0.04</v>
      </c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</row>
    <row r="242" spans="1:18" outlineLevel="1">
      <c r="A242" s="93" t="s">
        <v>210</v>
      </c>
      <c r="B242" s="37">
        <f>HLOOKUP(B241,C240:D242,3,FALSE)</f>
        <v>1605714.0308642234</v>
      </c>
      <c r="C242" s="37">
        <f>C241*Q223</f>
        <v>1605714.0308642234</v>
      </c>
      <c r="D242" s="97">
        <f>(Q251*(1+D241))/(B243-D241)</f>
        <v>1853611.466168269</v>
      </c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</row>
    <row r="243" spans="1:18" outlineLevel="1">
      <c r="A243" s="93" t="s">
        <v>211</v>
      </c>
      <c r="B243" s="61">
        <v>0.09</v>
      </c>
      <c r="C243" s="37"/>
      <c r="D243" s="9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</row>
    <row r="244" spans="1:18" outlineLevel="1">
      <c r="A244" s="93" t="s">
        <v>212</v>
      </c>
      <c r="B244" s="98">
        <v>43413</v>
      </c>
      <c r="C244" s="37"/>
      <c r="D244" s="9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</row>
    <row r="245" spans="1:18" outlineLevel="1">
      <c r="A245" s="99" t="s">
        <v>213</v>
      </c>
      <c r="B245" s="53">
        <v>501</v>
      </c>
      <c r="C245" s="37"/>
      <c r="D245" s="9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</row>
    <row r="246" spans="1:18" outlineLevel="1">
      <c r="A246" s="100" t="s">
        <v>214</v>
      </c>
      <c r="B246" s="101">
        <v>1755</v>
      </c>
      <c r="C246" s="102"/>
      <c r="D246" s="103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</row>
    <row r="247" spans="1:18" outlineLevel="1">
      <c r="F247" s="104" t="s">
        <v>212</v>
      </c>
      <c r="R247" s="105" t="s">
        <v>215</v>
      </c>
    </row>
    <row r="248" spans="1:18" outlineLevel="1">
      <c r="A248" s="106" t="s">
        <v>216</v>
      </c>
      <c r="B248" s="107"/>
      <c r="C248" s="107"/>
      <c r="D248" s="107"/>
      <c r="E248" s="107"/>
      <c r="F248" s="108">
        <f>B244</f>
        <v>43413</v>
      </c>
      <c r="G248" s="108">
        <f>G8</f>
        <v>43465</v>
      </c>
      <c r="H248" s="108">
        <f t="shared" ref="H248:Q248" si="192">H8</f>
        <v>43830</v>
      </c>
      <c r="I248" s="108">
        <f t="shared" si="192"/>
        <v>44196</v>
      </c>
      <c r="J248" s="108">
        <f t="shared" si="192"/>
        <v>44561</v>
      </c>
      <c r="K248" s="108">
        <f t="shared" si="192"/>
        <v>44926</v>
      </c>
      <c r="L248" s="108">
        <f t="shared" si="192"/>
        <v>45291</v>
      </c>
      <c r="M248" s="108">
        <f t="shared" si="192"/>
        <v>45657</v>
      </c>
      <c r="N248" s="108">
        <f t="shared" si="192"/>
        <v>46022</v>
      </c>
      <c r="O248" s="108">
        <f t="shared" si="192"/>
        <v>46387</v>
      </c>
      <c r="P248" s="108">
        <f t="shared" si="192"/>
        <v>46752</v>
      </c>
      <c r="Q248" s="108">
        <f t="shared" si="192"/>
        <v>47118</v>
      </c>
      <c r="R248" s="109">
        <f>Q248</f>
        <v>47118</v>
      </c>
    </row>
    <row r="249" spans="1:18" outlineLevel="1">
      <c r="A249" s="107"/>
      <c r="B249" s="107"/>
      <c r="C249" s="107"/>
      <c r="D249" s="107"/>
      <c r="E249" s="107"/>
      <c r="F249" s="110" t="s">
        <v>225</v>
      </c>
      <c r="G249" s="111">
        <f>YEARFRAC(F248,G248)</f>
        <v>0.14444444444444443</v>
      </c>
      <c r="H249" s="111">
        <f t="shared" ref="H249:Q249" si="193">YEARFRAC(G248,H248)</f>
        <v>1</v>
      </c>
      <c r="I249" s="111">
        <f t="shared" si="193"/>
        <v>1</v>
      </c>
      <c r="J249" s="111">
        <f t="shared" si="193"/>
        <v>1</v>
      </c>
      <c r="K249" s="111">
        <f t="shared" si="193"/>
        <v>1</v>
      </c>
      <c r="L249" s="111">
        <f t="shared" si="193"/>
        <v>1</v>
      </c>
      <c r="M249" s="111">
        <f t="shared" si="193"/>
        <v>1</v>
      </c>
      <c r="N249" s="111">
        <f t="shared" si="193"/>
        <v>1</v>
      </c>
      <c r="O249" s="111">
        <f t="shared" si="193"/>
        <v>1</v>
      </c>
      <c r="P249" s="111">
        <f t="shared" si="193"/>
        <v>1</v>
      </c>
      <c r="Q249" s="111">
        <f t="shared" si="193"/>
        <v>1</v>
      </c>
      <c r="R249" s="112">
        <v>1</v>
      </c>
    </row>
    <row r="250" spans="1:18" outlineLevel="1">
      <c r="A250" s="17"/>
      <c r="B250" s="17"/>
      <c r="C250" s="17"/>
      <c r="D250" s="17"/>
      <c r="E250" s="17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4"/>
    </row>
    <row r="251" spans="1:18" outlineLevel="1">
      <c r="A251" s="1" t="s">
        <v>194</v>
      </c>
      <c r="B251" s="1"/>
      <c r="C251" s="1"/>
      <c r="D251" s="1"/>
      <c r="E251" s="87"/>
      <c r="F251" s="115">
        <v>0</v>
      </c>
      <c r="G251" s="87">
        <f>G249*G234</f>
        <v>3654.087673085854</v>
      </c>
      <c r="H251" s="87">
        <f t="shared" ref="H251:Q251" si="194">H249*H234</f>
        <v>29088.813380315467</v>
      </c>
      <c r="I251" s="87">
        <f t="shared" si="194"/>
        <v>36234.223054647533</v>
      </c>
      <c r="J251" s="87">
        <f t="shared" si="194"/>
        <v>46257.164030577813</v>
      </c>
      <c r="K251" s="87">
        <f t="shared" si="194"/>
        <v>52987.668058032665</v>
      </c>
      <c r="L251" s="87">
        <f t="shared" si="194"/>
        <v>59687.819176024226</v>
      </c>
      <c r="M251" s="87">
        <f t="shared" si="194"/>
        <v>64447.047523295769</v>
      </c>
      <c r="N251" s="87">
        <f t="shared" si="194"/>
        <v>71131.766798782599</v>
      </c>
      <c r="O251" s="87">
        <f t="shared" si="194"/>
        <v>78292.251012133609</v>
      </c>
      <c r="P251" s="87">
        <f t="shared" si="194"/>
        <v>85464.102901034959</v>
      </c>
      <c r="Q251" s="87">
        <f t="shared" si="194"/>
        <v>89115.93587347446</v>
      </c>
      <c r="R251" s="87">
        <f>B242</f>
        <v>1605714.0308642234</v>
      </c>
    </row>
    <row r="252" spans="1:18" ht="15" outlineLevel="1" thickBot="1">
      <c r="E252" s="37"/>
      <c r="F252" s="37"/>
      <c r="G252" s="37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37"/>
    </row>
    <row r="253" spans="1:18" ht="15" outlineLevel="1" thickBot="1">
      <c r="A253" s="116" t="s">
        <v>217</v>
      </c>
      <c r="B253" s="117"/>
      <c r="C253" s="117"/>
      <c r="D253" s="117"/>
      <c r="E253" s="118"/>
      <c r="F253" s="118">
        <f>XNPV($B$243,F251:$R$251,F248:$R$248)</f>
        <v>1031428.9706700671</v>
      </c>
      <c r="G253" s="118">
        <f>XNPV($B$243,G251:$R$251,G248:$R$248)</f>
        <v>1044170.2609336285</v>
      </c>
      <c r="H253" s="118">
        <f>XNPV($B$243,H251:$R$251,H248:$R$248)</f>
        <v>1134162.6288539916</v>
      </c>
      <c r="I253" s="118">
        <f>XNPV($B$243,I251:$R$251,I248:$R$248)</f>
        <v>1204814.8860311122</v>
      </c>
      <c r="J253" s="118">
        <f>XNPV($B$243,J251:$R$251,J248:$R$248)</f>
        <v>1273752.9226443467</v>
      </c>
      <c r="K253" s="118">
        <f>XNPV($B$243,K251:$R$251,K248:$R$248)</f>
        <v>1337970.3768890083</v>
      </c>
      <c r="L253" s="118">
        <f>XNPV($B$243,L251:$R$251,L248:$R$248)</f>
        <v>1400631.1526257633</v>
      </c>
      <c r="M253" s="118">
        <f>XNPV($B$243,M251:$R$251,M248:$R$248)</f>
        <v>1461973.3694186984</v>
      </c>
      <c r="N253" s="118">
        <f>XNPV($B$243,N251:$R$251,N248:$R$248)</f>
        <v>1523303.6908659891</v>
      </c>
      <c r="O253" s="118">
        <f>XNPV($B$243,O251:$R$251,O248:$R$248)</f>
        <v>1582867.3972332552</v>
      </c>
      <c r="P253" s="118">
        <f>XNPV($B$243,P251:$R$251,P248:$R$248)</f>
        <v>1639986.9093810227</v>
      </c>
      <c r="Q253" s="118">
        <f>XNPV($B$243,Q251:$R$251,Q248:$R$248)</f>
        <v>1694829.9667376978</v>
      </c>
      <c r="R253" s="119"/>
    </row>
    <row r="254" spans="1:18" outlineLevel="1"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</row>
    <row r="255" spans="1:18" outlineLevel="1">
      <c r="A255" t="s">
        <v>226</v>
      </c>
      <c r="B255" s="37"/>
      <c r="C255" s="37"/>
      <c r="D255" s="37"/>
      <c r="E255" s="37"/>
      <c r="F255" s="43">
        <f>20425+9340</f>
        <v>29765</v>
      </c>
      <c r="G255" s="37">
        <f>G107+G108</f>
        <v>48023.494044440522</v>
      </c>
      <c r="H255" s="37">
        <f t="shared" ref="H255:Q255" si="195">H107+H108</f>
        <v>64976.48206012226</v>
      </c>
      <c r="I255" s="37">
        <f t="shared" si="195"/>
        <v>86690.226398052298</v>
      </c>
      <c r="J255" s="37">
        <f t="shared" si="195"/>
        <v>116844.20342882958</v>
      </c>
      <c r="K255" s="37">
        <f t="shared" si="195"/>
        <v>151445.98732523649</v>
      </c>
      <c r="L255" s="37">
        <f t="shared" si="195"/>
        <v>189923.68168459888</v>
      </c>
      <c r="M255" s="37">
        <f t="shared" si="195"/>
        <v>232379.1431275077</v>
      </c>
      <c r="N255" s="37">
        <f t="shared" si="195"/>
        <v>280107.88887260389</v>
      </c>
      <c r="O255" s="37">
        <f t="shared" si="195"/>
        <v>333337.18735645188</v>
      </c>
      <c r="P255" s="37">
        <f t="shared" si="195"/>
        <v>395007.37320404506</v>
      </c>
      <c r="Q255" s="37">
        <f t="shared" si="195"/>
        <v>461046.39995507483</v>
      </c>
      <c r="R255" s="37"/>
    </row>
    <row r="256" spans="1:18" outlineLevel="1">
      <c r="A256" t="s">
        <v>227</v>
      </c>
      <c r="B256" s="120"/>
      <c r="C256" s="37"/>
      <c r="D256" s="37"/>
      <c r="E256" s="37"/>
      <c r="F256" s="43">
        <f>-(24684+44+6900+391+8700+6500)</f>
        <v>-47219</v>
      </c>
      <c r="G256" s="37">
        <f>-(G202+G191)</f>
        <v>-54605.129781550662</v>
      </c>
      <c r="H256" s="37">
        <f t="shared" ref="H256:Q256" si="196">-(H202+H191)</f>
        <v>-61291.105467588022</v>
      </c>
      <c r="I256" s="37">
        <f t="shared" si="196"/>
        <v>-65898.973366803752</v>
      </c>
      <c r="J256" s="37">
        <f t="shared" si="196"/>
        <v>-72521.053587366259</v>
      </c>
      <c r="K256" s="37">
        <f t="shared" si="196"/>
        <v>-80658.960114295842</v>
      </c>
      <c r="L256" s="37">
        <f t="shared" si="196"/>
        <v>-83500.179574848953</v>
      </c>
      <c r="M256" s="37">
        <f t="shared" si="196"/>
        <v>-88080.35009980161</v>
      </c>
      <c r="N256" s="37">
        <f t="shared" si="196"/>
        <v>-93422.006031706114</v>
      </c>
      <c r="O256" s="37">
        <f t="shared" si="196"/>
        <v>-91168.036527511198</v>
      </c>
      <c r="P256" s="37">
        <f t="shared" si="196"/>
        <v>-90538.920762568465</v>
      </c>
      <c r="Q256" s="37">
        <f t="shared" si="196"/>
        <v>-91560.149651945656</v>
      </c>
      <c r="R256" s="37"/>
    </row>
    <row r="257" spans="1:18" outlineLevel="1">
      <c r="A257" s="15" t="s">
        <v>218</v>
      </c>
      <c r="B257" s="121"/>
      <c r="C257" s="81"/>
      <c r="D257" s="81"/>
      <c r="E257" s="81"/>
      <c r="F257" s="81">
        <f>SUM(F253:F256)</f>
        <v>1013974.9706700672</v>
      </c>
      <c r="G257" s="81">
        <f>SUM(G253:G256)</f>
        <v>1037588.6251965185</v>
      </c>
      <c r="H257" s="81">
        <f t="shared" ref="H257:Q257" si="197">SUM(H253:H256)</f>
        <v>1137848.005446526</v>
      </c>
      <c r="I257" s="81">
        <f t="shared" si="197"/>
        <v>1225606.1390623606</v>
      </c>
      <c r="J257" s="81">
        <f t="shared" si="197"/>
        <v>1318076.0724858099</v>
      </c>
      <c r="K257" s="81">
        <f t="shared" si="197"/>
        <v>1408757.4040999489</v>
      </c>
      <c r="L257" s="81">
        <f t="shared" si="197"/>
        <v>1507054.6547355133</v>
      </c>
      <c r="M257" s="81">
        <f t="shared" si="197"/>
        <v>1606272.1624464046</v>
      </c>
      <c r="N257" s="81">
        <f t="shared" si="197"/>
        <v>1709989.5737068867</v>
      </c>
      <c r="O257" s="81">
        <f t="shared" si="197"/>
        <v>1825036.548062196</v>
      </c>
      <c r="P257" s="81">
        <f t="shared" si="197"/>
        <v>1944455.3618224992</v>
      </c>
      <c r="Q257" s="81">
        <f t="shared" si="197"/>
        <v>2064316.217040827</v>
      </c>
      <c r="R257" s="81"/>
    </row>
    <row r="258" spans="1:18" outlineLevel="1">
      <c r="B258" s="12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</row>
    <row r="259" spans="1:18" ht="15" outlineLevel="1" thickBot="1">
      <c r="A259" t="s">
        <v>219</v>
      </c>
      <c r="B259" s="120"/>
      <c r="C259" s="37"/>
      <c r="D259" s="37"/>
      <c r="E259" s="37"/>
      <c r="F259" s="86">
        <f>B245</f>
        <v>501</v>
      </c>
      <c r="G259" s="37">
        <f>F259</f>
        <v>501</v>
      </c>
      <c r="H259" s="37">
        <f t="shared" ref="H259:Q259" si="198">H101</f>
        <v>507.39954399999999</v>
      </c>
      <c r="I259" s="37">
        <f t="shared" si="198"/>
        <v>512.47353943999997</v>
      </c>
      <c r="J259" s="37">
        <f t="shared" si="198"/>
        <v>517.59827483439994</v>
      </c>
      <c r="K259" s="37">
        <f t="shared" si="198"/>
        <v>522.77425758274399</v>
      </c>
      <c r="L259" s="37">
        <f t="shared" si="198"/>
        <v>528.00200015857138</v>
      </c>
      <c r="M259" s="37">
        <f t="shared" si="198"/>
        <v>533.28202016015712</v>
      </c>
      <c r="N259" s="37">
        <f t="shared" si="198"/>
        <v>538.61484036175864</v>
      </c>
      <c r="O259" s="37">
        <f t="shared" si="198"/>
        <v>544.00098876537618</v>
      </c>
      <c r="P259" s="37">
        <f t="shared" si="198"/>
        <v>549.44099865302996</v>
      </c>
      <c r="Q259" s="37">
        <f t="shared" si="198"/>
        <v>554.93540863956025</v>
      </c>
      <c r="R259" s="37"/>
    </row>
    <row r="260" spans="1:18" ht="15" outlineLevel="1" thickBot="1">
      <c r="A260" s="116" t="s">
        <v>220</v>
      </c>
      <c r="B260" s="122"/>
      <c r="C260" s="118"/>
      <c r="D260" s="118"/>
      <c r="E260" s="118"/>
      <c r="F260" s="123">
        <f>F257/F259</f>
        <v>2023.9021370660025</v>
      </c>
      <c r="G260" s="123">
        <f t="shared" ref="G260:Q260" si="199">G257/G259</f>
        <v>2071.0351800329709</v>
      </c>
      <c r="H260" s="123">
        <f t="shared" si="199"/>
        <v>2242.508923986195</v>
      </c>
      <c r="I260" s="123">
        <f t="shared" si="199"/>
        <v>2391.5500893990134</v>
      </c>
      <c r="J260" s="123">
        <f t="shared" si="199"/>
        <v>2546.5233107809609</v>
      </c>
      <c r="K260" s="123">
        <f t="shared" si="199"/>
        <v>2694.7719472911745</v>
      </c>
      <c r="L260" s="123">
        <f t="shared" si="199"/>
        <v>2854.2593669776052</v>
      </c>
      <c r="M260" s="123">
        <f t="shared" si="199"/>
        <v>3012.0501005528058</v>
      </c>
      <c r="N260" s="123">
        <f t="shared" si="199"/>
        <v>3174.7910483832538</v>
      </c>
      <c r="O260" s="123">
        <f t="shared" si="199"/>
        <v>3354.8404980001269</v>
      </c>
      <c r="P260" s="123">
        <f t="shared" si="199"/>
        <v>3538.9702744960537</v>
      </c>
      <c r="Q260" s="123">
        <f t="shared" si="199"/>
        <v>3719.92160691558</v>
      </c>
      <c r="R260" s="119"/>
    </row>
    <row r="261" spans="1:18" outlineLevel="1">
      <c r="B261" s="120"/>
      <c r="E261" s="37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</row>
    <row r="262" spans="1:18" ht="15" outlineLevel="1" thickBot="1">
      <c r="A262" s="1" t="s">
        <v>221</v>
      </c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5"/>
    </row>
    <row r="263" spans="1:18" ht="15" outlineLevel="1" thickBot="1">
      <c r="A263" s="116" t="s">
        <v>222</v>
      </c>
      <c r="B263" s="122"/>
      <c r="C263" s="118"/>
      <c r="D263" s="118"/>
      <c r="E263" s="118"/>
      <c r="F263" s="123">
        <f>-B246</f>
        <v>-1755</v>
      </c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>
        <f>Q260</f>
        <v>3719.92160691558</v>
      </c>
      <c r="R263" s="119"/>
    </row>
    <row r="264" spans="1:18" ht="15" outlineLevel="1" thickBot="1">
      <c r="A264" s="116" t="s">
        <v>223</v>
      </c>
      <c r="B264" s="122"/>
      <c r="C264" s="118"/>
      <c r="D264" s="118"/>
      <c r="E264" s="118"/>
      <c r="F264" s="126">
        <f>XIRR(F263:Q263,F248:Q248)</f>
        <v>7.6815614104270943E-2</v>
      </c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8"/>
    </row>
    <row r="265" spans="1:18" outlineLevel="1"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</row>
    <row r="266" spans="1:18" outlineLevel="1"/>
    <row r="267" spans="1:18" outlineLevel="1">
      <c r="C267" s="147" t="s">
        <v>228</v>
      </c>
      <c r="D267" s="147"/>
      <c r="E267" s="147"/>
      <c r="F267" s="147"/>
      <c r="G267" s="147"/>
      <c r="H267" s="147"/>
      <c r="I267" s="147"/>
      <c r="K267" s="147" t="s">
        <v>229</v>
      </c>
      <c r="L267" s="147"/>
      <c r="M267" s="147"/>
      <c r="N267" s="147"/>
      <c r="O267" s="147"/>
      <c r="P267" s="147"/>
      <c r="Q267" s="147"/>
    </row>
    <row r="268" spans="1:18" outlineLevel="1">
      <c r="E268" s="129" t="s">
        <v>211</v>
      </c>
      <c r="F268" s="129"/>
      <c r="G268" s="129"/>
      <c r="H268" s="129"/>
      <c r="I268" s="129"/>
      <c r="M268" s="129" t="s">
        <v>230</v>
      </c>
      <c r="N268" s="129"/>
      <c r="O268" s="129"/>
      <c r="P268" s="129"/>
      <c r="Q268" s="129"/>
    </row>
    <row r="269" spans="1:18" outlineLevel="1">
      <c r="D269" s="130">
        <f>F260</f>
        <v>2023.9021370660025</v>
      </c>
      <c r="E269" s="131">
        <v>0.11</v>
      </c>
      <c r="F269" s="132">
        <f>+E269-0.01</f>
        <v>0.1</v>
      </c>
      <c r="G269" s="132">
        <f t="shared" ref="G269:I269" si="200">+F269-0.01</f>
        <v>9.0000000000000011E-2</v>
      </c>
      <c r="H269" s="132">
        <f t="shared" si="200"/>
        <v>8.0000000000000016E-2</v>
      </c>
      <c r="I269" s="132">
        <f t="shared" si="200"/>
        <v>7.0000000000000021E-2</v>
      </c>
      <c r="L269" s="133">
        <f>F264</f>
        <v>7.6815614104270943E-2</v>
      </c>
      <c r="M269" s="134">
        <v>2000</v>
      </c>
      <c r="N269" s="135">
        <f>M269-125</f>
        <v>1875</v>
      </c>
      <c r="O269" s="135">
        <f t="shared" ref="O269:Q269" si="201">N269-125</f>
        <v>1750</v>
      </c>
      <c r="P269" s="135">
        <f t="shared" si="201"/>
        <v>1625</v>
      </c>
      <c r="Q269" s="135">
        <f t="shared" si="201"/>
        <v>1500</v>
      </c>
    </row>
    <row r="270" spans="1:18" outlineLevel="1">
      <c r="C270" s="136" t="s">
        <v>207</v>
      </c>
      <c r="D270" s="137">
        <v>8</v>
      </c>
      <c r="E270" s="138">
        <f t="dataTable" ref="E270:I274" dt2D="1" dtr="1" r1="B243" r2="C241"/>
        <v>1356.3837471629099</v>
      </c>
      <c r="F270" s="139">
        <v>1462.280979791869</v>
      </c>
      <c r="G270" s="139">
        <v>1578.4463216451554</v>
      </c>
      <c r="H270" s="139">
        <v>1706.0239267561581</v>
      </c>
      <c r="I270" s="139">
        <v>1846.3000062937317</v>
      </c>
      <c r="K270" s="136" t="s">
        <v>207</v>
      </c>
      <c r="L270" s="137">
        <v>8</v>
      </c>
      <c r="M270" s="140">
        <f t="dataTable" ref="M270:Q274" dt2D="1" dtr="1" r1="B246" r2="C241" ca="1"/>
        <v>3.206999003887176E-2</v>
      </c>
      <c r="N270" s="141">
        <v>3.8652846217155465E-2</v>
      </c>
      <c r="O270" s="141">
        <v>4.5736476778984084E-2</v>
      </c>
      <c r="P270" s="141">
        <v>5.3399112820625302E-2</v>
      </c>
      <c r="Q270" s="141">
        <v>6.1738476157188416E-2</v>
      </c>
    </row>
    <row r="271" spans="1:18" outlineLevel="1">
      <c r="C271" s="142"/>
      <c r="D271" s="143">
        <f>+D270+2</f>
        <v>10</v>
      </c>
      <c r="E271" s="124">
        <v>1541.5747776128624</v>
      </c>
      <c r="F271" s="144">
        <v>1665.2898996751467</v>
      </c>
      <c r="G271" s="144">
        <v>1801.174229355579</v>
      </c>
      <c r="H271" s="144">
        <v>1950.5950706777119</v>
      </c>
      <c r="I271" s="124">
        <v>2115.0904081947092</v>
      </c>
      <c r="K271" s="142"/>
      <c r="L271" s="143">
        <f>+L270+2</f>
        <v>10</v>
      </c>
      <c r="M271" s="9">
        <v>4.8599603772163394E-2</v>
      </c>
      <c r="N271" s="34">
        <v>5.5287888646125785E-2</v>
      </c>
      <c r="O271" s="34">
        <v>6.2484970688819891E-2</v>
      </c>
      <c r="P271" s="34">
        <v>7.0270332694053667E-2</v>
      </c>
      <c r="Q271" s="9">
        <v>7.874325811862945E-2</v>
      </c>
    </row>
    <row r="272" spans="1:18" outlineLevel="1">
      <c r="C272" s="142"/>
      <c r="D272" s="143">
        <f t="shared" ref="D272:D274" si="202">+D271+2</f>
        <v>12</v>
      </c>
      <c r="E272" s="124">
        <v>1726.7658080628148</v>
      </c>
      <c r="F272" s="144">
        <v>1868.2988195584239</v>
      </c>
      <c r="G272" s="145">
        <v>2023.9021370660025</v>
      </c>
      <c r="H272" s="144">
        <v>2195.1662145992655</v>
      </c>
      <c r="I272" s="124">
        <v>2383.8808100956862</v>
      </c>
      <c r="K272" s="142"/>
      <c r="L272" s="143">
        <f t="shared" ref="L272:L274" si="203">+L271+2</f>
        <v>12</v>
      </c>
      <c r="M272" s="9">
        <v>6.3041713833808896E-2</v>
      </c>
      <c r="N272" s="34">
        <v>6.9822111725807198E-2</v>
      </c>
      <c r="O272" s="146">
        <v>7.7118322253227248E-2</v>
      </c>
      <c r="P272" s="34">
        <v>8.501090705394744E-2</v>
      </c>
      <c r="Q272" s="9">
        <v>9.3600526452064514E-2</v>
      </c>
    </row>
    <row r="273" spans="3:17" outlineLevel="1">
      <c r="C273" s="142"/>
      <c r="D273" s="143">
        <f t="shared" si="202"/>
        <v>14</v>
      </c>
      <c r="E273" s="124">
        <v>1911.9568385127675</v>
      </c>
      <c r="F273" s="144">
        <v>2071.3077394417019</v>
      </c>
      <c r="G273" s="144">
        <v>2246.6300447764256</v>
      </c>
      <c r="H273" s="144">
        <v>2439.7373585208193</v>
      </c>
      <c r="I273" s="124">
        <v>2652.6712119966637</v>
      </c>
      <c r="K273" s="142"/>
      <c r="L273" s="143">
        <f t="shared" si="203"/>
        <v>14</v>
      </c>
      <c r="M273" s="9">
        <v>7.5884726643562342E-2</v>
      </c>
      <c r="N273" s="34">
        <v>8.2747045159339921E-2</v>
      </c>
      <c r="O273" s="34">
        <v>9.0131399035453821E-2</v>
      </c>
      <c r="P273" s="34">
        <v>9.8119336366653431E-2</v>
      </c>
      <c r="Q273" s="9">
        <v>0.10681273341178896</v>
      </c>
    </row>
    <row r="274" spans="3:17" outlineLevel="1">
      <c r="C274" s="142"/>
      <c r="D274" s="143">
        <f t="shared" si="202"/>
        <v>16</v>
      </c>
      <c r="E274" s="124">
        <v>2097.1478689627202</v>
      </c>
      <c r="F274" s="124">
        <v>2274.3166593249789</v>
      </c>
      <c r="G274" s="124">
        <v>2469.3579524868492</v>
      </c>
      <c r="H274" s="124">
        <v>2684.3085024423726</v>
      </c>
      <c r="I274" s="124">
        <v>2921.4616138976407</v>
      </c>
      <c r="K274" s="142"/>
      <c r="L274" s="143">
        <f t="shared" si="203"/>
        <v>16</v>
      </c>
      <c r="M274" s="9">
        <v>8.7461629509925864E-2</v>
      </c>
      <c r="N274" s="9">
        <v>9.4397786259651187E-2</v>
      </c>
      <c r="O274" s="9">
        <v>0.10186160206794739</v>
      </c>
      <c r="P274" s="9">
        <v>0.10993549227714536</v>
      </c>
      <c r="Q274" s="9">
        <v>0.11872243285179138</v>
      </c>
    </row>
    <row r="275" spans="3:17" outlineLevel="1"/>
    <row r="276" spans="3:17" outlineLevel="1"/>
  </sheetData>
  <dataValidations disablePrompts="1" count="1">
    <dataValidation type="list" allowBlank="1" showInputMessage="1" showErrorMessage="1" sqref="B241" xr:uid="{68B84336-8810-44F9-9007-4D3D2CB34139}">
      <formula1>$C$240:$D$240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Drop Down 3">
              <controlPr defaultSize="0" autoLine="0" autoPict="0">
                <anchor moveWithCells="1">
                  <from>
                    <xdr:col>2</xdr:col>
                    <xdr:colOff>381000</xdr:colOff>
                    <xdr:row>0</xdr:row>
                    <xdr:rowOff>76200</xdr:rowOff>
                  </from>
                  <to>
                    <xdr:col>3</xdr:col>
                    <xdr:colOff>647700</xdr:colOff>
                    <xdr:row>1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9CE4-7A82-422C-8C48-01B08C7A5A62}">
  <sheetPr>
    <tabColor rgb="FF132E57"/>
  </sheetPr>
  <dimension ref="A1:AE287"/>
  <sheetViews>
    <sheetView showGridLines="0" zoomScaleNormal="100" workbookViewId="0">
      <pane ySplit="3" topLeftCell="A274" activePane="bottomLeft" state="frozen"/>
      <selection activeCell="A5" sqref="A5"/>
      <selection pane="bottomLeft" activeCell="E141" sqref="E141"/>
    </sheetView>
  </sheetViews>
  <sheetFormatPr baseColWidth="10" defaultColWidth="9" defaultRowHeight="14"/>
  <cols>
    <col min="1" max="1" width="50" customWidth="1"/>
    <col min="2" max="5" width="11.3984375" customWidth="1"/>
    <col min="6" max="17" width="11" customWidth="1"/>
    <col min="18" max="18" width="10" customWidth="1"/>
  </cols>
  <sheetData>
    <row r="1" spans="1:17">
      <c r="A1" s="3"/>
      <c r="B1" s="22"/>
      <c r="C1" s="22"/>
      <c r="D1" s="22"/>
      <c r="E1" s="22"/>
      <c r="F1" s="22"/>
      <c r="G1" s="24"/>
      <c r="H1" s="26"/>
      <c r="I1" s="161" t="s">
        <v>245</v>
      </c>
      <c r="J1" s="162">
        <f>'Financial Model'!J1</f>
        <v>1031428.9706700671</v>
      </c>
      <c r="K1" s="26"/>
      <c r="L1" s="161" t="s">
        <v>246</v>
      </c>
      <c r="M1" s="162">
        <f>'Financial Model'!M1</f>
        <v>2023.9021370660025</v>
      </c>
      <c r="N1" s="26"/>
      <c r="O1" s="26"/>
      <c r="P1" s="26"/>
      <c r="Q1" s="26"/>
    </row>
    <row r="2" spans="1:17" ht="18">
      <c r="A2" s="4" t="s">
        <v>90</v>
      </c>
      <c r="B2" s="22"/>
      <c r="C2" s="22"/>
      <c r="D2" s="22"/>
      <c r="E2" s="22"/>
      <c r="F2" s="22"/>
      <c r="G2" s="24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5" t="s">
        <v>0</v>
      </c>
      <c r="B3" s="23">
        <v>2013</v>
      </c>
      <c r="C3" s="23">
        <v>2014</v>
      </c>
      <c r="D3" s="23">
        <v>2015</v>
      </c>
      <c r="E3" s="23">
        <v>2016</v>
      </c>
      <c r="F3" s="23">
        <v>2017</v>
      </c>
      <c r="G3" s="25">
        <f>F3+1</f>
        <v>2018</v>
      </c>
      <c r="H3" s="27">
        <f t="shared" ref="H3:Q3" si="0">G3+1</f>
        <v>2019</v>
      </c>
      <c r="I3" s="27">
        <f t="shared" si="0"/>
        <v>2020</v>
      </c>
      <c r="J3" s="27">
        <f t="shared" si="0"/>
        <v>2021</v>
      </c>
      <c r="K3" s="27">
        <f t="shared" si="0"/>
        <v>2022</v>
      </c>
      <c r="L3" s="27">
        <f t="shared" si="0"/>
        <v>2023</v>
      </c>
      <c r="M3" s="27">
        <f t="shared" si="0"/>
        <v>2024</v>
      </c>
      <c r="N3" s="27">
        <f t="shared" si="0"/>
        <v>2025</v>
      </c>
      <c r="O3" s="27">
        <f t="shared" si="0"/>
        <v>2026</v>
      </c>
      <c r="P3" s="27">
        <f t="shared" si="0"/>
        <v>2027</v>
      </c>
      <c r="Q3" s="27">
        <f t="shared" si="0"/>
        <v>2028</v>
      </c>
    </row>
    <row r="5" spans="1:17">
      <c r="A5" s="6" t="s">
        <v>90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A6" s="1" t="s">
        <v>123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>
      <c r="A7" t="s">
        <v>124</v>
      </c>
      <c r="B7" s="36">
        <v>41275</v>
      </c>
      <c r="C7" s="35">
        <f>DATE(YEAR(B7)+1,MONTH(B7),DAY(B7))</f>
        <v>41640</v>
      </c>
      <c r="D7" s="35">
        <f t="shared" ref="D7:Q8" si="1">DATE(YEAR(C7)+1,MONTH(C7),DAY(C7))</f>
        <v>42005</v>
      </c>
      <c r="E7" s="35">
        <f t="shared" si="1"/>
        <v>42370</v>
      </c>
      <c r="F7" s="35">
        <f t="shared" si="1"/>
        <v>42736</v>
      </c>
      <c r="G7" s="35">
        <f t="shared" si="1"/>
        <v>43101</v>
      </c>
      <c r="H7" s="35">
        <f t="shared" si="1"/>
        <v>43466</v>
      </c>
      <c r="I7" s="35">
        <f t="shared" si="1"/>
        <v>43831</v>
      </c>
      <c r="J7" s="35">
        <f t="shared" si="1"/>
        <v>44197</v>
      </c>
      <c r="K7" s="35">
        <f t="shared" si="1"/>
        <v>44562</v>
      </c>
      <c r="L7" s="35">
        <f t="shared" si="1"/>
        <v>44927</v>
      </c>
      <c r="M7" s="35">
        <f t="shared" si="1"/>
        <v>45292</v>
      </c>
      <c r="N7" s="35">
        <f t="shared" si="1"/>
        <v>45658</v>
      </c>
      <c r="O7" s="35">
        <f t="shared" si="1"/>
        <v>46023</v>
      </c>
      <c r="P7" s="35">
        <f t="shared" si="1"/>
        <v>46388</v>
      </c>
      <c r="Q7" s="35">
        <f t="shared" si="1"/>
        <v>46753</v>
      </c>
    </row>
    <row r="8" spans="1:17">
      <c r="A8" t="s">
        <v>126</v>
      </c>
      <c r="B8" s="36">
        <v>41639</v>
      </c>
      <c r="C8" s="35">
        <f>DATE(YEAR(B8)+1,MONTH(B8),DAY(B8))</f>
        <v>42004</v>
      </c>
      <c r="D8" s="35">
        <f t="shared" si="1"/>
        <v>42369</v>
      </c>
      <c r="E8" s="35">
        <f t="shared" si="1"/>
        <v>42735</v>
      </c>
      <c r="F8" s="35">
        <f t="shared" si="1"/>
        <v>43100</v>
      </c>
      <c r="G8" s="35">
        <f t="shared" si="1"/>
        <v>43465</v>
      </c>
      <c r="H8" s="35">
        <f t="shared" si="1"/>
        <v>43830</v>
      </c>
      <c r="I8" s="35">
        <f t="shared" si="1"/>
        <v>44196</v>
      </c>
      <c r="J8" s="35">
        <f t="shared" si="1"/>
        <v>44561</v>
      </c>
      <c r="K8" s="35">
        <f t="shared" si="1"/>
        <v>44926</v>
      </c>
      <c r="L8" s="35">
        <f t="shared" si="1"/>
        <v>45291</v>
      </c>
      <c r="M8" s="35">
        <f t="shared" si="1"/>
        <v>45657</v>
      </c>
      <c r="N8" s="35">
        <f t="shared" si="1"/>
        <v>46022</v>
      </c>
      <c r="O8" s="35">
        <f t="shared" si="1"/>
        <v>46387</v>
      </c>
      <c r="P8" s="35">
        <f t="shared" si="1"/>
        <v>46752</v>
      </c>
      <c r="Q8" s="35">
        <f t="shared" si="1"/>
        <v>47118</v>
      </c>
    </row>
    <row r="9" spans="1:17">
      <c r="A9" t="s">
        <v>125</v>
      </c>
      <c r="B9">
        <f>B8-B7+1</f>
        <v>365</v>
      </c>
      <c r="C9">
        <f>C8-C7+1</f>
        <v>365</v>
      </c>
      <c r="D9">
        <f t="shared" ref="D9:Q9" si="2">D8-D7+1</f>
        <v>365</v>
      </c>
      <c r="E9">
        <f t="shared" si="2"/>
        <v>366</v>
      </c>
      <c r="F9">
        <f t="shared" si="2"/>
        <v>365</v>
      </c>
      <c r="G9">
        <f t="shared" si="2"/>
        <v>365</v>
      </c>
      <c r="H9">
        <f t="shared" si="2"/>
        <v>365</v>
      </c>
      <c r="I9">
        <f t="shared" si="2"/>
        <v>366</v>
      </c>
      <c r="J9">
        <f t="shared" si="2"/>
        <v>365</v>
      </c>
      <c r="K9">
        <f t="shared" si="2"/>
        <v>365</v>
      </c>
      <c r="L9">
        <f t="shared" si="2"/>
        <v>365</v>
      </c>
      <c r="M9">
        <f t="shared" si="2"/>
        <v>366</v>
      </c>
      <c r="N9">
        <f t="shared" si="2"/>
        <v>365</v>
      </c>
      <c r="O9">
        <f t="shared" si="2"/>
        <v>365</v>
      </c>
      <c r="P9">
        <f t="shared" si="2"/>
        <v>365</v>
      </c>
      <c r="Q9">
        <f t="shared" si="2"/>
        <v>366</v>
      </c>
    </row>
    <row r="11" spans="1:17">
      <c r="C11" t="s">
        <v>235</v>
      </c>
    </row>
    <row r="13" spans="1:17">
      <c r="C13" s="1" t="s">
        <v>236</v>
      </c>
      <c r="D13" s="1" t="s">
        <v>240</v>
      </c>
      <c r="E13" s="1"/>
      <c r="F13" s="1"/>
      <c r="G13" s="1"/>
      <c r="H13" s="1" t="s">
        <v>241</v>
      </c>
      <c r="J13" s="1" t="s">
        <v>242</v>
      </c>
    </row>
    <row r="14" spans="1:17">
      <c r="C14" s="150" t="s">
        <v>237</v>
      </c>
      <c r="D14" s="17"/>
      <c r="E14" s="17"/>
      <c r="F14" s="17"/>
      <c r="G14" s="17"/>
      <c r="H14" s="150">
        <v>1</v>
      </c>
      <c r="J14" s="17" t="s">
        <v>241</v>
      </c>
      <c r="K14" s="152">
        <v>1</v>
      </c>
    </row>
    <row r="15" spans="1:17">
      <c r="C15" s="149" t="s">
        <v>238</v>
      </c>
      <c r="H15" s="149">
        <v>2</v>
      </c>
      <c r="J15" t="s">
        <v>243</v>
      </c>
      <c r="K15" s="151">
        <f>'Financial Model'!F260</f>
        <v>2023.9021370660025</v>
      </c>
    </row>
    <row r="16" spans="1:17">
      <c r="C16" s="149" t="s">
        <v>239</v>
      </c>
      <c r="H16" s="149">
        <v>3</v>
      </c>
    </row>
    <row r="17" spans="1:31">
      <c r="C17" s="149" t="s">
        <v>152</v>
      </c>
      <c r="H17" s="149">
        <v>4</v>
      </c>
    </row>
    <row r="19" spans="1:31">
      <c r="A19" s="6" t="s">
        <v>244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31">
      <c r="A20" s="1" t="s">
        <v>153</v>
      </c>
    </row>
    <row r="21" spans="1:31">
      <c r="A21" t="s">
        <v>147</v>
      </c>
      <c r="C21" s="56"/>
      <c r="D21" s="56"/>
      <c r="E21" s="56"/>
      <c r="F21" s="56"/>
      <c r="G21" s="148">
        <f>CHOOSE($K$14,G76,G130,G184,G238)</f>
        <v>0.15662615131882518</v>
      </c>
      <c r="H21" s="148">
        <f t="shared" ref="H21:Q21" si="3">CHOOSE($K$14,H76,H130,H184,H238)</f>
        <v>0.16999999999999993</v>
      </c>
      <c r="I21" s="148">
        <f t="shared" si="3"/>
        <v>0.16</v>
      </c>
      <c r="J21" s="148">
        <f t="shared" si="3"/>
        <v>0.15</v>
      </c>
      <c r="K21" s="148">
        <f t="shared" si="3"/>
        <v>0.14000000000000001</v>
      </c>
      <c r="L21" s="148">
        <f t="shared" si="3"/>
        <v>0.12</v>
      </c>
      <c r="M21" s="148">
        <f t="shared" si="3"/>
        <v>0.1</v>
      </c>
      <c r="N21" s="148">
        <f t="shared" si="3"/>
        <v>0.08</v>
      </c>
      <c r="O21" s="148">
        <f t="shared" si="3"/>
        <v>7.0000000000000007E-2</v>
      </c>
      <c r="P21" s="148">
        <f t="shared" si="3"/>
        <v>0.06</v>
      </c>
      <c r="Q21" s="148">
        <f t="shared" si="3"/>
        <v>0.05</v>
      </c>
    </row>
    <row r="22" spans="1:31">
      <c r="A22" t="s">
        <v>148</v>
      </c>
      <c r="C22" s="56"/>
      <c r="D22" s="56"/>
      <c r="E22" s="56"/>
      <c r="F22" s="56"/>
      <c r="G22" s="148">
        <f t="shared" ref="G22:Q22" si="4">CHOOSE($K$14,G77,G131,G185,G239)</f>
        <v>2.1417570002314954</v>
      </c>
      <c r="H22" s="148">
        <f t="shared" si="4"/>
        <v>0.15</v>
      </c>
      <c r="I22" s="148">
        <f t="shared" si="4"/>
        <v>9.000000000000008E-2</v>
      </c>
      <c r="J22" s="148">
        <f t="shared" si="4"/>
        <v>9.4189716160863579E-2</v>
      </c>
      <c r="K22" s="148">
        <f t="shared" si="4"/>
        <v>9.3808933290109309E-2</v>
      </c>
      <c r="L22" s="148">
        <f t="shared" si="4"/>
        <v>0.10536640610052039</v>
      </c>
      <c r="M22" s="148">
        <f t="shared" si="4"/>
        <v>0.11246415430906143</v>
      </c>
      <c r="N22" s="148">
        <f t="shared" si="4"/>
        <v>0.10168344411754604</v>
      </c>
      <c r="O22" s="148">
        <f t="shared" si="4"/>
        <v>9.9862677050148285E-2</v>
      </c>
      <c r="P22" s="148">
        <f t="shared" si="4"/>
        <v>0.09</v>
      </c>
      <c r="Q22" s="148">
        <f t="shared" si="4"/>
        <v>0.08</v>
      </c>
    </row>
    <row r="23" spans="1:31">
      <c r="A23" t="s">
        <v>149</v>
      </c>
      <c r="C23" s="56"/>
      <c r="D23" s="56"/>
      <c r="E23" s="56"/>
      <c r="F23" s="56"/>
      <c r="G23" s="148">
        <f t="shared" ref="G23:Q23" si="5">CHOOSE($K$14,G78,G132,G186,G240)</f>
        <v>0.3911138295536527</v>
      </c>
      <c r="H23" s="148">
        <f t="shared" si="5"/>
        <v>0.30000000000000004</v>
      </c>
      <c r="I23" s="148">
        <f t="shared" si="5"/>
        <v>0.25</v>
      </c>
      <c r="J23" s="148">
        <f t="shared" si="5"/>
        <v>0.19999999999999996</v>
      </c>
      <c r="K23" s="148">
        <f t="shared" si="5"/>
        <v>0.2</v>
      </c>
      <c r="L23" s="148">
        <f t="shared" si="5"/>
        <v>0.15</v>
      </c>
      <c r="M23" s="148">
        <f t="shared" si="5"/>
        <v>0.12</v>
      </c>
      <c r="N23" s="148">
        <f t="shared" si="5"/>
        <v>0.1</v>
      </c>
      <c r="O23" s="148">
        <f t="shared" si="5"/>
        <v>0.08</v>
      </c>
      <c r="P23" s="148">
        <f t="shared" si="5"/>
        <v>0.06</v>
      </c>
      <c r="Q23" s="148">
        <f t="shared" si="5"/>
        <v>0.05</v>
      </c>
    </row>
    <row r="24" spans="1:31">
      <c r="A24" t="s">
        <v>150</v>
      </c>
      <c r="C24" s="56"/>
      <c r="D24" s="56"/>
      <c r="E24" s="56"/>
      <c r="F24" s="56"/>
      <c r="G24" s="148">
        <f t="shared" ref="G24:Q24" si="6">CHOOSE($K$14,G79,G133,G187,G241)</f>
        <v>0.56295545725748375</v>
      </c>
      <c r="H24" s="148">
        <f t="shared" si="6"/>
        <v>0.44999999999999996</v>
      </c>
      <c r="I24" s="148">
        <f t="shared" si="6"/>
        <v>0.35000000000000009</v>
      </c>
      <c r="J24" s="148">
        <f t="shared" si="6"/>
        <v>0.30000000000000004</v>
      </c>
      <c r="K24" s="148">
        <f t="shared" si="6"/>
        <v>0.19999999999999996</v>
      </c>
      <c r="L24" s="148">
        <f t="shared" si="6"/>
        <v>0.14999999999999991</v>
      </c>
      <c r="M24" s="148">
        <f t="shared" si="6"/>
        <v>0.10000000000000009</v>
      </c>
      <c r="N24" s="148">
        <f t="shared" si="6"/>
        <v>8.0000000000000071E-2</v>
      </c>
      <c r="O24" s="148">
        <f t="shared" si="6"/>
        <v>6.0000000000000053E-2</v>
      </c>
      <c r="P24" s="148">
        <f t="shared" si="6"/>
        <v>0.05</v>
      </c>
      <c r="Q24" s="148">
        <f t="shared" si="6"/>
        <v>0.05</v>
      </c>
    </row>
    <row r="25" spans="1:31">
      <c r="A25" t="s">
        <v>151</v>
      </c>
      <c r="C25" s="56"/>
      <c r="D25" s="56"/>
      <c r="E25" s="56"/>
      <c r="F25" s="56"/>
      <c r="G25" s="148">
        <f t="shared" ref="G25:Q25" si="7">CHOOSE($K$14,G80,G134,G188,G242)</f>
        <v>0.44421100864883445</v>
      </c>
      <c r="H25" s="148">
        <f t="shared" si="7"/>
        <v>0.39999999999999991</v>
      </c>
      <c r="I25" s="148">
        <f t="shared" si="7"/>
        <v>0.35000000000000009</v>
      </c>
      <c r="J25" s="148">
        <f t="shared" si="7"/>
        <v>0.25</v>
      </c>
      <c r="K25" s="148">
        <f t="shared" si="7"/>
        <v>0.19999999999999996</v>
      </c>
      <c r="L25" s="148">
        <f t="shared" si="7"/>
        <v>0.14999999999999991</v>
      </c>
      <c r="M25" s="148">
        <f t="shared" si="7"/>
        <v>0.14999999999999991</v>
      </c>
      <c r="N25" s="148">
        <f t="shared" si="7"/>
        <v>0.12</v>
      </c>
      <c r="O25" s="148">
        <f t="shared" si="7"/>
        <v>0.12</v>
      </c>
      <c r="P25" s="148">
        <f t="shared" si="7"/>
        <v>0.1</v>
      </c>
      <c r="Q25" s="148">
        <f t="shared" si="7"/>
        <v>0.08</v>
      </c>
    </row>
    <row r="26" spans="1:31">
      <c r="A26" t="s">
        <v>152</v>
      </c>
      <c r="C26" s="56"/>
      <c r="D26" s="56"/>
      <c r="E26" s="56"/>
      <c r="F26" s="56"/>
      <c r="G26" s="148">
        <f t="shared" ref="G26:Q26" si="8">CHOOSE($K$14,G81,G135,G189,G243)</f>
        <v>1.2099613152804642</v>
      </c>
      <c r="H26" s="148">
        <f t="shared" si="8"/>
        <v>0.75</v>
      </c>
      <c r="I26" s="148">
        <f t="shared" si="8"/>
        <v>0.53</v>
      </c>
      <c r="J26" s="148">
        <f t="shared" si="8"/>
        <v>0.44999999999999996</v>
      </c>
      <c r="K26" s="148">
        <f t="shared" si="8"/>
        <v>0.35000000000000009</v>
      </c>
      <c r="L26" s="148">
        <f t="shared" si="8"/>
        <v>0.25</v>
      </c>
      <c r="M26" s="148">
        <f t="shared" si="8"/>
        <v>0.14999999999999991</v>
      </c>
      <c r="N26" s="148">
        <f t="shared" si="8"/>
        <v>0.10000000000000009</v>
      </c>
      <c r="O26" s="148">
        <f t="shared" si="8"/>
        <v>8.0000000000000071E-2</v>
      </c>
      <c r="P26" s="148">
        <f t="shared" si="8"/>
        <v>7.0000000000000007E-2</v>
      </c>
      <c r="Q26" s="148">
        <f t="shared" si="8"/>
        <v>0.06</v>
      </c>
    </row>
    <row r="27" spans="1:31">
      <c r="A27" s="15" t="s">
        <v>3</v>
      </c>
      <c r="B27" s="13"/>
      <c r="C27" s="31"/>
      <c r="D27" s="31"/>
      <c r="E27" s="31"/>
      <c r="F27" s="31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</row>
    <row r="28" spans="1:31">
      <c r="A28" s="1"/>
      <c r="B28" s="55"/>
      <c r="C28" s="55"/>
      <c r="D28" s="54"/>
      <c r="E28" s="54"/>
      <c r="F28" s="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</row>
    <row r="29" spans="1:31" ht="14.25" customHeight="1">
      <c r="A29" s="28" t="s">
        <v>100</v>
      </c>
      <c r="C29" s="8"/>
      <c r="D29" s="8"/>
      <c r="E29" s="8"/>
      <c r="F29" s="8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</row>
    <row r="30" spans="1:31" ht="14.25" customHeight="1">
      <c r="A30" t="s">
        <v>5</v>
      </c>
      <c r="B30" s="8"/>
      <c r="C30" s="8"/>
      <c r="D30" s="8"/>
      <c r="E30" s="8"/>
      <c r="F30" s="8"/>
      <c r="G30" s="148">
        <f t="shared" ref="G30:Q30" si="9">CHOOSE($K$14,G85,G139,G193,G247)</f>
        <v>0.61043695815951304</v>
      </c>
      <c r="H30" s="148">
        <f t="shared" si="9"/>
        <v>0.61043695815951304</v>
      </c>
      <c r="I30" s="148">
        <f t="shared" si="9"/>
        <v>0.59499999999999997</v>
      </c>
      <c r="J30" s="148">
        <f t="shared" si="9"/>
        <v>0.59499999999999997</v>
      </c>
      <c r="K30" s="148">
        <f t="shared" si="9"/>
        <v>0.59</v>
      </c>
      <c r="L30" s="148">
        <f t="shared" si="9"/>
        <v>0.59</v>
      </c>
      <c r="M30" s="148">
        <f t="shared" si="9"/>
        <v>0.59499999999999997</v>
      </c>
      <c r="N30" s="148">
        <f t="shared" si="9"/>
        <v>0.59499999999999997</v>
      </c>
      <c r="O30" s="148">
        <f t="shared" si="9"/>
        <v>0.59</v>
      </c>
      <c r="P30" s="148">
        <f t="shared" si="9"/>
        <v>0.59</v>
      </c>
      <c r="Q30" s="148">
        <f t="shared" si="9"/>
        <v>0.58499999999999996</v>
      </c>
    </row>
    <row r="31" spans="1:31" ht="14.25" customHeight="1">
      <c r="A31" s="10" t="s">
        <v>6</v>
      </c>
      <c r="B31" s="8"/>
      <c r="C31" s="8"/>
      <c r="D31" s="8"/>
      <c r="E31" s="8"/>
      <c r="F31" s="8"/>
      <c r="G31" s="148">
        <f t="shared" ref="G31:Q31" si="10">CHOOSE($K$14,G86,G140,G194,G248)</f>
        <v>0.1462138351343146</v>
      </c>
      <c r="H31" s="148">
        <f t="shared" si="10"/>
        <v>0.15060025018834405</v>
      </c>
      <c r="I31" s="148">
        <f t="shared" si="10"/>
        <v>0.15361225519211094</v>
      </c>
      <c r="J31" s="148">
        <f t="shared" si="10"/>
        <v>0.155</v>
      </c>
      <c r="K31" s="148">
        <f t="shared" si="10"/>
        <v>0.156</v>
      </c>
      <c r="L31" s="148">
        <f t="shared" si="10"/>
        <v>0.157</v>
      </c>
      <c r="M31" s="148">
        <f t="shared" si="10"/>
        <v>0.158</v>
      </c>
      <c r="N31" s="148">
        <f t="shared" si="10"/>
        <v>0.16</v>
      </c>
      <c r="O31" s="148">
        <f t="shared" si="10"/>
        <v>0.16</v>
      </c>
      <c r="P31" s="148">
        <f t="shared" si="10"/>
        <v>0.16</v>
      </c>
      <c r="Q31" s="148">
        <f t="shared" si="10"/>
        <v>0.16</v>
      </c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</row>
    <row r="32" spans="1:31" ht="14.25" customHeight="1">
      <c r="A32" s="10" t="s">
        <v>7</v>
      </c>
      <c r="B32" s="8"/>
      <c r="C32" s="8"/>
      <c r="D32" s="8"/>
      <c r="E32" s="8"/>
      <c r="F32" s="8"/>
      <c r="G32" s="148">
        <f t="shared" ref="G32:Q32" si="11">CHOOSE($K$14,G87,G141,G195,G249)</f>
        <v>5.8308333239629834E-2</v>
      </c>
      <c r="H32" s="148">
        <f t="shared" si="11"/>
        <v>6.0057583236818729E-2</v>
      </c>
      <c r="I32" s="148">
        <f t="shared" si="11"/>
        <v>6.1258734901555104E-2</v>
      </c>
      <c r="J32" s="148">
        <f t="shared" si="11"/>
        <v>6.2483909599586204E-2</v>
      </c>
      <c r="K32" s="148">
        <f t="shared" si="11"/>
        <v>6.2483909599586204E-2</v>
      </c>
      <c r="L32" s="148">
        <f t="shared" si="11"/>
        <v>6.2483909599586204E-2</v>
      </c>
      <c r="M32" s="148">
        <f t="shared" si="11"/>
        <v>6.2483909599586204E-2</v>
      </c>
      <c r="N32" s="148">
        <f t="shared" si="11"/>
        <v>6.0999999999999999E-2</v>
      </c>
      <c r="O32" s="148">
        <f t="shared" si="11"/>
        <v>6.0999999999999999E-2</v>
      </c>
      <c r="P32" s="148">
        <f t="shared" si="11"/>
        <v>6.0999999999999999E-2</v>
      </c>
      <c r="Q32" s="148">
        <f t="shared" si="11"/>
        <v>0.06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spans="1:31" ht="14.25" customHeight="1">
      <c r="A33" s="10" t="s">
        <v>8</v>
      </c>
      <c r="B33" s="8"/>
      <c r="C33" s="8"/>
      <c r="D33" s="8"/>
      <c r="E33" s="8"/>
      <c r="F33" s="8"/>
      <c r="G33" s="148">
        <f t="shared" ref="G33:Q33" si="12">CHOOSE($K$14,G88,G142,G196,G250)</f>
        <v>0.12717438970910686</v>
      </c>
      <c r="H33" s="148">
        <f t="shared" si="12"/>
        <v>0.12717438970910686</v>
      </c>
      <c r="I33" s="148">
        <f t="shared" si="12"/>
        <v>0.12717438970910686</v>
      </c>
      <c r="J33" s="148">
        <f t="shared" si="12"/>
        <v>0.12717438970910686</v>
      </c>
      <c r="K33" s="148">
        <f t="shared" si="12"/>
        <v>0.12717438970910686</v>
      </c>
      <c r="L33" s="148">
        <f t="shared" si="12"/>
        <v>0.125</v>
      </c>
      <c r="M33" s="148">
        <f t="shared" si="12"/>
        <v>0.125</v>
      </c>
      <c r="N33" s="148">
        <f t="shared" si="12"/>
        <v>0.125</v>
      </c>
      <c r="O33" s="148">
        <f t="shared" si="12"/>
        <v>0.1225</v>
      </c>
      <c r="P33" s="148">
        <f t="shared" si="12"/>
        <v>0.12</v>
      </c>
      <c r="Q33" s="148">
        <f t="shared" si="12"/>
        <v>0.12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 spans="1:31" ht="14.25" customHeight="1">
      <c r="A34" s="10" t="s">
        <v>9</v>
      </c>
      <c r="B34" s="8"/>
      <c r="C34" s="8"/>
      <c r="D34" s="8"/>
      <c r="E34" s="8"/>
      <c r="F34" s="8"/>
      <c r="G34" s="148">
        <f t="shared" ref="G34:Q34" si="13">CHOOSE($K$14,G89,G143,G197,G251)</f>
        <v>2.0655999460267842E-2</v>
      </c>
      <c r="H34" s="148">
        <f t="shared" si="13"/>
        <v>2.0655999460267842E-2</v>
      </c>
      <c r="I34" s="148">
        <f t="shared" si="13"/>
        <v>2.0655999460267842E-2</v>
      </c>
      <c r="J34" s="148">
        <f t="shared" si="13"/>
        <v>0.02</v>
      </c>
      <c r="K34" s="148">
        <f t="shared" si="13"/>
        <v>0.02</v>
      </c>
      <c r="L34" s="148">
        <f t="shared" si="13"/>
        <v>0.02</v>
      </c>
      <c r="M34" s="148">
        <f t="shared" si="13"/>
        <v>0.02</v>
      </c>
      <c r="N34" s="148">
        <f t="shared" si="13"/>
        <v>1.9E-2</v>
      </c>
      <c r="O34" s="148">
        <f t="shared" si="13"/>
        <v>1.9E-2</v>
      </c>
      <c r="P34" s="148">
        <f t="shared" si="13"/>
        <v>1.9E-2</v>
      </c>
      <c r="Q34" s="148">
        <f t="shared" si="13"/>
        <v>1.9E-2</v>
      </c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spans="1:31" ht="14.25" customHeight="1">
      <c r="A35" s="10" t="s">
        <v>10</v>
      </c>
      <c r="B35" s="8"/>
      <c r="C35" s="8"/>
      <c r="D35" s="8"/>
      <c r="E35" s="8"/>
      <c r="F35" s="8"/>
      <c r="G35" s="148">
        <f t="shared" ref="G35:Q35" si="14">CHOOSE($K$14,G90,G144,G198,G252)</f>
        <v>1.1429952885880382E-3</v>
      </c>
      <c r="H35" s="148">
        <f t="shared" si="14"/>
        <v>1.0858455241586362E-3</v>
      </c>
      <c r="I35" s="148">
        <f t="shared" si="14"/>
        <v>1.0315532479507044E-3</v>
      </c>
      <c r="J35" s="148">
        <f t="shared" si="14"/>
        <v>9.7997558555316922E-4</v>
      </c>
      <c r="K35" s="148">
        <f t="shared" si="14"/>
        <v>9.3097680627551068E-4</v>
      </c>
      <c r="L35" s="148">
        <f t="shared" si="14"/>
        <v>8.844279659617351E-4</v>
      </c>
      <c r="M35" s="148">
        <f t="shared" si="14"/>
        <v>8.4020656766364832E-4</v>
      </c>
      <c r="N35" s="148">
        <f t="shared" si="14"/>
        <v>7.9819623928046582E-4</v>
      </c>
      <c r="O35" s="148">
        <f t="shared" si="14"/>
        <v>7.5828642731644248E-4</v>
      </c>
      <c r="P35" s="148">
        <f t="shared" si="14"/>
        <v>7.5828642731644248E-4</v>
      </c>
      <c r="Q35" s="148">
        <f t="shared" si="14"/>
        <v>7.5828642731644248E-4</v>
      </c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 spans="1:31" ht="14.25" customHeight="1">
      <c r="A36" s="30" t="s">
        <v>11</v>
      </c>
      <c r="B36" s="31"/>
      <c r="C36" s="31"/>
      <c r="D36" s="31"/>
      <c r="E36" s="31"/>
      <c r="F36" s="31"/>
      <c r="G36" s="155">
        <f>SUM(G30:G35)</f>
        <v>0.9639325109914203</v>
      </c>
      <c r="H36" s="155">
        <f t="shared" ref="H36:Q36" si="15">SUM(H30:H35)</f>
        <v>0.97001102627820934</v>
      </c>
      <c r="I36" s="155">
        <f t="shared" si="15"/>
        <v>0.95873293251099145</v>
      </c>
      <c r="J36" s="155">
        <f t="shared" si="15"/>
        <v>0.96063827489424625</v>
      </c>
      <c r="K36" s="155">
        <f t="shared" si="15"/>
        <v>0.95658927611496858</v>
      </c>
      <c r="L36" s="155">
        <f t="shared" si="15"/>
        <v>0.95536833756554795</v>
      </c>
      <c r="M36" s="155">
        <f t="shared" si="15"/>
        <v>0.96132411616724989</v>
      </c>
      <c r="N36" s="155">
        <f t="shared" si="15"/>
        <v>0.96079819623928053</v>
      </c>
      <c r="O36" s="155">
        <f t="shared" si="15"/>
        <v>0.95325828642731647</v>
      </c>
      <c r="P36" s="155">
        <f t="shared" si="15"/>
        <v>0.95075828642731641</v>
      </c>
      <c r="Q36" s="155">
        <f t="shared" si="15"/>
        <v>0.94475828642731641</v>
      </c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 spans="1:31" ht="14.25" customHeight="1">
      <c r="A37" s="10"/>
      <c r="B37" s="9"/>
      <c r="C37" s="9"/>
      <c r="D37" s="9"/>
      <c r="E37" s="9"/>
      <c r="F37" s="9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spans="1:31" ht="14.25" customHeight="1">
      <c r="A38" s="10" t="s">
        <v>101</v>
      </c>
      <c r="B38" s="9"/>
      <c r="C38" s="9"/>
      <c r="D38" s="9"/>
      <c r="E38" s="9"/>
      <c r="F38" s="9"/>
      <c r="G38" s="148">
        <f t="shared" ref="G38:Q38" si="16">CHOOSE($K$14,G93,G147,G201,G255)</f>
        <v>6.8000000000000005E-2</v>
      </c>
      <c r="H38" s="148">
        <f t="shared" si="16"/>
        <v>6.8000000000000005E-2</v>
      </c>
      <c r="I38" s="148">
        <f t="shared" si="16"/>
        <v>6.8000000000000005E-2</v>
      </c>
      <c r="J38" s="148">
        <f t="shared" si="16"/>
        <v>6.8000000000000005E-2</v>
      </c>
      <c r="K38" s="148">
        <f t="shared" si="16"/>
        <v>6.8000000000000005E-2</v>
      </c>
      <c r="L38" s="148">
        <f t="shared" si="16"/>
        <v>6.8000000000000005E-2</v>
      </c>
      <c r="M38" s="148">
        <f t="shared" si="16"/>
        <v>6.8000000000000005E-2</v>
      </c>
      <c r="N38" s="148">
        <f t="shared" si="16"/>
        <v>6.8000000000000005E-2</v>
      </c>
      <c r="O38" s="148">
        <f t="shared" si="16"/>
        <v>6.8000000000000005E-2</v>
      </c>
      <c r="P38" s="148">
        <f t="shared" si="16"/>
        <v>6.8000000000000005E-2</v>
      </c>
      <c r="Q38" s="148">
        <f t="shared" si="16"/>
        <v>6.8000000000000005E-2</v>
      </c>
    </row>
    <row r="39" spans="1:31" ht="14.25" customHeight="1">
      <c r="A39" s="10" t="s">
        <v>91</v>
      </c>
      <c r="B39" s="9"/>
      <c r="C39" s="9"/>
      <c r="D39" s="9"/>
      <c r="E39" s="9"/>
      <c r="F39" s="9"/>
      <c r="G39" s="148">
        <f t="shared" ref="G39:Q39" si="17">CHOOSE($K$14,G94,G148,G202,G256)</f>
        <v>0.2</v>
      </c>
      <c r="H39" s="148">
        <f t="shared" si="17"/>
        <v>0.2</v>
      </c>
      <c r="I39" s="148">
        <f t="shared" si="17"/>
        <v>0.22500000000000001</v>
      </c>
      <c r="J39" s="148">
        <f t="shared" si="17"/>
        <v>0.22500000000000001</v>
      </c>
      <c r="K39" s="148">
        <f t="shared" si="17"/>
        <v>0.22500000000000001</v>
      </c>
      <c r="L39" s="148">
        <f t="shared" si="17"/>
        <v>0.22500000000000001</v>
      </c>
      <c r="M39" s="148">
        <f t="shared" si="17"/>
        <v>0.22500000000000001</v>
      </c>
      <c r="N39" s="148">
        <f t="shared" si="17"/>
        <v>0.22500000000000001</v>
      </c>
      <c r="O39" s="148">
        <f t="shared" si="17"/>
        <v>0.22500000000000001</v>
      </c>
      <c r="P39" s="148">
        <f t="shared" si="17"/>
        <v>0.22500000000000001</v>
      </c>
      <c r="Q39" s="148">
        <f t="shared" si="17"/>
        <v>0.22500000000000001</v>
      </c>
    </row>
    <row r="40" spans="1:31" ht="14.25" customHeight="1">
      <c r="A40" s="10" t="s">
        <v>102</v>
      </c>
      <c r="B40" s="9"/>
      <c r="C40" s="9"/>
      <c r="D40" s="9"/>
      <c r="E40" s="9"/>
      <c r="F40" s="9"/>
      <c r="G40" s="148">
        <f t="shared" ref="G40:Q40" si="18">CHOOSE($K$14,G95,G149,G203,G257)</f>
        <v>0.01</v>
      </c>
      <c r="H40" s="148">
        <f t="shared" si="18"/>
        <v>0.01</v>
      </c>
      <c r="I40" s="148">
        <f t="shared" si="18"/>
        <v>0.01</v>
      </c>
      <c r="J40" s="148">
        <f t="shared" si="18"/>
        <v>0.01</v>
      </c>
      <c r="K40" s="148">
        <f t="shared" si="18"/>
        <v>0.01</v>
      </c>
      <c r="L40" s="148">
        <f t="shared" si="18"/>
        <v>0.01</v>
      </c>
      <c r="M40" s="148">
        <f t="shared" si="18"/>
        <v>0.01</v>
      </c>
      <c r="N40" s="148">
        <f t="shared" si="18"/>
        <v>0.01</v>
      </c>
      <c r="O40" s="148">
        <f t="shared" si="18"/>
        <v>0.01</v>
      </c>
      <c r="P40" s="148">
        <f t="shared" si="18"/>
        <v>0.01</v>
      </c>
      <c r="Q40" s="148">
        <f t="shared" si="18"/>
        <v>0.01</v>
      </c>
    </row>
    <row r="41" spans="1:31" ht="14.25" customHeight="1">
      <c r="A41" s="10" t="s">
        <v>103</v>
      </c>
      <c r="B41" s="9"/>
      <c r="C41" s="9"/>
      <c r="D41" s="9"/>
      <c r="E41" s="9"/>
      <c r="F41" s="9"/>
      <c r="G41" s="148">
        <f t="shared" ref="G41:Q41" si="19">CHOOSE($K$14,G96,G150,G204,G258)</f>
        <v>5.5E-2</v>
      </c>
      <c r="H41" s="148">
        <f t="shared" si="19"/>
        <v>5.5E-2</v>
      </c>
      <c r="I41" s="148">
        <f t="shared" si="19"/>
        <v>5.5E-2</v>
      </c>
      <c r="J41" s="148">
        <f t="shared" si="19"/>
        <v>5.5E-2</v>
      </c>
      <c r="K41" s="148">
        <f t="shared" si="19"/>
        <v>5.5E-2</v>
      </c>
      <c r="L41" s="148">
        <f t="shared" si="19"/>
        <v>5.5E-2</v>
      </c>
      <c r="M41" s="148">
        <f t="shared" si="19"/>
        <v>5.5E-2</v>
      </c>
      <c r="N41" s="148">
        <f t="shared" si="19"/>
        <v>5.5E-2</v>
      </c>
      <c r="O41" s="148">
        <f t="shared" si="19"/>
        <v>5.5E-2</v>
      </c>
      <c r="P41" s="148">
        <f t="shared" si="19"/>
        <v>5.5E-2</v>
      </c>
      <c r="Q41" s="148">
        <f t="shared" si="19"/>
        <v>5.5E-2</v>
      </c>
    </row>
    <row r="42" spans="1:31" ht="14.25" customHeight="1">
      <c r="A42" s="10"/>
      <c r="B42" s="9"/>
      <c r="C42" s="9"/>
      <c r="D42" s="9"/>
      <c r="E42" s="9"/>
      <c r="F42" s="9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</row>
    <row r="43" spans="1:31" ht="14.25" customHeight="1">
      <c r="A43" s="28" t="s">
        <v>93</v>
      </c>
      <c r="B43" s="9"/>
      <c r="C43" s="9"/>
      <c r="D43" s="9"/>
      <c r="E43" s="9"/>
      <c r="F43" s="9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</row>
    <row r="44" spans="1:31" ht="14.25" customHeight="1">
      <c r="A44" s="10" t="s">
        <v>104</v>
      </c>
      <c r="B44" s="32"/>
      <c r="C44" s="32"/>
      <c r="D44" s="32"/>
      <c r="E44" s="32"/>
      <c r="F44" s="32"/>
      <c r="G44" s="157">
        <f t="shared" ref="G44:Q44" si="20">CHOOSE($K$14,G99,G153,G207,G261)</f>
        <v>52</v>
      </c>
      <c r="H44" s="157">
        <f t="shared" si="20"/>
        <v>52</v>
      </c>
      <c r="I44" s="157">
        <f t="shared" si="20"/>
        <v>52</v>
      </c>
      <c r="J44" s="157">
        <f t="shared" si="20"/>
        <v>52</v>
      </c>
      <c r="K44" s="157">
        <f t="shared" si="20"/>
        <v>52</v>
      </c>
      <c r="L44" s="157">
        <f t="shared" si="20"/>
        <v>52</v>
      </c>
      <c r="M44" s="157">
        <f t="shared" si="20"/>
        <v>52</v>
      </c>
      <c r="N44" s="157">
        <f t="shared" si="20"/>
        <v>52</v>
      </c>
      <c r="O44" s="157">
        <f t="shared" si="20"/>
        <v>52</v>
      </c>
      <c r="P44" s="157">
        <f t="shared" si="20"/>
        <v>52</v>
      </c>
      <c r="Q44" s="157">
        <f t="shared" si="20"/>
        <v>52</v>
      </c>
    </row>
    <row r="45" spans="1:31" ht="14.25" customHeight="1">
      <c r="A45" s="10" t="s">
        <v>105</v>
      </c>
      <c r="B45" s="32"/>
      <c r="C45" s="32"/>
      <c r="D45" s="32"/>
      <c r="E45" s="32"/>
      <c r="F45" s="32"/>
      <c r="G45" s="157">
        <f t="shared" ref="G45:Q45" si="21">CHOOSE($K$14,G100,G154,G208,G262)</f>
        <v>27</v>
      </c>
      <c r="H45" s="157">
        <f t="shared" si="21"/>
        <v>27</v>
      </c>
      <c r="I45" s="157">
        <f t="shared" si="21"/>
        <v>27</v>
      </c>
      <c r="J45" s="157">
        <f t="shared" si="21"/>
        <v>27</v>
      </c>
      <c r="K45" s="157">
        <f t="shared" si="21"/>
        <v>27</v>
      </c>
      <c r="L45" s="157">
        <f t="shared" si="21"/>
        <v>27</v>
      </c>
      <c r="M45" s="157">
        <f t="shared" si="21"/>
        <v>27</v>
      </c>
      <c r="N45" s="157">
        <f t="shared" si="21"/>
        <v>27</v>
      </c>
      <c r="O45" s="157">
        <f t="shared" si="21"/>
        <v>27</v>
      </c>
      <c r="P45" s="157">
        <f t="shared" si="21"/>
        <v>27</v>
      </c>
      <c r="Q45" s="157">
        <f t="shared" si="21"/>
        <v>27</v>
      </c>
    </row>
    <row r="46" spans="1:31" ht="14.25" customHeight="1">
      <c r="A46" s="10" t="s">
        <v>106</v>
      </c>
      <c r="B46" s="32"/>
      <c r="C46" s="32"/>
      <c r="D46" s="32"/>
      <c r="E46" s="32"/>
      <c r="F46" s="32"/>
      <c r="G46" s="158">
        <f t="shared" ref="G46:Q46" si="22">CHOOSE($K$14,G101,G155,G209,G263)</f>
        <v>0</v>
      </c>
      <c r="H46" s="158">
        <f t="shared" si="22"/>
        <v>0</v>
      </c>
      <c r="I46" s="158">
        <f t="shared" si="22"/>
        <v>0</v>
      </c>
      <c r="J46" s="158">
        <f t="shared" si="22"/>
        <v>0</v>
      </c>
      <c r="K46" s="158">
        <f t="shared" si="22"/>
        <v>0</v>
      </c>
      <c r="L46" s="158">
        <f t="shared" si="22"/>
        <v>0</v>
      </c>
      <c r="M46" s="158">
        <f t="shared" si="22"/>
        <v>0</v>
      </c>
      <c r="N46" s="158">
        <f t="shared" si="22"/>
        <v>0</v>
      </c>
      <c r="O46" s="158">
        <f t="shared" si="22"/>
        <v>0</v>
      </c>
      <c r="P46" s="158">
        <f t="shared" si="22"/>
        <v>0</v>
      </c>
      <c r="Q46" s="158">
        <f t="shared" si="22"/>
        <v>0</v>
      </c>
    </row>
    <row r="47" spans="1:31" ht="14.25" customHeight="1">
      <c r="A47" s="10" t="s">
        <v>107</v>
      </c>
      <c r="B47" s="33"/>
      <c r="C47" s="9"/>
      <c r="D47" s="9"/>
      <c r="E47" s="9"/>
      <c r="F47" s="9"/>
      <c r="G47" s="159">
        <f t="shared" ref="G47:Q47" si="23">CHOOSE($K$14,G102,G156,G210,G264)</f>
        <v>0</v>
      </c>
      <c r="H47" s="159">
        <f t="shared" si="23"/>
        <v>0</v>
      </c>
      <c r="I47" s="159">
        <f t="shared" si="23"/>
        <v>0</v>
      </c>
      <c r="J47" s="159">
        <f t="shared" si="23"/>
        <v>0</v>
      </c>
      <c r="K47" s="159">
        <f t="shared" si="23"/>
        <v>0</v>
      </c>
      <c r="L47" s="159">
        <f t="shared" si="23"/>
        <v>0</v>
      </c>
      <c r="M47" s="159">
        <f t="shared" si="23"/>
        <v>0</v>
      </c>
      <c r="N47" s="159">
        <f t="shared" si="23"/>
        <v>0</v>
      </c>
      <c r="O47" s="159">
        <f t="shared" si="23"/>
        <v>0</v>
      </c>
      <c r="P47" s="159">
        <f t="shared" si="23"/>
        <v>0</v>
      </c>
      <c r="Q47" s="159">
        <f t="shared" si="23"/>
        <v>0</v>
      </c>
    </row>
    <row r="48" spans="1:31" ht="14.25" customHeight="1">
      <c r="A48" s="10" t="s">
        <v>108</v>
      </c>
      <c r="B48" s="33"/>
      <c r="C48" s="9"/>
      <c r="D48" s="9"/>
      <c r="E48" s="9"/>
      <c r="F48" s="9"/>
      <c r="G48" s="159">
        <f t="shared" ref="G48:Q48" si="24">CHOOSE($K$14,G103,G157,G211,G265)</f>
        <v>0</v>
      </c>
      <c r="H48" s="159">
        <f t="shared" si="24"/>
        <v>0</v>
      </c>
      <c r="I48" s="159">
        <f t="shared" si="24"/>
        <v>0</v>
      </c>
      <c r="J48" s="159">
        <f t="shared" si="24"/>
        <v>0</v>
      </c>
      <c r="K48" s="159">
        <f t="shared" si="24"/>
        <v>0</v>
      </c>
      <c r="L48" s="159">
        <f t="shared" si="24"/>
        <v>0</v>
      </c>
      <c r="M48" s="159">
        <f t="shared" si="24"/>
        <v>0</v>
      </c>
      <c r="N48" s="159">
        <f t="shared" si="24"/>
        <v>0</v>
      </c>
      <c r="O48" s="159">
        <f t="shared" si="24"/>
        <v>0</v>
      </c>
      <c r="P48" s="159">
        <f t="shared" si="24"/>
        <v>0</v>
      </c>
      <c r="Q48" s="159">
        <f t="shared" si="24"/>
        <v>0</v>
      </c>
    </row>
    <row r="49" spans="1:17" ht="14.25" customHeight="1">
      <c r="A49" s="10"/>
      <c r="B49" s="9"/>
      <c r="C49" s="9"/>
      <c r="D49" s="9"/>
      <c r="E49" s="9"/>
      <c r="F49" s="9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</row>
    <row r="50" spans="1:17" ht="14.25" customHeight="1">
      <c r="A50" s="10" t="s">
        <v>109</v>
      </c>
      <c r="B50" s="32"/>
      <c r="C50" s="32"/>
      <c r="D50" s="32"/>
      <c r="E50" s="32"/>
      <c r="F50" s="32"/>
      <c r="G50" s="157">
        <f t="shared" ref="G50:Q50" si="25">CHOOSE($K$14,G105,G159,G213,G267)</f>
        <v>115</v>
      </c>
      <c r="H50" s="157">
        <f t="shared" si="25"/>
        <v>115</v>
      </c>
      <c r="I50" s="157">
        <f t="shared" si="25"/>
        <v>115</v>
      </c>
      <c r="J50" s="157">
        <f t="shared" si="25"/>
        <v>115</v>
      </c>
      <c r="K50" s="157">
        <f t="shared" si="25"/>
        <v>115</v>
      </c>
      <c r="L50" s="157">
        <f t="shared" si="25"/>
        <v>115</v>
      </c>
      <c r="M50" s="157">
        <f t="shared" si="25"/>
        <v>115</v>
      </c>
      <c r="N50" s="157">
        <f t="shared" si="25"/>
        <v>115</v>
      </c>
      <c r="O50" s="157">
        <f t="shared" si="25"/>
        <v>115</v>
      </c>
      <c r="P50" s="157">
        <f t="shared" si="25"/>
        <v>115</v>
      </c>
      <c r="Q50" s="157">
        <f t="shared" si="25"/>
        <v>115</v>
      </c>
    </row>
    <row r="51" spans="1:17" ht="14.25" customHeight="1">
      <c r="A51" s="10" t="s">
        <v>110</v>
      </c>
      <c r="B51" s="9"/>
      <c r="C51" s="9"/>
      <c r="D51" s="9"/>
      <c r="E51" s="9"/>
      <c r="F51" s="9"/>
      <c r="G51" s="148">
        <f t="shared" ref="G51:Q51" si="26">CHOOSE($K$14,G106,G160,G214,G268)</f>
        <v>0.1</v>
      </c>
      <c r="H51" s="148">
        <f t="shared" si="26"/>
        <v>0.1</v>
      </c>
      <c r="I51" s="148">
        <f t="shared" si="26"/>
        <v>0.1</v>
      </c>
      <c r="J51" s="148">
        <f t="shared" si="26"/>
        <v>0.1</v>
      </c>
      <c r="K51" s="148">
        <f t="shared" si="26"/>
        <v>0.1</v>
      </c>
      <c r="L51" s="148">
        <f t="shared" si="26"/>
        <v>0.1</v>
      </c>
      <c r="M51" s="148">
        <f t="shared" si="26"/>
        <v>0.1</v>
      </c>
      <c r="N51" s="148">
        <f t="shared" si="26"/>
        <v>0.1</v>
      </c>
      <c r="O51" s="148">
        <f t="shared" si="26"/>
        <v>0.1</v>
      </c>
      <c r="P51" s="148">
        <f t="shared" si="26"/>
        <v>0.1</v>
      </c>
      <c r="Q51" s="148">
        <f t="shared" si="26"/>
        <v>0.1</v>
      </c>
    </row>
    <row r="52" spans="1:17" ht="14.25" customHeight="1">
      <c r="A52" s="10" t="s">
        <v>41</v>
      </c>
      <c r="B52" s="9"/>
      <c r="C52" s="9"/>
      <c r="D52" s="9"/>
      <c r="E52" s="9"/>
      <c r="F52" s="9"/>
      <c r="G52" s="148">
        <f t="shared" ref="G52:Q52" si="27">CHOOSE($K$14,G107,G161,G215,G269)</f>
        <v>0.03</v>
      </c>
      <c r="H52" s="148">
        <f t="shared" si="27"/>
        <v>0.03</v>
      </c>
      <c r="I52" s="148">
        <f t="shared" si="27"/>
        <v>0.03</v>
      </c>
      <c r="J52" s="148">
        <f t="shared" si="27"/>
        <v>0.03</v>
      </c>
      <c r="K52" s="148">
        <f t="shared" si="27"/>
        <v>0.03</v>
      </c>
      <c r="L52" s="148">
        <f t="shared" si="27"/>
        <v>0.03</v>
      </c>
      <c r="M52" s="148">
        <f t="shared" si="27"/>
        <v>0.03</v>
      </c>
      <c r="N52" s="148">
        <f t="shared" si="27"/>
        <v>0.03</v>
      </c>
      <c r="O52" s="148">
        <f t="shared" si="27"/>
        <v>0.03</v>
      </c>
      <c r="P52" s="148">
        <f t="shared" si="27"/>
        <v>0.03</v>
      </c>
      <c r="Q52" s="148">
        <f t="shared" si="27"/>
        <v>0.03</v>
      </c>
    </row>
    <row r="53" spans="1:17" ht="14.25" customHeight="1">
      <c r="A53" s="10"/>
      <c r="B53" s="9"/>
      <c r="C53" s="9"/>
      <c r="D53" s="9"/>
      <c r="E53" s="9"/>
      <c r="F53" s="9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</row>
    <row r="54" spans="1:17" ht="14.25" customHeight="1">
      <c r="A54" s="10" t="s">
        <v>111</v>
      </c>
      <c r="B54" s="9"/>
      <c r="C54" s="9"/>
      <c r="D54" s="9"/>
      <c r="E54" s="9"/>
      <c r="F54" s="9"/>
      <c r="G54" s="148">
        <f t="shared" ref="G54:Q54" si="28">CHOOSE($K$14,G109,G163,G217,G271)</f>
        <v>7.0000000000000007E-2</v>
      </c>
      <c r="H54" s="148">
        <f t="shared" si="28"/>
        <v>7.0000000000000007E-2</v>
      </c>
      <c r="I54" s="148">
        <f t="shared" si="28"/>
        <v>7.0000000000000007E-2</v>
      </c>
      <c r="J54" s="148">
        <f t="shared" si="28"/>
        <v>0.06</v>
      </c>
      <c r="K54" s="148">
        <f t="shared" si="28"/>
        <v>0.06</v>
      </c>
      <c r="L54" s="148">
        <f t="shared" si="28"/>
        <v>0.06</v>
      </c>
      <c r="M54" s="148">
        <f t="shared" si="28"/>
        <v>5.5E-2</v>
      </c>
      <c r="N54" s="148">
        <f t="shared" si="28"/>
        <v>0.05</v>
      </c>
      <c r="O54" s="148">
        <f t="shared" si="28"/>
        <v>0.05</v>
      </c>
      <c r="P54" s="148">
        <f t="shared" si="28"/>
        <v>4.4999999999999998E-2</v>
      </c>
      <c r="Q54" s="148">
        <f t="shared" si="28"/>
        <v>4.4999999999999998E-2</v>
      </c>
    </row>
    <row r="55" spans="1:17" ht="14.25" customHeight="1">
      <c r="A55" s="10" t="s">
        <v>112</v>
      </c>
      <c r="B55" s="9"/>
      <c r="C55" s="9"/>
      <c r="D55" s="9"/>
      <c r="E55" s="9"/>
      <c r="F55" s="9"/>
      <c r="G55" s="148">
        <f t="shared" ref="G55:Q55" si="29">CHOOSE($K$14,G110,G164,G218,G272)</f>
        <v>7.4999999999999997E-2</v>
      </c>
      <c r="H55" s="148">
        <f t="shared" si="29"/>
        <v>0.06</v>
      </c>
      <c r="I55" s="148">
        <f t="shared" si="29"/>
        <v>0.05</v>
      </c>
      <c r="J55" s="148">
        <f t="shared" si="29"/>
        <v>0.05</v>
      </c>
      <c r="K55" s="148">
        <f t="shared" si="29"/>
        <v>0.05</v>
      </c>
      <c r="L55" s="148">
        <f t="shared" si="29"/>
        <v>0.04</v>
      </c>
      <c r="M55" s="148">
        <f t="shared" si="29"/>
        <v>0.04</v>
      </c>
      <c r="N55" s="148">
        <f t="shared" si="29"/>
        <v>0.04</v>
      </c>
      <c r="O55" s="148">
        <f t="shared" si="29"/>
        <v>0.03</v>
      </c>
      <c r="P55" s="148">
        <f t="shared" si="29"/>
        <v>2.9000000000000001E-2</v>
      </c>
      <c r="Q55" s="148">
        <f t="shared" si="29"/>
        <v>2.9000000000000001E-2</v>
      </c>
    </row>
    <row r="56" spans="1:17" ht="14.25" customHeight="1">
      <c r="A56" s="10" t="s">
        <v>113</v>
      </c>
      <c r="B56" s="9"/>
      <c r="C56" s="9"/>
      <c r="D56" s="9"/>
      <c r="E56" s="9"/>
      <c r="F56" s="9"/>
      <c r="G56" s="148">
        <f t="shared" ref="G56:Q56" si="30">CHOOSE($K$14,G111,G165,G219,G273)</f>
        <v>0.4</v>
      </c>
      <c r="H56" s="148">
        <f t="shared" si="30"/>
        <v>0.4</v>
      </c>
      <c r="I56" s="148">
        <f t="shared" si="30"/>
        <v>0.4</v>
      </c>
      <c r="J56" s="148">
        <f t="shared" si="30"/>
        <v>0.4</v>
      </c>
      <c r="K56" s="148">
        <f t="shared" si="30"/>
        <v>0.4</v>
      </c>
      <c r="L56" s="148">
        <f t="shared" si="30"/>
        <v>0.4</v>
      </c>
      <c r="M56" s="148">
        <f t="shared" si="30"/>
        <v>0.4</v>
      </c>
      <c r="N56" s="148">
        <f t="shared" si="30"/>
        <v>0.4</v>
      </c>
      <c r="O56" s="148">
        <f t="shared" si="30"/>
        <v>0.4</v>
      </c>
      <c r="P56" s="148">
        <f t="shared" si="30"/>
        <v>0.4</v>
      </c>
      <c r="Q56" s="148">
        <f t="shared" si="30"/>
        <v>0.4</v>
      </c>
    </row>
    <row r="57" spans="1:17" ht="14.25" customHeight="1">
      <c r="A57" s="10" t="s">
        <v>114</v>
      </c>
      <c r="B57" s="9"/>
      <c r="C57" s="9"/>
      <c r="D57" s="9"/>
      <c r="E57" s="9"/>
      <c r="F57" s="9"/>
      <c r="G57" s="148">
        <f t="shared" ref="G57:Q57" si="31">CHOOSE($K$14,G112,G166,G220,G274)</f>
        <v>0.38</v>
      </c>
      <c r="H57" s="148">
        <f t="shared" si="31"/>
        <v>0.38</v>
      </c>
      <c r="I57" s="148">
        <f t="shared" si="31"/>
        <v>0.38</v>
      </c>
      <c r="J57" s="148">
        <f t="shared" si="31"/>
        <v>0.38</v>
      </c>
      <c r="K57" s="148">
        <f t="shared" si="31"/>
        <v>0.38</v>
      </c>
      <c r="L57" s="148">
        <f t="shared" si="31"/>
        <v>0.38</v>
      </c>
      <c r="M57" s="148">
        <f t="shared" si="31"/>
        <v>0.38</v>
      </c>
      <c r="N57" s="148">
        <f t="shared" si="31"/>
        <v>0.38</v>
      </c>
      <c r="O57" s="148">
        <f t="shared" si="31"/>
        <v>0.38</v>
      </c>
      <c r="P57" s="148">
        <f t="shared" si="31"/>
        <v>0.38</v>
      </c>
      <c r="Q57" s="148">
        <f t="shared" si="31"/>
        <v>0.38</v>
      </c>
    </row>
    <row r="58" spans="1:17" ht="14.25" customHeight="1">
      <c r="A58" s="10"/>
      <c r="B58" s="9"/>
      <c r="C58" s="9"/>
      <c r="D58" s="9"/>
      <c r="E58" s="9"/>
      <c r="F58" s="9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</row>
    <row r="59" spans="1:17" ht="14.25" customHeight="1">
      <c r="A59" s="10" t="s">
        <v>115</v>
      </c>
      <c r="B59" s="9"/>
      <c r="C59" s="32"/>
      <c r="D59" s="32"/>
      <c r="E59" s="32"/>
      <c r="F59" s="32"/>
      <c r="G59" s="158">
        <f t="shared" ref="G59:Q59" si="32">CHOOSE($K$14,G114,G168,G222,G276)</f>
        <v>0</v>
      </c>
      <c r="H59" s="158">
        <f t="shared" si="32"/>
        <v>0</v>
      </c>
      <c r="I59" s="158">
        <f t="shared" si="32"/>
        <v>0</v>
      </c>
      <c r="J59" s="158">
        <f t="shared" si="32"/>
        <v>0</v>
      </c>
      <c r="K59" s="158">
        <f t="shared" si="32"/>
        <v>0</v>
      </c>
      <c r="L59" s="158">
        <f t="shared" si="32"/>
        <v>0</v>
      </c>
      <c r="M59" s="158">
        <f t="shared" si="32"/>
        <v>0</v>
      </c>
      <c r="N59" s="158">
        <f t="shared" si="32"/>
        <v>0</v>
      </c>
      <c r="O59" s="158">
        <f t="shared" si="32"/>
        <v>0</v>
      </c>
      <c r="P59" s="158">
        <f t="shared" si="32"/>
        <v>0</v>
      </c>
      <c r="Q59" s="158">
        <f t="shared" si="32"/>
        <v>0</v>
      </c>
    </row>
    <row r="60" spans="1:17" ht="14.25" customHeight="1">
      <c r="A60" s="10" t="s">
        <v>116</v>
      </c>
      <c r="B60" s="9"/>
      <c r="C60" s="32"/>
      <c r="D60" s="32"/>
      <c r="E60" s="32"/>
      <c r="F60" s="32"/>
      <c r="G60" s="158">
        <f t="shared" ref="G60:Q60" si="33">CHOOSE($K$14,G115,G169,G223,G277)</f>
        <v>0</v>
      </c>
      <c r="H60" s="158">
        <f t="shared" si="33"/>
        <v>0</v>
      </c>
      <c r="I60" s="158">
        <f t="shared" si="33"/>
        <v>0</v>
      </c>
      <c r="J60" s="158">
        <f t="shared" si="33"/>
        <v>0</v>
      </c>
      <c r="K60" s="158">
        <f t="shared" si="33"/>
        <v>0</v>
      </c>
      <c r="L60" s="158">
        <f t="shared" si="33"/>
        <v>0</v>
      </c>
      <c r="M60" s="158">
        <f t="shared" si="33"/>
        <v>0</v>
      </c>
      <c r="N60" s="158">
        <f t="shared" si="33"/>
        <v>0</v>
      </c>
      <c r="O60" s="158">
        <f t="shared" si="33"/>
        <v>0</v>
      </c>
      <c r="P60" s="158">
        <f t="shared" si="33"/>
        <v>0</v>
      </c>
      <c r="Q60" s="158">
        <f t="shared" si="33"/>
        <v>0</v>
      </c>
    </row>
    <row r="61" spans="1:17" ht="14.25" customHeight="1">
      <c r="A61" s="10" t="s">
        <v>117</v>
      </c>
      <c r="B61" s="9"/>
      <c r="C61" s="32"/>
      <c r="D61" s="32"/>
      <c r="E61" s="32"/>
      <c r="F61" s="32"/>
      <c r="G61" s="158">
        <f t="shared" ref="G61:Q61" si="34">CHOOSE($K$14,G116,G170,G224,G278)</f>
        <v>0</v>
      </c>
      <c r="H61" s="158">
        <f t="shared" si="34"/>
        <v>0</v>
      </c>
      <c r="I61" s="158">
        <f t="shared" si="34"/>
        <v>0</v>
      </c>
      <c r="J61" s="158">
        <f t="shared" si="34"/>
        <v>0</v>
      </c>
      <c r="K61" s="158">
        <f t="shared" si="34"/>
        <v>0</v>
      </c>
      <c r="L61" s="158">
        <f t="shared" si="34"/>
        <v>0</v>
      </c>
      <c r="M61" s="158">
        <f t="shared" si="34"/>
        <v>0</v>
      </c>
      <c r="N61" s="158">
        <f t="shared" si="34"/>
        <v>0</v>
      </c>
      <c r="O61" s="158">
        <f t="shared" si="34"/>
        <v>0</v>
      </c>
      <c r="P61" s="158">
        <f t="shared" si="34"/>
        <v>0</v>
      </c>
      <c r="Q61" s="158">
        <f t="shared" si="34"/>
        <v>0</v>
      </c>
    </row>
    <row r="62" spans="1:17" ht="14.25" customHeight="1">
      <c r="A62" s="10" t="s">
        <v>118</v>
      </c>
      <c r="B62" s="9"/>
      <c r="C62" s="32"/>
      <c r="D62" s="32"/>
      <c r="E62" s="32"/>
      <c r="F62" s="32"/>
      <c r="G62" s="158">
        <f t="shared" ref="G62:Q62" si="35">CHOOSE($K$14,G117,G171,G225,G279)</f>
        <v>0</v>
      </c>
      <c r="H62" s="158">
        <f t="shared" si="35"/>
        <v>0</v>
      </c>
      <c r="I62" s="158">
        <f t="shared" si="35"/>
        <v>0</v>
      </c>
      <c r="J62" s="158">
        <f t="shared" si="35"/>
        <v>0</v>
      </c>
      <c r="K62" s="158">
        <f t="shared" si="35"/>
        <v>0</v>
      </c>
      <c r="L62" s="158">
        <f t="shared" si="35"/>
        <v>0</v>
      </c>
      <c r="M62" s="158">
        <f t="shared" si="35"/>
        <v>0</v>
      </c>
      <c r="N62" s="158">
        <f t="shared" si="35"/>
        <v>0</v>
      </c>
      <c r="O62" s="158">
        <f t="shared" si="35"/>
        <v>0</v>
      </c>
      <c r="P62" s="158">
        <f t="shared" si="35"/>
        <v>0</v>
      </c>
      <c r="Q62" s="158">
        <f t="shared" si="35"/>
        <v>0</v>
      </c>
    </row>
    <row r="63" spans="1:17" ht="14.25" customHeight="1">
      <c r="A63" s="10"/>
      <c r="B63" s="10"/>
      <c r="C63" s="10"/>
      <c r="D63" s="10"/>
      <c r="E63" s="10"/>
      <c r="F63" s="1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</row>
    <row r="64" spans="1:17" ht="14.25" customHeight="1">
      <c r="A64" s="10" t="s">
        <v>119</v>
      </c>
      <c r="B64" s="34"/>
      <c r="C64" s="52"/>
      <c r="D64" s="52"/>
      <c r="E64" s="52"/>
      <c r="F64" s="52"/>
      <c r="G64" s="158">
        <f t="shared" ref="G64:Q64" si="36">CHOOSE($K$14,G119,G173,G227,G281)</f>
        <v>0</v>
      </c>
      <c r="H64" s="158">
        <f t="shared" si="36"/>
        <v>0</v>
      </c>
      <c r="I64" s="158">
        <f t="shared" si="36"/>
        <v>0</v>
      </c>
      <c r="J64" s="158">
        <f t="shared" si="36"/>
        <v>0</v>
      </c>
      <c r="K64" s="158">
        <f t="shared" si="36"/>
        <v>0</v>
      </c>
      <c r="L64" s="158">
        <f t="shared" si="36"/>
        <v>0</v>
      </c>
      <c r="M64" s="158">
        <f t="shared" si="36"/>
        <v>0</v>
      </c>
      <c r="N64" s="158">
        <f t="shared" si="36"/>
        <v>0</v>
      </c>
      <c r="O64" s="158">
        <f t="shared" si="36"/>
        <v>0</v>
      </c>
      <c r="P64" s="158">
        <f t="shared" si="36"/>
        <v>0</v>
      </c>
      <c r="Q64" s="158">
        <f t="shared" si="36"/>
        <v>0</v>
      </c>
    </row>
    <row r="65" spans="1:20" ht="14.25" customHeight="1">
      <c r="A65" t="s">
        <v>71</v>
      </c>
      <c r="B65" s="34"/>
      <c r="C65" s="52"/>
      <c r="D65" s="52"/>
      <c r="E65" s="52"/>
      <c r="F65" s="52"/>
      <c r="G65" s="158">
        <f t="shared" ref="G65:Q65" si="37">CHOOSE($K$14,G120,G174,G228,G282)</f>
        <v>0</v>
      </c>
      <c r="H65" s="158">
        <f t="shared" si="37"/>
        <v>0</v>
      </c>
      <c r="I65" s="158">
        <f t="shared" si="37"/>
        <v>0</v>
      </c>
      <c r="J65" s="158">
        <f t="shared" si="37"/>
        <v>0</v>
      </c>
      <c r="K65" s="158">
        <f t="shared" si="37"/>
        <v>0</v>
      </c>
      <c r="L65" s="158">
        <f t="shared" si="37"/>
        <v>0</v>
      </c>
      <c r="M65" s="158">
        <f t="shared" si="37"/>
        <v>0</v>
      </c>
      <c r="N65" s="158">
        <f t="shared" si="37"/>
        <v>0</v>
      </c>
      <c r="O65" s="158">
        <f t="shared" si="37"/>
        <v>0</v>
      </c>
      <c r="P65" s="158">
        <f t="shared" si="37"/>
        <v>0</v>
      </c>
      <c r="Q65" s="158">
        <f t="shared" si="37"/>
        <v>0</v>
      </c>
    </row>
    <row r="66" spans="1:20" ht="14.25" customHeight="1">
      <c r="A66" t="s">
        <v>122</v>
      </c>
      <c r="B66" s="34"/>
      <c r="C66" s="52"/>
      <c r="D66" s="52"/>
      <c r="E66" s="52"/>
      <c r="F66" s="52"/>
      <c r="G66" s="158">
        <f t="shared" ref="G66:Q66" si="38">CHOOSE($K$14,G121,G175,G229,G283)</f>
        <v>0</v>
      </c>
      <c r="H66" s="158">
        <f t="shared" si="38"/>
        <v>0</v>
      </c>
      <c r="I66" s="158">
        <f t="shared" si="38"/>
        <v>0</v>
      </c>
      <c r="J66" s="158">
        <f t="shared" si="38"/>
        <v>0</v>
      </c>
      <c r="K66" s="158">
        <f t="shared" si="38"/>
        <v>0</v>
      </c>
      <c r="L66" s="158">
        <f t="shared" si="38"/>
        <v>0</v>
      </c>
      <c r="M66" s="158">
        <f t="shared" si="38"/>
        <v>0</v>
      </c>
      <c r="N66" s="158">
        <f t="shared" si="38"/>
        <v>0</v>
      </c>
      <c r="O66" s="158">
        <f t="shared" si="38"/>
        <v>0</v>
      </c>
      <c r="P66" s="158">
        <f t="shared" si="38"/>
        <v>0</v>
      </c>
      <c r="Q66" s="158">
        <f t="shared" si="38"/>
        <v>0</v>
      </c>
    </row>
    <row r="67" spans="1:20" ht="14.25" customHeight="1">
      <c r="A67" t="s">
        <v>73</v>
      </c>
      <c r="B67" s="34"/>
      <c r="C67" s="52"/>
      <c r="D67" s="52"/>
      <c r="E67" s="52"/>
      <c r="F67" s="52"/>
      <c r="G67" s="158">
        <f t="shared" ref="G67:Q67" si="39">CHOOSE($K$14,G122,G176,G230,G284)</f>
        <v>0</v>
      </c>
      <c r="H67" s="158">
        <f t="shared" si="39"/>
        <v>0</v>
      </c>
      <c r="I67" s="158">
        <f t="shared" si="39"/>
        <v>0</v>
      </c>
      <c r="J67" s="158">
        <f t="shared" si="39"/>
        <v>0</v>
      </c>
      <c r="K67" s="158">
        <f t="shared" si="39"/>
        <v>0</v>
      </c>
      <c r="L67" s="158">
        <f t="shared" si="39"/>
        <v>0</v>
      </c>
      <c r="M67" s="158">
        <f t="shared" si="39"/>
        <v>0</v>
      </c>
      <c r="N67" s="158">
        <f t="shared" si="39"/>
        <v>0</v>
      </c>
      <c r="O67" s="158">
        <f t="shared" si="39"/>
        <v>0</v>
      </c>
      <c r="P67" s="158">
        <f t="shared" si="39"/>
        <v>0</v>
      </c>
      <c r="Q67" s="158">
        <f t="shared" si="39"/>
        <v>0</v>
      </c>
    </row>
    <row r="68" spans="1:20" ht="14.25" customHeight="1">
      <c r="A68" s="10"/>
      <c r="B68" s="9"/>
      <c r="C68" s="9"/>
      <c r="D68" s="9"/>
      <c r="E68" s="9"/>
      <c r="F68" s="9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</row>
    <row r="69" spans="1:20" ht="14.25" customHeight="1">
      <c r="A69" s="10" t="s">
        <v>120</v>
      </c>
      <c r="B69" s="9"/>
      <c r="C69" s="9"/>
      <c r="D69" s="9"/>
      <c r="E69" s="9"/>
      <c r="F69" s="9"/>
      <c r="G69" s="148">
        <f t="shared" ref="G69:Q69" si="40">CHOOSE($K$14,G124,G178,G232,G286)</f>
        <v>1.2E-2</v>
      </c>
      <c r="H69" s="148">
        <f t="shared" si="40"/>
        <v>1.0999999999999999E-2</v>
      </c>
      <c r="I69" s="148">
        <f t="shared" si="40"/>
        <v>0.01</v>
      </c>
      <c r="J69" s="148">
        <f t="shared" si="40"/>
        <v>0.01</v>
      </c>
      <c r="K69" s="148">
        <f t="shared" si="40"/>
        <v>0.01</v>
      </c>
      <c r="L69" s="148">
        <f t="shared" si="40"/>
        <v>0.01</v>
      </c>
      <c r="M69" s="148">
        <f t="shared" si="40"/>
        <v>0.01</v>
      </c>
      <c r="N69" s="148">
        <f t="shared" si="40"/>
        <v>0.01</v>
      </c>
      <c r="O69" s="148">
        <f t="shared" si="40"/>
        <v>0.01</v>
      </c>
      <c r="P69" s="148">
        <f t="shared" si="40"/>
        <v>0.01</v>
      </c>
      <c r="Q69" s="148">
        <f t="shared" si="40"/>
        <v>0.01</v>
      </c>
    </row>
    <row r="70" spans="1:20" ht="14.25" customHeight="1">
      <c r="A70" s="10" t="s">
        <v>121</v>
      </c>
      <c r="B70" s="9"/>
      <c r="C70" s="9"/>
      <c r="D70" s="9"/>
      <c r="E70" s="9"/>
      <c r="F70" s="9"/>
      <c r="G70" s="148">
        <f t="shared" ref="G70:Q70" si="41">CHOOSE($K$14,G125,G179,G233,G287)</f>
        <v>1.6E-2</v>
      </c>
      <c r="H70" s="148">
        <f t="shared" si="41"/>
        <v>1.2999999999999999E-2</v>
      </c>
      <c r="I70" s="148">
        <f t="shared" si="41"/>
        <v>0.01</v>
      </c>
      <c r="J70" s="148">
        <f t="shared" si="41"/>
        <v>0.01</v>
      </c>
      <c r="K70" s="148">
        <f t="shared" si="41"/>
        <v>0.01</v>
      </c>
      <c r="L70" s="148">
        <f t="shared" si="41"/>
        <v>0.01</v>
      </c>
      <c r="M70" s="148">
        <f t="shared" si="41"/>
        <v>0.01</v>
      </c>
      <c r="N70" s="148">
        <f t="shared" si="41"/>
        <v>0.01</v>
      </c>
      <c r="O70" s="148">
        <f t="shared" si="41"/>
        <v>0.01</v>
      </c>
      <c r="P70" s="148">
        <f t="shared" si="41"/>
        <v>0.01</v>
      </c>
      <c r="Q70" s="148">
        <f t="shared" si="41"/>
        <v>0.01</v>
      </c>
    </row>
    <row r="71" spans="1:20">
      <c r="A71" s="10"/>
      <c r="B71" s="9"/>
      <c r="C71" s="9"/>
      <c r="D71" s="9"/>
      <c r="E71" s="9"/>
      <c r="F71" s="9"/>
      <c r="S71" s="10"/>
      <c r="T71" s="10"/>
    </row>
    <row r="72" spans="1:20">
      <c r="A72" s="1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4" spans="1:20">
      <c r="A74" s="6" t="s">
        <v>231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20">
      <c r="A75" s="1" t="s">
        <v>153</v>
      </c>
    </row>
    <row r="76" spans="1:20">
      <c r="A76" t="s">
        <v>147</v>
      </c>
      <c r="C76" s="56"/>
      <c r="D76" s="56"/>
      <c r="E76" s="56"/>
      <c r="F76" s="56"/>
      <c r="G76" s="75">
        <v>0.15662615131882518</v>
      </c>
      <c r="H76" s="75">
        <v>0.16999999999999993</v>
      </c>
      <c r="I76" s="75">
        <v>0.16</v>
      </c>
      <c r="J76" s="75">
        <v>0.15</v>
      </c>
      <c r="K76" s="75">
        <v>0.14000000000000001</v>
      </c>
      <c r="L76" s="75">
        <v>0.12</v>
      </c>
      <c r="M76" s="75">
        <v>0.1</v>
      </c>
      <c r="N76" s="75">
        <v>0.08</v>
      </c>
      <c r="O76" s="75">
        <v>7.0000000000000007E-2</v>
      </c>
      <c r="P76" s="75">
        <v>0.06</v>
      </c>
      <c r="Q76" s="75">
        <v>0.05</v>
      </c>
    </row>
    <row r="77" spans="1:20">
      <c r="A77" t="s">
        <v>148</v>
      </c>
      <c r="C77" s="56"/>
      <c r="D77" s="56"/>
      <c r="E77" s="56"/>
      <c r="F77" s="56"/>
      <c r="G77" s="75">
        <v>2.1417570002314954</v>
      </c>
      <c r="H77" s="75">
        <v>0.15</v>
      </c>
      <c r="I77" s="75">
        <v>9.000000000000008E-2</v>
      </c>
      <c r="J77" s="75">
        <v>9.4189716160863579E-2</v>
      </c>
      <c r="K77" s="75">
        <v>9.3808933290109309E-2</v>
      </c>
      <c r="L77" s="75">
        <v>0.10536640610052039</v>
      </c>
      <c r="M77" s="75">
        <v>0.11246415430906143</v>
      </c>
      <c r="N77" s="75">
        <v>0.10168344411754604</v>
      </c>
      <c r="O77" s="75">
        <v>9.9862677050148285E-2</v>
      </c>
      <c r="P77" s="75">
        <v>0.09</v>
      </c>
      <c r="Q77" s="75">
        <v>0.08</v>
      </c>
    </row>
    <row r="78" spans="1:20">
      <c r="A78" t="s">
        <v>149</v>
      </c>
      <c r="C78" s="56"/>
      <c r="D78" s="56"/>
      <c r="E78" s="56"/>
      <c r="F78" s="56"/>
      <c r="G78" s="75">
        <v>0.3911138295536527</v>
      </c>
      <c r="H78" s="75">
        <v>0.30000000000000004</v>
      </c>
      <c r="I78" s="75">
        <v>0.25</v>
      </c>
      <c r="J78" s="75">
        <v>0.19999999999999996</v>
      </c>
      <c r="K78" s="75">
        <v>0.2</v>
      </c>
      <c r="L78" s="75">
        <v>0.15</v>
      </c>
      <c r="M78" s="75">
        <v>0.12</v>
      </c>
      <c r="N78" s="75">
        <v>0.1</v>
      </c>
      <c r="O78" s="75">
        <v>0.08</v>
      </c>
      <c r="P78" s="75">
        <v>0.06</v>
      </c>
      <c r="Q78" s="75">
        <v>0.05</v>
      </c>
    </row>
    <row r="79" spans="1:20">
      <c r="A79" t="s">
        <v>150</v>
      </c>
      <c r="C79" s="56"/>
      <c r="D79" s="56"/>
      <c r="E79" s="56"/>
      <c r="F79" s="56"/>
      <c r="G79" s="75">
        <v>0.56295545725748375</v>
      </c>
      <c r="H79" s="75">
        <v>0.44999999999999996</v>
      </c>
      <c r="I79" s="75">
        <v>0.35000000000000009</v>
      </c>
      <c r="J79" s="75">
        <v>0.30000000000000004</v>
      </c>
      <c r="K79" s="75">
        <v>0.19999999999999996</v>
      </c>
      <c r="L79" s="75">
        <v>0.14999999999999991</v>
      </c>
      <c r="M79" s="75">
        <v>0.10000000000000009</v>
      </c>
      <c r="N79" s="75">
        <v>8.0000000000000071E-2</v>
      </c>
      <c r="O79" s="75">
        <v>6.0000000000000053E-2</v>
      </c>
      <c r="P79" s="75">
        <v>0.05</v>
      </c>
      <c r="Q79" s="75">
        <v>0.05</v>
      </c>
    </row>
    <row r="80" spans="1:20">
      <c r="A80" t="s">
        <v>151</v>
      </c>
      <c r="C80" s="56"/>
      <c r="D80" s="56"/>
      <c r="E80" s="56"/>
      <c r="F80" s="56"/>
      <c r="G80" s="75">
        <v>0.44421100864883445</v>
      </c>
      <c r="H80" s="75">
        <v>0.39999999999999991</v>
      </c>
      <c r="I80" s="75">
        <v>0.35000000000000009</v>
      </c>
      <c r="J80" s="75">
        <v>0.25</v>
      </c>
      <c r="K80" s="75">
        <v>0.19999999999999996</v>
      </c>
      <c r="L80" s="75">
        <v>0.14999999999999991</v>
      </c>
      <c r="M80" s="75">
        <v>0.14999999999999991</v>
      </c>
      <c r="N80" s="75">
        <v>0.12</v>
      </c>
      <c r="O80" s="75">
        <v>0.12</v>
      </c>
      <c r="P80" s="75">
        <v>0.1</v>
      </c>
      <c r="Q80" s="75">
        <v>0.08</v>
      </c>
    </row>
    <row r="81" spans="1:31">
      <c r="A81" t="s">
        <v>152</v>
      </c>
      <c r="C81" s="56"/>
      <c r="D81" s="56"/>
      <c r="E81" s="56"/>
      <c r="F81" s="56"/>
      <c r="G81" s="75">
        <v>1.2099613152804642</v>
      </c>
      <c r="H81" s="75">
        <v>0.75</v>
      </c>
      <c r="I81" s="75">
        <v>0.53</v>
      </c>
      <c r="J81" s="75">
        <v>0.44999999999999996</v>
      </c>
      <c r="K81" s="75">
        <v>0.35000000000000009</v>
      </c>
      <c r="L81" s="75">
        <v>0.25</v>
      </c>
      <c r="M81" s="75">
        <v>0.14999999999999991</v>
      </c>
      <c r="N81" s="75">
        <v>0.10000000000000009</v>
      </c>
      <c r="O81" s="75">
        <v>8.0000000000000071E-2</v>
      </c>
      <c r="P81" s="75">
        <v>7.0000000000000007E-2</v>
      </c>
      <c r="Q81" s="75">
        <v>0.06</v>
      </c>
    </row>
    <row r="82" spans="1:31">
      <c r="A82" s="15" t="s">
        <v>3</v>
      </c>
      <c r="B82" s="13"/>
      <c r="C82" s="31"/>
      <c r="D82" s="31"/>
      <c r="E82" s="31"/>
      <c r="F82" s="31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</row>
    <row r="83" spans="1:31">
      <c r="A83" s="1"/>
      <c r="B83" s="55"/>
      <c r="C83" s="55"/>
      <c r="D83" s="54"/>
      <c r="E83" s="54"/>
      <c r="F83" s="54"/>
    </row>
    <row r="84" spans="1:31" ht="14.25" customHeight="1">
      <c r="A84" s="28" t="s">
        <v>100</v>
      </c>
      <c r="C84" s="8"/>
      <c r="D84" s="8"/>
      <c r="E84" s="8"/>
      <c r="F84" s="8"/>
    </row>
    <row r="85" spans="1:31" ht="14.25" customHeight="1">
      <c r="A85" t="s">
        <v>5</v>
      </c>
      <c r="B85" s="8"/>
      <c r="C85" s="8"/>
      <c r="D85" s="8"/>
      <c r="E85" s="8"/>
      <c r="F85" s="8"/>
      <c r="G85" s="75">
        <v>0.61043695815951304</v>
      </c>
      <c r="H85" s="75">
        <v>0.61043695815951304</v>
      </c>
      <c r="I85" s="75">
        <v>0.59499999999999997</v>
      </c>
      <c r="J85" s="75">
        <v>0.59499999999999997</v>
      </c>
      <c r="K85" s="75">
        <v>0.59</v>
      </c>
      <c r="L85" s="75">
        <v>0.59</v>
      </c>
      <c r="M85" s="75">
        <v>0.59499999999999997</v>
      </c>
      <c r="N85" s="75">
        <v>0.59499999999999997</v>
      </c>
      <c r="O85" s="75">
        <v>0.59</v>
      </c>
      <c r="P85" s="75">
        <v>0.59</v>
      </c>
      <c r="Q85" s="75">
        <v>0.58499999999999996</v>
      </c>
    </row>
    <row r="86" spans="1:31" ht="14.25" customHeight="1">
      <c r="A86" s="10" t="s">
        <v>6</v>
      </c>
      <c r="B86" s="8"/>
      <c r="C86" s="8"/>
      <c r="D86" s="8"/>
      <c r="E86" s="8"/>
      <c r="F86" s="8"/>
      <c r="G86" s="75">
        <v>0.1462138351343146</v>
      </c>
      <c r="H86" s="75">
        <v>0.15060025018834405</v>
      </c>
      <c r="I86" s="75">
        <v>0.15361225519211094</v>
      </c>
      <c r="J86" s="75">
        <v>0.155</v>
      </c>
      <c r="K86" s="75">
        <v>0.156</v>
      </c>
      <c r="L86" s="75">
        <v>0.157</v>
      </c>
      <c r="M86" s="75">
        <v>0.158</v>
      </c>
      <c r="N86" s="75">
        <v>0.16</v>
      </c>
      <c r="O86" s="75">
        <v>0.16</v>
      </c>
      <c r="P86" s="75">
        <v>0.16</v>
      </c>
      <c r="Q86" s="75">
        <v>0.16</v>
      </c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</row>
    <row r="87" spans="1:31" ht="14.25" customHeight="1">
      <c r="A87" s="10" t="s">
        <v>7</v>
      </c>
      <c r="B87" s="8"/>
      <c r="C87" s="8"/>
      <c r="D87" s="8"/>
      <c r="E87" s="8"/>
      <c r="F87" s="8"/>
      <c r="G87" s="75">
        <v>5.8308333239629834E-2</v>
      </c>
      <c r="H87" s="75">
        <v>6.0057583236818729E-2</v>
      </c>
      <c r="I87" s="75">
        <v>6.1258734901555104E-2</v>
      </c>
      <c r="J87" s="75">
        <v>6.2483909599586204E-2</v>
      </c>
      <c r="K87" s="75">
        <v>6.2483909599586204E-2</v>
      </c>
      <c r="L87" s="75">
        <v>6.2483909599586204E-2</v>
      </c>
      <c r="M87" s="75">
        <v>6.2483909599586204E-2</v>
      </c>
      <c r="N87" s="75">
        <v>6.0999999999999999E-2</v>
      </c>
      <c r="O87" s="75">
        <v>6.0999999999999999E-2</v>
      </c>
      <c r="P87" s="75">
        <v>6.0999999999999999E-2</v>
      </c>
      <c r="Q87" s="75">
        <v>0.06</v>
      </c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</row>
    <row r="88" spans="1:31" ht="14.25" customHeight="1">
      <c r="A88" s="10" t="s">
        <v>8</v>
      </c>
      <c r="B88" s="8"/>
      <c r="C88" s="8"/>
      <c r="D88" s="8"/>
      <c r="E88" s="8"/>
      <c r="F88" s="8"/>
      <c r="G88" s="75">
        <v>0.12717438970910686</v>
      </c>
      <c r="H88" s="75">
        <v>0.12717438970910686</v>
      </c>
      <c r="I88" s="75">
        <v>0.12717438970910686</v>
      </c>
      <c r="J88" s="75">
        <v>0.12717438970910686</v>
      </c>
      <c r="K88" s="75">
        <v>0.12717438970910686</v>
      </c>
      <c r="L88" s="75">
        <v>0.125</v>
      </c>
      <c r="M88" s="75">
        <v>0.125</v>
      </c>
      <c r="N88" s="75">
        <v>0.125</v>
      </c>
      <c r="O88" s="75">
        <v>0.1225</v>
      </c>
      <c r="P88" s="75">
        <v>0.12</v>
      </c>
      <c r="Q88" s="75">
        <v>0.12</v>
      </c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 spans="1:31" ht="14.25" customHeight="1">
      <c r="A89" s="10" t="s">
        <v>9</v>
      </c>
      <c r="B89" s="8"/>
      <c r="C89" s="8"/>
      <c r="D89" s="8"/>
      <c r="E89" s="8"/>
      <c r="F89" s="8"/>
      <c r="G89" s="75">
        <v>2.0655999460267842E-2</v>
      </c>
      <c r="H89" s="75">
        <v>2.0655999460267842E-2</v>
      </c>
      <c r="I89" s="75">
        <v>2.0655999460267842E-2</v>
      </c>
      <c r="J89" s="75">
        <v>0.02</v>
      </c>
      <c r="K89" s="75">
        <v>0.02</v>
      </c>
      <c r="L89" s="75">
        <v>0.02</v>
      </c>
      <c r="M89" s="75">
        <v>0.02</v>
      </c>
      <c r="N89" s="75">
        <v>1.9E-2</v>
      </c>
      <c r="O89" s="75">
        <v>1.9E-2</v>
      </c>
      <c r="P89" s="75">
        <v>1.9E-2</v>
      </c>
      <c r="Q89" s="75">
        <v>1.9E-2</v>
      </c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</row>
    <row r="90" spans="1:31" ht="14.25" customHeight="1">
      <c r="A90" s="10" t="s">
        <v>10</v>
      </c>
      <c r="B90" s="8"/>
      <c r="C90" s="8"/>
      <c r="D90" s="8"/>
      <c r="E90" s="8"/>
      <c r="F90" s="8"/>
      <c r="G90" s="75">
        <v>1.1429952885880382E-3</v>
      </c>
      <c r="H90" s="75">
        <v>1.0858455241586362E-3</v>
      </c>
      <c r="I90" s="75">
        <v>1.0315532479507044E-3</v>
      </c>
      <c r="J90" s="75">
        <v>9.7997558555316922E-4</v>
      </c>
      <c r="K90" s="75">
        <v>9.3097680627551068E-4</v>
      </c>
      <c r="L90" s="75">
        <v>8.844279659617351E-4</v>
      </c>
      <c r="M90" s="75">
        <v>8.4020656766364832E-4</v>
      </c>
      <c r="N90" s="75">
        <v>7.9819623928046582E-4</v>
      </c>
      <c r="O90" s="75">
        <v>7.5828642731644248E-4</v>
      </c>
      <c r="P90" s="75">
        <v>7.5828642731644248E-4</v>
      </c>
      <c r="Q90" s="75">
        <v>7.5828642731644248E-4</v>
      </c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</row>
    <row r="91" spans="1:31" ht="14.25" customHeight="1">
      <c r="A91" s="30" t="s">
        <v>11</v>
      </c>
      <c r="B91" s="31"/>
      <c r="C91" s="31"/>
      <c r="D91" s="31"/>
      <c r="E91" s="31"/>
      <c r="F91" s="31"/>
      <c r="G91" s="31">
        <f>SUM(G85:G90)</f>
        <v>0.9639325109914203</v>
      </c>
      <c r="H91" s="31">
        <f t="shared" ref="H91:Q91" si="42">SUM(H85:H90)</f>
        <v>0.97001102627820934</v>
      </c>
      <c r="I91" s="31">
        <f t="shared" si="42"/>
        <v>0.95873293251099145</v>
      </c>
      <c r="J91" s="31">
        <f t="shared" si="42"/>
        <v>0.96063827489424625</v>
      </c>
      <c r="K91" s="31">
        <f t="shared" si="42"/>
        <v>0.95658927611496858</v>
      </c>
      <c r="L91" s="31">
        <f t="shared" si="42"/>
        <v>0.95536833756554795</v>
      </c>
      <c r="M91" s="31">
        <f t="shared" si="42"/>
        <v>0.96132411616724989</v>
      </c>
      <c r="N91" s="31">
        <f t="shared" si="42"/>
        <v>0.96079819623928053</v>
      </c>
      <c r="O91" s="31">
        <f t="shared" si="42"/>
        <v>0.95325828642731647</v>
      </c>
      <c r="P91" s="31">
        <f t="shared" si="42"/>
        <v>0.95075828642731641</v>
      </c>
      <c r="Q91" s="31">
        <f t="shared" si="42"/>
        <v>0.94475828642731641</v>
      </c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</row>
    <row r="92" spans="1:31" ht="14.25" customHeight="1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</row>
    <row r="93" spans="1:31" ht="14.25" customHeight="1">
      <c r="A93" s="10" t="s">
        <v>101</v>
      </c>
      <c r="B93" s="9"/>
      <c r="C93" s="9"/>
      <c r="D93" s="9"/>
      <c r="E93" s="9"/>
      <c r="F93" s="9"/>
      <c r="G93" s="75">
        <v>6.8000000000000005E-2</v>
      </c>
      <c r="H93" s="75">
        <v>6.8000000000000005E-2</v>
      </c>
      <c r="I93" s="75">
        <v>6.8000000000000005E-2</v>
      </c>
      <c r="J93" s="75">
        <v>6.8000000000000005E-2</v>
      </c>
      <c r="K93" s="75">
        <v>6.8000000000000005E-2</v>
      </c>
      <c r="L93" s="75">
        <v>6.8000000000000005E-2</v>
      </c>
      <c r="M93" s="75">
        <v>6.8000000000000005E-2</v>
      </c>
      <c r="N93" s="75">
        <v>6.8000000000000005E-2</v>
      </c>
      <c r="O93" s="75">
        <v>6.8000000000000005E-2</v>
      </c>
      <c r="P93" s="75">
        <v>6.8000000000000005E-2</v>
      </c>
      <c r="Q93" s="75">
        <v>6.8000000000000005E-2</v>
      </c>
    </row>
    <row r="94" spans="1:31" ht="14.25" customHeight="1">
      <c r="A94" s="10" t="s">
        <v>91</v>
      </c>
      <c r="B94" s="9"/>
      <c r="C94" s="9"/>
      <c r="D94" s="9"/>
      <c r="E94" s="9"/>
      <c r="F94" s="9"/>
      <c r="G94" s="75">
        <v>0.2</v>
      </c>
      <c r="H94" s="75">
        <v>0.2</v>
      </c>
      <c r="I94" s="75">
        <v>0.22500000000000001</v>
      </c>
      <c r="J94" s="75">
        <v>0.22500000000000001</v>
      </c>
      <c r="K94" s="75">
        <v>0.22500000000000001</v>
      </c>
      <c r="L94" s="75">
        <v>0.22500000000000001</v>
      </c>
      <c r="M94" s="75">
        <v>0.22500000000000001</v>
      </c>
      <c r="N94" s="75">
        <v>0.22500000000000001</v>
      </c>
      <c r="O94" s="75">
        <v>0.22500000000000001</v>
      </c>
      <c r="P94" s="75">
        <v>0.22500000000000001</v>
      </c>
      <c r="Q94" s="75">
        <v>0.22500000000000001</v>
      </c>
    </row>
    <row r="95" spans="1:31" ht="14.25" customHeight="1">
      <c r="A95" s="10" t="s">
        <v>102</v>
      </c>
      <c r="B95" s="9"/>
      <c r="C95" s="9"/>
      <c r="D95" s="9"/>
      <c r="E95" s="9"/>
      <c r="F95" s="9"/>
      <c r="G95" s="75">
        <v>0.01</v>
      </c>
      <c r="H95" s="75">
        <v>0.01</v>
      </c>
      <c r="I95" s="75">
        <v>0.01</v>
      </c>
      <c r="J95" s="75">
        <v>0.01</v>
      </c>
      <c r="K95" s="75">
        <v>0.01</v>
      </c>
      <c r="L95" s="75">
        <v>0.01</v>
      </c>
      <c r="M95" s="75">
        <v>0.01</v>
      </c>
      <c r="N95" s="75">
        <v>0.01</v>
      </c>
      <c r="O95" s="75">
        <v>0.01</v>
      </c>
      <c r="P95" s="75">
        <v>0.01</v>
      </c>
      <c r="Q95" s="75">
        <v>0.01</v>
      </c>
    </row>
    <row r="96" spans="1:31" ht="14.25" customHeight="1">
      <c r="A96" s="10" t="s">
        <v>103</v>
      </c>
      <c r="B96" s="9"/>
      <c r="C96" s="9"/>
      <c r="D96" s="9"/>
      <c r="E96" s="9"/>
      <c r="F96" s="9"/>
      <c r="G96" s="75">
        <v>5.5E-2</v>
      </c>
      <c r="H96" s="75">
        <v>5.5E-2</v>
      </c>
      <c r="I96" s="75">
        <v>5.5E-2</v>
      </c>
      <c r="J96" s="75">
        <v>5.5E-2</v>
      </c>
      <c r="K96" s="75">
        <v>5.5E-2</v>
      </c>
      <c r="L96" s="75">
        <v>5.5E-2</v>
      </c>
      <c r="M96" s="75">
        <v>5.5E-2</v>
      </c>
      <c r="N96" s="75">
        <v>5.5E-2</v>
      </c>
      <c r="O96" s="75">
        <v>5.5E-2</v>
      </c>
      <c r="P96" s="75">
        <v>5.5E-2</v>
      </c>
      <c r="Q96" s="75">
        <v>5.5E-2</v>
      </c>
    </row>
    <row r="97" spans="1:17" ht="14.25" customHeight="1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4.25" customHeight="1">
      <c r="A98" s="28" t="s">
        <v>93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4.25" customHeight="1">
      <c r="A99" s="10" t="s">
        <v>104</v>
      </c>
      <c r="B99" s="32"/>
      <c r="C99" s="32"/>
      <c r="D99" s="32"/>
      <c r="E99" s="32"/>
      <c r="F99" s="32"/>
      <c r="G99" s="76">
        <v>52</v>
      </c>
      <c r="H99" s="76">
        <v>52</v>
      </c>
      <c r="I99" s="76">
        <v>52</v>
      </c>
      <c r="J99" s="76">
        <v>52</v>
      </c>
      <c r="K99" s="76">
        <v>52</v>
      </c>
      <c r="L99" s="76">
        <v>52</v>
      </c>
      <c r="M99" s="76">
        <v>52</v>
      </c>
      <c r="N99" s="76">
        <v>52</v>
      </c>
      <c r="O99" s="76">
        <v>52</v>
      </c>
      <c r="P99" s="76">
        <v>52</v>
      </c>
      <c r="Q99" s="76">
        <v>52</v>
      </c>
    </row>
    <row r="100" spans="1:17" ht="14.25" customHeight="1">
      <c r="A100" s="10" t="s">
        <v>105</v>
      </c>
      <c r="B100" s="32"/>
      <c r="C100" s="32"/>
      <c r="D100" s="32"/>
      <c r="E100" s="32"/>
      <c r="F100" s="32"/>
      <c r="G100" s="76">
        <v>27</v>
      </c>
      <c r="H100" s="76">
        <v>27</v>
      </c>
      <c r="I100" s="76">
        <v>27</v>
      </c>
      <c r="J100" s="76">
        <v>27</v>
      </c>
      <c r="K100" s="76">
        <v>27</v>
      </c>
      <c r="L100" s="76">
        <v>27</v>
      </c>
      <c r="M100" s="76">
        <v>27</v>
      </c>
      <c r="N100" s="76">
        <v>27</v>
      </c>
      <c r="O100" s="76">
        <v>27</v>
      </c>
      <c r="P100" s="76">
        <v>27</v>
      </c>
      <c r="Q100" s="76">
        <v>27</v>
      </c>
    </row>
    <row r="101" spans="1:17" ht="14.25" customHeight="1">
      <c r="A101" s="10" t="s">
        <v>106</v>
      </c>
      <c r="B101" s="32"/>
      <c r="C101" s="32"/>
      <c r="D101" s="32"/>
      <c r="E101" s="32"/>
      <c r="F101" s="32"/>
      <c r="G101" s="77">
        <v>0</v>
      </c>
      <c r="H101" s="77">
        <v>0</v>
      </c>
      <c r="I101" s="77">
        <v>0</v>
      </c>
      <c r="J101" s="77">
        <v>0</v>
      </c>
      <c r="K101" s="77">
        <v>0</v>
      </c>
      <c r="L101" s="77">
        <v>0</v>
      </c>
      <c r="M101" s="77">
        <v>0</v>
      </c>
      <c r="N101" s="77">
        <v>0</v>
      </c>
      <c r="O101" s="77">
        <v>0</v>
      </c>
      <c r="P101" s="77">
        <v>0</v>
      </c>
      <c r="Q101" s="77">
        <v>0</v>
      </c>
    </row>
    <row r="102" spans="1:17" ht="14.25" customHeight="1">
      <c r="A102" s="10" t="s">
        <v>107</v>
      </c>
      <c r="B102" s="33"/>
      <c r="C102" s="9"/>
      <c r="D102" s="9"/>
      <c r="E102" s="9"/>
      <c r="F102" s="9"/>
      <c r="G102" s="382">
        <v>0</v>
      </c>
      <c r="H102" s="382">
        <v>0</v>
      </c>
      <c r="I102" s="382">
        <v>0</v>
      </c>
      <c r="J102" s="382">
        <v>0</v>
      </c>
      <c r="K102" s="382">
        <v>0</v>
      </c>
      <c r="L102" s="382">
        <v>0</v>
      </c>
      <c r="M102" s="382">
        <v>0</v>
      </c>
      <c r="N102" s="382">
        <v>0</v>
      </c>
      <c r="O102" s="382">
        <v>0</v>
      </c>
      <c r="P102" s="382">
        <v>0</v>
      </c>
      <c r="Q102" s="382">
        <v>0</v>
      </c>
    </row>
    <row r="103" spans="1:17" ht="14.25" customHeight="1">
      <c r="A103" s="10" t="s">
        <v>108</v>
      </c>
      <c r="B103" s="33"/>
      <c r="C103" s="9"/>
      <c r="D103" s="9"/>
      <c r="E103" s="9"/>
      <c r="F103" s="9"/>
      <c r="G103" s="382">
        <v>0</v>
      </c>
      <c r="H103" s="382">
        <v>0</v>
      </c>
      <c r="I103" s="382">
        <v>0</v>
      </c>
      <c r="J103" s="382">
        <v>0</v>
      </c>
      <c r="K103" s="382">
        <v>0</v>
      </c>
      <c r="L103" s="382">
        <v>0</v>
      </c>
      <c r="M103" s="382">
        <v>0</v>
      </c>
      <c r="N103" s="382">
        <v>0</v>
      </c>
      <c r="O103" s="382">
        <v>0</v>
      </c>
      <c r="P103" s="382">
        <v>0</v>
      </c>
      <c r="Q103" s="382">
        <v>0</v>
      </c>
    </row>
    <row r="104" spans="1:17" ht="14.25" customHeight="1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4.25" customHeight="1">
      <c r="A105" s="10" t="s">
        <v>109</v>
      </c>
      <c r="B105" s="32"/>
      <c r="C105" s="32"/>
      <c r="D105" s="32"/>
      <c r="E105" s="32"/>
      <c r="F105" s="32"/>
      <c r="G105" s="76">
        <v>115</v>
      </c>
      <c r="H105" s="76">
        <v>115</v>
      </c>
      <c r="I105" s="76">
        <v>115</v>
      </c>
      <c r="J105" s="76">
        <v>115</v>
      </c>
      <c r="K105" s="76">
        <v>115</v>
      </c>
      <c r="L105" s="76">
        <v>115</v>
      </c>
      <c r="M105" s="76">
        <v>115</v>
      </c>
      <c r="N105" s="76">
        <v>115</v>
      </c>
      <c r="O105" s="76">
        <v>115</v>
      </c>
      <c r="P105" s="76">
        <v>115</v>
      </c>
      <c r="Q105" s="76">
        <v>115</v>
      </c>
    </row>
    <row r="106" spans="1:17" ht="14.25" customHeight="1">
      <c r="A106" s="10" t="s">
        <v>110</v>
      </c>
      <c r="B106" s="9"/>
      <c r="C106" s="9"/>
      <c r="D106" s="9"/>
      <c r="E106" s="9"/>
      <c r="F106" s="9"/>
      <c r="G106" s="75">
        <v>0.1</v>
      </c>
      <c r="H106" s="75">
        <v>0.1</v>
      </c>
      <c r="I106" s="75">
        <v>0.1</v>
      </c>
      <c r="J106" s="75">
        <v>0.1</v>
      </c>
      <c r="K106" s="75">
        <v>0.1</v>
      </c>
      <c r="L106" s="75">
        <v>0.1</v>
      </c>
      <c r="M106" s="75">
        <v>0.1</v>
      </c>
      <c r="N106" s="75">
        <v>0.1</v>
      </c>
      <c r="O106" s="75">
        <v>0.1</v>
      </c>
      <c r="P106" s="75">
        <v>0.1</v>
      </c>
      <c r="Q106" s="75">
        <v>0.1</v>
      </c>
    </row>
    <row r="107" spans="1:17" ht="14.25" customHeight="1">
      <c r="A107" s="10" t="s">
        <v>41</v>
      </c>
      <c r="B107" s="9"/>
      <c r="C107" s="9"/>
      <c r="D107" s="9"/>
      <c r="E107" s="9"/>
      <c r="F107" s="9"/>
      <c r="G107" s="75">
        <v>0.03</v>
      </c>
      <c r="H107" s="75">
        <v>0.03</v>
      </c>
      <c r="I107" s="75">
        <v>0.03</v>
      </c>
      <c r="J107" s="75">
        <v>0.03</v>
      </c>
      <c r="K107" s="75">
        <v>0.03</v>
      </c>
      <c r="L107" s="75">
        <v>0.03</v>
      </c>
      <c r="M107" s="75">
        <v>0.03</v>
      </c>
      <c r="N107" s="75">
        <v>0.03</v>
      </c>
      <c r="O107" s="75">
        <v>0.03</v>
      </c>
      <c r="P107" s="75">
        <v>0.03</v>
      </c>
      <c r="Q107" s="75">
        <v>0.03</v>
      </c>
    </row>
    <row r="108" spans="1:17" ht="14.25" customHeight="1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4.25" customHeight="1">
      <c r="A109" s="10" t="s">
        <v>111</v>
      </c>
      <c r="B109" s="9"/>
      <c r="C109" s="9"/>
      <c r="D109" s="9"/>
      <c r="E109" s="9"/>
      <c r="F109" s="9"/>
      <c r="G109" s="75">
        <v>7.0000000000000007E-2</v>
      </c>
      <c r="H109" s="75">
        <v>7.0000000000000007E-2</v>
      </c>
      <c r="I109" s="75">
        <v>7.0000000000000007E-2</v>
      </c>
      <c r="J109" s="75">
        <v>0.06</v>
      </c>
      <c r="K109" s="75">
        <v>0.06</v>
      </c>
      <c r="L109" s="75">
        <v>0.06</v>
      </c>
      <c r="M109" s="75">
        <v>5.5E-2</v>
      </c>
      <c r="N109" s="75">
        <v>0.05</v>
      </c>
      <c r="O109" s="75">
        <v>0.05</v>
      </c>
      <c r="P109" s="75">
        <v>4.4999999999999998E-2</v>
      </c>
      <c r="Q109" s="75">
        <v>4.4999999999999998E-2</v>
      </c>
    </row>
    <row r="110" spans="1:17" ht="14.25" customHeight="1">
      <c r="A110" s="10" t="s">
        <v>112</v>
      </c>
      <c r="B110" s="9"/>
      <c r="C110" s="9"/>
      <c r="D110" s="9"/>
      <c r="E110" s="9"/>
      <c r="F110" s="9"/>
      <c r="G110" s="75">
        <v>7.4999999999999997E-2</v>
      </c>
      <c r="H110" s="75">
        <v>0.06</v>
      </c>
      <c r="I110" s="75">
        <v>0.05</v>
      </c>
      <c r="J110" s="75">
        <v>0.05</v>
      </c>
      <c r="K110" s="75">
        <v>0.05</v>
      </c>
      <c r="L110" s="75">
        <v>0.04</v>
      </c>
      <c r="M110" s="75">
        <v>0.04</v>
      </c>
      <c r="N110" s="75">
        <v>0.04</v>
      </c>
      <c r="O110" s="75">
        <v>0.03</v>
      </c>
      <c r="P110" s="75">
        <v>2.9000000000000001E-2</v>
      </c>
      <c r="Q110" s="75">
        <v>2.9000000000000001E-2</v>
      </c>
    </row>
    <row r="111" spans="1:17" ht="14.25" customHeight="1">
      <c r="A111" s="10" t="s">
        <v>113</v>
      </c>
      <c r="B111" s="9"/>
      <c r="C111" s="9"/>
      <c r="D111" s="9"/>
      <c r="E111" s="9"/>
      <c r="F111" s="9"/>
      <c r="G111" s="75">
        <v>0.4</v>
      </c>
      <c r="H111" s="75">
        <v>0.4</v>
      </c>
      <c r="I111" s="75">
        <v>0.4</v>
      </c>
      <c r="J111" s="75">
        <v>0.4</v>
      </c>
      <c r="K111" s="75">
        <v>0.4</v>
      </c>
      <c r="L111" s="75">
        <v>0.4</v>
      </c>
      <c r="M111" s="75">
        <v>0.4</v>
      </c>
      <c r="N111" s="75">
        <v>0.4</v>
      </c>
      <c r="O111" s="75">
        <v>0.4</v>
      </c>
      <c r="P111" s="75">
        <v>0.4</v>
      </c>
      <c r="Q111" s="75">
        <v>0.4</v>
      </c>
    </row>
    <row r="112" spans="1:17" ht="14.25" customHeight="1">
      <c r="A112" s="10" t="s">
        <v>114</v>
      </c>
      <c r="B112" s="9"/>
      <c r="C112" s="9"/>
      <c r="D112" s="9"/>
      <c r="E112" s="9"/>
      <c r="F112" s="9"/>
      <c r="G112" s="75">
        <v>0.38</v>
      </c>
      <c r="H112" s="75">
        <v>0.38</v>
      </c>
      <c r="I112" s="75">
        <v>0.38</v>
      </c>
      <c r="J112" s="75">
        <v>0.38</v>
      </c>
      <c r="K112" s="75">
        <v>0.38</v>
      </c>
      <c r="L112" s="75">
        <v>0.38</v>
      </c>
      <c r="M112" s="75">
        <v>0.38</v>
      </c>
      <c r="N112" s="75">
        <v>0.38</v>
      </c>
      <c r="O112" s="75">
        <v>0.38</v>
      </c>
      <c r="P112" s="75">
        <v>0.38</v>
      </c>
      <c r="Q112" s="75">
        <v>0.38</v>
      </c>
    </row>
    <row r="113" spans="1:20" ht="14.25" customHeight="1">
      <c r="A113" s="10"/>
      <c r="B113" s="9"/>
      <c r="C113" s="9"/>
      <c r="D113" s="9"/>
      <c r="E113" s="9"/>
      <c r="F113" s="9"/>
    </row>
    <row r="114" spans="1:20" ht="14.25" customHeight="1">
      <c r="A114" s="10" t="s">
        <v>115</v>
      </c>
      <c r="B114" s="9"/>
      <c r="C114" s="32"/>
      <c r="D114" s="32"/>
      <c r="E114" s="32"/>
      <c r="F114" s="32"/>
      <c r="G114" s="77">
        <v>0</v>
      </c>
      <c r="H114" s="77">
        <v>0</v>
      </c>
      <c r="I114" s="77">
        <v>0</v>
      </c>
      <c r="J114" s="77">
        <v>0</v>
      </c>
      <c r="K114" s="77">
        <v>0</v>
      </c>
      <c r="L114" s="77">
        <v>0</v>
      </c>
      <c r="M114" s="77">
        <v>0</v>
      </c>
      <c r="N114" s="77">
        <v>0</v>
      </c>
      <c r="O114" s="77">
        <v>0</v>
      </c>
      <c r="P114" s="77">
        <v>0</v>
      </c>
      <c r="Q114" s="77">
        <v>0</v>
      </c>
    </row>
    <row r="115" spans="1:20" ht="14.25" customHeight="1">
      <c r="A115" s="10" t="s">
        <v>116</v>
      </c>
      <c r="B115" s="9"/>
      <c r="C115" s="32"/>
      <c r="D115" s="32"/>
      <c r="E115" s="32"/>
      <c r="F115" s="32"/>
      <c r="G115" s="77">
        <v>0</v>
      </c>
      <c r="H115" s="77">
        <v>0</v>
      </c>
      <c r="I115" s="77">
        <v>0</v>
      </c>
      <c r="J115" s="77">
        <v>0</v>
      </c>
      <c r="K115" s="77">
        <v>0</v>
      </c>
      <c r="L115" s="77">
        <v>0</v>
      </c>
      <c r="M115" s="77">
        <v>0</v>
      </c>
      <c r="N115" s="77">
        <v>0</v>
      </c>
      <c r="O115" s="77">
        <v>0</v>
      </c>
      <c r="P115" s="77">
        <v>0</v>
      </c>
      <c r="Q115" s="77">
        <v>0</v>
      </c>
    </row>
    <row r="116" spans="1:20" ht="14.25" customHeight="1">
      <c r="A116" s="10" t="s">
        <v>117</v>
      </c>
      <c r="B116" s="9"/>
      <c r="C116" s="32"/>
      <c r="D116" s="32"/>
      <c r="E116" s="32"/>
      <c r="F116" s="32"/>
      <c r="G116" s="77">
        <v>0</v>
      </c>
      <c r="H116" s="77">
        <v>0</v>
      </c>
      <c r="I116" s="77">
        <v>0</v>
      </c>
      <c r="J116" s="77">
        <v>0</v>
      </c>
      <c r="K116" s="77">
        <v>0</v>
      </c>
      <c r="L116" s="77">
        <v>0</v>
      </c>
      <c r="M116" s="77">
        <v>0</v>
      </c>
      <c r="N116" s="77">
        <v>0</v>
      </c>
      <c r="O116" s="77">
        <v>0</v>
      </c>
      <c r="P116" s="77">
        <v>0</v>
      </c>
      <c r="Q116" s="77">
        <v>0</v>
      </c>
    </row>
    <row r="117" spans="1:20" ht="14.25" customHeight="1">
      <c r="A117" s="10" t="s">
        <v>118</v>
      </c>
      <c r="B117" s="9"/>
      <c r="C117" s="32"/>
      <c r="D117" s="32"/>
      <c r="E117" s="32"/>
      <c r="F117" s="32"/>
      <c r="G117" s="77">
        <v>0</v>
      </c>
      <c r="H117" s="77">
        <v>0</v>
      </c>
      <c r="I117" s="77">
        <v>0</v>
      </c>
      <c r="J117" s="77">
        <v>0</v>
      </c>
      <c r="K117" s="77">
        <v>0</v>
      </c>
      <c r="L117" s="77">
        <v>0</v>
      </c>
      <c r="M117" s="77">
        <v>0</v>
      </c>
      <c r="N117" s="77">
        <v>0</v>
      </c>
      <c r="O117" s="77">
        <v>0</v>
      </c>
      <c r="P117" s="77">
        <v>0</v>
      </c>
      <c r="Q117" s="77">
        <v>0</v>
      </c>
    </row>
    <row r="118" spans="1:20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20" ht="14.25" customHeight="1">
      <c r="A119" s="10" t="s">
        <v>119</v>
      </c>
      <c r="B119" s="34"/>
      <c r="C119" s="52"/>
      <c r="D119" s="52"/>
      <c r="E119" s="52"/>
      <c r="F119" s="52"/>
      <c r="G119" s="77">
        <v>0</v>
      </c>
      <c r="H119" s="77">
        <v>0</v>
      </c>
      <c r="I119" s="77">
        <v>0</v>
      </c>
      <c r="J119" s="77">
        <v>0</v>
      </c>
      <c r="K119" s="77">
        <v>0</v>
      </c>
      <c r="L119" s="77">
        <v>0</v>
      </c>
      <c r="M119" s="77">
        <v>0</v>
      </c>
      <c r="N119" s="77">
        <v>0</v>
      </c>
      <c r="O119" s="77">
        <v>0</v>
      </c>
      <c r="P119" s="77">
        <v>0</v>
      </c>
      <c r="Q119" s="77">
        <v>0</v>
      </c>
    </row>
    <row r="120" spans="1:20" ht="14.25" customHeight="1">
      <c r="A120" t="s">
        <v>71</v>
      </c>
      <c r="B120" s="34"/>
      <c r="C120" s="52"/>
      <c r="D120" s="52"/>
      <c r="E120" s="52"/>
      <c r="F120" s="52"/>
      <c r="G120" s="77">
        <v>0</v>
      </c>
      <c r="H120" s="77">
        <v>0</v>
      </c>
      <c r="I120" s="77">
        <v>0</v>
      </c>
      <c r="J120" s="77">
        <v>0</v>
      </c>
      <c r="K120" s="77">
        <v>0</v>
      </c>
      <c r="L120" s="77">
        <v>0</v>
      </c>
      <c r="M120" s="77">
        <v>0</v>
      </c>
      <c r="N120" s="77">
        <v>0</v>
      </c>
      <c r="O120" s="77">
        <v>0</v>
      </c>
      <c r="P120" s="77">
        <v>0</v>
      </c>
      <c r="Q120" s="77">
        <v>0</v>
      </c>
    </row>
    <row r="121" spans="1:20" ht="14.25" customHeight="1">
      <c r="A121" t="s">
        <v>122</v>
      </c>
      <c r="B121" s="34"/>
      <c r="C121" s="52"/>
      <c r="D121" s="52"/>
      <c r="E121" s="52"/>
      <c r="F121" s="52"/>
      <c r="G121" s="77">
        <v>0</v>
      </c>
      <c r="H121" s="77">
        <v>0</v>
      </c>
      <c r="I121" s="77">
        <v>0</v>
      </c>
      <c r="J121" s="77">
        <v>0</v>
      </c>
      <c r="K121" s="77">
        <v>0</v>
      </c>
      <c r="L121" s="77">
        <v>0</v>
      </c>
      <c r="M121" s="77">
        <v>0</v>
      </c>
      <c r="N121" s="77">
        <v>0</v>
      </c>
      <c r="O121" s="77">
        <v>0</v>
      </c>
      <c r="P121" s="77">
        <v>0</v>
      </c>
      <c r="Q121" s="77">
        <v>0</v>
      </c>
    </row>
    <row r="122" spans="1:20" ht="14.25" customHeight="1">
      <c r="A122" t="s">
        <v>73</v>
      </c>
      <c r="B122" s="34"/>
      <c r="C122" s="52"/>
      <c r="D122" s="52"/>
      <c r="E122" s="52"/>
      <c r="F122" s="52"/>
      <c r="G122" s="77">
        <v>0</v>
      </c>
      <c r="H122" s="77">
        <v>0</v>
      </c>
      <c r="I122" s="77">
        <v>0</v>
      </c>
      <c r="J122" s="77">
        <v>0</v>
      </c>
      <c r="K122" s="77">
        <v>0</v>
      </c>
      <c r="L122" s="77">
        <v>0</v>
      </c>
      <c r="M122" s="77">
        <v>0</v>
      </c>
      <c r="N122" s="77">
        <v>0</v>
      </c>
      <c r="O122" s="77">
        <v>0</v>
      </c>
      <c r="P122" s="77">
        <v>0</v>
      </c>
      <c r="Q122" s="77">
        <v>0</v>
      </c>
    </row>
    <row r="123" spans="1:20" ht="14.25" customHeight="1">
      <c r="A123" s="10"/>
      <c r="B123" s="9"/>
      <c r="C123" s="9"/>
      <c r="D123" s="9"/>
      <c r="E123" s="9"/>
      <c r="F123" s="9"/>
    </row>
    <row r="124" spans="1:20" ht="14.25" customHeight="1">
      <c r="A124" s="10" t="s">
        <v>120</v>
      </c>
      <c r="B124" s="9"/>
      <c r="C124" s="9"/>
      <c r="D124" s="9"/>
      <c r="E124" s="9"/>
      <c r="F124" s="9"/>
      <c r="G124" s="75">
        <v>1.2E-2</v>
      </c>
      <c r="H124" s="75">
        <v>1.0999999999999999E-2</v>
      </c>
      <c r="I124" s="75">
        <v>0.01</v>
      </c>
      <c r="J124" s="75">
        <v>0.01</v>
      </c>
      <c r="K124" s="75">
        <v>0.01</v>
      </c>
      <c r="L124" s="75">
        <v>0.01</v>
      </c>
      <c r="M124" s="75">
        <v>0.01</v>
      </c>
      <c r="N124" s="75">
        <v>0.01</v>
      </c>
      <c r="O124" s="75">
        <v>0.01</v>
      </c>
      <c r="P124" s="75">
        <v>0.01</v>
      </c>
      <c r="Q124" s="75">
        <v>0.01</v>
      </c>
    </row>
    <row r="125" spans="1:20" ht="14.25" customHeight="1">
      <c r="A125" s="10" t="s">
        <v>121</v>
      </c>
      <c r="B125" s="9"/>
      <c r="C125" s="9"/>
      <c r="D125" s="9"/>
      <c r="E125" s="9"/>
      <c r="F125" s="9"/>
      <c r="G125" s="75">
        <v>1.6E-2</v>
      </c>
      <c r="H125" s="75">
        <v>1.2999999999999999E-2</v>
      </c>
      <c r="I125" s="75">
        <v>0.01</v>
      </c>
      <c r="J125" s="75">
        <v>0.01</v>
      </c>
      <c r="K125" s="75">
        <v>0.01</v>
      </c>
      <c r="L125" s="75">
        <v>0.01</v>
      </c>
      <c r="M125" s="75">
        <v>0.01</v>
      </c>
      <c r="N125" s="75">
        <v>0.01</v>
      </c>
      <c r="O125" s="75">
        <v>0.01</v>
      </c>
      <c r="P125" s="75">
        <v>0.01</v>
      </c>
      <c r="Q125" s="75">
        <v>0.01</v>
      </c>
    </row>
    <row r="126" spans="1:20">
      <c r="A126" s="10"/>
      <c r="B126" s="9"/>
      <c r="C126" s="9"/>
      <c r="D126" s="9"/>
      <c r="E126" s="9"/>
      <c r="F126" s="9"/>
      <c r="S126" s="10"/>
      <c r="T126" s="10"/>
    </row>
    <row r="127" spans="1:20">
      <c r="A127" s="1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>
      <c r="A128" s="6" t="s">
        <v>232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31">
      <c r="A129" s="1" t="s">
        <v>153</v>
      </c>
    </row>
    <row r="130" spans="1:31">
      <c r="A130" t="s">
        <v>147</v>
      </c>
      <c r="C130" s="56"/>
      <c r="D130" s="56"/>
      <c r="E130" s="56"/>
      <c r="F130" s="56"/>
      <c r="G130" s="75">
        <v>0.15662615131882518</v>
      </c>
      <c r="H130" s="75">
        <v>0.17999999999999994</v>
      </c>
      <c r="I130" s="75">
        <v>0.17</v>
      </c>
      <c r="J130" s="75">
        <v>0.17</v>
      </c>
      <c r="K130" s="75">
        <v>0.17</v>
      </c>
      <c r="L130" s="75">
        <v>0.17</v>
      </c>
      <c r="M130" s="75">
        <v>0.15</v>
      </c>
      <c r="N130" s="75">
        <v>0.15</v>
      </c>
      <c r="O130" s="75">
        <v>0.15</v>
      </c>
      <c r="P130" s="75">
        <v>0.12</v>
      </c>
      <c r="Q130" s="75">
        <v>0.12</v>
      </c>
    </row>
    <row r="131" spans="1:31">
      <c r="A131" t="s">
        <v>148</v>
      </c>
      <c r="C131" s="56"/>
      <c r="D131" s="56"/>
      <c r="E131" s="56"/>
      <c r="F131" s="56"/>
      <c r="G131" s="75">
        <v>2.1417570002314954</v>
      </c>
      <c r="H131" s="75">
        <v>8.0000000000000057E-2</v>
      </c>
      <c r="I131" s="75">
        <v>0.10000000000000007</v>
      </c>
      <c r="J131" s="75">
        <v>0.10418971616086357</v>
      </c>
      <c r="K131" s="75">
        <v>0.1038089332901093</v>
      </c>
      <c r="L131" s="75">
        <v>0.11536640610052039</v>
      </c>
      <c r="M131" s="75">
        <v>0.12246415430906142</v>
      </c>
      <c r="N131" s="75">
        <v>0.11168344411754604</v>
      </c>
      <c r="O131" s="75">
        <v>0.10986267705014828</v>
      </c>
      <c r="P131" s="75">
        <v>9.9999999999999992E-2</v>
      </c>
      <c r="Q131" s="75">
        <v>0.09</v>
      </c>
    </row>
    <row r="132" spans="1:31">
      <c r="A132" t="s">
        <v>149</v>
      </c>
      <c r="C132" s="56"/>
      <c r="D132" s="56"/>
      <c r="E132" s="56"/>
      <c r="F132" s="56"/>
      <c r="G132" s="75">
        <v>0.3911138295536527</v>
      </c>
      <c r="H132" s="75">
        <v>0.31000000000000005</v>
      </c>
      <c r="I132" s="75">
        <v>0.3</v>
      </c>
      <c r="J132" s="75">
        <v>0.25</v>
      </c>
      <c r="K132" s="75">
        <v>0.25</v>
      </c>
      <c r="L132" s="75">
        <v>0.2</v>
      </c>
      <c r="M132" s="75">
        <v>0.15</v>
      </c>
      <c r="N132" s="75">
        <v>0.15</v>
      </c>
      <c r="O132" s="75">
        <v>0.12</v>
      </c>
      <c r="P132" s="75">
        <v>0.12</v>
      </c>
      <c r="Q132" s="75">
        <v>0.12</v>
      </c>
    </row>
    <row r="133" spans="1:31">
      <c r="A133" t="s">
        <v>150</v>
      </c>
      <c r="C133" s="56"/>
      <c r="D133" s="56"/>
      <c r="E133" s="56"/>
      <c r="F133" s="56"/>
      <c r="G133" s="75">
        <v>0.56295545725748375</v>
      </c>
      <c r="H133" s="75">
        <v>0.45999999999999996</v>
      </c>
      <c r="I133" s="75">
        <v>0.3600000000000001</v>
      </c>
      <c r="J133" s="75">
        <v>0.31000000000000005</v>
      </c>
      <c r="K133" s="75">
        <v>0.20999999999999996</v>
      </c>
      <c r="L133" s="75">
        <v>0.15999999999999992</v>
      </c>
      <c r="M133" s="75">
        <v>0.11000000000000008</v>
      </c>
      <c r="N133" s="75">
        <v>9.0000000000000066E-2</v>
      </c>
      <c r="O133" s="75">
        <v>7.0000000000000048E-2</v>
      </c>
      <c r="P133" s="75">
        <v>6.0000000000000005E-2</v>
      </c>
      <c r="Q133" s="75">
        <v>6.0000000000000005E-2</v>
      </c>
    </row>
    <row r="134" spans="1:31">
      <c r="A134" t="s">
        <v>151</v>
      </c>
      <c r="C134" s="56"/>
      <c r="D134" s="56"/>
      <c r="E134" s="56"/>
      <c r="F134" s="56"/>
      <c r="G134" s="75">
        <v>0.44421100864883445</v>
      </c>
      <c r="H134" s="75">
        <v>0.45</v>
      </c>
      <c r="I134" s="75">
        <v>0.45</v>
      </c>
      <c r="J134" s="75">
        <v>0.4</v>
      </c>
      <c r="K134" s="75">
        <v>0.35</v>
      </c>
      <c r="L134" s="75">
        <v>0.3</v>
      </c>
      <c r="M134" s="75">
        <v>0.25</v>
      </c>
      <c r="N134" s="75">
        <v>0.2</v>
      </c>
      <c r="O134" s="75">
        <v>0.15</v>
      </c>
      <c r="P134" s="75">
        <v>9.9999999999999992E-2</v>
      </c>
      <c r="Q134" s="75">
        <v>0.09</v>
      </c>
    </row>
    <row r="135" spans="1:31">
      <c r="A135" t="s">
        <v>152</v>
      </c>
      <c r="C135" s="56"/>
      <c r="D135" s="56"/>
      <c r="E135" s="56"/>
      <c r="F135" s="56"/>
      <c r="G135" s="75">
        <v>1.2099613152804642</v>
      </c>
      <c r="H135" s="75">
        <v>0.76</v>
      </c>
      <c r="I135" s="75">
        <v>0.54</v>
      </c>
      <c r="J135" s="75">
        <v>0.45999999999999996</v>
      </c>
      <c r="K135" s="75">
        <v>0.3600000000000001</v>
      </c>
      <c r="L135" s="75">
        <v>0.26</v>
      </c>
      <c r="M135" s="75">
        <v>0.15999999999999992</v>
      </c>
      <c r="N135" s="75">
        <v>0.11000000000000008</v>
      </c>
      <c r="O135" s="75">
        <v>9.0000000000000066E-2</v>
      </c>
      <c r="P135" s="75">
        <v>0.08</v>
      </c>
      <c r="Q135" s="75">
        <v>6.9999999999999993E-2</v>
      </c>
    </row>
    <row r="136" spans="1:31">
      <c r="A136" s="15" t="s">
        <v>3</v>
      </c>
      <c r="B136" s="13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 spans="1:31">
      <c r="A137" s="1"/>
      <c r="B137" s="55"/>
      <c r="C137" s="55"/>
      <c r="D137" s="54"/>
      <c r="E137" s="54"/>
      <c r="F137" s="54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</row>
    <row r="138" spans="1:31" ht="14.25" customHeight="1">
      <c r="A138" s="28" t="s">
        <v>100</v>
      </c>
      <c r="C138" s="8"/>
      <c r="D138" s="8"/>
      <c r="E138" s="8"/>
      <c r="F138" s="8"/>
    </row>
    <row r="139" spans="1:31" ht="14.25" customHeight="1">
      <c r="A139" t="s">
        <v>5</v>
      </c>
      <c r="B139" s="8"/>
      <c r="C139" s="8"/>
      <c r="D139" s="8"/>
      <c r="E139" s="8"/>
      <c r="F139" s="8"/>
      <c r="G139" s="75">
        <v>0.61043695815951304</v>
      </c>
      <c r="H139" s="75">
        <v>0.61043695815951304</v>
      </c>
      <c r="I139" s="75">
        <v>0.59499999999999997</v>
      </c>
      <c r="J139" s="75">
        <v>0.59499999999999997</v>
      </c>
      <c r="K139" s="75">
        <v>0.59</v>
      </c>
      <c r="L139" s="75">
        <v>0.59</v>
      </c>
      <c r="M139" s="75">
        <v>0.58499999999999996</v>
      </c>
      <c r="N139" s="75">
        <v>0.58499999999999996</v>
      </c>
      <c r="O139" s="75">
        <v>0.57999999999999996</v>
      </c>
      <c r="P139" s="75">
        <v>0.57999999999999996</v>
      </c>
      <c r="Q139" s="75">
        <v>0.57999999999999996</v>
      </c>
    </row>
    <row r="140" spans="1:31" ht="14.25" customHeight="1">
      <c r="A140" s="10" t="s">
        <v>6</v>
      </c>
      <c r="B140" s="8"/>
      <c r="C140" s="8"/>
      <c r="D140" s="8"/>
      <c r="E140" s="8"/>
      <c r="F140" s="8"/>
      <c r="G140" s="75">
        <v>0.1462138351343146</v>
      </c>
      <c r="H140" s="75">
        <v>0.15060025018834405</v>
      </c>
      <c r="I140" s="75">
        <v>0.15361225519211094</v>
      </c>
      <c r="J140" s="75">
        <v>0.155</v>
      </c>
      <c r="K140" s="75">
        <v>0.155</v>
      </c>
      <c r="L140" s="75">
        <v>0.155</v>
      </c>
      <c r="M140" s="75">
        <v>0.155</v>
      </c>
      <c r="N140" s="75">
        <v>0.155</v>
      </c>
      <c r="O140" s="75">
        <v>0.155</v>
      </c>
      <c r="P140" s="75">
        <v>0.155</v>
      </c>
      <c r="Q140" s="75">
        <v>0.155</v>
      </c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 spans="1:31" ht="14.25" customHeight="1">
      <c r="A141" s="10" t="s">
        <v>7</v>
      </c>
      <c r="B141" s="8"/>
      <c r="C141" s="8"/>
      <c r="D141" s="8"/>
      <c r="E141" s="8"/>
      <c r="F141" s="8"/>
      <c r="G141" s="75">
        <v>5.8308333239629834E-2</v>
      </c>
      <c r="H141" s="75">
        <v>5.8308333239629834E-2</v>
      </c>
      <c r="I141" s="75">
        <v>5.8308333239629834E-2</v>
      </c>
      <c r="J141" s="75">
        <v>5.8308333239629834E-2</v>
      </c>
      <c r="K141" s="75">
        <v>5.8308333239629834E-2</v>
      </c>
      <c r="L141" s="75">
        <v>5.8308333239629834E-2</v>
      </c>
      <c r="M141" s="75">
        <v>5.8308333239629834E-2</v>
      </c>
      <c r="N141" s="75">
        <v>5.8308333239629834E-2</v>
      </c>
      <c r="O141" s="75">
        <v>5.8308333239629834E-2</v>
      </c>
      <c r="P141" s="75">
        <v>5.8308333239629834E-2</v>
      </c>
      <c r="Q141" s="75">
        <v>5.8308333239629834E-2</v>
      </c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 spans="1:31" ht="14.25" customHeight="1">
      <c r="A142" s="10" t="s">
        <v>8</v>
      </c>
      <c r="B142" s="8"/>
      <c r="C142" s="8"/>
      <c r="D142" s="8"/>
      <c r="E142" s="8"/>
      <c r="F142" s="8"/>
      <c r="G142" s="75">
        <v>0.12717438970910686</v>
      </c>
      <c r="H142" s="75">
        <v>0.13</v>
      </c>
      <c r="I142" s="75">
        <v>0.13</v>
      </c>
      <c r="J142" s="75">
        <v>0.13</v>
      </c>
      <c r="K142" s="75">
        <v>0.13500000000000001</v>
      </c>
      <c r="L142" s="75">
        <v>0.13500000000000001</v>
      </c>
      <c r="M142" s="75">
        <v>0.13500000000000001</v>
      </c>
      <c r="N142" s="75">
        <v>0.13500000000000001</v>
      </c>
      <c r="O142" s="75">
        <v>0.13500000000000001</v>
      </c>
      <c r="P142" s="75">
        <v>0.13500000000000001</v>
      </c>
      <c r="Q142" s="75">
        <v>0.13500000000000001</v>
      </c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 spans="1:31" ht="14.25" customHeight="1">
      <c r="A143" s="10" t="s">
        <v>9</v>
      </c>
      <c r="B143" s="8"/>
      <c r="C143" s="8"/>
      <c r="D143" s="8"/>
      <c r="E143" s="8"/>
      <c r="F143" s="8"/>
      <c r="G143" s="75">
        <v>2.0655999460267842E-2</v>
      </c>
      <c r="H143" s="75">
        <v>2.0655999460267842E-2</v>
      </c>
      <c r="I143" s="75">
        <v>2.0655999460267842E-2</v>
      </c>
      <c r="J143" s="75">
        <v>0.02</v>
      </c>
      <c r="K143" s="75">
        <v>0.02</v>
      </c>
      <c r="L143" s="75">
        <v>0.02</v>
      </c>
      <c r="M143" s="75">
        <v>0.02</v>
      </c>
      <c r="N143" s="75">
        <v>0.02</v>
      </c>
      <c r="O143" s="75">
        <v>0.02</v>
      </c>
      <c r="P143" s="75">
        <v>0.02</v>
      </c>
      <c r="Q143" s="75">
        <v>0.02</v>
      </c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 spans="1:31" ht="14.25" customHeight="1">
      <c r="A144" s="10" t="s">
        <v>10</v>
      </c>
      <c r="B144" s="8"/>
      <c r="C144" s="8"/>
      <c r="D144" s="8"/>
      <c r="E144" s="8"/>
      <c r="F144" s="8"/>
      <c r="G144" s="75">
        <v>1.1429952885880382E-3</v>
      </c>
      <c r="H144" s="75">
        <v>1.0858455241586362E-3</v>
      </c>
      <c r="I144" s="75">
        <v>1.0315532479507044E-3</v>
      </c>
      <c r="J144" s="75">
        <v>9.7997558555316922E-4</v>
      </c>
      <c r="K144" s="75">
        <v>9.3097680627551068E-4</v>
      </c>
      <c r="L144" s="75">
        <v>8.844279659617351E-4</v>
      </c>
      <c r="M144" s="75">
        <v>8.4020656766364832E-4</v>
      </c>
      <c r="N144" s="75">
        <v>7.9819623928046582E-4</v>
      </c>
      <c r="O144" s="75">
        <v>7.5828642731644248E-4</v>
      </c>
      <c r="P144" s="75">
        <v>7.5828642731644248E-4</v>
      </c>
      <c r="Q144" s="75">
        <v>7.5828642731644248E-4</v>
      </c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 spans="1:31" ht="14.25" customHeight="1">
      <c r="A145" s="30" t="s">
        <v>11</v>
      </c>
      <c r="B145" s="31"/>
      <c r="C145" s="31"/>
      <c r="D145" s="31"/>
      <c r="E145" s="31"/>
      <c r="F145" s="31"/>
      <c r="G145" s="31">
        <f>SUM(G139:G144)</f>
        <v>0.9639325109914203</v>
      </c>
      <c r="H145" s="31">
        <f t="shared" ref="H145:Q145" si="43">SUM(H139:H144)</f>
        <v>0.97108738657191351</v>
      </c>
      <c r="I145" s="31">
        <f t="shared" si="43"/>
        <v>0.95860814113995929</v>
      </c>
      <c r="J145" s="31">
        <f t="shared" si="43"/>
        <v>0.95928830882518301</v>
      </c>
      <c r="K145" s="31">
        <f t="shared" si="43"/>
        <v>0.95923931004590535</v>
      </c>
      <c r="L145" s="31">
        <f t="shared" si="43"/>
        <v>0.9591927612055916</v>
      </c>
      <c r="M145" s="31">
        <f t="shared" si="43"/>
        <v>0.95414853980729353</v>
      </c>
      <c r="N145" s="31">
        <f t="shared" si="43"/>
        <v>0.95410652947891028</v>
      </c>
      <c r="O145" s="31">
        <f t="shared" si="43"/>
        <v>0.94906661966694628</v>
      </c>
      <c r="P145" s="31">
        <f t="shared" si="43"/>
        <v>0.94906661966694628</v>
      </c>
      <c r="Q145" s="31">
        <f t="shared" si="43"/>
        <v>0.94906661966694628</v>
      </c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 spans="1:31" ht="14.25" customHeight="1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 spans="1:31" ht="14.25" customHeight="1">
      <c r="A147" s="10" t="s">
        <v>101</v>
      </c>
      <c r="B147" s="9"/>
      <c r="C147" s="9"/>
      <c r="D147" s="9"/>
      <c r="E147" s="9"/>
      <c r="F147" s="9"/>
      <c r="G147" s="75">
        <v>6.8000000000000005E-2</v>
      </c>
      <c r="H147" s="75">
        <v>6.8000000000000005E-2</v>
      </c>
      <c r="I147" s="75">
        <v>6.8000000000000005E-2</v>
      </c>
      <c r="J147" s="75">
        <v>6.8000000000000005E-2</v>
      </c>
      <c r="K147" s="75">
        <v>6.8000000000000005E-2</v>
      </c>
      <c r="L147" s="75">
        <v>6.8000000000000005E-2</v>
      </c>
      <c r="M147" s="75">
        <v>6.8000000000000005E-2</v>
      </c>
      <c r="N147" s="75">
        <v>6.8000000000000005E-2</v>
      </c>
      <c r="O147" s="75">
        <v>6.8000000000000005E-2</v>
      </c>
      <c r="P147" s="75">
        <v>6.8000000000000005E-2</v>
      </c>
      <c r="Q147" s="75">
        <v>6.8000000000000005E-2</v>
      </c>
    </row>
    <row r="148" spans="1:31" ht="14.25" customHeight="1">
      <c r="A148" s="10" t="s">
        <v>91</v>
      </c>
      <c r="B148" s="9"/>
      <c r="C148" s="9"/>
      <c r="D148" s="9"/>
      <c r="E148" s="9"/>
      <c r="F148" s="9"/>
      <c r="G148" s="75">
        <v>0.2</v>
      </c>
      <c r="H148" s="75">
        <v>0.2</v>
      </c>
      <c r="I148" s="75">
        <v>0.22500000000000001</v>
      </c>
      <c r="J148" s="75">
        <v>0.22500000000000001</v>
      </c>
      <c r="K148" s="75">
        <v>0.22500000000000001</v>
      </c>
      <c r="L148" s="75">
        <v>0.22500000000000001</v>
      </c>
      <c r="M148" s="75">
        <v>0.22500000000000001</v>
      </c>
      <c r="N148" s="75">
        <v>0.22500000000000001</v>
      </c>
      <c r="O148" s="75">
        <v>0.22500000000000001</v>
      </c>
      <c r="P148" s="75">
        <v>0.22500000000000001</v>
      </c>
      <c r="Q148" s="75">
        <v>0.22500000000000001</v>
      </c>
    </row>
    <row r="149" spans="1:31" ht="14.25" customHeight="1">
      <c r="A149" s="10" t="s">
        <v>102</v>
      </c>
      <c r="B149" s="9"/>
      <c r="C149" s="9"/>
      <c r="D149" s="9"/>
      <c r="E149" s="9"/>
      <c r="F149" s="9"/>
      <c r="G149" s="75">
        <v>0.01</v>
      </c>
      <c r="H149" s="75">
        <v>0.01</v>
      </c>
      <c r="I149" s="75">
        <v>0.01</v>
      </c>
      <c r="J149" s="75">
        <v>0.01</v>
      </c>
      <c r="K149" s="75">
        <v>0.01</v>
      </c>
      <c r="L149" s="75">
        <v>0.01</v>
      </c>
      <c r="M149" s="75">
        <v>0.01</v>
      </c>
      <c r="N149" s="75">
        <v>0.01</v>
      </c>
      <c r="O149" s="75">
        <v>0.01</v>
      </c>
      <c r="P149" s="75">
        <v>0.01</v>
      </c>
      <c r="Q149" s="75">
        <v>0.01</v>
      </c>
    </row>
    <row r="150" spans="1:31" ht="14.25" customHeight="1">
      <c r="A150" s="10" t="s">
        <v>103</v>
      </c>
      <c r="B150" s="9"/>
      <c r="C150" s="9"/>
      <c r="D150" s="9"/>
      <c r="E150" s="9"/>
      <c r="F150" s="9"/>
      <c r="G150" s="75">
        <v>5.5E-2</v>
      </c>
      <c r="H150" s="75">
        <v>5.5E-2</v>
      </c>
      <c r="I150" s="75">
        <v>5.5E-2</v>
      </c>
      <c r="J150" s="75">
        <v>5.5E-2</v>
      </c>
      <c r="K150" s="75">
        <v>5.5E-2</v>
      </c>
      <c r="L150" s="75">
        <v>5.5E-2</v>
      </c>
      <c r="M150" s="75">
        <v>5.5E-2</v>
      </c>
      <c r="N150" s="75">
        <v>5.5E-2</v>
      </c>
      <c r="O150" s="75">
        <v>5.5E-2</v>
      </c>
      <c r="P150" s="75">
        <v>5.5E-2</v>
      </c>
      <c r="Q150" s="75">
        <v>5.5E-2</v>
      </c>
    </row>
    <row r="151" spans="1:31" ht="14.25" customHeight="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31" ht="14.25" customHeight="1">
      <c r="A152" s="28" t="s">
        <v>93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31" ht="14.25" customHeight="1">
      <c r="A153" s="10" t="s">
        <v>104</v>
      </c>
      <c r="B153" s="32"/>
      <c r="C153" s="32"/>
      <c r="D153" s="32"/>
      <c r="E153" s="32"/>
      <c r="F153" s="32"/>
      <c r="G153" s="76">
        <v>52</v>
      </c>
      <c r="H153" s="76">
        <v>52</v>
      </c>
      <c r="I153" s="76">
        <v>52</v>
      </c>
      <c r="J153" s="76">
        <v>52</v>
      </c>
      <c r="K153" s="76">
        <v>52</v>
      </c>
      <c r="L153" s="76">
        <v>52</v>
      </c>
      <c r="M153" s="76">
        <v>52</v>
      </c>
      <c r="N153" s="76">
        <v>52</v>
      </c>
      <c r="O153" s="76">
        <v>52</v>
      </c>
      <c r="P153" s="76">
        <v>52</v>
      </c>
      <c r="Q153" s="76">
        <v>52</v>
      </c>
    </row>
    <row r="154" spans="1:31" ht="14.25" customHeight="1">
      <c r="A154" s="10" t="s">
        <v>105</v>
      </c>
      <c r="B154" s="32"/>
      <c r="C154" s="32"/>
      <c r="D154" s="32"/>
      <c r="E154" s="32"/>
      <c r="F154" s="32"/>
      <c r="G154" s="76">
        <v>27</v>
      </c>
      <c r="H154" s="76">
        <v>27</v>
      </c>
      <c r="I154" s="76">
        <v>27</v>
      </c>
      <c r="J154" s="76">
        <v>27</v>
      </c>
      <c r="K154" s="76">
        <v>27</v>
      </c>
      <c r="L154" s="76">
        <v>27</v>
      </c>
      <c r="M154" s="76">
        <v>27</v>
      </c>
      <c r="N154" s="76">
        <v>27</v>
      </c>
      <c r="O154" s="76">
        <v>27</v>
      </c>
      <c r="P154" s="76">
        <v>27</v>
      </c>
      <c r="Q154" s="76">
        <v>27</v>
      </c>
    </row>
    <row r="155" spans="1:31" ht="14.25" customHeight="1">
      <c r="A155" s="10" t="s">
        <v>106</v>
      </c>
      <c r="B155" s="32"/>
      <c r="C155" s="32"/>
      <c r="D155" s="32"/>
      <c r="E155" s="32"/>
      <c r="F155" s="32"/>
      <c r="G155" s="77">
        <v>0</v>
      </c>
      <c r="H155" s="77">
        <v>0</v>
      </c>
      <c r="I155" s="77">
        <v>0</v>
      </c>
      <c r="J155" s="77">
        <v>0</v>
      </c>
      <c r="K155" s="77">
        <v>0</v>
      </c>
      <c r="L155" s="77">
        <v>0</v>
      </c>
      <c r="M155" s="77">
        <v>0</v>
      </c>
      <c r="N155" s="77">
        <v>0</v>
      </c>
      <c r="O155" s="77">
        <v>0</v>
      </c>
      <c r="P155" s="77">
        <v>0</v>
      </c>
      <c r="Q155" s="77">
        <v>0</v>
      </c>
    </row>
    <row r="156" spans="1:31" ht="14.25" customHeight="1">
      <c r="A156" s="10" t="s">
        <v>107</v>
      </c>
      <c r="B156" s="33"/>
      <c r="C156" s="9"/>
      <c r="D156" s="9"/>
      <c r="E156" s="9"/>
      <c r="F156" s="9"/>
      <c r="G156" s="382">
        <v>0</v>
      </c>
      <c r="H156" s="382">
        <v>0</v>
      </c>
      <c r="I156" s="382">
        <v>0</v>
      </c>
      <c r="J156" s="382">
        <v>0</v>
      </c>
      <c r="K156" s="382">
        <v>0</v>
      </c>
      <c r="L156" s="382">
        <v>0</v>
      </c>
      <c r="M156" s="382">
        <v>0</v>
      </c>
      <c r="N156" s="382">
        <v>0</v>
      </c>
      <c r="O156" s="382">
        <v>0</v>
      </c>
      <c r="P156" s="382">
        <v>0</v>
      </c>
      <c r="Q156" s="382">
        <v>0</v>
      </c>
    </row>
    <row r="157" spans="1:31" ht="14.25" customHeight="1">
      <c r="A157" s="10" t="s">
        <v>108</v>
      </c>
      <c r="B157" s="33"/>
      <c r="C157" s="9"/>
      <c r="D157" s="9"/>
      <c r="E157" s="9"/>
      <c r="F157" s="9"/>
      <c r="G157" s="382">
        <v>0</v>
      </c>
      <c r="H157" s="382">
        <v>0</v>
      </c>
      <c r="I157" s="382">
        <v>0</v>
      </c>
      <c r="J157" s="382">
        <v>0</v>
      </c>
      <c r="K157" s="382">
        <v>0</v>
      </c>
      <c r="L157" s="382">
        <v>0</v>
      </c>
      <c r="M157" s="382">
        <v>0</v>
      </c>
      <c r="N157" s="382">
        <v>0</v>
      </c>
      <c r="O157" s="382">
        <v>0</v>
      </c>
      <c r="P157" s="382">
        <v>0</v>
      </c>
      <c r="Q157" s="382">
        <v>0</v>
      </c>
    </row>
    <row r="158" spans="1:31" ht="14.25" customHeight="1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31" ht="14.25" customHeight="1">
      <c r="A159" s="10" t="s">
        <v>109</v>
      </c>
      <c r="B159" s="32"/>
      <c r="C159" s="32"/>
      <c r="D159" s="32"/>
      <c r="E159" s="32"/>
      <c r="F159" s="32"/>
      <c r="G159" s="76">
        <v>115</v>
      </c>
      <c r="H159" s="76">
        <v>115</v>
      </c>
      <c r="I159" s="76">
        <v>115</v>
      </c>
      <c r="J159" s="76">
        <v>115</v>
      </c>
      <c r="K159" s="76">
        <v>115</v>
      </c>
      <c r="L159" s="76">
        <v>115</v>
      </c>
      <c r="M159" s="76">
        <v>115</v>
      </c>
      <c r="N159" s="76">
        <v>115</v>
      </c>
      <c r="O159" s="76">
        <v>115</v>
      </c>
      <c r="P159" s="76">
        <v>115</v>
      </c>
      <c r="Q159" s="76">
        <v>115</v>
      </c>
    </row>
    <row r="160" spans="1:31" ht="14.25" customHeight="1">
      <c r="A160" s="10" t="s">
        <v>110</v>
      </c>
      <c r="B160" s="9"/>
      <c r="C160" s="9"/>
      <c r="D160" s="9"/>
      <c r="E160" s="9"/>
      <c r="F160" s="9"/>
      <c r="G160" s="75">
        <v>0.1</v>
      </c>
      <c r="H160" s="75">
        <v>0.1</v>
      </c>
      <c r="I160" s="75">
        <v>0.1</v>
      </c>
      <c r="J160" s="75">
        <v>0.1</v>
      </c>
      <c r="K160" s="75">
        <v>0.1</v>
      </c>
      <c r="L160" s="75">
        <v>0.1</v>
      </c>
      <c r="M160" s="75">
        <v>0.1</v>
      </c>
      <c r="N160" s="75">
        <v>0.1</v>
      </c>
      <c r="O160" s="75">
        <v>0.1</v>
      </c>
      <c r="P160" s="75">
        <v>0.1</v>
      </c>
      <c r="Q160" s="75">
        <v>0.1</v>
      </c>
    </row>
    <row r="161" spans="1:17" ht="14.25" customHeight="1">
      <c r="A161" s="10" t="s">
        <v>41</v>
      </c>
      <c r="B161" s="9"/>
      <c r="C161" s="9"/>
      <c r="D161" s="9"/>
      <c r="E161" s="9"/>
      <c r="F161" s="9"/>
      <c r="G161" s="75">
        <v>0.03</v>
      </c>
      <c r="H161" s="75">
        <v>0.03</v>
      </c>
      <c r="I161" s="75">
        <v>0.03</v>
      </c>
      <c r="J161" s="75">
        <v>0.03</v>
      </c>
      <c r="K161" s="75">
        <v>0.03</v>
      </c>
      <c r="L161" s="75">
        <v>0.03</v>
      </c>
      <c r="M161" s="75">
        <v>0.03</v>
      </c>
      <c r="N161" s="75">
        <v>0.03</v>
      </c>
      <c r="O161" s="75">
        <v>0.03</v>
      </c>
      <c r="P161" s="75">
        <v>0.03</v>
      </c>
      <c r="Q161" s="75">
        <v>0.03</v>
      </c>
    </row>
    <row r="162" spans="1:17" ht="14.25" customHeight="1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14.25" customHeight="1">
      <c r="A163" s="10" t="s">
        <v>111</v>
      </c>
      <c r="B163" s="9"/>
      <c r="C163" s="9"/>
      <c r="D163" s="9"/>
      <c r="E163" s="9"/>
      <c r="F163" s="9"/>
      <c r="G163" s="75">
        <v>7.0000000000000007E-2</v>
      </c>
      <c r="H163" s="75">
        <v>7.0000000000000007E-2</v>
      </c>
      <c r="I163" s="75">
        <v>7.0000000000000007E-2</v>
      </c>
      <c r="J163" s="75">
        <v>7.0000000000000007E-2</v>
      </c>
      <c r="K163" s="75">
        <v>7.0000000000000007E-2</v>
      </c>
      <c r="L163" s="75">
        <v>7.0000000000000007E-2</v>
      </c>
      <c r="M163" s="75">
        <v>7.0000000000000007E-2</v>
      </c>
      <c r="N163" s="75">
        <v>7.0000000000000007E-2</v>
      </c>
      <c r="O163" s="75">
        <v>7.0000000000000007E-2</v>
      </c>
      <c r="P163" s="75">
        <v>7.0000000000000007E-2</v>
      </c>
      <c r="Q163" s="75">
        <v>7.0000000000000007E-2</v>
      </c>
    </row>
    <row r="164" spans="1:17" ht="14.25" customHeight="1">
      <c r="A164" s="10" t="s">
        <v>112</v>
      </c>
      <c r="B164" s="9"/>
      <c r="C164" s="9"/>
      <c r="D164" s="9"/>
      <c r="E164" s="9"/>
      <c r="F164" s="9"/>
      <c r="G164" s="75">
        <v>7.4999999999999997E-2</v>
      </c>
      <c r="H164" s="75">
        <v>0.06</v>
      </c>
      <c r="I164" s="75">
        <v>0.05</v>
      </c>
      <c r="J164" s="75">
        <v>0.05</v>
      </c>
      <c r="K164" s="75">
        <v>0.05</v>
      </c>
      <c r="L164" s="75">
        <v>0.04</v>
      </c>
      <c r="M164" s="75">
        <v>0.04</v>
      </c>
      <c r="N164" s="75">
        <v>0.04</v>
      </c>
      <c r="O164" s="75">
        <v>0.03</v>
      </c>
      <c r="P164" s="75">
        <v>2.9000000000000001E-2</v>
      </c>
      <c r="Q164" s="75">
        <v>2.9000000000000001E-2</v>
      </c>
    </row>
    <row r="165" spans="1:17" ht="14.25" customHeight="1">
      <c r="A165" s="10" t="s">
        <v>113</v>
      </c>
      <c r="B165" s="9"/>
      <c r="C165" s="9"/>
      <c r="D165" s="9"/>
      <c r="E165" s="9"/>
      <c r="F165" s="9"/>
      <c r="G165" s="75">
        <v>0.4</v>
      </c>
      <c r="H165" s="75">
        <v>0.4</v>
      </c>
      <c r="I165" s="75">
        <v>0.4</v>
      </c>
      <c r="J165" s="75">
        <v>0.4</v>
      </c>
      <c r="K165" s="75">
        <v>0.4</v>
      </c>
      <c r="L165" s="75">
        <v>0.4</v>
      </c>
      <c r="M165" s="75">
        <v>0.4</v>
      </c>
      <c r="N165" s="75">
        <v>0.4</v>
      </c>
      <c r="O165" s="75">
        <v>0.4</v>
      </c>
      <c r="P165" s="75">
        <v>0.4</v>
      </c>
      <c r="Q165" s="75">
        <v>0.4</v>
      </c>
    </row>
    <row r="166" spans="1:17" ht="14.25" customHeight="1">
      <c r="A166" s="10" t="s">
        <v>114</v>
      </c>
      <c r="B166" s="9"/>
      <c r="C166" s="9"/>
      <c r="D166" s="9"/>
      <c r="E166" s="9"/>
      <c r="F166" s="9"/>
      <c r="G166" s="75">
        <v>0.38</v>
      </c>
      <c r="H166" s="75">
        <v>0.38</v>
      </c>
      <c r="I166" s="75">
        <v>0.38</v>
      </c>
      <c r="J166" s="75">
        <v>0.38</v>
      </c>
      <c r="K166" s="75">
        <v>0.38</v>
      </c>
      <c r="L166" s="75">
        <v>0.38</v>
      </c>
      <c r="M166" s="75">
        <v>0.38</v>
      </c>
      <c r="N166" s="75">
        <v>0.38</v>
      </c>
      <c r="O166" s="75">
        <v>0.38</v>
      </c>
      <c r="P166" s="75">
        <v>0.38</v>
      </c>
      <c r="Q166" s="75">
        <v>0.38</v>
      </c>
    </row>
    <row r="167" spans="1:17" ht="14.25" customHeight="1">
      <c r="A167" s="10"/>
      <c r="B167" s="9"/>
      <c r="C167" s="9"/>
      <c r="D167" s="9"/>
      <c r="E167" s="9"/>
      <c r="F167" s="9"/>
    </row>
    <row r="168" spans="1:17" ht="14.25" customHeight="1">
      <c r="A168" s="10" t="s">
        <v>115</v>
      </c>
      <c r="B168" s="9"/>
      <c r="C168" s="32"/>
      <c r="D168" s="32"/>
      <c r="E168" s="32"/>
      <c r="F168" s="32"/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</row>
    <row r="169" spans="1:17" ht="14.25" customHeight="1">
      <c r="A169" s="10" t="s">
        <v>116</v>
      </c>
      <c r="B169" s="9"/>
      <c r="C169" s="32"/>
      <c r="D169" s="32"/>
      <c r="E169" s="32"/>
      <c r="F169" s="32"/>
      <c r="G169" s="77">
        <v>0</v>
      </c>
      <c r="H169" s="77">
        <v>0</v>
      </c>
      <c r="I169" s="77">
        <v>0</v>
      </c>
      <c r="J169" s="77">
        <v>0</v>
      </c>
      <c r="K169" s="77">
        <v>0</v>
      </c>
      <c r="L169" s="77">
        <v>0</v>
      </c>
      <c r="M169" s="77">
        <v>0</v>
      </c>
      <c r="N169" s="77">
        <v>0</v>
      </c>
      <c r="O169" s="77">
        <v>0</v>
      </c>
      <c r="P169" s="77">
        <v>0</v>
      </c>
      <c r="Q169" s="77">
        <v>0</v>
      </c>
    </row>
    <row r="170" spans="1:17" ht="14.25" customHeight="1">
      <c r="A170" s="10" t="s">
        <v>117</v>
      </c>
      <c r="B170" s="9"/>
      <c r="C170" s="32"/>
      <c r="D170" s="32"/>
      <c r="E170" s="32"/>
      <c r="F170" s="32"/>
      <c r="G170" s="77">
        <v>0</v>
      </c>
      <c r="H170" s="77">
        <v>0</v>
      </c>
      <c r="I170" s="77">
        <v>0</v>
      </c>
      <c r="J170" s="77">
        <v>0</v>
      </c>
      <c r="K170" s="77">
        <v>0</v>
      </c>
      <c r="L170" s="77">
        <v>0</v>
      </c>
      <c r="M170" s="77">
        <v>0</v>
      </c>
      <c r="N170" s="77">
        <v>0</v>
      </c>
      <c r="O170" s="77">
        <v>0</v>
      </c>
      <c r="P170" s="77">
        <v>0</v>
      </c>
      <c r="Q170" s="77">
        <v>0</v>
      </c>
    </row>
    <row r="171" spans="1:17" ht="14.25" customHeight="1">
      <c r="A171" s="10" t="s">
        <v>118</v>
      </c>
      <c r="B171" s="9"/>
      <c r="C171" s="32"/>
      <c r="D171" s="32"/>
      <c r="E171" s="32"/>
      <c r="F171" s="32"/>
      <c r="G171" s="77">
        <v>0</v>
      </c>
      <c r="H171" s="77">
        <v>0</v>
      </c>
      <c r="I171" s="77">
        <v>0</v>
      </c>
      <c r="J171" s="77">
        <v>0</v>
      </c>
      <c r="K171" s="77">
        <v>0</v>
      </c>
      <c r="L171" s="77">
        <v>0</v>
      </c>
      <c r="M171" s="77">
        <v>0</v>
      </c>
      <c r="N171" s="77">
        <v>0</v>
      </c>
      <c r="O171" s="77">
        <v>0</v>
      </c>
      <c r="P171" s="77">
        <v>0</v>
      </c>
      <c r="Q171" s="77">
        <v>0</v>
      </c>
    </row>
    <row r="172" spans="1:17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ht="14.25" customHeight="1">
      <c r="A173" s="10" t="s">
        <v>119</v>
      </c>
      <c r="B173" s="34"/>
      <c r="C173" s="52"/>
      <c r="D173" s="52"/>
      <c r="E173" s="52"/>
      <c r="F173" s="52"/>
      <c r="G173" s="77">
        <v>0</v>
      </c>
      <c r="H173" s="77">
        <v>0</v>
      </c>
      <c r="I173" s="77">
        <v>0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  <c r="Q173" s="77">
        <v>0</v>
      </c>
    </row>
    <row r="174" spans="1:17" ht="14.25" customHeight="1">
      <c r="A174" t="s">
        <v>71</v>
      </c>
      <c r="B174" s="34"/>
      <c r="C174" s="52"/>
      <c r="D174" s="52"/>
      <c r="E174" s="52"/>
      <c r="F174" s="52"/>
      <c r="G174" s="77">
        <v>0</v>
      </c>
      <c r="H174" s="77">
        <v>0</v>
      </c>
      <c r="I174" s="77">
        <v>0</v>
      </c>
      <c r="J174" s="77">
        <v>0</v>
      </c>
      <c r="K174" s="77">
        <v>0</v>
      </c>
      <c r="L174" s="77">
        <v>0</v>
      </c>
      <c r="M174" s="77">
        <v>0</v>
      </c>
      <c r="N174" s="77">
        <v>0</v>
      </c>
      <c r="O174" s="77">
        <v>0</v>
      </c>
      <c r="P174" s="77">
        <v>0</v>
      </c>
      <c r="Q174" s="77">
        <v>0</v>
      </c>
    </row>
    <row r="175" spans="1:17" ht="14.25" customHeight="1">
      <c r="A175" t="s">
        <v>122</v>
      </c>
      <c r="B175" s="34"/>
      <c r="C175" s="52"/>
      <c r="D175" s="52"/>
      <c r="E175" s="52"/>
      <c r="F175" s="52"/>
      <c r="G175" s="77">
        <v>0</v>
      </c>
      <c r="H175" s="77">
        <v>0</v>
      </c>
      <c r="I175" s="77">
        <v>0</v>
      </c>
      <c r="J175" s="77">
        <v>0</v>
      </c>
      <c r="K175" s="77">
        <v>0</v>
      </c>
      <c r="L175" s="77">
        <v>0</v>
      </c>
      <c r="M175" s="77">
        <v>0</v>
      </c>
      <c r="N175" s="77">
        <v>0</v>
      </c>
      <c r="O175" s="77">
        <v>0</v>
      </c>
      <c r="P175" s="77">
        <v>0</v>
      </c>
      <c r="Q175" s="77">
        <v>0</v>
      </c>
    </row>
    <row r="176" spans="1:17" ht="14.25" customHeight="1">
      <c r="A176" t="s">
        <v>73</v>
      </c>
      <c r="B176" s="34"/>
      <c r="C176" s="52"/>
      <c r="D176" s="52"/>
      <c r="E176" s="52"/>
      <c r="F176" s="52"/>
      <c r="G176" s="77">
        <v>0</v>
      </c>
      <c r="H176" s="77">
        <v>0</v>
      </c>
      <c r="I176" s="77">
        <v>0</v>
      </c>
      <c r="J176" s="77">
        <v>0</v>
      </c>
      <c r="K176" s="77">
        <v>0</v>
      </c>
      <c r="L176" s="77">
        <v>0</v>
      </c>
      <c r="M176" s="77">
        <v>0</v>
      </c>
      <c r="N176" s="77">
        <v>0</v>
      </c>
      <c r="O176" s="77">
        <v>0</v>
      </c>
      <c r="P176" s="77">
        <v>0</v>
      </c>
      <c r="Q176" s="77">
        <v>0</v>
      </c>
    </row>
    <row r="177" spans="1:17" ht="14.25" customHeight="1">
      <c r="A177" s="10"/>
      <c r="B177" s="9"/>
      <c r="C177" s="9"/>
      <c r="D177" s="9"/>
      <c r="E177" s="9"/>
      <c r="F177" s="9"/>
    </row>
    <row r="178" spans="1:17" ht="14.25" customHeight="1">
      <c r="A178" s="10" t="s">
        <v>120</v>
      </c>
      <c r="B178" s="9"/>
      <c r="C178" s="9"/>
      <c r="D178" s="9"/>
      <c r="E178" s="9"/>
      <c r="F178" s="9"/>
      <c r="G178" s="75">
        <v>1.2E-2</v>
      </c>
      <c r="H178" s="75">
        <v>1.0999999999999999E-2</v>
      </c>
      <c r="I178" s="75">
        <v>0.01</v>
      </c>
      <c r="J178" s="75">
        <v>0.01</v>
      </c>
      <c r="K178" s="75">
        <v>0.01</v>
      </c>
      <c r="L178" s="75">
        <v>0.01</v>
      </c>
      <c r="M178" s="75">
        <v>0.01</v>
      </c>
      <c r="N178" s="75">
        <v>0.01</v>
      </c>
      <c r="O178" s="75">
        <v>0.01</v>
      </c>
      <c r="P178" s="75">
        <v>0.01</v>
      </c>
      <c r="Q178" s="75">
        <v>0.01</v>
      </c>
    </row>
    <row r="179" spans="1:17" ht="14.25" customHeight="1">
      <c r="A179" s="10" t="s">
        <v>121</v>
      </c>
      <c r="B179" s="9"/>
      <c r="C179" s="9"/>
      <c r="D179" s="9"/>
      <c r="E179" s="9"/>
      <c r="F179" s="9"/>
      <c r="G179" s="75">
        <v>1.6E-2</v>
      </c>
      <c r="H179" s="75">
        <v>1.2999999999999999E-2</v>
      </c>
      <c r="I179" s="75">
        <v>0.01</v>
      </c>
      <c r="J179" s="75">
        <v>0.01</v>
      </c>
      <c r="K179" s="75">
        <v>0.01</v>
      </c>
      <c r="L179" s="75">
        <v>0.01</v>
      </c>
      <c r="M179" s="75">
        <v>0.01</v>
      </c>
      <c r="N179" s="75">
        <v>0.01</v>
      </c>
      <c r="O179" s="75">
        <v>0.01</v>
      </c>
      <c r="P179" s="75">
        <v>0.01</v>
      </c>
      <c r="Q179" s="75">
        <v>0.01</v>
      </c>
    </row>
    <row r="182" spans="1:17">
      <c r="A182" s="6" t="s">
        <v>233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>
      <c r="A183" s="1" t="s">
        <v>153</v>
      </c>
    </row>
    <row r="184" spans="1:17">
      <c r="A184" t="s">
        <v>147</v>
      </c>
      <c r="C184" s="56"/>
      <c r="D184" s="56"/>
      <c r="E184" s="56"/>
      <c r="F184" s="56"/>
      <c r="G184" s="75">
        <v>0.15662615131882518</v>
      </c>
      <c r="H184" s="75">
        <v>0.1</v>
      </c>
      <c r="I184" s="75">
        <v>0.08</v>
      </c>
      <c r="J184" s="75">
        <v>0.08</v>
      </c>
      <c r="K184" s="75">
        <v>0.06</v>
      </c>
      <c r="L184" s="75">
        <v>0.06</v>
      </c>
      <c r="M184" s="75">
        <v>0.05</v>
      </c>
      <c r="N184" s="75">
        <v>0.05</v>
      </c>
      <c r="O184" s="75">
        <v>0.04</v>
      </c>
      <c r="P184" s="75">
        <v>0.03</v>
      </c>
      <c r="Q184" s="75">
        <v>0.03</v>
      </c>
    </row>
    <row r="185" spans="1:17">
      <c r="A185" t="s">
        <v>148</v>
      </c>
      <c r="C185" s="56"/>
      <c r="D185" s="56"/>
      <c r="E185" s="56"/>
      <c r="F185" s="56"/>
      <c r="G185" s="75">
        <v>2.1417570002314954</v>
      </c>
      <c r="H185" s="75">
        <v>0.25</v>
      </c>
      <c r="I185" s="75">
        <v>0.15</v>
      </c>
      <c r="J185" s="75">
        <v>0.1</v>
      </c>
      <c r="K185" s="75">
        <v>7.0000000000000062E-2</v>
      </c>
      <c r="L185" s="75">
        <v>7.0000000000000062E-2</v>
      </c>
      <c r="M185" s="75">
        <v>7.0000000000000062E-2</v>
      </c>
      <c r="N185" s="75">
        <v>7.0000000000000062E-2</v>
      </c>
      <c r="O185" s="75">
        <v>0.05</v>
      </c>
      <c r="P185" s="75">
        <v>0.05</v>
      </c>
      <c r="Q185" s="75">
        <v>0.04</v>
      </c>
    </row>
    <row r="186" spans="1:17">
      <c r="A186" t="s">
        <v>149</v>
      </c>
      <c r="C186" s="56"/>
      <c r="D186" s="56"/>
      <c r="E186" s="56"/>
      <c r="F186" s="56"/>
      <c r="G186" s="75">
        <v>0.3911138295536527</v>
      </c>
      <c r="H186" s="75">
        <v>0.25</v>
      </c>
      <c r="I186" s="75">
        <v>0.2</v>
      </c>
      <c r="J186" s="75">
        <v>0.15</v>
      </c>
      <c r="K186" s="75">
        <v>0.1</v>
      </c>
      <c r="L186" s="75">
        <v>0.05</v>
      </c>
      <c r="M186" s="75">
        <v>0.05</v>
      </c>
      <c r="N186" s="75">
        <v>0.04</v>
      </c>
      <c r="O186" s="75">
        <v>0.04</v>
      </c>
      <c r="P186" s="75">
        <v>0.04</v>
      </c>
      <c r="Q186" s="75">
        <v>0.04</v>
      </c>
    </row>
    <row r="187" spans="1:17">
      <c r="A187" t="s">
        <v>150</v>
      </c>
      <c r="C187" s="56"/>
      <c r="D187" s="56"/>
      <c r="E187" s="56"/>
      <c r="F187" s="56"/>
      <c r="G187" s="75">
        <v>0.56295545725748375</v>
      </c>
      <c r="H187" s="75">
        <v>0.35</v>
      </c>
      <c r="I187" s="75">
        <v>0.25</v>
      </c>
      <c r="J187" s="75">
        <v>0.15</v>
      </c>
      <c r="K187" s="75">
        <v>0.15</v>
      </c>
      <c r="L187" s="75">
        <v>0.12</v>
      </c>
      <c r="M187" s="75">
        <v>0.10000000000000009</v>
      </c>
      <c r="N187" s="75">
        <v>8.0000000000000071E-2</v>
      </c>
      <c r="O187" s="75">
        <v>0.05</v>
      </c>
      <c r="P187" s="75">
        <v>0.04</v>
      </c>
      <c r="Q187" s="75">
        <v>0.04</v>
      </c>
    </row>
    <row r="188" spans="1:17">
      <c r="A188" t="s">
        <v>151</v>
      </c>
      <c r="C188" s="56"/>
      <c r="D188" s="56"/>
      <c r="E188" s="56"/>
      <c r="F188" s="56"/>
      <c r="G188" s="75">
        <v>0.44421100864883445</v>
      </c>
      <c r="H188" s="75">
        <v>0.35</v>
      </c>
      <c r="I188" s="75">
        <v>0.3</v>
      </c>
      <c r="J188" s="75">
        <v>0.25</v>
      </c>
      <c r="K188" s="75">
        <v>0.19999999999999996</v>
      </c>
      <c r="L188" s="75">
        <v>0.14999999999999991</v>
      </c>
      <c r="M188" s="75">
        <v>0.12</v>
      </c>
      <c r="N188" s="75">
        <v>0.10000000000000009</v>
      </c>
      <c r="O188" s="75">
        <v>0.08</v>
      </c>
      <c r="P188" s="75">
        <v>0.06</v>
      </c>
      <c r="Q188" s="75">
        <v>0.04</v>
      </c>
    </row>
    <row r="189" spans="1:17">
      <c r="A189" t="s">
        <v>152</v>
      </c>
      <c r="C189" s="56"/>
      <c r="D189" s="56"/>
      <c r="E189" s="56"/>
      <c r="F189" s="56"/>
      <c r="G189" s="75">
        <v>1.2099613152804642</v>
      </c>
      <c r="H189" s="75">
        <v>0.5</v>
      </c>
      <c r="I189" s="75">
        <v>0.4</v>
      </c>
      <c r="J189" s="75">
        <v>0.3</v>
      </c>
      <c r="K189" s="75">
        <v>0.2</v>
      </c>
      <c r="L189" s="75">
        <v>0.15</v>
      </c>
      <c r="M189" s="75">
        <v>0.1</v>
      </c>
      <c r="N189" s="75">
        <v>0.08</v>
      </c>
      <c r="O189" s="75">
        <v>0.06</v>
      </c>
      <c r="P189" s="75">
        <v>0.04</v>
      </c>
      <c r="Q189" s="75">
        <v>0.04</v>
      </c>
    </row>
    <row r="190" spans="1:17">
      <c r="A190" s="15" t="s">
        <v>3</v>
      </c>
      <c r="B190" s="1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</row>
    <row r="191" spans="1:17">
      <c r="A191" s="1"/>
      <c r="B191" s="55"/>
      <c r="C191" s="55"/>
      <c r="D191" s="54"/>
      <c r="E191" s="54"/>
      <c r="F191" s="54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</row>
    <row r="192" spans="1:17" ht="14.25" customHeight="1">
      <c r="A192" s="28" t="s">
        <v>100</v>
      </c>
      <c r="C192" s="8"/>
      <c r="D192" s="8"/>
      <c r="E192" s="8"/>
      <c r="F192" s="8"/>
    </row>
    <row r="193" spans="1:31" ht="14.25" customHeight="1">
      <c r="A193" t="s">
        <v>5</v>
      </c>
      <c r="B193" s="8"/>
      <c r="C193" s="8"/>
      <c r="D193" s="8"/>
      <c r="E193" s="8"/>
      <c r="F193" s="8"/>
      <c r="G193" s="75">
        <v>0.61043695815951304</v>
      </c>
      <c r="H193" s="75">
        <v>0.6</v>
      </c>
      <c r="I193" s="75">
        <v>0.6</v>
      </c>
      <c r="J193" s="75">
        <v>0.6</v>
      </c>
      <c r="K193" s="75">
        <v>0.6</v>
      </c>
      <c r="L193" s="75">
        <v>0.6</v>
      </c>
      <c r="M193" s="75">
        <v>0.6</v>
      </c>
      <c r="N193" s="75">
        <v>0.6</v>
      </c>
      <c r="O193" s="75">
        <v>0.6</v>
      </c>
      <c r="P193" s="75">
        <v>0.6</v>
      </c>
      <c r="Q193" s="75">
        <v>0.6</v>
      </c>
    </row>
    <row r="194" spans="1:31" ht="14.25" customHeight="1">
      <c r="A194" s="10" t="s">
        <v>6</v>
      </c>
      <c r="B194" s="8"/>
      <c r="C194" s="8"/>
      <c r="D194" s="8"/>
      <c r="E194" s="8"/>
      <c r="F194" s="8"/>
      <c r="G194" s="75">
        <v>0.1462138351343146</v>
      </c>
      <c r="H194" s="75">
        <v>0.15</v>
      </c>
      <c r="I194" s="75">
        <v>0.15</v>
      </c>
      <c r="J194" s="75">
        <v>0.15</v>
      </c>
      <c r="K194" s="75">
        <v>0.15</v>
      </c>
      <c r="L194" s="75">
        <v>0.15</v>
      </c>
      <c r="M194" s="75">
        <v>0.15</v>
      </c>
      <c r="N194" s="75">
        <v>0.15</v>
      </c>
      <c r="O194" s="75">
        <v>0.15</v>
      </c>
      <c r="P194" s="75">
        <v>0.15</v>
      </c>
      <c r="Q194" s="75">
        <v>0.15</v>
      </c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 spans="1:31" ht="14.25" customHeight="1">
      <c r="A195" s="10" t="s">
        <v>7</v>
      </c>
      <c r="B195" s="8"/>
      <c r="C195" s="8"/>
      <c r="D195" s="8"/>
      <c r="E195" s="8"/>
      <c r="F195" s="8"/>
      <c r="G195" s="75">
        <v>5.8308333239629834E-2</v>
      </c>
      <c r="H195" s="75">
        <v>6.0057583236818729E-2</v>
      </c>
      <c r="I195" s="75">
        <v>6.0057583236818729E-2</v>
      </c>
      <c r="J195" s="75">
        <v>6.0057583236818729E-2</v>
      </c>
      <c r="K195" s="75">
        <v>6.0057583236818729E-2</v>
      </c>
      <c r="L195" s="75">
        <v>6.0057583236818729E-2</v>
      </c>
      <c r="M195" s="75">
        <v>6.0057583236818729E-2</v>
      </c>
      <c r="N195" s="75">
        <v>6.0057583236818729E-2</v>
      </c>
      <c r="O195" s="75">
        <v>6.0057583236818729E-2</v>
      </c>
      <c r="P195" s="75">
        <v>6.0057583236818729E-2</v>
      </c>
      <c r="Q195" s="75">
        <v>6.0057583236818729E-2</v>
      </c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 spans="1:31" ht="14.25" customHeight="1">
      <c r="A196" s="10" t="s">
        <v>8</v>
      </c>
      <c r="B196" s="8"/>
      <c r="C196" s="8"/>
      <c r="D196" s="8"/>
      <c r="E196" s="8"/>
      <c r="F196" s="8"/>
      <c r="G196" s="75">
        <v>0.12717438970910686</v>
      </c>
      <c r="H196" s="75">
        <v>0.12717438970910686</v>
      </c>
      <c r="I196" s="75">
        <v>0.12717438970910686</v>
      </c>
      <c r="J196" s="75">
        <v>0.12717438970910686</v>
      </c>
      <c r="K196" s="75">
        <v>0.12717438970910686</v>
      </c>
      <c r="L196" s="75">
        <v>0.12717438970910686</v>
      </c>
      <c r="M196" s="75">
        <v>0.12717438970910686</v>
      </c>
      <c r="N196" s="75">
        <v>0.12717438970910686</v>
      </c>
      <c r="O196" s="75">
        <v>0.12717438970910686</v>
      </c>
      <c r="P196" s="75">
        <v>0.12717438970910686</v>
      </c>
      <c r="Q196" s="75">
        <v>0.12717438970910686</v>
      </c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 spans="1:31" ht="14.25" customHeight="1">
      <c r="A197" s="10" t="s">
        <v>9</v>
      </c>
      <c r="B197" s="8"/>
      <c r="C197" s="8"/>
      <c r="D197" s="8"/>
      <c r="E197" s="8"/>
      <c r="F197" s="8"/>
      <c r="G197" s="75">
        <v>2.0655999460267842E-2</v>
      </c>
      <c r="H197" s="75">
        <v>2.0655999460267842E-2</v>
      </c>
      <c r="I197" s="75">
        <v>2.0655999460267842E-2</v>
      </c>
      <c r="J197" s="75">
        <v>2.0655999460267842E-2</v>
      </c>
      <c r="K197" s="75">
        <v>2.0655999460267842E-2</v>
      </c>
      <c r="L197" s="75">
        <v>2.0655999460267842E-2</v>
      </c>
      <c r="M197" s="75">
        <v>2.0655999460267842E-2</v>
      </c>
      <c r="N197" s="75">
        <v>2.0655999460267842E-2</v>
      </c>
      <c r="O197" s="75">
        <v>2.0655999460267842E-2</v>
      </c>
      <c r="P197" s="75">
        <v>2.0655999460267842E-2</v>
      </c>
      <c r="Q197" s="75">
        <v>2.0655999460267842E-2</v>
      </c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 spans="1:31" ht="14.25" customHeight="1">
      <c r="A198" s="10" t="s">
        <v>10</v>
      </c>
      <c r="B198" s="8"/>
      <c r="C198" s="8"/>
      <c r="D198" s="8"/>
      <c r="E198" s="8"/>
      <c r="F198" s="8"/>
      <c r="G198" s="75">
        <v>1.1429952885880382E-3</v>
      </c>
      <c r="H198" s="75">
        <v>1.0858455241586362E-3</v>
      </c>
      <c r="I198" s="75">
        <v>1.0858455241586362E-3</v>
      </c>
      <c r="J198" s="75">
        <v>1.0858455241586362E-3</v>
      </c>
      <c r="K198" s="75">
        <v>1.0858455241586362E-3</v>
      </c>
      <c r="L198" s="75">
        <v>1.0858455241586362E-3</v>
      </c>
      <c r="M198" s="75">
        <v>1.0858455241586362E-3</v>
      </c>
      <c r="N198" s="75">
        <v>1.0858455241586362E-3</v>
      </c>
      <c r="O198" s="75">
        <v>1.0858455241586362E-3</v>
      </c>
      <c r="P198" s="75">
        <v>1.0858455241586362E-3</v>
      </c>
      <c r="Q198" s="75">
        <v>1.0858455241586362E-3</v>
      </c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 spans="1:31" ht="14.25" customHeight="1">
      <c r="A199" s="30" t="s">
        <v>11</v>
      </c>
      <c r="B199" s="31"/>
      <c r="C199" s="31"/>
      <c r="D199" s="31"/>
      <c r="E199" s="31"/>
      <c r="F199" s="31"/>
      <c r="G199" s="31">
        <f>SUM(G193:G198)</f>
        <v>0.9639325109914203</v>
      </c>
      <c r="H199" s="31">
        <f t="shared" ref="H199:Q199" si="44">SUM(H193:H198)</f>
        <v>0.95897381793035219</v>
      </c>
      <c r="I199" s="31">
        <f t="shared" si="44"/>
        <v>0.95897381793035219</v>
      </c>
      <c r="J199" s="31">
        <f t="shared" si="44"/>
        <v>0.95897381793035219</v>
      </c>
      <c r="K199" s="31">
        <f t="shared" si="44"/>
        <v>0.95897381793035219</v>
      </c>
      <c r="L199" s="31">
        <f t="shared" si="44"/>
        <v>0.95897381793035219</v>
      </c>
      <c r="M199" s="31">
        <f t="shared" si="44"/>
        <v>0.95897381793035219</v>
      </c>
      <c r="N199" s="31">
        <f t="shared" si="44"/>
        <v>0.95897381793035219</v>
      </c>
      <c r="O199" s="31">
        <f t="shared" si="44"/>
        <v>0.95897381793035219</v>
      </c>
      <c r="P199" s="31">
        <f t="shared" si="44"/>
        <v>0.95897381793035219</v>
      </c>
      <c r="Q199" s="31">
        <f t="shared" si="44"/>
        <v>0.95897381793035219</v>
      </c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 spans="1:31" ht="14.25" customHeight="1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 spans="1:31" ht="14.25" customHeight="1">
      <c r="A201" s="10" t="s">
        <v>101</v>
      </c>
      <c r="B201" s="9"/>
      <c r="C201" s="9"/>
      <c r="D201" s="9"/>
      <c r="E201" s="9"/>
      <c r="F201" s="9"/>
      <c r="G201" s="75">
        <v>6.8000000000000005E-2</v>
      </c>
      <c r="H201" s="75">
        <v>6.8000000000000005E-2</v>
      </c>
      <c r="I201" s="75">
        <v>6.8000000000000005E-2</v>
      </c>
      <c r="J201" s="75">
        <v>6.8000000000000005E-2</v>
      </c>
      <c r="K201" s="75">
        <v>6.8000000000000005E-2</v>
      </c>
      <c r="L201" s="75">
        <v>6.8000000000000005E-2</v>
      </c>
      <c r="M201" s="75">
        <v>6.8000000000000005E-2</v>
      </c>
      <c r="N201" s="75">
        <v>6.8000000000000005E-2</v>
      </c>
      <c r="O201" s="75">
        <v>6.8000000000000005E-2</v>
      </c>
      <c r="P201" s="75">
        <v>6.8000000000000005E-2</v>
      </c>
      <c r="Q201" s="75">
        <v>6.8000000000000005E-2</v>
      </c>
    </row>
    <row r="202" spans="1:31" ht="14.25" customHeight="1">
      <c r="A202" s="10" t="s">
        <v>91</v>
      </c>
      <c r="B202" s="9"/>
      <c r="C202" s="9"/>
      <c r="D202" s="9"/>
      <c r="E202" s="9"/>
      <c r="F202" s="9"/>
      <c r="G202" s="75">
        <v>0.2</v>
      </c>
      <c r="H202" s="75">
        <v>0.2</v>
      </c>
      <c r="I202" s="75">
        <v>0.22500000000000001</v>
      </c>
      <c r="J202" s="75">
        <v>0.22500000000000001</v>
      </c>
      <c r="K202" s="75">
        <v>0.22500000000000001</v>
      </c>
      <c r="L202" s="75">
        <v>0.22500000000000001</v>
      </c>
      <c r="M202" s="75">
        <v>0.22500000000000001</v>
      </c>
      <c r="N202" s="75">
        <v>0.22500000000000001</v>
      </c>
      <c r="O202" s="75">
        <v>0.22500000000000001</v>
      </c>
      <c r="P202" s="75">
        <v>0.22500000000000001</v>
      </c>
      <c r="Q202" s="75">
        <v>0.22500000000000001</v>
      </c>
    </row>
    <row r="203" spans="1:31" ht="14.25" customHeight="1">
      <c r="A203" s="10" t="s">
        <v>102</v>
      </c>
      <c r="B203" s="9"/>
      <c r="C203" s="9"/>
      <c r="D203" s="9"/>
      <c r="E203" s="9"/>
      <c r="F203" s="9"/>
      <c r="G203" s="75">
        <v>0.01</v>
      </c>
      <c r="H203" s="75">
        <v>0.01</v>
      </c>
      <c r="I203" s="75">
        <v>0.01</v>
      </c>
      <c r="J203" s="75">
        <v>0.01</v>
      </c>
      <c r="K203" s="75">
        <v>0.01</v>
      </c>
      <c r="L203" s="75">
        <v>0.01</v>
      </c>
      <c r="M203" s="75">
        <v>0.01</v>
      </c>
      <c r="N203" s="75">
        <v>0.01</v>
      </c>
      <c r="O203" s="75">
        <v>0.01</v>
      </c>
      <c r="P203" s="75">
        <v>0.01</v>
      </c>
      <c r="Q203" s="75">
        <v>0.01</v>
      </c>
    </row>
    <row r="204" spans="1:31" ht="14.25" customHeight="1">
      <c r="A204" s="10" t="s">
        <v>103</v>
      </c>
      <c r="B204" s="9"/>
      <c r="C204" s="9"/>
      <c r="D204" s="9"/>
      <c r="E204" s="9"/>
      <c r="F204" s="9"/>
      <c r="G204" s="75">
        <v>5.5E-2</v>
      </c>
      <c r="H204" s="75">
        <v>5.5E-2</v>
      </c>
      <c r="I204" s="75">
        <v>5.5E-2</v>
      </c>
      <c r="J204" s="75">
        <v>5.5E-2</v>
      </c>
      <c r="K204" s="75">
        <v>5.5E-2</v>
      </c>
      <c r="L204" s="75">
        <v>5.5E-2</v>
      </c>
      <c r="M204" s="75">
        <v>5.5E-2</v>
      </c>
      <c r="N204" s="75">
        <v>5.5E-2</v>
      </c>
      <c r="O204" s="75">
        <v>5.5E-2</v>
      </c>
      <c r="P204" s="75">
        <v>5.5E-2</v>
      </c>
      <c r="Q204" s="75">
        <v>5.5E-2</v>
      </c>
    </row>
    <row r="205" spans="1:31" ht="14.25" customHeight="1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31" ht="14.25" customHeight="1">
      <c r="A206" s="28" t="s">
        <v>93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31" ht="14.25" customHeight="1">
      <c r="A207" s="10" t="s">
        <v>104</v>
      </c>
      <c r="B207" s="32"/>
      <c r="C207" s="32"/>
      <c r="D207" s="32"/>
      <c r="E207" s="32"/>
      <c r="F207" s="32"/>
      <c r="G207" s="76">
        <v>52</v>
      </c>
      <c r="H207" s="76">
        <v>52</v>
      </c>
      <c r="I207" s="76">
        <v>52</v>
      </c>
      <c r="J207" s="76">
        <v>52</v>
      </c>
      <c r="K207" s="76">
        <v>52</v>
      </c>
      <c r="L207" s="76">
        <v>52</v>
      </c>
      <c r="M207" s="76">
        <v>52</v>
      </c>
      <c r="N207" s="76">
        <v>52</v>
      </c>
      <c r="O207" s="76">
        <v>52</v>
      </c>
      <c r="P207" s="76">
        <v>52</v>
      </c>
      <c r="Q207" s="76">
        <v>52</v>
      </c>
    </row>
    <row r="208" spans="1:31" ht="14.25" customHeight="1">
      <c r="A208" s="10" t="s">
        <v>105</v>
      </c>
      <c r="B208" s="32"/>
      <c r="C208" s="32"/>
      <c r="D208" s="32"/>
      <c r="E208" s="32"/>
      <c r="F208" s="32"/>
      <c r="G208" s="76">
        <v>27</v>
      </c>
      <c r="H208" s="76">
        <v>27</v>
      </c>
      <c r="I208" s="76">
        <v>27</v>
      </c>
      <c r="J208" s="76">
        <v>27</v>
      </c>
      <c r="K208" s="76">
        <v>27</v>
      </c>
      <c r="L208" s="76">
        <v>27</v>
      </c>
      <c r="M208" s="76">
        <v>27</v>
      </c>
      <c r="N208" s="76">
        <v>27</v>
      </c>
      <c r="O208" s="76">
        <v>27</v>
      </c>
      <c r="P208" s="76">
        <v>27</v>
      </c>
      <c r="Q208" s="76">
        <v>27</v>
      </c>
    </row>
    <row r="209" spans="1:17" ht="14.25" customHeight="1">
      <c r="A209" s="10" t="s">
        <v>106</v>
      </c>
      <c r="B209" s="32"/>
      <c r="C209" s="32"/>
      <c r="D209" s="32"/>
      <c r="E209" s="32"/>
      <c r="F209" s="32"/>
      <c r="G209" s="77">
        <v>0</v>
      </c>
      <c r="H209" s="77">
        <v>0</v>
      </c>
      <c r="I209" s="77">
        <v>0</v>
      </c>
      <c r="J209" s="77">
        <v>0</v>
      </c>
      <c r="K209" s="77">
        <v>0</v>
      </c>
      <c r="L209" s="77">
        <v>0</v>
      </c>
      <c r="M209" s="77">
        <v>0</v>
      </c>
      <c r="N209" s="77">
        <v>0</v>
      </c>
      <c r="O209" s="77">
        <v>0</v>
      </c>
      <c r="P209" s="77">
        <v>0</v>
      </c>
      <c r="Q209" s="77">
        <v>0</v>
      </c>
    </row>
    <row r="210" spans="1:17" ht="14.25" customHeight="1">
      <c r="A210" s="10" t="s">
        <v>107</v>
      </c>
      <c r="B210" s="33"/>
      <c r="C210" s="9"/>
      <c r="D210" s="9"/>
      <c r="E210" s="9"/>
      <c r="F210" s="9"/>
      <c r="G210" s="382">
        <v>0</v>
      </c>
      <c r="H210" s="382">
        <v>0</v>
      </c>
      <c r="I210" s="382">
        <v>0</v>
      </c>
      <c r="J210" s="382">
        <v>0</v>
      </c>
      <c r="K210" s="382">
        <v>0</v>
      </c>
      <c r="L210" s="382">
        <v>0</v>
      </c>
      <c r="M210" s="382">
        <v>0</v>
      </c>
      <c r="N210" s="382">
        <v>0</v>
      </c>
      <c r="O210" s="382">
        <v>0</v>
      </c>
      <c r="P210" s="382">
        <v>0</v>
      </c>
      <c r="Q210" s="382">
        <v>0</v>
      </c>
    </row>
    <row r="211" spans="1:17" ht="14.25" customHeight="1">
      <c r="A211" s="10" t="s">
        <v>108</v>
      </c>
      <c r="B211" s="33"/>
      <c r="C211" s="9"/>
      <c r="D211" s="9"/>
      <c r="E211" s="9"/>
      <c r="F211" s="9"/>
      <c r="G211" s="382">
        <v>0</v>
      </c>
      <c r="H211" s="382">
        <v>0</v>
      </c>
      <c r="I211" s="382">
        <v>0</v>
      </c>
      <c r="J211" s="382">
        <v>0</v>
      </c>
      <c r="K211" s="382">
        <v>0</v>
      </c>
      <c r="L211" s="382">
        <v>0</v>
      </c>
      <c r="M211" s="382">
        <v>0</v>
      </c>
      <c r="N211" s="382">
        <v>0</v>
      </c>
      <c r="O211" s="382">
        <v>0</v>
      </c>
      <c r="P211" s="382">
        <v>0</v>
      </c>
      <c r="Q211" s="382">
        <v>0</v>
      </c>
    </row>
    <row r="212" spans="1:17" ht="14.25" customHeight="1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14.25" customHeight="1">
      <c r="A213" s="10" t="s">
        <v>109</v>
      </c>
      <c r="B213" s="32"/>
      <c r="C213" s="32"/>
      <c r="D213" s="32"/>
      <c r="E213" s="32"/>
      <c r="F213" s="32"/>
      <c r="G213" s="76">
        <v>115</v>
      </c>
      <c r="H213" s="76">
        <v>115</v>
      </c>
      <c r="I213" s="76">
        <v>115</v>
      </c>
      <c r="J213" s="76">
        <v>115</v>
      </c>
      <c r="K213" s="76">
        <v>115</v>
      </c>
      <c r="L213" s="76">
        <v>115</v>
      </c>
      <c r="M213" s="76">
        <v>115</v>
      </c>
      <c r="N213" s="76">
        <v>115</v>
      </c>
      <c r="O213" s="76">
        <v>115</v>
      </c>
      <c r="P213" s="76">
        <v>115</v>
      </c>
      <c r="Q213" s="76">
        <v>115</v>
      </c>
    </row>
    <row r="214" spans="1:17" ht="14.25" customHeight="1">
      <c r="A214" s="10" t="s">
        <v>110</v>
      </c>
      <c r="B214" s="9"/>
      <c r="C214" s="9"/>
      <c r="D214" s="9"/>
      <c r="E214" s="9"/>
      <c r="F214" s="9"/>
      <c r="G214" s="75">
        <v>0.1</v>
      </c>
      <c r="H214" s="75">
        <v>0.1</v>
      </c>
      <c r="I214" s="75">
        <v>0.1</v>
      </c>
      <c r="J214" s="75">
        <v>0.1</v>
      </c>
      <c r="K214" s="75">
        <v>0.1</v>
      </c>
      <c r="L214" s="75">
        <v>0.1</v>
      </c>
      <c r="M214" s="75">
        <v>0.1</v>
      </c>
      <c r="N214" s="75">
        <v>0.1</v>
      </c>
      <c r="O214" s="75">
        <v>0.1</v>
      </c>
      <c r="P214" s="75">
        <v>0.1</v>
      </c>
      <c r="Q214" s="75">
        <v>0.1</v>
      </c>
    </row>
    <row r="215" spans="1:17" ht="14.25" customHeight="1">
      <c r="A215" s="10" t="s">
        <v>41</v>
      </c>
      <c r="B215" s="9"/>
      <c r="C215" s="9"/>
      <c r="D215" s="9"/>
      <c r="E215" s="9"/>
      <c r="F215" s="9"/>
      <c r="G215" s="75">
        <v>0.03</v>
      </c>
      <c r="H215" s="75">
        <v>0.03</v>
      </c>
      <c r="I215" s="75">
        <v>0.03</v>
      </c>
      <c r="J215" s="75">
        <v>0.03</v>
      </c>
      <c r="K215" s="75">
        <v>0.03</v>
      </c>
      <c r="L215" s="75">
        <v>0.03</v>
      </c>
      <c r="M215" s="75">
        <v>0.03</v>
      </c>
      <c r="N215" s="75">
        <v>0.03</v>
      </c>
      <c r="O215" s="75">
        <v>0.03</v>
      </c>
      <c r="P215" s="75">
        <v>0.03</v>
      </c>
      <c r="Q215" s="75">
        <v>0.03</v>
      </c>
    </row>
    <row r="216" spans="1:17" ht="14.25" customHeight="1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14.25" customHeight="1">
      <c r="A217" s="10" t="s">
        <v>111</v>
      </c>
      <c r="B217" s="9"/>
      <c r="C217" s="9"/>
      <c r="D217" s="9"/>
      <c r="E217" s="9"/>
      <c r="F217" s="9"/>
      <c r="G217" s="75">
        <v>7.0000000000000007E-2</v>
      </c>
      <c r="H217" s="75">
        <v>7.0000000000000007E-2</v>
      </c>
      <c r="I217" s="75">
        <v>7.0000000000000007E-2</v>
      </c>
      <c r="J217" s="75">
        <v>0.06</v>
      </c>
      <c r="K217" s="75">
        <v>0.06</v>
      </c>
      <c r="L217" s="75">
        <v>0.06</v>
      </c>
      <c r="M217" s="75">
        <v>5.5E-2</v>
      </c>
      <c r="N217" s="75">
        <v>0.05</v>
      </c>
      <c r="O217" s="75">
        <v>0.05</v>
      </c>
      <c r="P217" s="75">
        <v>4.4999999999999998E-2</v>
      </c>
      <c r="Q217" s="75">
        <v>4.4999999999999998E-2</v>
      </c>
    </row>
    <row r="218" spans="1:17" ht="14.25" customHeight="1">
      <c r="A218" s="10" t="s">
        <v>112</v>
      </c>
      <c r="B218" s="9"/>
      <c r="C218" s="9"/>
      <c r="D218" s="9"/>
      <c r="E218" s="9"/>
      <c r="F218" s="9"/>
      <c r="G218" s="75">
        <v>7.4999999999999997E-2</v>
      </c>
      <c r="H218" s="75">
        <v>0.06</v>
      </c>
      <c r="I218" s="75">
        <v>0.05</v>
      </c>
      <c r="J218" s="75">
        <v>0.05</v>
      </c>
      <c r="K218" s="75">
        <v>0.05</v>
      </c>
      <c r="L218" s="75">
        <v>0.04</v>
      </c>
      <c r="M218" s="75">
        <v>0.04</v>
      </c>
      <c r="N218" s="75">
        <v>0.04</v>
      </c>
      <c r="O218" s="75">
        <v>0.03</v>
      </c>
      <c r="P218" s="75">
        <v>2.9000000000000001E-2</v>
      </c>
      <c r="Q218" s="75">
        <v>2.9000000000000001E-2</v>
      </c>
    </row>
    <row r="219" spans="1:17" ht="14.25" customHeight="1">
      <c r="A219" s="10" t="s">
        <v>113</v>
      </c>
      <c r="B219" s="9"/>
      <c r="C219" s="9"/>
      <c r="D219" s="9"/>
      <c r="E219" s="9"/>
      <c r="F219" s="9"/>
      <c r="G219" s="75">
        <v>0.4</v>
      </c>
      <c r="H219" s="75">
        <v>0.4</v>
      </c>
      <c r="I219" s="75">
        <v>0.4</v>
      </c>
      <c r="J219" s="75">
        <v>0.4</v>
      </c>
      <c r="K219" s="75">
        <v>0.4</v>
      </c>
      <c r="L219" s="75">
        <v>0.4</v>
      </c>
      <c r="M219" s="75">
        <v>0.4</v>
      </c>
      <c r="N219" s="75">
        <v>0.4</v>
      </c>
      <c r="O219" s="75">
        <v>0.4</v>
      </c>
      <c r="P219" s="75">
        <v>0.4</v>
      </c>
      <c r="Q219" s="75">
        <v>0.4</v>
      </c>
    </row>
    <row r="220" spans="1:17" ht="14.25" customHeight="1">
      <c r="A220" s="10" t="s">
        <v>114</v>
      </c>
      <c r="B220" s="9"/>
      <c r="C220" s="9"/>
      <c r="D220" s="9"/>
      <c r="E220" s="9"/>
      <c r="F220" s="9"/>
      <c r="G220" s="75">
        <v>0.38</v>
      </c>
      <c r="H220" s="75">
        <v>0.38</v>
      </c>
      <c r="I220" s="75">
        <v>0.38</v>
      </c>
      <c r="J220" s="75">
        <v>0.38</v>
      </c>
      <c r="K220" s="75">
        <v>0.38</v>
      </c>
      <c r="L220" s="75">
        <v>0.38</v>
      </c>
      <c r="M220" s="75">
        <v>0.38</v>
      </c>
      <c r="N220" s="75">
        <v>0.38</v>
      </c>
      <c r="O220" s="75">
        <v>0.38</v>
      </c>
      <c r="P220" s="75">
        <v>0.38</v>
      </c>
      <c r="Q220" s="75">
        <v>0.38</v>
      </c>
    </row>
    <row r="221" spans="1:17" ht="14.25" customHeight="1">
      <c r="A221" s="10"/>
      <c r="B221" s="9"/>
      <c r="C221" s="9"/>
      <c r="D221" s="9"/>
      <c r="E221" s="9"/>
      <c r="F221" s="9"/>
    </row>
    <row r="222" spans="1:17" ht="14.25" customHeight="1">
      <c r="A222" s="10" t="s">
        <v>115</v>
      </c>
      <c r="B222" s="9"/>
      <c r="C222" s="32"/>
      <c r="D222" s="32"/>
      <c r="E222" s="32"/>
      <c r="F222" s="32"/>
      <c r="G222" s="77">
        <v>0</v>
      </c>
      <c r="H222" s="77">
        <v>0</v>
      </c>
      <c r="I222" s="77">
        <v>0</v>
      </c>
      <c r="J222" s="77">
        <v>0</v>
      </c>
      <c r="K222" s="77">
        <v>0</v>
      </c>
      <c r="L222" s="77">
        <v>0</v>
      </c>
      <c r="M222" s="77">
        <v>0</v>
      </c>
      <c r="N222" s="77">
        <v>0</v>
      </c>
      <c r="O222" s="77">
        <v>0</v>
      </c>
      <c r="P222" s="77">
        <v>0</v>
      </c>
      <c r="Q222" s="77">
        <v>0</v>
      </c>
    </row>
    <row r="223" spans="1:17" ht="14.25" customHeight="1">
      <c r="A223" s="10" t="s">
        <v>116</v>
      </c>
      <c r="B223" s="9"/>
      <c r="C223" s="32"/>
      <c r="D223" s="32"/>
      <c r="E223" s="32"/>
      <c r="F223" s="32"/>
      <c r="G223" s="77">
        <v>0</v>
      </c>
      <c r="H223" s="77">
        <v>0</v>
      </c>
      <c r="I223" s="77">
        <v>0</v>
      </c>
      <c r="J223" s="77">
        <v>0</v>
      </c>
      <c r="K223" s="77">
        <v>0</v>
      </c>
      <c r="L223" s="77">
        <v>0</v>
      </c>
      <c r="M223" s="77">
        <v>0</v>
      </c>
      <c r="N223" s="77">
        <v>0</v>
      </c>
      <c r="O223" s="77">
        <v>0</v>
      </c>
      <c r="P223" s="77">
        <v>0</v>
      </c>
      <c r="Q223" s="77">
        <v>0</v>
      </c>
    </row>
    <row r="224" spans="1:17" ht="14.25" customHeight="1">
      <c r="A224" s="10" t="s">
        <v>117</v>
      </c>
      <c r="B224" s="9"/>
      <c r="C224" s="32"/>
      <c r="D224" s="32"/>
      <c r="E224" s="32"/>
      <c r="F224" s="32"/>
      <c r="G224" s="77">
        <v>0</v>
      </c>
      <c r="H224" s="77">
        <v>0</v>
      </c>
      <c r="I224" s="77">
        <v>0</v>
      </c>
      <c r="J224" s="77">
        <v>0</v>
      </c>
      <c r="K224" s="77">
        <v>0</v>
      </c>
      <c r="L224" s="77">
        <v>0</v>
      </c>
      <c r="M224" s="77">
        <v>0</v>
      </c>
      <c r="N224" s="77">
        <v>0</v>
      </c>
      <c r="O224" s="77">
        <v>0</v>
      </c>
      <c r="P224" s="77">
        <v>0</v>
      </c>
      <c r="Q224" s="77">
        <v>0</v>
      </c>
    </row>
    <row r="225" spans="1:17" ht="14.25" customHeight="1">
      <c r="A225" s="10" t="s">
        <v>118</v>
      </c>
      <c r="B225" s="9"/>
      <c r="C225" s="32"/>
      <c r="D225" s="32"/>
      <c r="E225" s="32"/>
      <c r="F225" s="32"/>
      <c r="G225" s="77">
        <v>0</v>
      </c>
      <c r="H225" s="77">
        <v>0</v>
      </c>
      <c r="I225" s="77">
        <v>0</v>
      </c>
      <c r="J225" s="77">
        <v>0</v>
      </c>
      <c r="K225" s="77">
        <v>0</v>
      </c>
      <c r="L225" s="77">
        <v>0</v>
      </c>
      <c r="M225" s="77">
        <v>0</v>
      </c>
      <c r="N225" s="77">
        <v>0</v>
      </c>
      <c r="O225" s="77">
        <v>0</v>
      </c>
      <c r="P225" s="77">
        <v>0</v>
      </c>
      <c r="Q225" s="77">
        <v>0</v>
      </c>
    </row>
    <row r="226" spans="1:17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ht="14.25" customHeight="1">
      <c r="A227" s="10" t="s">
        <v>119</v>
      </c>
      <c r="B227" s="34"/>
      <c r="C227" s="52"/>
      <c r="D227" s="52"/>
      <c r="E227" s="52"/>
      <c r="F227" s="52"/>
      <c r="G227" s="77">
        <v>0</v>
      </c>
      <c r="H227" s="77">
        <v>0</v>
      </c>
      <c r="I227" s="77">
        <v>0</v>
      </c>
      <c r="J227" s="77">
        <v>0</v>
      </c>
      <c r="K227" s="77">
        <v>0</v>
      </c>
      <c r="L227" s="77">
        <v>0</v>
      </c>
      <c r="M227" s="77">
        <v>0</v>
      </c>
      <c r="N227" s="77">
        <v>0</v>
      </c>
      <c r="O227" s="77">
        <v>0</v>
      </c>
      <c r="P227" s="77">
        <v>0</v>
      </c>
      <c r="Q227" s="77">
        <v>0</v>
      </c>
    </row>
    <row r="228" spans="1:17" ht="14.25" customHeight="1">
      <c r="A228" t="s">
        <v>71</v>
      </c>
      <c r="B228" s="34"/>
      <c r="C228" s="52"/>
      <c r="D228" s="52"/>
      <c r="E228" s="52"/>
      <c r="F228" s="52"/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</row>
    <row r="229" spans="1:17" ht="14.25" customHeight="1">
      <c r="A229" t="s">
        <v>122</v>
      </c>
      <c r="B229" s="34"/>
      <c r="C229" s="52"/>
      <c r="D229" s="52"/>
      <c r="E229" s="52"/>
      <c r="F229" s="52"/>
      <c r="G229" s="77">
        <v>0</v>
      </c>
      <c r="H229" s="77">
        <v>0</v>
      </c>
      <c r="I229" s="77">
        <v>0</v>
      </c>
      <c r="J229" s="77">
        <v>0</v>
      </c>
      <c r="K229" s="77">
        <v>0</v>
      </c>
      <c r="L229" s="77">
        <v>0</v>
      </c>
      <c r="M229" s="77">
        <v>0</v>
      </c>
      <c r="N229" s="77">
        <v>0</v>
      </c>
      <c r="O229" s="77">
        <v>0</v>
      </c>
      <c r="P229" s="77">
        <v>0</v>
      </c>
      <c r="Q229" s="77">
        <v>0</v>
      </c>
    </row>
    <row r="230" spans="1:17" ht="14.25" customHeight="1">
      <c r="A230" t="s">
        <v>73</v>
      </c>
      <c r="B230" s="34"/>
      <c r="C230" s="52"/>
      <c r="D230" s="52"/>
      <c r="E230" s="52"/>
      <c r="F230" s="52"/>
      <c r="G230" s="77">
        <v>0</v>
      </c>
      <c r="H230" s="77">
        <v>0</v>
      </c>
      <c r="I230" s="77">
        <v>0</v>
      </c>
      <c r="J230" s="77">
        <v>0</v>
      </c>
      <c r="K230" s="77">
        <v>0</v>
      </c>
      <c r="L230" s="77">
        <v>0</v>
      </c>
      <c r="M230" s="77">
        <v>0</v>
      </c>
      <c r="N230" s="77">
        <v>0</v>
      </c>
      <c r="O230" s="77">
        <v>0</v>
      </c>
      <c r="P230" s="77">
        <v>0</v>
      </c>
      <c r="Q230" s="77">
        <v>0</v>
      </c>
    </row>
    <row r="231" spans="1:17" ht="14.25" customHeight="1">
      <c r="A231" s="10"/>
      <c r="B231" s="9"/>
      <c r="C231" s="9"/>
      <c r="D231" s="9"/>
      <c r="E231" s="9"/>
      <c r="F231" s="9"/>
    </row>
    <row r="232" spans="1:17" ht="14.25" customHeight="1">
      <c r="A232" s="10" t="s">
        <v>120</v>
      </c>
      <c r="B232" s="9"/>
      <c r="C232" s="9"/>
      <c r="D232" s="9"/>
      <c r="E232" s="9"/>
      <c r="F232" s="9"/>
      <c r="G232" s="75">
        <v>1.2E-2</v>
      </c>
      <c r="H232" s="75">
        <v>1.0999999999999999E-2</v>
      </c>
      <c r="I232" s="75">
        <v>0.01</v>
      </c>
      <c r="J232" s="75">
        <v>0.01</v>
      </c>
      <c r="K232" s="75">
        <v>0.01</v>
      </c>
      <c r="L232" s="75">
        <v>0.01</v>
      </c>
      <c r="M232" s="75">
        <v>0.01</v>
      </c>
      <c r="N232" s="75">
        <v>0.01</v>
      </c>
      <c r="O232" s="75">
        <v>0.01</v>
      </c>
      <c r="P232" s="75">
        <v>0.01</v>
      </c>
      <c r="Q232" s="75">
        <v>0.01</v>
      </c>
    </row>
    <row r="233" spans="1:17" ht="14.25" customHeight="1">
      <c r="A233" s="10" t="s">
        <v>121</v>
      </c>
      <c r="B233" s="9"/>
      <c r="C233" s="9"/>
      <c r="D233" s="9"/>
      <c r="E233" s="9"/>
      <c r="F233" s="9"/>
      <c r="G233" s="75">
        <v>1.6E-2</v>
      </c>
      <c r="H233" s="75">
        <v>1.2999999999999999E-2</v>
      </c>
      <c r="I233" s="75">
        <v>0.01</v>
      </c>
      <c r="J233" s="75">
        <v>0.01</v>
      </c>
      <c r="K233" s="75">
        <v>0.01</v>
      </c>
      <c r="L233" s="75">
        <v>0.01</v>
      </c>
      <c r="M233" s="75">
        <v>0.01</v>
      </c>
      <c r="N233" s="75">
        <v>0.01</v>
      </c>
      <c r="O233" s="75">
        <v>0.01</v>
      </c>
      <c r="P233" s="75">
        <v>0.01</v>
      </c>
      <c r="Q233" s="75">
        <v>0.01</v>
      </c>
    </row>
    <row r="236" spans="1:17">
      <c r="A236" s="6" t="s">
        <v>234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>
      <c r="A237" s="1" t="s">
        <v>153</v>
      </c>
    </row>
    <row r="238" spans="1:17">
      <c r="A238" t="s">
        <v>147</v>
      </c>
      <c r="C238" s="56"/>
      <c r="D238" s="56"/>
      <c r="E238" s="56"/>
      <c r="F238" s="56"/>
      <c r="G238" s="75">
        <v>0</v>
      </c>
      <c r="H238" s="75">
        <v>0</v>
      </c>
      <c r="I238" s="75">
        <v>0</v>
      </c>
      <c r="J238" s="75">
        <v>0</v>
      </c>
      <c r="K238" s="75">
        <v>0</v>
      </c>
      <c r="L238" s="75">
        <v>0</v>
      </c>
      <c r="M238" s="75">
        <v>0</v>
      </c>
      <c r="N238" s="75">
        <v>0</v>
      </c>
      <c r="O238" s="75">
        <v>0</v>
      </c>
      <c r="P238" s="75">
        <v>0</v>
      </c>
      <c r="Q238" s="75">
        <v>0</v>
      </c>
    </row>
    <row r="239" spans="1:17">
      <c r="A239" t="s">
        <v>148</v>
      </c>
      <c r="C239" s="56"/>
      <c r="D239" s="56"/>
      <c r="E239" s="56"/>
      <c r="F239" s="56"/>
      <c r="G239" s="75">
        <v>0</v>
      </c>
      <c r="H239" s="75">
        <v>0</v>
      </c>
      <c r="I239" s="75">
        <v>0</v>
      </c>
      <c r="J239" s="75">
        <v>0</v>
      </c>
      <c r="K239" s="75">
        <v>0</v>
      </c>
      <c r="L239" s="75">
        <v>0</v>
      </c>
      <c r="M239" s="75">
        <v>0</v>
      </c>
      <c r="N239" s="75">
        <v>0</v>
      </c>
      <c r="O239" s="75">
        <v>0</v>
      </c>
      <c r="P239" s="75">
        <v>0</v>
      </c>
      <c r="Q239" s="75">
        <v>0</v>
      </c>
    </row>
    <row r="240" spans="1:17">
      <c r="A240" t="s">
        <v>149</v>
      </c>
      <c r="C240" s="56"/>
      <c r="D240" s="56"/>
      <c r="E240" s="56"/>
      <c r="F240" s="56"/>
      <c r="G240" s="75">
        <v>0</v>
      </c>
      <c r="H240" s="75">
        <v>0</v>
      </c>
      <c r="I240" s="75">
        <v>0</v>
      </c>
      <c r="J240" s="75">
        <v>0</v>
      </c>
      <c r="K240" s="75">
        <v>0</v>
      </c>
      <c r="L240" s="75">
        <v>0</v>
      </c>
      <c r="M240" s="75">
        <v>0</v>
      </c>
      <c r="N240" s="75">
        <v>0</v>
      </c>
      <c r="O240" s="75">
        <v>0</v>
      </c>
      <c r="P240" s="75">
        <v>0</v>
      </c>
      <c r="Q240" s="75">
        <v>0</v>
      </c>
    </row>
    <row r="241" spans="1:31">
      <c r="A241" t="s">
        <v>150</v>
      </c>
      <c r="C241" s="56"/>
      <c r="D241" s="56"/>
      <c r="E241" s="56"/>
      <c r="F241" s="56"/>
      <c r="G241" s="75">
        <v>0</v>
      </c>
      <c r="H241" s="75">
        <v>0</v>
      </c>
      <c r="I241" s="75">
        <v>0</v>
      </c>
      <c r="J241" s="75">
        <v>0</v>
      </c>
      <c r="K241" s="75">
        <v>0</v>
      </c>
      <c r="L241" s="75">
        <v>0</v>
      </c>
      <c r="M241" s="75">
        <v>0</v>
      </c>
      <c r="N241" s="75">
        <v>0</v>
      </c>
      <c r="O241" s="75">
        <v>0</v>
      </c>
      <c r="P241" s="75">
        <v>0</v>
      </c>
      <c r="Q241" s="75">
        <v>0</v>
      </c>
    </row>
    <row r="242" spans="1:31">
      <c r="A242" t="s">
        <v>151</v>
      </c>
      <c r="C242" s="56"/>
      <c r="D242" s="56"/>
      <c r="E242" s="56"/>
      <c r="F242" s="56"/>
      <c r="G242" s="75">
        <v>0</v>
      </c>
      <c r="H242" s="75">
        <v>0</v>
      </c>
      <c r="I242" s="75">
        <v>0</v>
      </c>
      <c r="J242" s="75">
        <v>0</v>
      </c>
      <c r="K242" s="75">
        <v>0</v>
      </c>
      <c r="L242" s="75">
        <v>0</v>
      </c>
      <c r="M242" s="75">
        <v>0</v>
      </c>
      <c r="N242" s="75">
        <v>0</v>
      </c>
      <c r="O242" s="75">
        <v>0</v>
      </c>
      <c r="P242" s="75">
        <v>0</v>
      </c>
      <c r="Q242" s="75">
        <v>0</v>
      </c>
    </row>
    <row r="243" spans="1:31">
      <c r="A243" t="s">
        <v>152</v>
      </c>
      <c r="C243" s="56"/>
      <c r="D243" s="56"/>
      <c r="E243" s="56"/>
      <c r="F243" s="56"/>
      <c r="G243" s="75">
        <v>0</v>
      </c>
      <c r="H243" s="75">
        <v>0</v>
      </c>
      <c r="I243" s="75">
        <v>0</v>
      </c>
      <c r="J243" s="75">
        <v>0</v>
      </c>
      <c r="K243" s="75">
        <v>0</v>
      </c>
      <c r="L243" s="75">
        <v>0</v>
      </c>
      <c r="M243" s="75">
        <v>0</v>
      </c>
      <c r="N243" s="75">
        <v>0</v>
      </c>
      <c r="O243" s="75">
        <v>0</v>
      </c>
      <c r="P243" s="75">
        <v>0</v>
      </c>
      <c r="Q243" s="75">
        <v>0</v>
      </c>
    </row>
    <row r="244" spans="1:31">
      <c r="A244" s="15" t="s">
        <v>3</v>
      </c>
      <c r="B244" s="1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</row>
    <row r="245" spans="1:31">
      <c r="A245" s="1"/>
      <c r="B245" s="55"/>
      <c r="C245" s="55"/>
      <c r="D245" s="54"/>
      <c r="E245" s="54"/>
      <c r="F245" s="54"/>
    </row>
    <row r="246" spans="1:31" ht="14.25" customHeight="1">
      <c r="A246" s="28" t="s">
        <v>100</v>
      </c>
      <c r="C246" s="8"/>
      <c r="D246" s="8"/>
      <c r="E246" s="8"/>
      <c r="F246" s="8"/>
    </row>
    <row r="247" spans="1:31" ht="14.25" customHeight="1">
      <c r="A247" t="s">
        <v>5</v>
      </c>
      <c r="B247" s="8"/>
      <c r="C247" s="8"/>
      <c r="D247" s="8"/>
      <c r="E247" s="8"/>
      <c r="F247" s="8"/>
      <c r="G247" s="75">
        <v>0.6</v>
      </c>
      <c r="H247" s="75">
        <v>0.6</v>
      </c>
      <c r="I247" s="75">
        <v>0.6</v>
      </c>
      <c r="J247" s="75">
        <v>0.6</v>
      </c>
      <c r="K247" s="75">
        <v>0.6</v>
      </c>
      <c r="L247" s="75">
        <v>0.6</v>
      </c>
      <c r="M247" s="75">
        <v>0.6</v>
      </c>
      <c r="N247" s="75">
        <v>0.6</v>
      </c>
      <c r="O247" s="75">
        <v>0.6</v>
      </c>
      <c r="P247" s="75">
        <v>0.6</v>
      </c>
      <c r="Q247" s="75">
        <v>0.6</v>
      </c>
    </row>
    <row r="248" spans="1:31" ht="14.25" customHeight="1">
      <c r="A248" s="10" t="s">
        <v>6</v>
      </c>
      <c r="B248" s="8"/>
      <c r="C248" s="8"/>
      <c r="D248" s="8"/>
      <c r="E248" s="8"/>
      <c r="F248" s="8"/>
      <c r="G248" s="75">
        <v>0.14000000000000001</v>
      </c>
      <c r="H248" s="75">
        <v>0.14000000000000001</v>
      </c>
      <c r="I248" s="75">
        <v>0.14000000000000001</v>
      </c>
      <c r="J248" s="75">
        <v>0.14000000000000001</v>
      </c>
      <c r="K248" s="75">
        <v>0.14000000000000001</v>
      </c>
      <c r="L248" s="75">
        <v>0.14000000000000001</v>
      </c>
      <c r="M248" s="75">
        <v>0.14000000000000001</v>
      </c>
      <c r="N248" s="75">
        <v>0.14000000000000001</v>
      </c>
      <c r="O248" s="75">
        <v>0.14000000000000001</v>
      </c>
      <c r="P248" s="75">
        <v>0.14000000000000001</v>
      </c>
      <c r="Q248" s="75">
        <v>0.14000000000000001</v>
      </c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 spans="1:31" ht="14.25" customHeight="1">
      <c r="A249" s="10" t="s">
        <v>7</v>
      </c>
      <c r="B249" s="8"/>
      <c r="C249" s="8"/>
      <c r="D249" s="8"/>
      <c r="E249" s="8"/>
      <c r="F249" s="8"/>
      <c r="G249" s="75">
        <v>0.06</v>
      </c>
      <c r="H249" s="75">
        <v>0.06</v>
      </c>
      <c r="I249" s="75">
        <v>0.06</v>
      </c>
      <c r="J249" s="75">
        <v>0.06</v>
      </c>
      <c r="K249" s="75">
        <v>0.06</v>
      </c>
      <c r="L249" s="75">
        <v>0.06</v>
      </c>
      <c r="M249" s="75">
        <v>0.06</v>
      </c>
      <c r="N249" s="75">
        <v>0.06</v>
      </c>
      <c r="O249" s="75">
        <v>0.06</v>
      </c>
      <c r="P249" s="75">
        <v>0.06</v>
      </c>
      <c r="Q249" s="75">
        <v>0.06</v>
      </c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 spans="1:31" ht="14.25" customHeight="1">
      <c r="A250" s="10" t="s">
        <v>8</v>
      </c>
      <c r="B250" s="8"/>
      <c r="C250" s="8"/>
      <c r="D250" s="8"/>
      <c r="E250" s="8"/>
      <c r="F250" s="8"/>
      <c r="G250" s="75">
        <v>0.12</v>
      </c>
      <c r="H250" s="75">
        <v>0.12</v>
      </c>
      <c r="I250" s="75">
        <v>0.12</v>
      </c>
      <c r="J250" s="75">
        <v>0.12</v>
      </c>
      <c r="K250" s="75">
        <v>0.12</v>
      </c>
      <c r="L250" s="75">
        <v>0.12</v>
      </c>
      <c r="M250" s="75">
        <v>0.12</v>
      </c>
      <c r="N250" s="75">
        <v>0.12</v>
      </c>
      <c r="O250" s="75">
        <v>0.12</v>
      </c>
      <c r="P250" s="75">
        <v>0.12</v>
      </c>
      <c r="Q250" s="75">
        <v>0.12</v>
      </c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 spans="1:31" ht="14.25" customHeight="1">
      <c r="A251" s="10" t="s">
        <v>9</v>
      </c>
      <c r="B251" s="8"/>
      <c r="C251" s="8"/>
      <c r="D251" s="8"/>
      <c r="E251" s="8"/>
      <c r="F251" s="8"/>
      <c r="G251" s="75">
        <v>0.02</v>
      </c>
      <c r="H251" s="75">
        <v>0.02</v>
      </c>
      <c r="I251" s="75">
        <v>0.02</v>
      </c>
      <c r="J251" s="75">
        <v>0.02</v>
      </c>
      <c r="K251" s="75">
        <v>0.02</v>
      </c>
      <c r="L251" s="75">
        <v>0.02</v>
      </c>
      <c r="M251" s="75">
        <v>0.02</v>
      </c>
      <c r="N251" s="75">
        <v>0.02</v>
      </c>
      <c r="O251" s="75">
        <v>0.02</v>
      </c>
      <c r="P251" s="75">
        <v>0.02</v>
      </c>
      <c r="Q251" s="75">
        <v>0.02</v>
      </c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 spans="1:31" ht="14.25" customHeight="1">
      <c r="A252" s="10" t="s">
        <v>10</v>
      </c>
      <c r="B252" s="8"/>
      <c r="C252" s="8"/>
      <c r="D252" s="8"/>
      <c r="E252" s="8"/>
      <c r="F252" s="8"/>
      <c r="G252" s="75">
        <v>1.1429952885880382E-3</v>
      </c>
      <c r="H252" s="75">
        <v>1.1429952885880382E-3</v>
      </c>
      <c r="I252" s="75">
        <v>1.1429952885880382E-3</v>
      </c>
      <c r="J252" s="75">
        <v>1.1429952885880382E-3</v>
      </c>
      <c r="K252" s="75">
        <v>1.1429952885880382E-3</v>
      </c>
      <c r="L252" s="75">
        <v>1.1429952885880382E-3</v>
      </c>
      <c r="M252" s="75">
        <v>1.1429952885880382E-3</v>
      </c>
      <c r="N252" s="75">
        <v>1.1429952885880382E-3</v>
      </c>
      <c r="O252" s="75">
        <v>1.1429952885880382E-3</v>
      </c>
      <c r="P252" s="75">
        <v>1.1429952885880382E-3</v>
      </c>
      <c r="Q252" s="75">
        <v>1.1429952885880382E-3</v>
      </c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 spans="1:31" ht="14.25" customHeight="1">
      <c r="A253" s="30" t="s">
        <v>11</v>
      </c>
      <c r="B253" s="31"/>
      <c r="C253" s="31"/>
      <c r="D253" s="31"/>
      <c r="E253" s="31"/>
      <c r="F253" s="31"/>
      <c r="G253" s="31">
        <f>SUM(G247:G252)</f>
        <v>0.94114299528858814</v>
      </c>
      <c r="H253" s="31">
        <f t="shared" ref="H253:Q253" si="45">SUM(H247:H252)</f>
        <v>0.94114299528858814</v>
      </c>
      <c r="I253" s="31">
        <f t="shared" si="45"/>
        <v>0.94114299528858814</v>
      </c>
      <c r="J253" s="31">
        <f t="shared" si="45"/>
        <v>0.94114299528858814</v>
      </c>
      <c r="K253" s="31">
        <f t="shared" si="45"/>
        <v>0.94114299528858814</v>
      </c>
      <c r="L253" s="31">
        <f t="shared" si="45"/>
        <v>0.94114299528858814</v>
      </c>
      <c r="M253" s="31">
        <f t="shared" si="45"/>
        <v>0.94114299528858814</v>
      </c>
      <c r="N253" s="31">
        <f t="shared" si="45"/>
        <v>0.94114299528858814</v>
      </c>
      <c r="O253" s="31">
        <f t="shared" si="45"/>
        <v>0.94114299528858814</v>
      </c>
      <c r="P253" s="31">
        <f t="shared" si="45"/>
        <v>0.94114299528858814</v>
      </c>
      <c r="Q253" s="31">
        <f t="shared" si="45"/>
        <v>0.94114299528858814</v>
      </c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 spans="1:31" ht="14.25" customHeight="1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 spans="1:31" ht="14.25" customHeight="1">
      <c r="A255" s="10" t="s">
        <v>101</v>
      </c>
      <c r="B255" s="9"/>
      <c r="C255" s="9"/>
      <c r="D255" s="9"/>
      <c r="E255" s="9"/>
      <c r="F255" s="9"/>
      <c r="G255" s="75">
        <v>6.8000000000000005E-2</v>
      </c>
      <c r="H255" s="75">
        <v>6.8000000000000005E-2</v>
      </c>
      <c r="I255" s="75">
        <v>6.8000000000000005E-2</v>
      </c>
      <c r="J255" s="75">
        <v>6.8000000000000005E-2</v>
      </c>
      <c r="K255" s="75">
        <v>6.8000000000000005E-2</v>
      </c>
      <c r="L255" s="75">
        <v>6.8000000000000005E-2</v>
      </c>
      <c r="M255" s="75">
        <v>6.8000000000000005E-2</v>
      </c>
      <c r="N255" s="75">
        <v>6.8000000000000005E-2</v>
      </c>
      <c r="O255" s="75">
        <v>6.8000000000000005E-2</v>
      </c>
      <c r="P255" s="75">
        <v>6.8000000000000005E-2</v>
      </c>
      <c r="Q255" s="75">
        <v>6.8000000000000005E-2</v>
      </c>
    </row>
    <row r="256" spans="1:31" ht="14.25" customHeight="1">
      <c r="A256" s="10" t="s">
        <v>91</v>
      </c>
      <c r="B256" s="9"/>
      <c r="C256" s="9"/>
      <c r="D256" s="9"/>
      <c r="E256" s="9"/>
      <c r="F256" s="9"/>
      <c r="G256" s="75">
        <v>0.2</v>
      </c>
      <c r="H256" s="75">
        <v>0.2</v>
      </c>
      <c r="I256" s="75">
        <v>0.2</v>
      </c>
      <c r="J256" s="75">
        <v>0.2</v>
      </c>
      <c r="K256" s="75">
        <v>0.2</v>
      </c>
      <c r="L256" s="75">
        <v>0.2</v>
      </c>
      <c r="M256" s="75">
        <v>0.2</v>
      </c>
      <c r="N256" s="75">
        <v>0.2</v>
      </c>
      <c r="O256" s="75">
        <v>0.2</v>
      </c>
      <c r="P256" s="75">
        <v>0.2</v>
      </c>
      <c r="Q256" s="75">
        <v>0.2</v>
      </c>
    </row>
    <row r="257" spans="1:17" ht="14.25" customHeight="1">
      <c r="A257" s="10" t="s">
        <v>102</v>
      </c>
      <c r="B257" s="9"/>
      <c r="C257" s="9"/>
      <c r="D257" s="9"/>
      <c r="E257" s="9"/>
      <c r="F257" s="9"/>
      <c r="G257" s="75">
        <v>0.01</v>
      </c>
      <c r="H257" s="75">
        <v>0.01</v>
      </c>
      <c r="I257" s="75">
        <v>0.01</v>
      </c>
      <c r="J257" s="75">
        <v>0.01</v>
      </c>
      <c r="K257" s="75">
        <v>0.01</v>
      </c>
      <c r="L257" s="75">
        <v>0.01</v>
      </c>
      <c r="M257" s="75">
        <v>0.01</v>
      </c>
      <c r="N257" s="75">
        <v>0.01</v>
      </c>
      <c r="O257" s="75">
        <v>0.01</v>
      </c>
      <c r="P257" s="75">
        <v>0.01</v>
      </c>
      <c r="Q257" s="75">
        <v>0.01</v>
      </c>
    </row>
    <row r="258" spans="1:17" ht="14.25" customHeight="1">
      <c r="A258" s="10" t="s">
        <v>103</v>
      </c>
      <c r="B258" s="9"/>
      <c r="C258" s="9"/>
      <c r="D258" s="9"/>
      <c r="E258" s="9"/>
      <c r="F258" s="9"/>
      <c r="G258" s="75">
        <v>5.5E-2</v>
      </c>
      <c r="H258" s="75">
        <v>5.5E-2</v>
      </c>
      <c r="I258" s="75">
        <v>5.5E-2</v>
      </c>
      <c r="J258" s="75">
        <v>5.5E-2</v>
      </c>
      <c r="K258" s="75">
        <v>5.5E-2</v>
      </c>
      <c r="L258" s="75">
        <v>5.5E-2</v>
      </c>
      <c r="M258" s="75">
        <v>5.5E-2</v>
      </c>
      <c r="N258" s="75">
        <v>5.5E-2</v>
      </c>
      <c r="O258" s="75">
        <v>5.5E-2</v>
      </c>
      <c r="P258" s="75">
        <v>5.5E-2</v>
      </c>
      <c r="Q258" s="75">
        <v>5.5E-2</v>
      </c>
    </row>
    <row r="259" spans="1:17" ht="14.25" customHeight="1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4.25" customHeight="1">
      <c r="A260" s="28" t="s">
        <v>93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4.25" customHeight="1">
      <c r="A261" s="10" t="s">
        <v>104</v>
      </c>
      <c r="B261" s="32"/>
      <c r="C261" s="32"/>
      <c r="D261" s="32"/>
      <c r="E261" s="32"/>
      <c r="F261" s="32"/>
      <c r="G261" s="76">
        <v>52</v>
      </c>
      <c r="H261" s="76">
        <v>52</v>
      </c>
      <c r="I261" s="76">
        <v>52</v>
      </c>
      <c r="J261" s="76">
        <v>52</v>
      </c>
      <c r="K261" s="76">
        <v>52</v>
      </c>
      <c r="L261" s="76">
        <v>52</v>
      </c>
      <c r="M261" s="76">
        <v>52</v>
      </c>
      <c r="N261" s="76">
        <v>52</v>
      </c>
      <c r="O261" s="76">
        <v>52</v>
      </c>
      <c r="P261" s="76">
        <v>52</v>
      </c>
      <c r="Q261" s="76">
        <v>52</v>
      </c>
    </row>
    <row r="262" spans="1:17" ht="14.25" customHeight="1">
      <c r="A262" s="10" t="s">
        <v>105</v>
      </c>
      <c r="B262" s="32"/>
      <c r="C262" s="32"/>
      <c r="D262" s="32"/>
      <c r="E262" s="32"/>
      <c r="F262" s="32"/>
      <c r="G262" s="76">
        <v>27</v>
      </c>
      <c r="H262" s="76">
        <v>27</v>
      </c>
      <c r="I262" s="76">
        <v>27</v>
      </c>
      <c r="J262" s="76">
        <v>27</v>
      </c>
      <c r="K262" s="76">
        <v>27</v>
      </c>
      <c r="L262" s="76">
        <v>27</v>
      </c>
      <c r="M262" s="76">
        <v>27</v>
      </c>
      <c r="N262" s="76">
        <v>27</v>
      </c>
      <c r="O262" s="76">
        <v>27</v>
      </c>
      <c r="P262" s="76">
        <v>27</v>
      </c>
      <c r="Q262" s="76">
        <v>27</v>
      </c>
    </row>
    <row r="263" spans="1:17" ht="14.25" customHeight="1">
      <c r="A263" s="10" t="s">
        <v>106</v>
      </c>
      <c r="B263" s="32"/>
      <c r="C263" s="32"/>
      <c r="D263" s="32"/>
      <c r="E263" s="32"/>
      <c r="F263" s="32"/>
      <c r="G263" s="77">
        <v>0</v>
      </c>
      <c r="H263" s="77">
        <v>0</v>
      </c>
      <c r="I263" s="77">
        <v>0</v>
      </c>
      <c r="J263" s="77">
        <v>0</v>
      </c>
      <c r="K263" s="77">
        <v>0</v>
      </c>
      <c r="L263" s="77">
        <v>0</v>
      </c>
      <c r="M263" s="77">
        <v>0</v>
      </c>
      <c r="N263" s="77">
        <v>0</v>
      </c>
      <c r="O263" s="77">
        <v>0</v>
      </c>
      <c r="P263" s="77">
        <v>0</v>
      </c>
      <c r="Q263" s="77">
        <v>0</v>
      </c>
    </row>
    <row r="264" spans="1:17" ht="14.25" customHeight="1">
      <c r="A264" s="10" t="s">
        <v>107</v>
      </c>
      <c r="B264" s="33"/>
      <c r="C264" s="9"/>
      <c r="D264" s="9"/>
      <c r="E264" s="9"/>
      <c r="F264" s="9"/>
      <c r="G264" s="382">
        <v>0</v>
      </c>
      <c r="H264" s="382">
        <v>0</v>
      </c>
      <c r="I264" s="382">
        <v>0</v>
      </c>
      <c r="J264" s="382">
        <v>0</v>
      </c>
      <c r="K264" s="382">
        <v>0</v>
      </c>
      <c r="L264" s="382">
        <v>0</v>
      </c>
      <c r="M264" s="382">
        <v>0</v>
      </c>
      <c r="N264" s="382">
        <v>0</v>
      </c>
      <c r="O264" s="382">
        <v>0</v>
      </c>
      <c r="P264" s="382">
        <v>0</v>
      </c>
      <c r="Q264" s="382">
        <v>0</v>
      </c>
    </row>
    <row r="265" spans="1:17" ht="14.25" customHeight="1">
      <c r="A265" s="10" t="s">
        <v>108</v>
      </c>
      <c r="B265" s="33"/>
      <c r="C265" s="9"/>
      <c r="D265" s="9"/>
      <c r="E265" s="9"/>
      <c r="F265" s="9"/>
      <c r="G265" s="382">
        <v>0</v>
      </c>
      <c r="H265" s="382">
        <v>0</v>
      </c>
      <c r="I265" s="382">
        <v>0</v>
      </c>
      <c r="J265" s="382">
        <v>0</v>
      </c>
      <c r="K265" s="382">
        <v>0</v>
      </c>
      <c r="L265" s="382">
        <v>0</v>
      </c>
      <c r="M265" s="382">
        <v>0</v>
      </c>
      <c r="N265" s="382">
        <v>0</v>
      </c>
      <c r="O265" s="382">
        <v>0</v>
      </c>
      <c r="P265" s="382">
        <v>0</v>
      </c>
      <c r="Q265" s="382">
        <v>0</v>
      </c>
    </row>
    <row r="266" spans="1:17" ht="14.25" customHeight="1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4.25" customHeight="1">
      <c r="A267" s="10" t="s">
        <v>109</v>
      </c>
      <c r="B267" s="32"/>
      <c r="C267" s="32"/>
      <c r="D267" s="32"/>
      <c r="E267" s="32"/>
      <c r="F267" s="32"/>
      <c r="G267" s="76">
        <v>115</v>
      </c>
      <c r="H267" s="76">
        <v>115</v>
      </c>
      <c r="I267" s="76">
        <v>115</v>
      </c>
      <c r="J267" s="76">
        <v>115</v>
      </c>
      <c r="K267" s="76">
        <v>115</v>
      </c>
      <c r="L267" s="76">
        <v>115</v>
      </c>
      <c r="M267" s="76">
        <v>115</v>
      </c>
      <c r="N267" s="76">
        <v>115</v>
      </c>
      <c r="O267" s="76">
        <v>115</v>
      </c>
      <c r="P267" s="76">
        <v>115</v>
      </c>
      <c r="Q267" s="76">
        <v>115</v>
      </c>
    </row>
    <row r="268" spans="1:17" ht="14.25" customHeight="1">
      <c r="A268" s="10" t="s">
        <v>110</v>
      </c>
      <c r="B268" s="9"/>
      <c r="C268" s="9"/>
      <c r="D268" s="9"/>
      <c r="E268" s="9"/>
      <c r="F268" s="9"/>
      <c r="G268" s="75">
        <v>0.1</v>
      </c>
      <c r="H268" s="75">
        <v>0.1</v>
      </c>
      <c r="I268" s="75">
        <v>0.1</v>
      </c>
      <c r="J268" s="75">
        <v>0.1</v>
      </c>
      <c r="K268" s="75">
        <v>0.1</v>
      </c>
      <c r="L268" s="75">
        <v>0.1</v>
      </c>
      <c r="M268" s="75">
        <v>0.1</v>
      </c>
      <c r="N268" s="75">
        <v>0.1</v>
      </c>
      <c r="O268" s="75">
        <v>0.1</v>
      </c>
      <c r="P268" s="75">
        <v>0.1</v>
      </c>
      <c r="Q268" s="75">
        <v>0.1</v>
      </c>
    </row>
    <row r="269" spans="1:17" ht="14.25" customHeight="1">
      <c r="A269" s="10" t="s">
        <v>41</v>
      </c>
      <c r="B269" s="9"/>
      <c r="C269" s="9"/>
      <c r="D269" s="9"/>
      <c r="E269" s="9"/>
      <c r="F269" s="9"/>
      <c r="G269" s="75">
        <v>0.03</v>
      </c>
      <c r="H269" s="75">
        <v>0.03</v>
      </c>
      <c r="I269" s="75">
        <v>0.03</v>
      </c>
      <c r="J269" s="75">
        <v>0.03</v>
      </c>
      <c r="K269" s="75">
        <v>0.03</v>
      </c>
      <c r="L269" s="75">
        <v>0.03</v>
      </c>
      <c r="M269" s="75">
        <v>0.03</v>
      </c>
      <c r="N269" s="75">
        <v>0.03</v>
      </c>
      <c r="O269" s="75">
        <v>0.03</v>
      </c>
      <c r="P269" s="75">
        <v>0.03</v>
      </c>
      <c r="Q269" s="75">
        <v>0.03</v>
      </c>
    </row>
    <row r="270" spans="1:17" ht="14.25" customHeight="1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4.25" customHeight="1">
      <c r="A271" s="10" t="s">
        <v>111</v>
      </c>
      <c r="B271" s="9"/>
      <c r="C271" s="9"/>
      <c r="D271" s="9"/>
      <c r="E271" s="9"/>
      <c r="F271" s="9"/>
      <c r="G271" s="75">
        <v>0.06</v>
      </c>
      <c r="H271" s="75">
        <v>0.06</v>
      </c>
      <c r="I271" s="75">
        <v>0.06</v>
      </c>
      <c r="J271" s="75">
        <v>0.06</v>
      </c>
      <c r="K271" s="75">
        <v>0.06</v>
      </c>
      <c r="L271" s="75">
        <v>0.06</v>
      </c>
      <c r="M271" s="75">
        <v>0.06</v>
      </c>
      <c r="N271" s="75">
        <v>0.06</v>
      </c>
      <c r="O271" s="75">
        <v>0.06</v>
      </c>
      <c r="P271" s="75">
        <v>0.06</v>
      </c>
      <c r="Q271" s="75">
        <v>0.06</v>
      </c>
    </row>
    <row r="272" spans="1:17" ht="14.25" customHeight="1">
      <c r="A272" s="10" t="s">
        <v>112</v>
      </c>
      <c r="B272" s="9"/>
      <c r="C272" s="9"/>
      <c r="D272" s="9"/>
      <c r="E272" s="9"/>
      <c r="F272" s="9"/>
      <c r="G272" s="75">
        <v>7.0000000000000007E-2</v>
      </c>
      <c r="H272" s="75">
        <v>7.0000000000000007E-2</v>
      </c>
      <c r="I272" s="75">
        <v>7.0000000000000007E-2</v>
      </c>
      <c r="J272" s="75">
        <v>7.0000000000000007E-2</v>
      </c>
      <c r="K272" s="75">
        <v>7.0000000000000007E-2</v>
      </c>
      <c r="L272" s="75">
        <v>7.0000000000000007E-2</v>
      </c>
      <c r="M272" s="75">
        <v>7.0000000000000007E-2</v>
      </c>
      <c r="N272" s="75">
        <v>7.0000000000000007E-2</v>
      </c>
      <c r="O272" s="75">
        <v>7.0000000000000007E-2</v>
      </c>
      <c r="P272" s="75">
        <v>7.0000000000000007E-2</v>
      </c>
      <c r="Q272" s="75">
        <v>7.0000000000000007E-2</v>
      </c>
    </row>
    <row r="273" spans="1:17" ht="14.25" customHeight="1">
      <c r="A273" s="10" t="s">
        <v>113</v>
      </c>
      <c r="B273" s="9"/>
      <c r="C273" s="9"/>
      <c r="D273" s="9"/>
      <c r="E273" s="9"/>
      <c r="F273" s="9"/>
      <c r="G273" s="75">
        <v>0.4</v>
      </c>
      <c r="H273" s="75">
        <v>0.4</v>
      </c>
      <c r="I273" s="75">
        <v>0.4</v>
      </c>
      <c r="J273" s="75">
        <v>0.4</v>
      </c>
      <c r="K273" s="75">
        <v>0.4</v>
      </c>
      <c r="L273" s="75">
        <v>0.4</v>
      </c>
      <c r="M273" s="75">
        <v>0.4</v>
      </c>
      <c r="N273" s="75">
        <v>0.4</v>
      </c>
      <c r="O273" s="75">
        <v>0.4</v>
      </c>
      <c r="P273" s="75">
        <v>0.4</v>
      </c>
      <c r="Q273" s="75">
        <v>0.4</v>
      </c>
    </row>
    <row r="274" spans="1:17" ht="14.25" customHeight="1">
      <c r="A274" s="10" t="s">
        <v>114</v>
      </c>
      <c r="B274" s="9"/>
      <c r="C274" s="9"/>
      <c r="D274" s="9"/>
      <c r="E274" s="9"/>
      <c r="F274" s="9"/>
      <c r="G274" s="75">
        <v>0.38</v>
      </c>
      <c r="H274" s="75">
        <v>0.38</v>
      </c>
      <c r="I274" s="75">
        <v>0.38</v>
      </c>
      <c r="J274" s="75">
        <v>0.38</v>
      </c>
      <c r="K274" s="75">
        <v>0.38</v>
      </c>
      <c r="L274" s="75">
        <v>0.38</v>
      </c>
      <c r="M274" s="75">
        <v>0.38</v>
      </c>
      <c r="N274" s="75">
        <v>0.38</v>
      </c>
      <c r="O274" s="75">
        <v>0.38</v>
      </c>
      <c r="P274" s="75">
        <v>0.38</v>
      </c>
      <c r="Q274" s="75">
        <v>0.38</v>
      </c>
    </row>
    <row r="275" spans="1:17" ht="14.25" customHeight="1">
      <c r="A275" s="10"/>
      <c r="B275" s="9"/>
      <c r="C275" s="9"/>
      <c r="D275" s="9"/>
      <c r="E275" s="9"/>
      <c r="F275" s="9"/>
    </row>
    <row r="276" spans="1:17" ht="14.25" customHeight="1">
      <c r="A276" s="10" t="s">
        <v>115</v>
      </c>
      <c r="B276" s="9"/>
      <c r="C276" s="32"/>
      <c r="D276" s="32"/>
      <c r="E276" s="32"/>
      <c r="F276" s="32"/>
      <c r="G276" s="77">
        <v>0</v>
      </c>
      <c r="H276" s="77">
        <v>0</v>
      </c>
      <c r="I276" s="77">
        <v>0</v>
      </c>
      <c r="J276" s="77">
        <v>0</v>
      </c>
      <c r="K276" s="77">
        <v>0</v>
      </c>
      <c r="L276" s="77">
        <v>0</v>
      </c>
      <c r="M276" s="77">
        <v>0</v>
      </c>
      <c r="N276" s="77">
        <v>0</v>
      </c>
      <c r="O276" s="77">
        <v>0</v>
      </c>
      <c r="P276" s="77">
        <v>0</v>
      </c>
      <c r="Q276" s="77">
        <v>0</v>
      </c>
    </row>
    <row r="277" spans="1:17" ht="14.25" customHeight="1">
      <c r="A277" s="10" t="s">
        <v>116</v>
      </c>
      <c r="B277" s="9"/>
      <c r="C277" s="32"/>
      <c r="D277" s="32"/>
      <c r="E277" s="32"/>
      <c r="F277" s="32"/>
      <c r="G277" s="77">
        <v>0</v>
      </c>
      <c r="H277" s="77">
        <v>0</v>
      </c>
      <c r="I277" s="77">
        <v>0</v>
      </c>
      <c r="J277" s="77">
        <v>0</v>
      </c>
      <c r="K277" s="77">
        <v>0</v>
      </c>
      <c r="L277" s="77">
        <v>0</v>
      </c>
      <c r="M277" s="77">
        <v>0</v>
      </c>
      <c r="N277" s="77">
        <v>0</v>
      </c>
      <c r="O277" s="77">
        <v>0</v>
      </c>
      <c r="P277" s="77">
        <v>0</v>
      </c>
      <c r="Q277" s="77">
        <v>0</v>
      </c>
    </row>
    <row r="278" spans="1:17" ht="14.25" customHeight="1">
      <c r="A278" s="10" t="s">
        <v>117</v>
      </c>
      <c r="B278" s="9"/>
      <c r="C278" s="32"/>
      <c r="D278" s="32"/>
      <c r="E278" s="32"/>
      <c r="F278" s="32"/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</row>
    <row r="279" spans="1:17" ht="14.25" customHeight="1">
      <c r="A279" s="10" t="s">
        <v>118</v>
      </c>
      <c r="B279" s="9"/>
      <c r="C279" s="32"/>
      <c r="D279" s="32"/>
      <c r="E279" s="32"/>
      <c r="F279" s="32"/>
      <c r="G279" s="77">
        <v>0</v>
      </c>
      <c r="H279" s="77">
        <v>0</v>
      </c>
      <c r="I279" s="77">
        <v>0</v>
      </c>
      <c r="J279" s="77">
        <v>0</v>
      </c>
      <c r="K279" s="77">
        <v>0</v>
      </c>
      <c r="L279" s="77">
        <v>0</v>
      </c>
      <c r="M279" s="77">
        <v>0</v>
      </c>
      <c r="N279" s="77">
        <v>0</v>
      </c>
      <c r="O279" s="77">
        <v>0</v>
      </c>
      <c r="P279" s="77">
        <v>0</v>
      </c>
      <c r="Q279" s="77">
        <v>0</v>
      </c>
    </row>
    <row r="280" spans="1:17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ht="14.25" customHeight="1">
      <c r="A281" s="10" t="s">
        <v>119</v>
      </c>
      <c r="B281" s="34"/>
      <c r="C281" s="52"/>
      <c r="D281" s="52"/>
      <c r="E281" s="52"/>
      <c r="F281" s="52"/>
      <c r="G281" s="77">
        <v>0</v>
      </c>
      <c r="H281" s="77">
        <v>0</v>
      </c>
      <c r="I281" s="77">
        <v>0</v>
      </c>
      <c r="J281" s="77">
        <v>0</v>
      </c>
      <c r="K281" s="77">
        <v>0</v>
      </c>
      <c r="L281" s="77">
        <v>0</v>
      </c>
      <c r="M281" s="77">
        <v>0</v>
      </c>
      <c r="N281" s="77">
        <v>0</v>
      </c>
      <c r="O281" s="77">
        <v>0</v>
      </c>
      <c r="P281" s="77">
        <v>0</v>
      </c>
      <c r="Q281" s="77">
        <v>0</v>
      </c>
    </row>
    <row r="282" spans="1:17" ht="14.25" customHeight="1">
      <c r="A282" t="s">
        <v>71</v>
      </c>
      <c r="B282" s="34"/>
      <c r="C282" s="52"/>
      <c r="D282" s="52"/>
      <c r="E282" s="52"/>
      <c r="F282" s="52"/>
      <c r="G282" s="77">
        <v>0</v>
      </c>
      <c r="H282" s="77">
        <v>0</v>
      </c>
      <c r="I282" s="77">
        <v>0</v>
      </c>
      <c r="J282" s="77">
        <v>0</v>
      </c>
      <c r="K282" s="77">
        <v>0</v>
      </c>
      <c r="L282" s="77">
        <v>0</v>
      </c>
      <c r="M282" s="77">
        <v>0</v>
      </c>
      <c r="N282" s="77">
        <v>0</v>
      </c>
      <c r="O282" s="77">
        <v>0</v>
      </c>
      <c r="P282" s="77">
        <v>0</v>
      </c>
      <c r="Q282" s="77">
        <v>0</v>
      </c>
    </row>
    <row r="283" spans="1:17" ht="14.25" customHeight="1">
      <c r="A283" t="s">
        <v>122</v>
      </c>
      <c r="B283" s="34"/>
      <c r="C283" s="52"/>
      <c r="D283" s="52"/>
      <c r="E283" s="52"/>
      <c r="F283" s="52"/>
      <c r="G283" s="77">
        <v>0</v>
      </c>
      <c r="H283" s="77">
        <v>0</v>
      </c>
      <c r="I283" s="77">
        <v>0</v>
      </c>
      <c r="J283" s="77">
        <v>0</v>
      </c>
      <c r="K283" s="77">
        <v>0</v>
      </c>
      <c r="L283" s="77">
        <v>0</v>
      </c>
      <c r="M283" s="77">
        <v>0</v>
      </c>
      <c r="N283" s="77">
        <v>0</v>
      </c>
      <c r="O283" s="77">
        <v>0</v>
      </c>
      <c r="P283" s="77">
        <v>0</v>
      </c>
      <c r="Q283" s="77">
        <v>0</v>
      </c>
    </row>
    <row r="284" spans="1:17" ht="14.25" customHeight="1">
      <c r="A284" t="s">
        <v>73</v>
      </c>
      <c r="B284" s="34"/>
      <c r="C284" s="52"/>
      <c r="D284" s="52"/>
      <c r="E284" s="52"/>
      <c r="F284" s="52"/>
      <c r="G284" s="77">
        <v>0</v>
      </c>
      <c r="H284" s="77">
        <v>0</v>
      </c>
      <c r="I284" s="77">
        <v>0</v>
      </c>
      <c r="J284" s="77">
        <v>0</v>
      </c>
      <c r="K284" s="77">
        <v>0</v>
      </c>
      <c r="L284" s="77">
        <v>0</v>
      </c>
      <c r="M284" s="77">
        <v>0</v>
      </c>
      <c r="N284" s="77">
        <v>0</v>
      </c>
      <c r="O284" s="77">
        <v>0</v>
      </c>
      <c r="P284" s="77">
        <v>0</v>
      </c>
      <c r="Q284" s="77">
        <v>0</v>
      </c>
    </row>
    <row r="285" spans="1:17" ht="14.25" customHeight="1">
      <c r="A285" s="10"/>
      <c r="B285" s="9"/>
      <c r="C285" s="9"/>
      <c r="D285" s="9"/>
      <c r="E285" s="9"/>
      <c r="F285" s="9"/>
    </row>
    <row r="286" spans="1:17" ht="14.25" customHeight="1">
      <c r="A286" s="10" t="s">
        <v>120</v>
      </c>
      <c r="B286" s="9"/>
      <c r="C286" s="9"/>
      <c r="D286" s="9"/>
      <c r="E286" s="9"/>
      <c r="F286" s="9"/>
      <c r="G286" s="75">
        <v>0.01</v>
      </c>
      <c r="H286" s="75">
        <v>0.01</v>
      </c>
      <c r="I286" s="75">
        <v>0.01</v>
      </c>
      <c r="J286" s="75">
        <v>0.01</v>
      </c>
      <c r="K286" s="75">
        <v>0.01</v>
      </c>
      <c r="L286" s="75">
        <v>0.01</v>
      </c>
      <c r="M286" s="75">
        <v>0.01</v>
      </c>
      <c r="N286" s="75">
        <v>0.01</v>
      </c>
      <c r="O286" s="75">
        <v>0.01</v>
      </c>
      <c r="P286" s="75">
        <v>0.01</v>
      </c>
      <c r="Q286" s="75">
        <v>0.01</v>
      </c>
    </row>
    <row r="287" spans="1:17" ht="14.25" customHeight="1">
      <c r="A287" s="10" t="s">
        <v>121</v>
      </c>
      <c r="B287" s="9"/>
      <c r="C287" s="9"/>
      <c r="D287" s="9"/>
      <c r="E287" s="9"/>
      <c r="F287" s="9"/>
      <c r="G287" s="75">
        <v>1.4999999999999999E-2</v>
      </c>
      <c r="H287" s="75">
        <v>1.4999999999999999E-2</v>
      </c>
      <c r="I287" s="75">
        <v>1.4999999999999999E-2</v>
      </c>
      <c r="J287" s="75">
        <v>1.4999999999999999E-2</v>
      </c>
      <c r="K287" s="75">
        <v>1.4999999999999999E-2</v>
      </c>
      <c r="L287" s="75">
        <v>1.4999999999999999E-2</v>
      </c>
      <c r="M287" s="75">
        <v>1.4999999999999999E-2</v>
      </c>
      <c r="N287" s="75">
        <v>1.4999999999999999E-2</v>
      </c>
      <c r="O287" s="75">
        <v>1.4999999999999999E-2</v>
      </c>
      <c r="P287" s="75">
        <v>1.4999999999999999E-2</v>
      </c>
      <c r="Q287" s="75">
        <v>1.4999999999999999E-2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Drop Down 3">
              <controlPr defaultSize="0" autoLine="0" autoPict="0">
                <anchor moveWithCells="1">
                  <from>
                    <xdr:col>2</xdr:col>
                    <xdr:colOff>482600</xdr:colOff>
                    <xdr:row>0</xdr:row>
                    <xdr:rowOff>63500</xdr:rowOff>
                  </from>
                  <to>
                    <xdr:col>4</xdr:col>
                    <xdr:colOff>25400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18E0-088F-4DC7-9D11-9E5B9B24A593}">
  <sheetPr>
    <tabColor rgb="FF7030A0"/>
  </sheetPr>
  <dimension ref="A1:T64"/>
  <sheetViews>
    <sheetView showGridLines="0" zoomScaleNormal="100" workbookViewId="0">
      <pane ySplit="6" topLeftCell="A51" activePane="bottomLeft" state="frozen"/>
      <selection activeCell="M1" sqref="M1"/>
      <selection pane="bottomLeft"/>
    </sheetView>
  </sheetViews>
  <sheetFormatPr baseColWidth="10" defaultColWidth="11" defaultRowHeight="14"/>
  <cols>
    <col min="1" max="1" width="4.59765625" style="283" customWidth="1"/>
    <col min="2" max="2" width="23" style="283" customWidth="1"/>
    <col min="3" max="3" width="9.796875" style="283" customWidth="1"/>
    <col min="4" max="5" width="14.59765625" style="283" customWidth="1"/>
    <col min="6" max="6" width="13" style="283" customWidth="1"/>
    <col min="7" max="7" width="13.796875" style="283" customWidth="1"/>
    <col min="8" max="11" width="14.59765625" style="283" customWidth="1"/>
    <col min="12" max="14" width="15.19921875" style="283" customWidth="1"/>
    <col min="15" max="18" width="10.3984375" style="283" customWidth="1"/>
    <col min="19" max="16384" width="11" style="283"/>
  </cols>
  <sheetData>
    <row r="1" spans="1:20">
      <c r="A1" s="316"/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</row>
    <row r="2" spans="1:20" ht="18">
      <c r="A2" s="318" t="s">
        <v>698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</row>
    <row r="3" spans="1:20">
      <c r="A3" s="319" t="s">
        <v>0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</row>
    <row r="5" spans="1:20">
      <c r="A5" s="284"/>
      <c r="B5" s="309"/>
      <c r="C5" s="309"/>
      <c r="D5" s="310" t="s">
        <v>699</v>
      </c>
      <c r="E5" s="311"/>
      <c r="F5" s="311"/>
      <c r="G5" s="312"/>
      <c r="H5" s="310" t="s">
        <v>700</v>
      </c>
      <c r="I5" s="311"/>
      <c r="J5" s="312"/>
      <c r="K5" s="313"/>
      <c r="L5" s="313"/>
      <c r="M5" s="313"/>
      <c r="N5" s="313"/>
      <c r="O5" s="310" t="s">
        <v>701</v>
      </c>
      <c r="P5" s="311"/>
      <c r="Q5" s="310" t="s">
        <v>702</v>
      </c>
      <c r="R5" s="311"/>
      <c r="S5" s="284"/>
      <c r="T5" s="284"/>
    </row>
    <row r="6" spans="1:20" ht="31.5" customHeight="1">
      <c r="B6" s="314" t="s">
        <v>703</v>
      </c>
      <c r="C6" s="314" t="s">
        <v>704</v>
      </c>
      <c r="D6" s="315" t="s">
        <v>705</v>
      </c>
      <c r="E6" s="315" t="s">
        <v>706</v>
      </c>
      <c r="F6" s="315" t="s">
        <v>707</v>
      </c>
      <c r="G6" s="315" t="s">
        <v>708</v>
      </c>
      <c r="H6" s="315" t="s">
        <v>709</v>
      </c>
      <c r="I6" s="315" t="s">
        <v>710</v>
      </c>
      <c r="J6" s="315" t="s">
        <v>711</v>
      </c>
      <c r="K6" s="315" t="s">
        <v>712</v>
      </c>
      <c r="L6" s="315" t="s">
        <v>713</v>
      </c>
      <c r="M6" s="315" t="s">
        <v>714</v>
      </c>
      <c r="N6" s="315" t="s">
        <v>715</v>
      </c>
      <c r="O6" s="315" t="s">
        <v>716</v>
      </c>
      <c r="P6" s="315" t="s">
        <v>717</v>
      </c>
      <c r="Q6" s="315" t="s">
        <v>716</v>
      </c>
      <c r="R6" s="315" t="s">
        <v>717</v>
      </c>
    </row>
    <row r="7" spans="1:20" ht="14.25" customHeight="1">
      <c r="D7" s="285"/>
      <c r="E7" s="285"/>
      <c r="F7" s="285"/>
      <c r="G7" s="285"/>
      <c r="H7" s="285"/>
      <c r="I7" s="285"/>
      <c r="J7" s="285"/>
      <c r="K7" s="285"/>
      <c r="N7" s="156"/>
      <c r="O7" s="286"/>
      <c r="P7" s="286"/>
      <c r="Q7" s="286"/>
      <c r="R7" s="286"/>
    </row>
    <row r="8" spans="1:20" ht="14.25" customHeight="1">
      <c r="B8" s="320" t="s">
        <v>718</v>
      </c>
      <c r="C8" s="321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</row>
    <row r="9" spans="1:20" ht="14.25" customHeight="1">
      <c r="B9" s="287" t="s">
        <v>719</v>
      </c>
      <c r="C9" s="287" t="s">
        <v>720</v>
      </c>
      <c r="D9" s="288">
        <v>103728.3</v>
      </c>
      <c r="E9" s="288">
        <v>-285</v>
      </c>
      <c r="F9" s="288">
        <v>304</v>
      </c>
      <c r="G9" s="288">
        <f>D9+E9+F9</f>
        <v>103747.3</v>
      </c>
      <c r="H9" s="288">
        <v>141576</v>
      </c>
      <c r="I9" s="288">
        <v>144092.66</v>
      </c>
      <c r="J9" s="288">
        <v>5917</v>
      </c>
      <c r="K9" s="288">
        <v>6009.11</v>
      </c>
      <c r="L9" s="289">
        <f>I9/H9-1</f>
        <v>1.7776035486240627E-2</v>
      </c>
      <c r="M9" s="289">
        <f>K9/J9-1</f>
        <v>1.5567010309278206E-2</v>
      </c>
      <c r="N9" s="289">
        <f>K9/I9</f>
        <v>4.1703095771845694E-2</v>
      </c>
      <c r="O9" s="290">
        <f>$G9/H9</f>
        <v>0.73280287619370521</v>
      </c>
      <c r="P9" s="290">
        <f>$G9/I9</f>
        <v>0.72000405849957938</v>
      </c>
      <c r="Q9" s="290">
        <f t="shared" ref="Q9:R9" si="0">$G9/J9</f>
        <v>17.533767111712017</v>
      </c>
      <c r="R9" s="290">
        <f t="shared" si="0"/>
        <v>17.265002637661819</v>
      </c>
    </row>
    <row r="10" spans="1:20" ht="14.25" customHeight="1">
      <c r="B10" s="287" t="s">
        <v>721</v>
      </c>
      <c r="C10" s="287" t="s">
        <v>722</v>
      </c>
      <c r="D10" s="288">
        <v>45050.400000000001</v>
      </c>
      <c r="E10" s="288">
        <v>12164</v>
      </c>
      <c r="F10" s="288">
        <v>0</v>
      </c>
      <c r="G10" s="288">
        <f t="shared" ref="G10:G14" si="1">D10+E10+F10</f>
        <v>57214.400000000001</v>
      </c>
      <c r="H10" s="288">
        <v>73580</v>
      </c>
      <c r="I10" s="288">
        <v>75193.69</v>
      </c>
      <c r="J10" s="288">
        <v>6839</v>
      </c>
      <c r="K10" s="288">
        <v>6563.13</v>
      </c>
      <c r="L10" s="289">
        <f t="shared" ref="L10:L14" si="2">I10/H10-1</f>
        <v>2.1931095406360512E-2</v>
      </c>
      <c r="M10" s="289">
        <f t="shared" ref="M10:M14" si="3">K10/J10-1</f>
        <v>-4.0337768679631458E-2</v>
      </c>
      <c r="N10" s="289">
        <f t="shared" ref="N10:N14" si="4">K10/I10</f>
        <v>8.7282988772063183E-2</v>
      </c>
      <c r="O10" s="290">
        <f t="shared" ref="O10:O14" si="5">$G10/H10</f>
        <v>0.7775808643653167</v>
      </c>
      <c r="P10" s="290">
        <f t="shared" ref="P10:P14" si="6">$G10/I10</f>
        <v>0.76089363349504457</v>
      </c>
      <c r="Q10" s="290">
        <f t="shared" ref="Q10:Q14" si="7">$G10/J10</f>
        <v>8.3659014475800557</v>
      </c>
      <c r="R10" s="290">
        <f t="shared" ref="R10:R14" si="8">$G10/K10</f>
        <v>8.7175478773085402</v>
      </c>
    </row>
    <row r="11" spans="1:20" ht="14.25" customHeight="1">
      <c r="B11" s="287" t="s">
        <v>723</v>
      </c>
      <c r="C11" s="287" t="s">
        <v>724</v>
      </c>
      <c r="D11" s="288">
        <v>79080.600000000006</v>
      </c>
      <c r="E11" s="288">
        <v>13563</v>
      </c>
      <c r="F11" s="288">
        <v>0</v>
      </c>
      <c r="G11" s="288">
        <f t="shared" si="1"/>
        <v>92643.6</v>
      </c>
      <c r="H11" s="288">
        <v>70511</v>
      </c>
      <c r="I11" s="288">
        <v>71606.429999999993</v>
      </c>
      <c r="J11" s="288">
        <v>8045</v>
      </c>
      <c r="K11" s="288">
        <v>7616.52</v>
      </c>
      <c r="L11" s="289">
        <f t="shared" si="2"/>
        <v>1.5535590191601223E-2</v>
      </c>
      <c r="M11" s="289">
        <f t="shared" si="3"/>
        <v>-5.3260410192666252E-2</v>
      </c>
      <c r="N11" s="289">
        <f t="shared" si="4"/>
        <v>0.10636642547324313</v>
      </c>
      <c r="O11" s="290">
        <f t="shared" si="5"/>
        <v>1.3138886131241934</v>
      </c>
      <c r="P11" s="290">
        <f t="shared" si="6"/>
        <v>1.2937888399128403</v>
      </c>
      <c r="Q11" s="290">
        <f t="shared" si="7"/>
        <v>11.515674331883158</v>
      </c>
      <c r="R11" s="290">
        <f t="shared" si="8"/>
        <v>12.163507743693971</v>
      </c>
    </row>
    <row r="12" spans="1:20" ht="14.25" customHeight="1">
      <c r="B12" s="287" t="s">
        <v>725</v>
      </c>
      <c r="C12" s="287" t="s">
        <v>726</v>
      </c>
      <c r="D12" s="288">
        <v>208244.6</v>
      </c>
      <c r="E12" s="288">
        <v>22008</v>
      </c>
      <c r="F12" s="288">
        <v>0</v>
      </c>
      <c r="G12" s="288">
        <f t="shared" si="1"/>
        <v>230252.6</v>
      </c>
      <c r="H12" s="288">
        <v>104319</v>
      </c>
      <c r="I12" s="288">
        <v>108262.01</v>
      </c>
      <c r="J12" s="288">
        <v>17260</v>
      </c>
      <c r="K12" s="288">
        <v>17835.63</v>
      </c>
      <c r="L12" s="289">
        <f t="shared" si="2"/>
        <v>3.7797620759401296E-2</v>
      </c>
      <c r="M12" s="289">
        <f t="shared" si="3"/>
        <v>3.3350521436848357E-2</v>
      </c>
      <c r="N12" s="289">
        <f t="shared" si="4"/>
        <v>0.1647450476857025</v>
      </c>
      <c r="O12" s="290">
        <f t="shared" si="5"/>
        <v>2.2071971548807023</v>
      </c>
      <c r="P12" s="290">
        <f t="shared" si="6"/>
        <v>2.1268088408851824</v>
      </c>
      <c r="Q12" s="290">
        <f t="shared" si="7"/>
        <v>13.34024333719583</v>
      </c>
      <c r="R12" s="290">
        <f t="shared" si="8"/>
        <v>12.909698171581267</v>
      </c>
    </row>
    <row r="13" spans="1:20" ht="14.25" customHeight="1">
      <c r="B13" s="287" t="s">
        <v>311</v>
      </c>
      <c r="C13" s="287" t="s">
        <v>727</v>
      </c>
      <c r="D13" s="288">
        <v>302626.09999999998</v>
      </c>
      <c r="E13" s="288">
        <v>38324</v>
      </c>
      <c r="F13" s="288">
        <v>2627</v>
      </c>
      <c r="G13" s="288">
        <f t="shared" si="1"/>
        <v>343577.1</v>
      </c>
      <c r="H13" s="288">
        <v>510164</v>
      </c>
      <c r="I13" s="288">
        <v>511960.47</v>
      </c>
      <c r="J13" s="288">
        <v>32639</v>
      </c>
      <c r="K13" s="288">
        <v>32620.45</v>
      </c>
      <c r="L13" s="289">
        <f t="shared" si="2"/>
        <v>3.5213578378716637E-3</v>
      </c>
      <c r="M13" s="289">
        <f t="shared" si="3"/>
        <v>-5.6833849076254328E-4</v>
      </c>
      <c r="N13" s="289">
        <f t="shared" si="4"/>
        <v>6.3716735786260997E-2</v>
      </c>
      <c r="O13" s="290">
        <f t="shared" si="5"/>
        <v>0.67346402333367306</v>
      </c>
      <c r="P13" s="290">
        <f t="shared" si="6"/>
        <v>0.67110083714080504</v>
      </c>
      <c r="Q13" s="290">
        <f t="shared" si="7"/>
        <v>10.526581696743159</v>
      </c>
      <c r="R13" s="290">
        <f t="shared" si="8"/>
        <v>10.532567760407964</v>
      </c>
    </row>
    <row r="14" spans="1:20" ht="14.25" customHeight="1">
      <c r="B14" s="287" t="s">
        <v>728</v>
      </c>
      <c r="C14" s="287" t="s">
        <v>729</v>
      </c>
      <c r="D14" s="288">
        <v>34131.9</v>
      </c>
      <c r="E14" s="288">
        <v>-3803.6</v>
      </c>
      <c r="F14" s="288">
        <v>2187.91</v>
      </c>
      <c r="G14" s="288">
        <f t="shared" si="1"/>
        <v>32516.210000000003</v>
      </c>
      <c r="H14" s="288">
        <v>60186</v>
      </c>
      <c r="I14" s="288">
        <v>67438.91</v>
      </c>
      <c r="J14" s="288">
        <v>301.2</v>
      </c>
      <c r="K14" s="288">
        <v>925.66</v>
      </c>
      <c r="L14" s="289">
        <f t="shared" si="2"/>
        <v>0.12050825773435681</v>
      </c>
      <c r="M14" s="289">
        <f t="shared" si="3"/>
        <v>2.0732403718459493</v>
      </c>
      <c r="N14" s="289">
        <f t="shared" si="4"/>
        <v>1.3725903932907573E-2</v>
      </c>
      <c r="O14" s="290">
        <f t="shared" si="5"/>
        <v>0.54026202106802246</v>
      </c>
      <c r="P14" s="290">
        <f t="shared" si="6"/>
        <v>0.48215800047776575</v>
      </c>
      <c r="Q14" s="290">
        <f t="shared" si="7"/>
        <v>107.95554448871184</v>
      </c>
      <c r="R14" s="290">
        <f t="shared" si="8"/>
        <v>35.127595445411927</v>
      </c>
      <c r="T14" s="291"/>
    </row>
    <row r="15" spans="1:20" ht="14.25" customHeight="1">
      <c r="B15" s="292" t="s">
        <v>730</v>
      </c>
      <c r="C15" s="292"/>
      <c r="D15" s="293">
        <f>AVERAGE(D9:D14)</f>
        <v>128810.31666666667</v>
      </c>
      <c r="E15" s="293">
        <f>AVERAGE(E9:E14)</f>
        <v>13661.733333333332</v>
      </c>
      <c r="F15" s="293">
        <f>AVERAGE(F9:F14)</f>
        <v>853.15166666666664</v>
      </c>
      <c r="G15" s="293">
        <f>AVERAGE(G9:G14)</f>
        <v>143325.20166666666</v>
      </c>
      <c r="H15" s="293">
        <f>AVERAGE(H9:H14)</f>
        <v>160056</v>
      </c>
      <c r="I15" s="293">
        <f t="shared" ref="I15:K15" si="9">AVERAGE(I9:I14)</f>
        <v>163092.36166666666</v>
      </c>
      <c r="J15" s="293">
        <f t="shared" si="9"/>
        <v>11833.533333333333</v>
      </c>
      <c r="K15" s="293">
        <f t="shared" si="9"/>
        <v>11928.416666666666</v>
      </c>
      <c r="L15" s="294">
        <f>AVERAGE(L9:L14)</f>
        <v>3.6178326235972023E-2</v>
      </c>
      <c r="M15" s="294">
        <f>AVERAGE(M9:M14)</f>
        <v>0.33799856437150261</v>
      </c>
      <c r="N15" s="294">
        <f t="shared" ref="N15:R15" si="10">AVERAGE(N9:N14)</f>
        <v>7.9590032903670518E-2</v>
      </c>
      <c r="O15" s="295">
        <f t="shared" si="10"/>
        <v>1.0408659254942687</v>
      </c>
      <c r="P15" s="295">
        <f t="shared" si="10"/>
        <v>1.0091257017352029</v>
      </c>
      <c r="Q15" s="295">
        <f t="shared" si="10"/>
        <v>28.206285402304342</v>
      </c>
      <c r="R15" s="295">
        <f t="shared" si="10"/>
        <v>16.119319939344248</v>
      </c>
    </row>
    <row r="16" spans="1:20" ht="14.25" customHeight="1">
      <c r="B16" s="292" t="s">
        <v>731</v>
      </c>
      <c r="C16" s="292"/>
      <c r="D16" s="293">
        <f>MEDIAN(D9:D14)</f>
        <v>91404.450000000012</v>
      </c>
      <c r="E16" s="293">
        <f>MEDIAN(E9:E14)</f>
        <v>12863.5</v>
      </c>
      <c r="F16" s="293">
        <f>MEDIAN(F9:F14)</f>
        <v>152</v>
      </c>
      <c r="G16" s="293">
        <f>MEDIAN(G9:G14)</f>
        <v>98195.450000000012</v>
      </c>
      <c r="H16" s="293">
        <f>MEDIAN(H9:H14)</f>
        <v>88949.5</v>
      </c>
      <c r="I16" s="293">
        <f t="shared" ref="I16:K16" si="11">MEDIAN(I9:I14)</f>
        <v>91727.85</v>
      </c>
      <c r="J16" s="293">
        <f t="shared" si="11"/>
        <v>7442</v>
      </c>
      <c r="K16" s="293">
        <f t="shared" si="11"/>
        <v>7089.8250000000007</v>
      </c>
      <c r="L16" s="294">
        <f>MEDIAN(L9:L14)</f>
        <v>1.985356544630057E-2</v>
      </c>
      <c r="M16" s="294">
        <f>MEDIAN(M9:M14)</f>
        <v>7.4993359092578316E-3</v>
      </c>
      <c r="N16" s="294">
        <f t="shared" ref="N16:R16" si="12">MEDIAN(N9:N14)</f>
        <v>7.5499862279162083E-2</v>
      </c>
      <c r="O16" s="295">
        <f t="shared" si="12"/>
        <v>0.75519187027951096</v>
      </c>
      <c r="P16" s="295">
        <f t="shared" si="12"/>
        <v>0.74044884599731198</v>
      </c>
      <c r="Q16" s="295">
        <f t="shared" si="12"/>
        <v>12.427958834539494</v>
      </c>
      <c r="R16" s="295">
        <f t="shared" si="12"/>
        <v>12.536602957637619</v>
      </c>
    </row>
    <row r="17" spans="2:20" ht="14.25" customHeight="1">
      <c r="B17" s="296" t="s">
        <v>172</v>
      </c>
      <c r="C17" s="296"/>
      <c r="D17" s="297"/>
      <c r="E17" s="297"/>
      <c r="F17" s="297"/>
      <c r="G17" s="297">
        <f>I17*P15</f>
        <v>169107.89759984927</v>
      </c>
      <c r="H17" s="297">
        <f>Quarterly!N13+Quarterly!N14</f>
        <v>135893</v>
      </c>
      <c r="I17" s="297">
        <f>'Financial Model'!H67+'Financial Model'!H68</f>
        <v>167578.62505044352</v>
      </c>
      <c r="J17" s="297"/>
      <c r="K17" s="297"/>
      <c r="L17" s="298"/>
      <c r="M17" s="298"/>
      <c r="N17" s="298"/>
      <c r="O17" s="299"/>
      <c r="P17" s="299"/>
      <c r="Q17" s="299"/>
      <c r="R17" s="299"/>
    </row>
    <row r="18" spans="2:20" ht="14.25" customHeight="1">
      <c r="B18" s="300" t="s">
        <v>732</v>
      </c>
      <c r="C18" s="301"/>
      <c r="D18" s="302"/>
      <c r="E18" s="302"/>
      <c r="F18" s="302"/>
      <c r="G18" s="302">
        <f>MIN(P15:P16)*I17</f>
        <v>124083.39953241714</v>
      </c>
      <c r="H18" s="302"/>
      <c r="I18" s="302"/>
      <c r="J18" s="302"/>
      <c r="K18" s="302"/>
      <c r="L18" s="301"/>
      <c r="M18" s="301"/>
      <c r="N18" s="303"/>
      <c r="O18" s="304"/>
      <c r="P18" s="304"/>
      <c r="Q18" s="304"/>
      <c r="R18" s="304"/>
    </row>
    <row r="19" spans="2:20" ht="14.25" customHeight="1">
      <c r="B19" s="287" t="s">
        <v>733</v>
      </c>
      <c r="D19" s="285"/>
      <c r="E19" s="285"/>
      <c r="F19" s="285"/>
      <c r="G19" s="285">
        <f>MAX(P15:P16)*I17</f>
        <v>169107.89759984927</v>
      </c>
      <c r="H19" s="285"/>
      <c r="I19" s="285"/>
      <c r="J19" s="285"/>
      <c r="K19" s="285"/>
      <c r="N19" s="156"/>
      <c r="O19" s="286"/>
      <c r="P19" s="286"/>
      <c r="Q19" s="286"/>
      <c r="R19" s="286"/>
    </row>
    <row r="20" spans="2:20" ht="14.25" customHeight="1">
      <c r="D20" s="285"/>
      <c r="E20" s="285"/>
      <c r="F20" s="285"/>
      <c r="G20" s="285"/>
      <c r="H20" s="285"/>
      <c r="I20" s="285"/>
      <c r="J20" s="285"/>
      <c r="K20" s="285"/>
      <c r="N20" s="156"/>
      <c r="O20" s="286"/>
      <c r="P20" s="286"/>
      <c r="Q20" s="286"/>
      <c r="R20" s="286"/>
    </row>
    <row r="21" spans="2:20" ht="14.25" customHeight="1">
      <c r="B21" s="320" t="s">
        <v>734</v>
      </c>
      <c r="C21" s="321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</row>
    <row r="22" spans="2:20" ht="14.25" customHeight="1">
      <c r="B22" s="287" t="s">
        <v>295</v>
      </c>
      <c r="C22" s="287" t="s">
        <v>735</v>
      </c>
      <c r="D22" s="288">
        <v>28836.7</v>
      </c>
      <c r="E22" s="288">
        <v>4410</v>
      </c>
      <c r="F22" s="288">
        <v>0</v>
      </c>
      <c r="G22" s="288">
        <f t="shared" ref="G22:G24" si="13">D22+E22+F22</f>
        <v>33246.699999999997</v>
      </c>
      <c r="H22" s="288">
        <v>10216</v>
      </c>
      <c r="I22" s="288">
        <v>10735.46</v>
      </c>
      <c r="J22" s="288">
        <v>2985</v>
      </c>
      <c r="K22" s="288">
        <v>3608.8</v>
      </c>
      <c r="L22" s="289">
        <f t="shared" ref="L22:L24" si="14">I22/H22-1</f>
        <v>5.0847689898198878E-2</v>
      </c>
      <c r="M22" s="289">
        <f t="shared" ref="M22:M24" si="15">K22/J22-1</f>
        <v>0.20897822445561154</v>
      </c>
      <c r="N22" s="289">
        <f t="shared" ref="N22:N24" si="16">K22/I22</f>
        <v>0.33615699746447758</v>
      </c>
      <c r="O22" s="290">
        <f t="shared" ref="O22:O24" si="17">$G22/H22</f>
        <v>3.2543754894283472</v>
      </c>
      <c r="P22" s="290">
        <f t="shared" ref="P22:P24" si="18">$G22/I22</f>
        <v>3.0969050231662174</v>
      </c>
      <c r="Q22" s="290">
        <f t="shared" ref="Q22:Q24" si="19">$G22/J22</f>
        <v>11.137922948073701</v>
      </c>
      <c r="R22" s="290">
        <f t="shared" ref="R22:R24" si="20">$G22/K22</f>
        <v>9.2126745732653497</v>
      </c>
    </row>
    <row r="23" spans="2:20" ht="14.25" customHeight="1">
      <c r="B23" s="287" t="s">
        <v>736</v>
      </c>
      <c r="C23" s="287" t="s">
        <v>737</v>
      </c>
      <c r="D23" s="288">
        <v>4841.6000000000004</v>
      </c>
      <c r="E23" s="288">
        <v>-304.3</v>
      </c>
      <c r="F23" s="288">
        <v>0</v>
      </c>
      <c r="G23" s="288">
        <f t="shared" si="13"/>
        <v>4537.3</v>
      </c>
      <c r="H23" s="288">
        <v>539.9</v>
      </c>
      <c r="I23" s="288">
        <v>598.13</v>
      </c>
      <c r="J23" s="288">
        <v>98.1</v>
      </c>
      <c r="K23" s="288">
        <v>136.88999999999999</v>
      </c>
      <c r="L23" s="289">
        <f t="shared" si="14"/>
        <v>0.10785330616780886</v>
      </c>
      <c r="M23" s="289">
        <f t="shared" si="15"/>
        <v>0.3954128440366973</v>
      </c>
      <c r="N23" s="289">
        <f t="shared" si="16"/>
        <v>0.22886329058900237</v>
      </c>
      <c r="O23" s="290">
        <f t="shared" si="17"/>
        <v>8.4039636969809237</v>
      </c>
      <c r="P23" s="290">
        <f t="shared" si="18"/>
        <v>7.5858091050440546</v>
      </c>
      <c r="Q23" s="290">
        <f t="shared" si="19"/>
        <v>46.251783893985731</v>
      </c>
      <c r="R23" s="290">
        <f t="shared" si="20"/>
        <v>33.145591350719563</v>
      </c>
      <c r="T23" s="291"/>
    </row>
    <row r="24" spans="2:20" ht="14.25" customHeight="1">
      <c r="B24" s="287" t="s">
        <v>738</v>
      </c>
      <c r="C24" s="287" t="s">
        <v>739</v>
      </c>
      <c r="D24" s="288">
        <v>379205.4</v>
      </c>
      <c r="E24" s="288">
        <v>-6262.6</v>
      </c>
      <c r="F24" s="288">
        <v>10666.25</v>
      </c>
      <c r="G24" s="288">
        <f t="shared" si="13"/>
        <v>383609.05000000005</v>
      </c>
      <c r="H24" s="288">
        <v>44963.1</v>
      </c>
      <c r="I24" s="288">
        <v>51191.19</v>
      </c>
      <c r="J24" s="288">
        <v>12098.8</v>
      </c>
      <c r="K24" s="288">
        <v>16925.16</v>
      </c>
      <c r="L24" s="289">
        <f t="shared" si="14"/>
        <v>0.1385155827778779</v>
      </c>
      <c r="M24" s="289">
        <f t="shared" si="15"/>
        <v>0.398912288822032</v>
      </c>
      <c r="N24" s="289">
        <f t="shared" si="16"/>
        <v>0.33062642224179589</v>
      </c>
      <c r="O24" s="290">
        <f t="shared" si="17"/>
        <v>8.5316415015868579</v>
      </c>
      <c r="P24" s="290">
        <f t="shared" si="18"/>
        <v>7.4936536931452471</v>
      </c>
      <c r="Q24" s="290">
        <f t="shared" si="19"/>
        <v>31.706371706284926</v>
      </c>
      <c r="R24" s="290">
        <f t="shared" si="20"/>
        <v>22.66501764237384</v>
      </c>
      <c r="T24" s="291"/>
    </row>
    <row r="25" spans="2:20" ht="14.25" customHeight="1">
      <c r="B25" s="292" t="s">
        <v>730</v>
      </c>
      <c r="C25" s="292"/>
      <c r="D25" s="293">
        <f t="shared" ref="D25:R25" si="21">AVERAGE(D22:D24)</f>
        <v>137627.9</v>
      </c>
      <c r="E25" s="293">
        <f t="shared" si="21"/>
        <v>-718.96666666666681</v>
      </c>
      <c r="F25" s="293">
        <f t="shared" si="21"/>
        <v>3555.4166666666665</v>
      </c>
      <c r="G25" s="293">
        <f t="shared" si="21"/>
        <v>140464.35</v>
      </c>
      <c r="H25" s="293">
        <f t="shared" si="21"/>
        <v>18573</v>
      </c>
      <c r="I25" s="293">
        <f t="shared" si="21"/>
        <v>20841.593333333334</v>
      </c>
      <c r="J25" s="293">
        <f t="shared" si="21"/>
        <v>5060.6333333333332</v>
      </c>
      <c r="K25" s="293">
        <f t="shared" si="21"/>
        <v>6890.2833333333328</v>
      </c>
      <c r="L25" s="294">
        <f t="shared" si="21"/>
        <v>9.9072192947961879E-2</v>
      </c>
      <c r="M25" s="294">
        <f t="shared" si="21"/>
        <v>0.33443445243811359</v>
      </c>
      <c r="N25" s="294">
        <f t="shared" si="21"/>
        <v>0.29854890343175861</v>
      </c>
      <c r="O25" s="295">
        <f t="shared" si="21"/>
        <v>6.7299935626653768</v>
      </c>
      <c r="P25" s="295">
        <f t="shared" si="21"/>
        <v>6.0587892737851732</v>
      </c>
      <c r="Q25" s="295">
        <f t="shared" si="21"/>
        <v>29.698692849448122</v>
      </c>
      <c r="R25" s="295">
        <f t="shared" si="21"/>
        <v>21.674427855452919</v>
      </c>
    </row>
    <row r="26" spans="2:20" ht="14.25" customHeight="1">
      <c r="B26" s="292" t="s">
        <v>731</v>
      </c>
      <c r="C26" s="292"/>
      <c r="D26" s="293">
        <f t="shared" ref="D26:R26" si="22">MEDIAN(D22:D24)</f>
        <v>28836.7</v>
      </c>
      <c r="E26" s="293">
        <f t="shared" si="22"/>
        <v>-304.3</v>
      </c>
      <c r="F26" s="293">
        <f t="shared" si="22"/>
        <v>0</v>
      </c>
      <c r="G26" s="293">
        <f t="shared" si="22"/>
        <v>33246.699999999997</v>
      </c>
      <c r="H26" s="293">
        <f t="shared" si="22"/>
        <v>10216</v>
      </c>
      <c r="I26" s="293">
        <f t="shared" si="22"/>
        <v>10735.46</v>
      </c>
      <c r="J26" s="293">
        <f t="shared" si="22"/>
        <v>2985</v>
      </c>
      <c r="K26" s="293">
        <f t="shared" si="22"/>
        <v>3608.8</v>
      </c>
      <c r="L26" s="294">
        <f t="shared" si="22"/>
        <v>0.10785330616780886</v>
      </c>
      <c r="M26" s="294">
        <f t="shared" si="22"/>
        <v>0.3954128440366973</v>
      </c>
      <c r="N26" s="294">
        <f t="shared" si="22"/>
        <v>0.33062642224179589</v>
      </c>
      <c r="O26" s="295">
        <f t="shared" si="22"/>
        <v>8.4039636969809237</v>
      </c>
      <c r="P26" s="295">
        <f t="shared" si="22"/>
        <v>7.4936536931452471</v>
      </c>
      <c r="Q26" s="295">
        <f t="shared" si="22"/>
        <v>31.706371706284926</v>
      </c>
      <c r="R26" s="295">
        <f t="shared" si="22"/>
        <v>22.66501764237384</v>
      </c>
    </row>
    <row r="27" spans="2:20" ht="14.25" customHeight="1">
      <c r="B27" s="296" t="s">
        <v>173</v>
      </c>
      <c r="C27" s="296"/>
      <c r="D27" s="297"/>
      <c r="E27" s="297"/>
      <c r="F27" s="297"/>
      <c r="G27" s="297">
        <f>I27*P25</f>
        <v>349320.28322268976</v>
      </c>
      <c r="H27" s="297">
        <f>Quarterly!N15</f>
        <v>39885</v>
      </c>
      <c r="I27" s="297">
        <f>'Financial Model'!H69</f>
        <v>57655.13</v>
      </c>
      <c r="J27" s="297"/>
      <c r="K27" s="297"/>
      <c r="L27" s="298"/>
      <c r="M27" s="298"/>
      <c r="N27" s="298"/>
      <c r="O27" s="299"/>
      <c r="P27" s="299"/>
      <c r="Q27" s="299"/>
      <c r="R27" s="299"/>
    </row>
    <row r="28" spans="2:20" ht="14.25" customHeight="1">
      <c r="B28" s="300" t="s">
        <v>740</v>
      </c>
      <c r="C28" s="301"/>
      <c r="D28" s="302"/>
      <c r="E28" s="302"/>
      <c r="F28" s="302"/>
      <c r="G28" s="302">
        <f>MIN(P25:P26)*I27</f>
        <v>349320.28322268976</v>
      </c>
      <c r="H28" s="302"/>
      <c r="I28" s="302"/>
      <c r="J28" s="302"/>
      <c r="K28" s="302"/>
      <c r="L28" s="301"/>
      <c r="M28" s="301"/>
      <c r="N28" s="303"/>
      <c r="O28" s="304"/>
      <c r="P28" s="304"/>
      <c r="Q28" s="304"/>
      <c r="R28" s="304"/>
    </row>
    <row r="29" spans="2:20" ht="14.25" customHeight="1">
      <c r="B29" s="287" t="s">
        <v>741</v>
      </c>
      <c r="D29" s="285"/>
      <c r="E29" s="285"/>
      <c r="F29" s="285"/>
      <c r="G29" s="285">
        <f>MAX(P25:P26)*I27</f>
        <v>432047.57785326929</v>
      </c>
      <c r="H29" s="285"/>
      <c r="I29" s="285"/>
      <c r="J29" s="285"/>
      <c r="K29" s="285"/>
      <c r="N29" s="156"/>
      <c r="O29" s="286"/>
      <c r="P29" s="286"/>
      <c r="Q29" s="286"/>
      <c r="R29" s="286"/>
    </row>
    <row r="30" spans="2:20" ht="14.25" customHeight="1">
      <c r="D30" s="285"/>
      <c r="E30" s="285"/>
      <c r="F30" s="285"/>
      <c r="G30" s="288"/>
      <c r="H30" s="285"/>
      <c r="I30" s="285"/>
      <c r="J30" s="285"/>
      <c r="K30" s="285"/>
      <c r="N30" s="156"/>
      <c r="O30" s="286"/>
      <c r="P30" s="286"/>
      <c r="Q30" s="286"/>
      <c r="R30" s="286"/>
    </row>
    <row r="31" spans="2:20" ht="14.25" customHeight="1">
      <c r="B31" s="320" t="s">
        <v>742</v>
      </c>
      <c r="C31" s="321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</row>
    <row r="32" spans="2:20" ht="14.25" customHeight="1">
      <c r="B32" s="287" t="s">
        <v>280</v>
      </c>
      <c r="C32" s="287" t="s">
        <v>743</v>
      </c>
      <c r="D32" s="288">
        <v>739038.9</v>
      </c>
      <c r="E32" s="288">
        <v>-102430</v>
      </c>
      <c r="F32" s="288">
        <v>0</v>
      </c>
      <c r="G32" s="288">
        <f t="shared" ref="G32:G34" si="23">D32+E32+F32</f>
        <v>636608.9</v>
      </c>
      <c r="H32" s="288">
        <v>129866</v>
      </c>
      <c r="I32" s="288">
        <v>136487.96</v>
      </c>
      <c r="J32" s="288">
        <v>39334</v>
      </c>
      <c r="K32" s="288">
        <v>49722.39</v>
      </c>
      <c r="L32" s="289">
        <f t="shared" ref="L32:L34" si="24">I32/H32-1</f>
        <v>5.0990713504689422E-2</v>
      </c>
      <c r="M32" s="289">
        <f t="shared" ref="M32:M34" si="25">K32/J32-1</f>
        <v>0.2641071337773937</v>
      </c>
      <c r="N32" s="289">
        <f t="shared" ref="N32:N34" si="26">K32/I32</f>
        <v>0.36429872642246247</v>
      </c>
      <c r="O32" s="290">
        <f t="shared" ref="O32:O34" si="27">$G32/H32</f>
        <v>4.9020444150123978</v>
      </c>
      <c r="P32" s="290">
        <f t="shared" ref="P32:P34" si="28">$G32/I32</f>
        <v>4.6642128726958774</v>
      </c>
      <c r="Q32" s="290">
        <f t="shared" ref="Q32:Q34" si="29">$G32/J32</f>
        <v>16.184697716987849</v>
      </c>
      <c r="R32" s="290">
        <f t="shared" ref="R32:R34" si="30">$G32/K32</f>
        <v>12.80326428395739</v>
      </c>
    </row>
    <row r="33" spans="2:18" ht="14.25" customHeight="1">
      <c r="B33" s="287" t="s">
        <v>288</v>
      </c>
      <c r="C33" s="287" t="s">
        <v>744</v>
      </c>
      <c r="D33" s="288">
        <v>430895.7</v>
      </c>
      <c r="E33" s="288">
        <v>-41136</v>
      </c>
      <c r="F33" s="288">
        <v>0</v>
      </c>
      <c r="G33" s="288">
        <f t="shared" si="23"/>
        <v>389759.7</v>
      </c>
      <c r="H33" s="288">
        <v>51896</v>
      </c>
      <c r="I33" s="288">
        <v>55366.05</v>
      </c>
      <c r="J33" s="288">
        <v>28388</v>
      </c>
      <c r="K33" s="288">
        <v>33066.800000000003</v>
      </c>
      <c r="L33" s="289">
        <f t="shared" si="24"/>
        <v>6.6865461692616091E-2</v>
      </c>
      <c r="M33" s="289">
        <f t="shared" si="25"/>
        <v>0.16481611948710739</v>
      </c>
      <c r="N33" s="289">
        <f t="shared" si="26"/>
        <v>0.59723964415016062</v>
      </c>
      <c r="O33" s="290">
        <f t="shared" si="27"/>
        <v>7.5103996454447355</v>
      </c>
      <c r="P33" s="290">
        <f t="shared" si="28"/>
        <v>7.0396876786406111</v>
      </c>
      <c r="Q33" s="290">
        <f t="shared" si="29"/>
        <v>13.729734394814711</v>
      </c>
      <c r="R33" s="290">
        <f t="shared" si="30"/>
        <v>11.787040173225106</v>
      </c>
    </row>
    <row r="34" spans="2:18" ht="14.25" customHeight="1">
      <c r="B34" s="287" t="s">
        <v>745</v>
      </c>
      <c r="C34" s="287" t="s">
        <v>746</v>
      </c>
      <c r="D34" s="288">
        <v>26116.2</v>
      </c>
      <c r="E34" s="288">
        <v>-3248.7</v>
      </c>
      <c r="F34" s="288">
        <v>0</v>
      </c>
      <c r="G34" s="288">
        <f t="shared" si="23"/>
        <v>22867.5</v>
      </c>
      <c r="H34" s="288">
        <v>2865.1</v>
      </c>
      <c r="I34" s="288">
        <v>3000.79</v>
      </c>
      <c r="J34" s="288">
        <v>674</v>
      </c>
      <c r="K34" s="288">
        <v>1147.8</v>
      </c>
      <c r="L34" s="289">
        <f t="shared" si="24"/>
        <v>4.7359603504240733E-2</v>
      </c>
      <c r="M34" s="289">
        <f t="shared" si="25"/>
        <v>0.70296735905044505</v>
      </c>
      <c r="N34" s="289">
        <f t="shared" si="26"/>
        <v>0.38249927519086641</v>
      </c>
      <c r="O34" s="290">
        <f t="shared" si="27"/>
        <v>7.9813968098844716</v>
      </c>
      <c r="P34" s="290">
        <f t="shared" si="28"/>
        <v>7.6204932701055386</v>
      </c>
      <c r="Q34" s="290">
        <f t="shared" si="29"/>
        <v>33.928041543026708</v>
      </c>
      <c r="R34" s="290">
        <f t="shared" si="30"/>
        <v>19.922895974908521</v>
      </c>
    </row>
    <row r="35" spans="2:18" ht="14.25" customHeight="1">
      <c r="B35" s="292" t="s">
        <v>730</v>
      </c>
      <c r="C35" s="292"/>
      <c r="D35" s="293">
        <f>AVERAGE(D32:D34)</f>
        <v>398683.60000000003</v>
      </c>
      <c r="E35" s="293">
        <f>AVERAGE(E32:E34)</f>
        <v>-48938.233333333337</v>
      </c>
      <c r="F35" s="293">
        <f>AVERAGE(F32:F34)</f>
        <v>0</v>
      </c>
      <c r="G35" s="293">
        <f>AVERAGE(G32:G34)</f>
        <v>349745.3666666667</v>
      </c>
      <c r="H35" s="293">
        <f>AVERAGE(H32:H34)</f>
        <v>61542.366666666669</v>
      </c>
      <c r="I35" s="293">
        <f t="shared" ref="I35:K35" si="31">AVERAGE(I32:I34)</f>
        <v>64951.600000000006</v>
      </c>
      <c r="J35" s="293">
        <f t="shared" si="31"/>
        <v>22798.666666666668</v>
      </c>
      <c r="K35" s="293">
        <f t="shared" si="31"/>
        <v>27978.99666666667</v>
      </c>
      <c r="L35" s="294">
        <f>AVERAGE(L32:L34)</f>
        <v>5.5071926233848746E-2</v>
      </c>
      <c r="M35" s="294">
        <f>AVERAGE(M32:M34)</f>
        <v>0.3772968707716487</v>
      </c>
      <c r="N35" s="294">
        <f t="shared" ref="N35:R35" si="32">AVERAGE(N32:N34)</f>
        <v>0.44801254858782985</v>
      </c>
      <c r="O35" s="295">
        <f t="shared" si="32"/>
        <v>6.7979469567805353</v>
      </c>
      <c r="P35" s="295">
        <f t="shared" si="32"/>
        <v>6.441464607147342</v>
      </c>
      <c r="Q35" s="295">
        <f t="shared" si="32"/>
        <v>21.280824551609758</v>
      </c>
      <c r="R35" s="295">
        <f t="shared" si="32"/>
        <v>14.837733477363672</v>
      </c>
    </row>
    <row r="36" spans="2:18" ht="14.25" customHeight="1">
      <c r="B36" s="292" t="s">
        <v>731</v>
      </c>
      <c r="C36" s="292"/>
      <c r="D36" s="293">
        <f>MEDIAN(D32:D34)</f>
        <v>430895.7</v>
      </c>
      <c r="E36" s="293">
        <f>MEDIAN(E32:E34)</f>
        <v>-41136</v>
      </c>
      <c r="F36" s="293">
        <f>MEDIAN(F32:F34)</f>
        <v>0</v>
      </c>
      <c r="G36" s="293">
        <f>MEDIAN(G32:G34)</f>
        <v>389759.7</v>
      </c>
      <c r="H36" s="293">
        <f>MEDIAN(H32:H34)</f>
        <v>51896</v>
      </c>
      <c r="I36" s="293">
        <f t="shared" ref="I36:K36" si="33">MEDIAN(I32:I34)</f>
        <v>55366.05</v>
      </c>
      <c r="J36" s="293">
        <f t="shared" si="33"/>
        <v>28388</v>
      </c>
      <c r="K36" s="293">
        <f t="shared" si="33"/>
        <v>33066.800000000003</v>
      </c>
      <c r="L36" s="294">
        <f>MEDIAN(L32:L34)</f>
        <v>5.0990713504689422E-2</v>
      </c>
      <c r="M36" s="294">
        <f>MEDIAN(M32:M34)</f>
        <v>0.2641071337773937</v>
      </c>
      <c r="N36" s="294">
        <f t="shared" ref="N36:R36" si="34">MEDIAN(N32:N34)</f>
        <v>0.38249927519086641</v>
      </c>
      <c r="O36" s="295">
        <f t="shared" si="34"/>
        <v>7.5103996454447355</v>
      </c>
      <c r="P36" s="295">
        <f t="shared" si="34"/>
        <v>7.0396876786406111</v>
      </c>
      <c r="Q36" s="295">
        <f t="shared" si="34"/>
        <v>16.184697716987849</v>
      </c>
      <c r="R36" s="295">
        <f t="shared" si="34"/>
        <v>12.80326428395739</v>
      </c>
    </row>
    <row r="37" spans="2:18" ht="14.25" customHeight="1">
      <c r="B37" s="296" t="s">
        <v>747</v>
      </c>
      <c r="C37" s="296"/>
      <c r="D37" s="297"/>
      <c r="E37" s="297"/>
      <c r="F37" s="297"/>
      <c r="G37" s="297">
        <f>I37*P35</f>
        <v>115915.20234361509</v>
      </c>
      <c r="H37" s="297">
        <f>Quarterly!N18</f>
        <v>8455</v>
      </c>
      <c r="I37" s="297">
        <f>'Financial Model'!H72</f>
        <v>17995.162500000002</v>
      </c>
      <c r="J37" s="297"/>
      <c r="K37" s="297"/>
      <c r="L37" s="298"/>
      <c r="M37" s="298"/>
      <c r="N37" s="298"/>
      <c r="O37" s="299"/>
      <c r="P37" s="299"/>
      <c r="Q37" s="299"/>
      <c r="R37" s="299"/>
    </row>
    <row r="38" spans="2:18" ht="14.25" customHeight="1">
      <c r="B38" s="300" t="s">
        <v>748</v>
      </c>
      <c r="C38" s="301"/>
      <c r="D38" s="302"/>
      <c r="E38" s="302"/>
      <c r="F38" s="302"/>
      <c r="G38" s="302">
        <f>MIN(P35:P36)*I37</f>
        <v>115915.20234361509</v>
      </c>
      <c r="H38" s="302"/>
      <c r="I38" s="302"/>
      <c r="J38" s="302"/>
      <c r="K38" s="302"/>
      <c r="L38" s="301"/>
      <c r="M38" s="301"/>
      <c r="N38" s="303"/>
      <c r="O38" s="304"/>
      <c r="P38" s="304"/>
      <c r="Q38" s="304"/>
      <c r="R38" s="304"/>
    </row>
    <row r="39" spans="2:18">
      <c r="B39" s="287" t="s">
        <v>749</v>
      </c>
      <c r="D39" s="285"/>
      <c r="E39" s="285"/>
      <c r="F39" s="285"/>
      <c r="G39" s="285">
        <f>MAX(P35:P36)*I37</f>
        <v>126680.32372638558</v>
      </c>
      <c r="H39" s="285"/>
      <c r="I39" s="285"/>
      <c r="J39" s="285"/>
      <c r="K39" s="285"/>
      <c r="N39" s="156"/>
      <c r="O39" s="286"/>
      <c r="P39" s="286"/>
      <c r="Q39" s="286"/>
      <c r="R39" s="286"/>
    </row>
    <row r="40" spans="2:18" ht="14.25" customHeight="1">
      <c r="D40" s="285"/>
      <c r="E40" s="285"/>
      <c r="F40" s="285"/>
      <c r="H40" s="285"/>
      <c r="I40" s="285"/>
      <c r="J40" s="285"/>
      <c r="K40" s="285"/>
      <c r="N40" s="156"/>
      <c r="O40" s="286"/>
      <c r="P40" s="286"/>
      <c r="Q40" s="286"/>
      <c r="R40" s="286"/>
    </row>
    <row r="41" spans="2:18" ht="14.25" customHeight="1">
      <c r="B41" s="320" t="s">
        <v>750</v>
      </c>
      <c r="C41" s="323"/>
      <c r="D41" s="324"/>
      <c r="E41" s="324"/>
      <c r="F41" s="324"/>
      <c r="G41" s="324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</row>
    <row r="42" spans="2:18" ht="14.25" customHeight="1">
      <c r="B42" s="287" t="s">
        <v>751</v>
      </c>
      <c r="C42" s="287" t="s">
        <v>752</v>
      </c>
      <c r="D42" s="288">
        <v>186590.4</v>
      </c>
      <c r="E42" s="288">
        <v>-1795</v>
      </c>
      <c r="F42" s="288">
        <v>497</v>
      </c>
      <c r="G42" s="288">
        <f t="shared" ref="G42:G46" si="35">D42+E42+F42</f>
        <v>185292.4</v>
      </c>
      <c r="H42" s="288">
        <v>39920</v>
      </c>
      <c r="I42" s="288">
        <v>39762.85</v>
      </c>
      <c r="J42" s="288">
        <v>16155</v>
      </c>
      <c r="K42" s="288">
        <v>18615</v>
      </c>
      <c r="L42" s="289">
        <f t="shared" ref="L42:L46" si="36">I42/H42-1</f>
        <v>-3.9366232464930206E-3</v>
      </c>
      <c r="M42" s="289">
        <f t="shared" ref="M42:M46" si="37">K42/J42-1</f>
        <v>0.15227483751160631</v>
      </c>
      <c r="N42" s="289">
        <f t="shared" ref="N42:N46" si="38">K42/I42</f>
        <v>0.4681505475588395</v>
      </c>
      <c r="O42" s="290">
        <f t="shared" ref="O42:O46" si="39">$G42/H42</f>
        <v>4.6415931863727451</v>
      </c>
      <c r="P42" s="290">
        <f t="shared" ref="P42:P46" si="40">$G42/I42</f>
        <v>4.6599376050760952</v>
      </c>
      <c r="Q42" s="290">
        <f t="shared" ref="Q42:Q46" si="41">$G42/J42</f>
        <v>11.469662643144536</v>
      </c>
      <c r="R42" s="290">
        <f t="shared" ref="R42:R46" si="42">$G42/K42</f>
        <v>9.9539296266451789</v>
      </c>
    </row>
    <row r="43" spans="2:18" ht="14.25" customHeight="1">
      <c r="B43" s="287" t="s">
        <v>753</v>
      </c>
      <c r="C43" s="287" t="s">
        <v>754</v>
      </c>
      <c r="D43" s="288">
        <v>30630.2</v>
      </c>
      <c r="E43" s="288">
        <v>-1250.8</v>
      </c>
      <c r="F43" s="288">
        <v>0</v>
      </c>
      <c r="G43" s="288">
        <f t="shared" si="35"/>
        <v>29379.4</v>
      </c>
      <c r="H43" s="288">
        <v>3156.6</v>
      </c>
      <c r="I43" s="288">
        <v>3261.39</v>
      </c>
      <c r="J43" s="288">
        <v>601.5</v>
      </c>
      <c r="K43" s="288">
        <v>867.1</v>
      </c>
      <c r="L43" s="289">
        <f t="shared" si="36"/>
        <v>3.3197110815434305E-2</v>
      </c>
      <c r="M43" s="289">
        <f t="shared" si="37"/>
        <v>0.44156275976724868</v>
      </c>
      <c r="N43" s="289">
        <f t="shared" si="38"/>
        <v>0.2658682340965049</v>
      </c>
      <c r="O43" s="290">
        <f t="shared" si="39"/>
        <v>9.3072926566558962</v>
      </c>
      <c r="P43" s="290">
        <f t="shared" si="40"/>
        <v>9.0082449507725233</v>
      </c>
      <c r="Q43" s="290">
        <f t="shared" si="41"/>
        <v>48.843557772236082</v>
      </c>
      <c r="R43" s="290">
        <f t="shared" si="42"/>
        <v>33.882366509053163</v>
      </c>
    </row>
    <row r="44" spans="2:18" ht="14.25" customHeight="1">
      <c r="B44" s="287" t="s">
        <v>755</v>
      </c>
      <c r="C44" s="287" t="s">
        <v>756</v>
      </c>
      <c r="D44" s="288">
        <v>101360</v>
      </c>
      <c r="E44" s="288">
        <v>971</v>
      </c>
      <c r="F44" s="288">
        <v>0</v>
      </c>
      <c r="G44" s="288">
        <f t="shared" si="35"/>
        <v>102331</v>
      </c>
      <c r="H44" s="288">
        <v>11793</v>
      </c>
      <c r="I44" s="288">
        <v>13189.62</v>
      </c>
      <c r="J44" s="288">
        <v>1102.7</v>
      </c>
      <c r="K44" s="288">
        <v>3140.69</v>
      </c>
      <c r="L44" s="289">
        <f t="shared" si="36"/>
        <v>0.11842788094632417</v>
      </c>
      <c r="M44" s="289">
        <f t="shared" si="37"/>
        <v>1.8481817357395482</v>
      </c>
      <c r="N44" s="289">
        <f t="shared" si="38"/>
        <v>0.23811830818476953</v>
      </c>
      <c r="O44" s="290">
        <f t="shared" si="39"/>
        <v>8.6772661748494873</v>
      </c>
      <c r="P44" s="290">
        <f t="shared" si="40"/>
        <v>7.7584494473684602</v>
      </c>
      <c r="Q44" s="290">
        <f t="shared" si="41"/>
        <v>92.800399020585829</v>
      </c>
      <c r="R44" s="290">
        <f t="shared" si="42"/>
        <v>32.582330634351052</v>
      </c>
    </row>
    <row r="45" spans="2:18" ht="14.25" customHeight="1">
      <c r="B45" s="287" t="s">
        <v>757</v>
      </c>
      <c r="C45" s="287" t="s">
        <v>758</v>
      </c>
      <c r="D45" s="288">
        <v>58457.1</v>
      </c>
      <c r="E45" s="288">
        <v>-9062</v>
      </c>
      <c r="F45" s="283">
        <v>0</v>
      </c>
      <c r="G45" s="288">
        <f t="shared" si="35"/>
        <v>49395.1</v>
      </c>
      <c r="H45" s="288">
        <v>8407</v>
      </c>
      <c r="I45" s="288">
        <v>8826.4500000000007</v>
      </c>
      <c r="J45" s="288">
        <v>2262</v>
      </c>
      <c r="K45" s="288">
        <v>3503.94</v>
      </c>
      <c r="L45" s="289">
        <f t="shared" si="36"/>
        <v>4.9892946354228807E-2</v>
      </c>
      <c r="M45" s="289">
        <f t="shared" si="37"/>
        <v>0.54904509283819625</v>
      </c>
      <c r="N45" s="289">
        <f t="shared" si="38"/>
        <v>0.39698179902452285</v>
      </c>
      <c r="O45" s="290">
        <f t="shared" si="39"/>
        <v>5.8754728202688238</v>
      </c>
      <c r="P45" s="290">
        <f t="shared" si="40"/>
        <v>5.5962589716137288</v>
      </c>
      <c r="Q45" s="290">
        <f t="shared" si="41"/>
        <v>21.836914235190097</v>
      </c>
      <c r="R45" s="290">
        <f t="shared" si="42"/>
        <v>14.097016501424111</v>
      </c>
    </row>
    <row r="46" spans="2:18" ht="14.25" customHeight="1">
      <c r="B46" s="287" t="s">
        <v>759</v>
      </c>
      <c r="C46" s="287" t="s">
        <v>759</v>
      </c>
      <c r="D46" s="288">
        <v>127928.5</v>
      </c>
      <c r="E46" s="288">
        <v>3348.6</v>
      </c>
      <c r="F46" s="288">
        <v>49.33</v>
      </c>
      <c r="G46" s="288">
        <f t="shared" si="35"/>
        <v>131326.43</v>
      </c>
      <c r="H46" s="288">
        <v>27488</v>
      </c>
      <c r="I46" s="288">
        <v>28139.5</v>
      </c>
      <c r="J46" s="288">
        <v>7121.7</v>
      </c>
      <c r="K46" s="288">
        <v>9274.48</v>
      </c>
      <c r="L46" s="289">
        <f t="shared" si="36"/>
        <v>2.3701251455180428E-2</v>
      </c>
      <c r="M46" s="289">
        <f t="shared" si="37"/>
        <v>0.30228456688711969</v>
      </c>
      <c r="N46" s="289">
        <f t="shared" si="38"/>
        <v>0.32958936725954618</v>
      </c>
      <c r="O46" s="290">
        <f t="shared" si="39"/>
        <v>4.7775913125727589</v>
      </c>
      <c r="P46" s="290">
        <f t="shared" si="40"/>
        <v>4.666978091295154</v>
      </c>
      <c r="Q46" s="290">
        <f t="shared" si="41"/>
        <v>18.440320429111026</v>
      </c>
      <c r="R46" s="290">
        <f t="shared" si="42"/>
        <v>14.159977702253927</v>
      </c>
    </row>
    <row r="47" spans="2:18" ht="14.25" customHeight="1">
      <c r="B47" s="292" t="s">
        <v>730</v>
      </c>
      <c r="C47" s="292"/>
      <c r="D47" s="293">
        <f>AVERAGE(D42:D46)</f>
        <v>100993.23999999999</v>
      </c>
      <c r="E47" s="293">
        <f>AVERAGE(E42:E46)</f>
        <v>-1557.6399999999999</v>
      </c>
      <c r="F47" s="293">
        <f>AVERAGE(F42:F46)</f>
        <v>109.26600000000001</v>
      </c>
      <c r="G47" s="293">
        <f>AVERAGE(G42:G46)</f>
        <v>99544.865999999995</v>
      </c>
      <c r="H47" s="293">
        <f>AVERAGE(H42:H46)</f>
        <v>18152.920000000002</v>
      </c>
      <c r="I47" s="293">
        <f t="shared" ref="I47:R47" si="43">AVERAGE(I42:I46)</f>
        <v>18635.962</v>
      </c>
      <c r="J47" s="293">
        <f t="shared" si="43"/>
        <v>5448.58</v>
      </c>
      <c r="K47" s="293">
        <f t="shared" si="43"/>
        <v>7080.2419999999984</v>
      </c>
      <c r="L47" s="294">
        <f>AVERAGE(L42:L46)</f>
        <v>4.4256513264934939E-2</v>
      </c>
      <c r="M47" s="294">
        <f>AVERAGE(M42:M46)</f>
        <v>0.65866979854874386</v>
      </c>
      <c r="N47" s="294">
        <f t="shared" ref="N47" si="44">AVERAGE(N42:N46)</f>
        <v>0.33974165122483663</v>
      </c>
      <c r="O47" s="295">
        <f t="shared" si="43"/>
        <v>6.6558432301439421</v>
      </c>
      <c r="P47" s="295">
        <f t="shared" si="43"/>
        <v>6.3379738132251919</v>
      </c>
      <c r="Q47" s="295">
        <f t="shared" si="43"/>
        <v>38.678170820053516</v>
      </c>
      <c r="R47" s="295">
        <f t="shared" si="43"/>
        <v>20.935124194745487</v>
      </c>
    </row>
    <row r="48" spans="2:18" ht="14.25" customHeight="1">
      <c r="B48" s="292" t="s">
        <v>731</v>
      </c>
      <c r="C48" s="292"/>
      <c r="D48" s="293">
        <f>MEDIAN(D42:D46)</f>
        <v>101360</v>
      </c>
      <c r="E48" s="293">
        <f>MEDIAN(E42:E46)</f>
        <v>-1250.8</v>
      </c>
      <c r="F48" s="293">
        <f>MEDIAN(F42:F46)</f>
        <v>0</v>
      </c>
      <c r="G48" s="293">
        <f>MEDIAN(G42:G46)</f>
        <v>102331</v>
      </c>
      <c r="H48" s="293">
        <f>MEDIAN(H42:H46)</f>
        <v>11793</v>
      </c>
      <c r="I48" s="293">
        <f t="shared" ref="I48:R48" si="45">MEDIAN(I42:I46)</f>
        <v>13189.62</v>
      </c>
      <c r="J48" s="293">
        <f t="shared" si="45"/>
        <v>2262</v>
      </c>
      <c r="K48" s="293">
        <f t="shared" si="45"/>
        <v>3503.94</v>
      </c>
      <c r="L48" s="294">
        <f>MEDIAN(L42:L46)</f>
        <v>3.3197110815434305E-2</v>
      </c>
      <c r="M48" s="294">
        <f>MEDIAN(M42:M46)</f>
        <v>0.44156275976724868</v>
      </c>
      <c r="N48" s="294">
        <f t="shared" ref="N48" si="46">MEDIAN(N42:N46)</f>
        <v>0.32958936725954618</v>
      </c>
      <c r="O48" s="295">
        <f t="shared" si="45"/>
        <v>5.8754728202688238</v>
      </c>
      <c r="P48" s="295">
        <f t="shared" si="45"/>
        <v>5.5962589716137288</v>
      </c>
      <c r="Q48" s="295">
        <f t="shared" si="45"/>
        <v>21.836914235190097</v>
      </c>
      <c r="R48" s="295">
        <f t="shared" si="45"/>
        <v>14.159977702253927</v>
      </c>
    </row>
    <row r="49" spans="2:19" ht="14.25" customHeight="1">
      <c r="B49" s="296" t="s">
        <v>760</v>
      </c>
      <c r="C49" s="296"/>
      <c r="D49" s="297"/>
      <c r="E49" s="297"/>
      <c r="F49" s="297"/>
      <c r="G49" s="297">
        <f>I49*P47</f>
        <v>223732.19953572645</v>
      </c>
      <c r="H49" s="297">
        <f>Quarterly!N17</f>
        <v>23339</v>
      </c>
      <c r="I49" s="297">
        <f>'Financial Model'!H71</f>
        <v>35300.271999999997</v>
      </c>
      <c r="J49" s="297"/>
      <c r="K49" s="297"/>
      <c r="L49" s="298"/>
      <c r="M49" s="298"/>
      <c r="N49" s="298"/>
      <c r="O49" s="299"/>
      <c r="P49" s="299"/>
      <c r="Q49" s="299"/>
      <c r="R49" s="299"/>
    </row>
    <row r="50" spans="2:19" ht="14.25" customHeight="1">
      <c r="B50" s="300" t="s">
        <v>761</v>
      </c>
      <c r="C50" s="301"/>
      <c r="D50" s="302"/>
      <c r="E50" s="302"/>
      <c r="F50" s="302"/>
      <c r="G50" s="302">
        <f>MIN(P47:P48)*I49</f>
        <v>197549.46388040489</v>
      </c>
      <c r="H50" s="302"/>
      <c r="I50" s="302"/>
      <c r="J50" s="302"/>
      <c r="K50" s="302"/>
      <c r="L50" s="301"/>
      <c r="M50" s="301"/>
      <c r="N50" s="303"/>
      <c r="O50" s="304"/>
      <c r="P50" s="304"/>
      <c r="Q50" s="304"/>
      <c r="R50" s="304"/>
    </row>
    <row r="51" spans="2:19" ht="14.25" customHeight="1">
      <c r="B51" s="287" t="s">
        <v>762</v>
      </c>
      <c r="D51" s="285"/>
      <c r="E51" s="285"/>
      <c r="F51" s="285"/>
      <c r="G51" s="285">
        <f>MAX(P47:P48)*I49</f>
        <v>223732.19953572645</v>
      </c>
      <c r="H51" s="285"/>
      <c r="I51" s="285"/>
      <c r="J51" s="285"/>
      <c r="K51" s="285"/>
      <c r="N51" s="156"/>
      <c r="O51" s="286"/>
      <c r="P51" s="286"/>
      <c r="Q51" s="286"/>
      <c r="R51" s="286"/>
    </row>
    <row r="52" spans="2:19" ht="14.25" customHeight="1">
      <c r="B52" s="287"/>
      <c r="C52" s="287"/>
      <c r="D52" s="288"/>
      <c r="E52" s="288"/>
      <c r="F52" s="288"/>
      <c r="G52" s="288"/>
      <c r="H52" s="288"/>
      <c r="I52" s="288"/>
      <c r="J52" s="288"/>
      <c r="K52" s="288"/>
      <c r="L52" s="289"/>
      <c r="M52" s="289"/>
      <c r="N52" s="289"/>
      <c r="O52" s="290"/>
      <c r="P52" s="290"/>
      <c r="Q52" s="290"/>
      <c r="R52" s="290"/>
    </row>
    <row r="53" spans="2:19" ht="14.25" customHeight="1">
      <c r="B53" s="320" t="s">
        <v>763</v>
      </c>
      <c r="C53" s="323"/>
      <c r="D53" s="324"/>
      <c r="E53" s="324"/>
      <c r="F53" s="324"/>
      <c r="G53" s="324"/>
      <c r="H53" s="324"/>
      <c r="I53" s="324"/>
      <c r="J53" s="324"/>
      <c r="K53" s="324"/>
      <c r="L53" s="324"/>
      <c r="M53" s="324"/>
      <c r="N53" s="324"/>
      <c r="O53" s="324"/>
      <c r="P53" s="324"/>
      <c r="Q53" s="324"/>
      <c r="R53" s="324"/>
    </row>
    <row r="54" spans="2:19" ht="14.25" customHeight="1">
      <c r="B54" s="287" t="s">
        <v>764</v>
      </c>
      <c r="C54" s="287"/>
      <c r="D54" s="288"/>
      <c r="E54" s="288"/>
      <c r="F54" s="288"/>
      <c r="G54" s="288"/>
      <c r="H54" s="288"/>
      <c r="I54" s="288"/>
      <c r="J54" s="288"/>
      <c r="K54" s="288"/>
      <c r="L54" s="289"/>
      <c r="M54" s="289"/>
      <c r="N54" s="289"/>
      <c r="O54" s="290"/>
      <c r="P54" s="305">
        <v>8</v>
      </c>
      <c r="Q54" s="290"/>
      <c r="R54" s="290"/>
    </row>
    <row r="55" spans="2:19" ht="14.25" customHeight="1">
      <c r="B55" s="296" t="s">
        <v>765</v>
      </c>
      <c r="C55" s="296"/>
      <c r="D55" s="297"/>
      <c r="E55" s="297"/>
      <c r="F55" s="297"/>
      <c r="G55" s="297">
        <f>I55*P54</f>
        <v>176244.484</v>
      </c>
      <c r="H55" s="297">
        <f>Quarterly!N16</f>
        <v>13385</v>
      </c>
      <c r="I55" s="297">
        <f>'Financial Model'!H70</f>
        <v>22030.5605</v>
      </c>
      <c r="J55" s="297"/>
      <c r="K55" s="297"/>
      <c r="L55" s="298"/>
      <c r="M55" s="298"/>
      <c r="N55" s="298"/>
      <c r="O55" s="299"/>
      <c r="P55" s="299"/>
      <c r="Q55" s="299"/>
      <c r="R55" s="299"/>
    </row>
    <row r="56" spans="2:19" ht="14.25" customHeight="1">
      <c r="B56" s="287"/>
      <c r="C56" s="287"/>
      <c r="D56" s="288"/>
      <c r="E56" s="288"/>
      <c r="F56" s="288"/>
      <c r="G56" s="288"/>
      <c r="H56" s="288"/>
      <c r="I56" s="288"/>
      <c r="J56" s="288"/>
      <c r="K56" s="288"/>
      <c r="L56" s="289"/>
      <c r="M56" s="289"/>
      <c r="N56" s="289"/>
      <c r="O56" s="290"/>
      <c r="P56" s="290"/>
      <c r="Q56" s="290"/>
      <c r="R56" s="290"/>
    </row>
    <row r="57" spans="2:19" ht="14.25" customHeight="1">
      <c r="B57" s="320" t="s">
        <v>766</v>
      </c>
      <c r="C57" s="323"/>
      <c r="D57" s="325"/>
      <c r="E57" s="325"/>
      <c r="F57" s="325"/>
      <c r="G57" s="325"/>
      <c r="H57" s="325"/>
      <c r="I57" s="325"/>
      <c r="J57" s="325"/>
      <c r="K57" s="325"/>
      <c r="L57" s="324"/>
      <c r="M57" s="324"/>
      <c r="N57" s="326"/>
      <c r="O57" s="327"/>
      <c r="P57" s="327"/>
      <c r="Q57" s="327"/>
      <c r="R57" s="327"/>
    </row>
    <row r="58" spans="2:19" ht="14.25" customHeight="1">
      <c r="B58" s="287" t="s">
        <v>767</v>
      </c>
      <c r="C58" s="287"/>
      <c r="D58" s="288">
        <f>G58-F58-E58</f>
        <v>1016866.0667018805</v>
      </c>
      <c r="E58" s="288">
        <f>-'Financial Model'!F256-'Financial Model'!F255</f>
        <v>17454</v>
      </c>
      <c r="F58" s="306">
        <v>0</v>
      </c>
      <c r="G58" s="344">
        <f>$G$55+G49+G37+G27+G17</f>
        <v>1034320.0667018805</v>
      </c>
      <c r="H58" s="288">
        <f>H55+H49+H37+H27+H17</f>
        <v>220957</v>
      </c>
      <c r="I58" s="288">
        <f>I55+I49+I37+I27+I17</f>
        <v>300559.75005044352</v>
      </c>
      <c r="J58" s="288"/>
      <c r="K58" s="288"/>
      <c r="L58" s="289"/>
      <c r="M58" s="289"/>
      <c r="N58" s="289"/>
      <c r="O58" s="290"/>
      <c r="P58" s="290"/>
      <c r="Q58" s="290"/>
      <c r="R58" s="290"/>
    </row>
    <row r="59" spans="2:19" ht="14.25" customHeight="1" thickBot="1">
      <c r="B59" s="287"/>
      <c r="C59" s="287"/>
      <c r="D59" s="288"/>
      <c r="E59" s="288"/>
      <c r="F59" s="306"/>
      <c r="H59" s="288"/>
      <c r="I59" s="288"/>
      <c r="J59" s="288"/>
      <c r="K59" s="288"/>
      <c r="L59" s="289"/>
      <c r="M59" s="289"/>
      <c r="N59" s="289"/>
      <c r="O59" s="290"/>
      <c r="P59" s="290"/>
      <c r="Q59" s="290"/>
      <c r="R59" s="290"/>
    </row>
    <row r="60" spans="2:19" ht="16.75" customHeight="1" thickBot="1">
      <c r="B60" s="328" t="s">
        <v>768</v>
      </c>
      <c r="C60" s="329"/>
      <c r="D60" s="330">
        <f>D58/'Financial Model'!B245</f>
        <v>2029.6727878281049</v>
      </c>
      <c r="E60" s="288"/>
      <c r="F60" s="288"/>
      <c r="H60" s="288"/>
      <c r="I60" s="288"/>
      <c r="J60" s="288"/>
      <c r="K60" s="288"/>
      <c r="L60" s="289"/>
      <c r="M60" s="289"/>
      <c r="N60" s="289"/>
      <c r="O60" s="290"/>
      <c r="P60" s="290"/>
      <c r="Q60" s="290"/>
      <c r="R60" s="290"/>
    </row>
    <row r="61" spans="2:19" ht="14.25" customHeight="1">
      <c r="D61" s="308"/>
      <c r="G61" s="308"/>
      <c r="Q61" s="286"/>
      <c r="S61"/>
    </row>
    <row r="62" spans="2:19" ht="14.25" customHeight="1">
      <c r="B62" s="283" t="s">
        <v>769</v>
      </c>
      <c r="C62" s="308">
        <f>D62/'Financial Model'!$B$245</f>
        <v>1887.5425807966606</v>
      </c>
      <c r="D62" s="288">
        <f t="shared" ref="D62:D63" si="47">G62-F62-E62</f>
        <v>945658.83297912695</v>
      </c>
      <c r="E62" s="285">
        <f>$E$58</f>
        <v>17454</v>
      </c>
      <c r="F62" s="285">
        <f>$F$58</f>
        <v>0</v>
      </c>
      <c r="G62" s="288">
        <f>$G$55+G50+G38+G28+G18</f>
        <v>963112.83297912695</v>
      </c>
      <c r="Q62" s="286"/>
      <c r="S62"/>
    </row>
    <row r="63" spans="2:19" ht="14.25" customHeight="1">
      <c r="B63" s="283" t="s">
        <v>770</v>
      </c>
      <c r="C63" s="308">
        <f>D63/'Financial Model'!$B$245</f>
        <v>2216.2843966371865</v>
      </c>
      <c r="D63" s="288">
        <f t="shared" si="47"/>
        <v>1110358.4827152304</v>
      </c>
      <c r="E63" s="285">
        <f>$E$58</f>
        <v>17454</v>
      </c>
      <c r="F63" s="285">
        <f>$F$58</f>
        <v>0</v>
      </c>
      <c r="G63" s="307">
        <f>$G$55+G51+G39+G29+G19</f>
        <v>1127812.4827152304</v>
      </c>
      <c r="M63"/>
      <c r="N63"/>
      <c r="O63"/>
      <c r="P63"/>
      <c r="Q63"/>
      <c r="R63"/>
      <c r="S63"/>
    </row>
    <row r="64" spans="2:19" ht="14.25" customHeight="1">
      <c r="C64" s="308"/>
      <c r="D64" s="308"/>
      <c r="E64" s="285"/>
      <c r="G64" s="308"/>
      <c r="M64"/>
      <c r="N64"/>
      <c r="O64"/>
      <c r="P64"/>
      <c r="Q64"/>
      <c r="R64"/>
      <c r="S6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C74-A89A-4F5D-8A7E-D9C9AAA3D610}">
  <sheetPr>
    <tabColor theme="0"/>
  </sheetPr>
  <dimension ref="A1"/>
  <sheetViews>
    <sheetView workbookViewId="0">
      <selection activeCell="L15" sqref="L15"/>
    </sheetView>
  </sheetViews>
  <sheetFormatPr baseColWidth="10" defaultColWidth="9" defaultRowHeight="14"/>
  <cols>
    <col min="1" max="16384" width="9" style="385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990E-881F-4B24-8139-477044D1BEA6}">
  <dimension ref="A1:BM511"/>
  <sheetViews>
    <sheetView showGridLines="0" zoomScaleNormal="100" workbookViewId="0">
      <pane ySplit="4" topLeftCell="A52" activePane="bottomLeft" state="frozen"/>
      <selection pane="bottomLeft" activeCell="J521" sqref="J521:K521"/>
    </sheetView>
  </sheetViews>
  <sheetFormatPr baseColWidth="10" defaultColWidth="10.796875" defaultRowHeight="13" outlineLevelRow="1" outlineLevelCol="1"/>
  <cols>
    <col min="1" max="1" width="9.796875" style="267" customWidth="1"/>
    <col min="2" max="2" width="13.796875" style="267" bestFit="1" customWidth="1"/>
    <col min="3" max="9" width="9.796875" style="267" customWidth="1"/>
    <col min="10" max="10" width="19" style="267" customWidth="1"/>
    <col min="11" max="11" width="19.19921875" style="267" bestFit="1" customWidth="1"/>
    <col min="12" max="22" width="9.796875" style="267" customWidth="1"/>
    <col min="23" max="24" width="9.796875" style="177" customWidth="1"/>
    <col min="25" max="27" width="10.796875" style="177" customWidth="1"/>
    <col min="28" max="37" width="10.796875" style="177" hidden="1" customWidth="1" outlineLevel="1"/>
    <col min="38" max="38" width="16.59765625" style="177" hidden="1" customWidth="1" outlineLevel="1"/>
    <col min="39" max="41" width="10.796875" style="177" hidden="1" customWidth="1" outlineLevel="1"/>
    <col min="42" max="42" width="16.59765625" style="177" hidden="1" customWidth="1" outlineLevel="1"/>
    <col min="43" max="43" width="14" style="177" hidden="1" customWidth="1" outlineLevel="1"/>
    <col min="44" max="50" width="10.796875" style="177" hidden="1" customWidth="1" outlineLevel="1"/>
    <col min="51" max="51" width="11.796875" style="177" hidden="1" customWidth="1" outlineLevel="1"/>
    <col min="52" max="58" width="10.796875" style="177" hidden="1" customWidth="1" outlineLevel="1"/>
    <col min="59" max="59" width="18.59765625" style="177" hidden="1" customWidth="1" outlineLevel="1"/>
    <col min="60" max="64" width="10.796875" style="177" hidden="1" customWidth="1" outlineLevel="1"/>
    <col min="65" max="65" width="10.796875" style="177" collapsed="1"/>
    <col min="66" max="16384" width="10.796875" style="177"/>
  </cols>
  <sheetData>
    <row r="1" spans="1:63" s="173" customFormat="1" ht="17.25" customHeight="1">
      <c r="A1" s="169" t="s">
        <v>247</v>
      </c>
      <c r="B1" s="278" t="s">
        <v>248</v>
      </c>
      <c r="C1" s="169"/>
      <c r="D1" s="170" t="s">
        <v>249</v>
      </c>
      <c r="E1" s="278" t="s">
        <v>250</v>
      </c>
      <c r="F1" s="171"/>
      <c r="G1" s="170" t="s">
        <v>251</v>
      </c>
      <c r="H1" s="279">
        <f>W14</f>
        <v>43413</v>
      </c>
      <c r="I1" s="169"/>
      <c r="J1" s="170" t="s">
        <v>252</v>
      </c>
      <c r="K1" s="278" t="s">
        <v>253</v>
      </c>
      <c r="L1" s="169"/>
      <c r="M1" s="170" t="s">
        <v>254</v>
      </c>
      <c r="N1" s="278" t="s">
        <v>255</v>
      </c>
      <c r="O1" s="169"/>
      <c r="P1" s="170" t="s">
        <v>256</v>
      </c>
      <c r="Q1" s="408" t="s">
        <v>257</v>
      </c>
      <c r="R1" s="409"/>
      <c r="S1" s="410"/>
      <c r="T1" s="169"/>
      <c r="U1" s="169"/>
      <c r="V1" s="169"/>
      <c r="W1" s="172"/>
      <c r="AB1" s="174" t="e">
        <f ca="1">_xll.ciqfunctions.udf.CIQ("3602","iq_ev_over_ltm_ebitda")</f>
        <v>#NAME?</v>
      </c>
    </row>
    <row r="2" spans="1:63" ht="16.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6"/>
    </row>
    <row r="3" spans="1:63" ht="24" customHeight="1">
      <c r="A3" s="277" t="s">
        <v>258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AB3" s="178" t="s">
        <v>259</v>
      </c>
    </row>
    <row r="4" spans="1:63" ht="12" customHeight="1">
      <c r="A4" s="275" t="e">
        <f>"("&amp;Ccy&amp;" in millions)"</f>
        <v>#NAME?</v>
      </c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</row>
    <row r="5" spans="1:63" s="179" customFormat="1" ht="14.25" customHeight="1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</row>
    <row r="6" spans="1:63" s="179" customFormat="1" ht="14.25" customHeight="1">
      <c r="A6" s="180" t="s">
        <v>260</v>
      </c>
      <c r="B6" s="181"/>
      <c r="C6" s="181"/>
      <c r="D6" s="181"/>
      <c r="E6" s="181"/>
      <c r="F6" s="181"/>
      <c r="G6" s="182"/>
      <c r="H6" s="182"/>
      <c r="I6" s="171"/>
      <c r="J6" s="180" t="s">
        <v>261</v>
      </c>
      <c r="K6" s="181"/>
      <c r="L6" s="181"/>
      <c r="M6" s="181"/>
      <c r="N6" s="182"/>
      <c r="O6" s="182"/>
      <c r="P6" s="182"/>
      <c r="Q6" s="182"/>
      <c r="R6" s="182"/>
      <c r="S6" s="182"/>
      <c r="T6" s="171"/>
      <c r="U6" s="183" t="s">
        <v>262</v>
      </c>
      <c r="V6" s="184"/>
      <c r="W6" s="184"/>
    </row>
    <row r="7" spans="1:63" s="179" customFormat="1" ht="14.25" customHeight="1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0" t="s">
        <v>263</v>
      </c>
      <c r="M7" s="170" t="s">
        <v>264</v>
      </c>
      <c r="N7" s="170" t="s">
        <v>265</v>
      </c>
      <c r="O7" s="170" t="s">
        <v>266</v>
      </c>
      <c r="P7" s="170" t="s">
        <v>267</v>
      </c>
      <c r="Q7" s="170" t="s">
        <v>268</v>
      </c>
      <c r="R7" s="170" t="s">
        <v>269</v>
      </c>
      <c r="S7" s="170" t="s">
        <v>270</v>
      </c>
      <c r="T7" s="171"/>
      <c r="U7" s="171" t="s">
        <v>271</v>
      </c>
      <c r="V7" s="185"/>
      <c r="W7" s="186">
        <v>47219</v>
      </c>
      <c r="X7" s="187"/>
      <c r="AF7" s="188"/>
      <c r="AP7" s="179">
        <f>MATCH($G$21,$AP$11:$AP$122,0)</f>
        <v>102</v>
      </c>
      <c r="AQ7" s="179">
        <f>COUNTIF($AP$11:$AP$122,$G$21)</f>
        <v>11</v>
      </c>
    </row>
    <row r="8" spans="1:63" s="179" customFormat="1" ht="14.25" customHeight="1">
      <c r="A8" s="171" t="s">
        <v>272</v>
      </c>
      <c r="B8" s="171"/>
      <c r="C8" s="171"/>
      <c r="D8" s="171"/>
      <c r="E8" s="171"/>
      <c r="F8" s="171"/>
      <c r="G8" s="171"/>
      <c r="H8" s="189">
        <v>0.39056479999999999</v>
      </c>
      <c r="I8" s="171"/>
      <c r="J8" s="190" t="s">
        <v>247</v>
      </c>
      <c r="K8" s="191" t="s">
        <v>236</v>
      </c>
      <c r="L8" s="192" t="s">
        <v>91</v>
      </c>
      <c r="M8" s="192" t="s">
        <v>273</v>
      </c>
      <c r="N8" s="192" t="s">
        <v>274</v>
      </c>
      <c r="O8" s="192" t="s">
        <v>275</v>
      </c>
      <c r="P8" s="192" t="s">
        <v>275</v>
      </c>
      <c r="Q8" s="192" t="s">
        <v>275</v>
      </c>
      <c r="R8" s="192" t="s">
        <v>275</v>
      </c>
      <c r="S8" s="192" t="s">
        <v>276</v>
      </c>
      <c r="T8" s="171"/>
      <c r="U8" s="171" t="s">
        <v>277</v>
      </c>
      <c r="V8" s="185"/>
      <c r="W8" s="186">
        <v>0</v>
      </c>
      <c r="AF8" s="188"/>
      <c r="BC8" s="193" t="e">
        <f ca="1">AVERAGEIF(BC10:BC14,"&gt;0",BC10:BC14)</f>
        <v>#DIV/0!</v>
      </c>
      <c r="BK8" s="193">
        <f ca="1">IF(ISERROR(AVERAGEIF(BK10:BK510,"&gt;0",BK10:BK510)),0,AVERAGEIF(BK10:BK510,"&gt;0",BK10:BK510))</f>
        <v>0</v>
      </c>
    </row>
    <row r="9" spans="1:63" s="179" customFormat="1" ht="14.25" customHeight="1">
      <c r="A9" s="171" t="s">
        <v>278</v>
      </c>
      <c r="B9" s="171"/>
      <c r="C9" s="171"/>
      <c r="D9" s="171"/>
      <c r="E9" s="171"/>
      <c r="F9" s="171"/>
      <c r="G9" s="171"/>
      <c r="H9" s="194">
        <v>3.2199999999999999E-2</v>
      </c>
      <c r="I9" s="171"/>
      <c r="J9" s="195" t="s">
        <v>279</v>
      </c>
      <c r="K9" s="196" t="s">
        <v>280</v>
      </c>
      <c r="L9" s="197">
        <v>0.255805</v>
      </c>
      <c r="M9" s="198">
        <v>1.07098</v>
      </c>
      <c r="N9" s="199">
        <v>3986</v>
      </c>
      <c r="O9" s="199">
        <v>765551.45421</v>
      </c>
      <c r="P9" s="199">
        <v>0</v>
      </c>
      <c r="Q9" s="200">
        <f t="shared" ref="Q9:Q14" si="0">IF($J9="","",IF(ISERROR(N9/O9),"NA",N9/O9))</f>
        <v>5.2067042366385373E-3</v>
      </c>
      <c r="R9" s="200">
        <f t="shared" ref="R9:R14" si="1">IF($J9="","",IF(ISERROR(P9/O9),"NA",P9/O9))</f>
        <v>0</v>
      </c>
      <c r="S9" s="201">
        <f t="shared" ref="S9:S14" si="2">IF($J9="","",IF(M9=0,"NA",IF(ISERROR(M9/(1+Q9*(1-$L9)+R9)),"NA",M9/(1+Q9*(1-$L9)+R9))))</f>
        <v>1.0668461809408278</v>
      </c>
      <c r="T9" s="202">
        <v>1</v>
      </c>
      <c r="U9" s="171" t="s">
        <v>281</v>
      </c>
      <c r="V9" s="185"/>
      <c r="W9" s="186">
        <v>858379.53677000001</v>
      </c>
      <c r="AF9" s="188"/>
      <c r="AX9" s="173" t="s">
        <v>282</v>
      </c>
      <c r="AY9" s="203" t="s">
        <v>283</v>
      </c>
      <c r="AZ9" s="203"/>
      <c r="BC9" s="203" t="s">
        <v>284</v>
      </c>
      <c r="BF9" s="173" t="s">
        <v>285</v>
      </c>
      <c r="BJ9" s="173" t="s">
        <v>286</v>
      </c>
      <c r="BK9" s="203" t="s">
        <v>284</v>
      </c>
    </row>
    <row r="10" spans="1:63" s="179" customFormat="1" ht="14.25" customHeight="1">
      <c r="A10" s="171" t="str">
        <f>B1&amp;" Market Return (Rm) - Yearly for Last 10 Years"</f>
        <v>Nasdaq:AMZN Market Return (Rm) - Yearly for Last 10 Years</v>
      </c>
      <c r="B10" s="171"/>
      <c r="C10" s="171"/>
      <c r="D10" s="171"/>
      <c r="E10" s="171"/>
      <c r="F10" s="171"/>
      <c r="G10" s="171"/>
      <c r="H10" s="189">
        <v>8.0373749999999994E-2</v>
      </c>
      <c r="I10" s="171"/>
      <c r="J10" s="195" t="s">
        <v>287</v>
      </c>
      <c r="K10" s="196" t="s">
        <v>288</v>
      </c>
      <c r="L10" s="197">
        <v>0.33424739999999997</v>
      </c>
      <c r="M10" s="198">
        <v>0.55698000000000003</v>
      </c>
      <c r="N10" s="199">
        <v>70</v>
      </c>
      <c r="O10" s="199">
        <v>435465.03684999997</v>
      </c>
      <c r="P10" s="199">
        <v>0</v>
      </c>
      <c r="Q10" s="200">
        <f t="shared" si="0"/>
        <v>1.6074769287186691E-4</v>
      </c>
      <c r="R10" s="200">
        <f t="shared" si="1"/>
        <v>0</v>
      </c>
      <c r="S10" s="201">
        <f t="shared" si="2"/>
        <v>0.55692039938439253</v>
      </c>
      <c r="T10" s="202">
        <f>T9+1</f>
        <v>2</v>
      </c>
      <c r="U10" s="171" t="s">
        <v>289</v>
      </c>
      <c r="V10" s="185"/>
      <c r="W10" s="186">
        <v>9787</v>
      </c>
      <c r="AF10" s="188"/>
      <c r="AL10" s="173" t="s">
        <v>290</v>
      </c>
      <c r="AM10" s="173"/>
      <c r="AN10" s="173" t="s">
        <v>291</v>
      </c>
      <c r="AP10" s="173" t="s">
        <v>290</v>
      </c>
      <c r="AQ10" s="173" t="s">
        <v>292</v>
      </c>
      <c r="AR10" s="173" t="s">
        <v>236</v>
      </c>
      <c r="AX10" s="179" t="e">
        <f ca="1">_xll.ciqfunctions.udf.CIQ("Nasdaq:AMZN", "IQ_BOND_LIST", 1)</f>
        <v>#NAME?</v>
      </c>
      <c r="AY10" s="204" t="e">
        <f ca="1">IF($AX10="","",IF(_xll.ciqfunctions.udf.CIQ($AX10,"iq_offer_date")&gt;Date,0,_xll.ciqfunctions.udf.CIQ($AX10,"iq_offer_date")))</f>
        <v>#NAME?</v>
      </c>
      <c r="AZ10" s="205" t="e">
        <f ca="1">IF($AX10="","",RANK(AY10,$AY$10:$AY$510)+COUNTIF($AY$10:AY10,AY10)-1)</f>
        <v>#NAME?</v>
      </c>
      <c r="BA10" s="179">
        <v>1</v>
      </c>
      <c r="BB10" s="206" t="e">
        <f ca="1">IF(INDEX($AX$10:$AX$510,MATCH(BA10,$AZ$10:$AZ$510,0))=0,"NA",INDEX($AX$10:$AX$510,MATCH(BA10,$AZ$10:$AZ$510,0)))</f>
        <v>#N/A</v>
      </c>
      <c r="BC10" s="193" t="e">
        <f ca="1">IF($BB10="NA","NA",_xll.ciqfunctions.udf.CIQ($BB10,"iq_bond_coupon")/100)</f>
        <v>#N/A</v>
      </c>
      <c r="BE10" s="179">
        <v>1</v>
      </c>
      <c r="BF10" s="179" t="e">
        <f ca="1">_xll.ciqfunctions.udf.CIQ("Nasdaq:AMZN", "IQ_FIXED_INCOME_LIST", 1)</f>
        <v>#NAME?</v>
      </c>
      <c r="BG10" s="207" t="e">
        <f ca="1">IF($BF10="","",_xll.ciqfunctions.udf.CIQ($BF10,"iq_security_level"))</f>
        <v>#NAME?</v>
      </c>
      <c r="BH10" s="179" t="e">
        <f ca="1">IF(BF10="","",IF(BG10="Preferred",1,0))</f>
        <v>#NAME?</v>
      </c>
      <c r="BJ10" s="179" t="e">
        <f t="shared" ref="BJ10:BJ51" ca="1" si="3">IF($BF10="","",IF(ISERROR(INDEX($BF$10:$BF$509,MATCH(BE10,$BH$10:$BH$509,0))),"",INDEX($BF$10:$BF$509,MATCH(BE10,$BH$10:$BH$509,0))))</f>
        <v>#NAME?</v>
      </c>
      <c r="BK10" s="208" t="e">
        <f ca="1">IF($BJ10="","",_xll.ciqfunctions.udf.CIQ($BJ10,"iq_bond_coupon")/100)</f>
        <v>#NAME?</v>
      </c>
    </row>
    <row r="11" spans="1:63" s="179" customFormat="1" ht="14.25" customHeight="1">
      <c r="A11" s="171" t="s">
        <v>293</v>
      </c>
      <c r="B11" s="171"/>
      <c r="C11" s="171"/>
      <c r="D11" s="171"/>
      <c r="E11" s="171"/>
      <c r="F11" s="171"/>
      <c r="G11" s="171"/>
      <c r="H11" s="189">
        <v>0</v>
      </c>
      <c r="I11" s="171"/>
      <c r="J11" s="195" t="s">
        <v>294</v>
      </c>
      <c r="K11" s="196" t="s">
        <v>295</v>
      </c>
      <c r="L11" s="197">
        <v>0.79384500000000002</v>
      </c>
      <c r="M11" s="198">
        <v>1.17289</v>
      </c>
      <c r="N11" s="199">
        <v>9248</v>
      </c>
      <c r="O11" s="199">
        <v>28750.02016</v>
      </c>
      <c r="P11" s="199">
        <v>0</v>
      </c>
      <c r="Q11" s="200">
        <f t="shared" si="0"/>
        <v>0.32166933965725608</v>
      </c>
      <c r="R11" s="200">
        <f t="shared" si="1"/>
        <v>0</v>
      </c>
      <c r="S11" s="201">
        <f t="shared" si="2"/>
        <v>1.0999483107208152</v>
      </c>
      <c r="T11" s="202">
        <f>T10+1</f>
        <v>3</v>
      </c>
      <c r="U11" s="171" t="s">
        <v>296</v>
      </c>
      <c r="V11" s="185"/>
      <c r="W11" s="186">
        <v>884</v>
      </c>
      <c r="AF11" s="188"/>
      <c r="AK11" s="179">
        <v>1</v>
      </c>
      <c r="AL11" s="179" t="s">
        <v>297</v>
      </c>
      <c r="AM11" s="179" t="s">
        <v>298</v>
      </c>
      <c r="AN11" s="179" t="s">
        <v>299</v>
      </c>
      <c r="AP11" s="179" t="s">
        <v>297</v>
      </c>
      <c r="AQ11" s="179" t="s">
        <v>300</v>
      </c>
      <c r="AR11" s="179" t="s">
        <v>301</v>
      </c>
      <c r="AX11" s="179" t="e">
        <f ca="1">_xll.ciqfunctions.udf.CIQ("Nasdaq:AMZN", "IQ_BOND_LIST", 2)</f>
        <v>#NAME?</v>
      </c>
      <c r="AY11" s="204" t="e">
        <f ca="1">IF($AX11="","",IF(_xll.ciqfunctions.udf.CIQ($AX11,"iq_offer_date")&gt;Date,0,_xll.ciqfunctions.udf.CIQ($AX11,"iq_offer_date")))</f>
        <v>#NAME?</v>
      </c>
      <c r="AZ11" s="205" t="e">
        <f ca="1">IF($AX11="","",RANK(AY11,$AY$10:$AY$510)+COUNTIF($AY$10:AY11,AY11)-1)</f>
        <v>#NAME?</v>
      </c>
      <c r="BA11" s="179">
        <f>BA10+1</f>
        <v>2</v>
      </c>
      <c r="BB11" s="206" t="e">
        <f ca="1">IF(INDEX($AX$10:$AX$510,MATCH(BA11,$AZ$10:$AZ$510,0))=0,"NA",INDEX($AX$10:$AX$510,MATCH(BA11,$AZ$10:$AZ$510,0)))</f>
        <v>#N/A</v>
      </c>
      <c r="BC11" s="193" t="e">
        <f ca="1">IF($BB11="NA","NA",_xll.ciqfunctions.udf.CIQ($BB11,"iq_bond_coupon")/100)</f>
        <v>#N/A</v>
      </c>
      <c r="BE11" s="179">
        <f>BE10+1</f>
        <v>2</v>
      </c>
      <c r="BF11" s="179" t="e">
        <f ca="1">_xll.ciqfunctions.udf.CIQ("Nasdaq:AMZN", "IQ_FIXED_INCOME_LIST", 2)</f>
        <v>#NAME?</v>
      </c>
      <c r="BG11" s="207" t="e">
        <f ca="1">IF($BF11="","",_xll.ciqfunctions.udf.CIQ($BF11,"iq_security_level"))</f>
        <v>#NAME?</v>
      </c>
      <c r="BH11" s="179" t="e">
        <f ca="1">IF(BF11="","",IF(BG11="Preferred",BH10+1,BH10))</f>
        <v>#NAME?</v>
      </c>
      <c r="BJ11" s="179" t="e">
        <f t="shared" ca="1" si="3"/>
        <v>#NAME?</v>
      </c>
      <c r="BK11" s="208" t="e">
        <f ca="1">IF($BJ11="","",_xll.ciqfunctions.udf.CIQ($BJ11,"iq_bond_coupon")/100)</f>
        <v>#NAME?</v>
      </c>
    </row>
    <row r="12" spans="1:63" s="179" customFormat="1" ht="14.25" customHeight="1">
      <c r="A12" s="171" t="str">
        <f>+$B$1&amp;" D/(D+P+E)"</f>
        <v>Nasdaq:AMZN D/(D+P+E)</v>
      </c>
      <c r="B12" s="171"/>
      <c r="C12" s="171"/>
      <c r="D12" s="171"/>
      <c r="E12" s="171"/>
      <c r="F12" s="171"/>
      <c r="G12" s="171"/>
      <c r="H12" s="209">
        <f>+W7/(W7+W8+W9)</f>
        <v>5.2141206155672574E-2</v>
      </c>
      <c r="I12" s="171"/>
      <c r="J12" s="195" t="s">
        <v>302</v>
      </c>
      <c r="K12" s="196" t="s">
        <v>303</v>
      </c>
      <c r="L12" s="197">
        <v>0.1723162</v>
      </c>
      <c r="M12" s="198">
        <v>1.2142500000000001</v>
      </c>
      <c r="N12" s="199">
        <v>3727</v>
      </c>
      <c r="O12" s="199">
        <v>19125.337579999999</v>
      </c>
      <c r="P12" s="199">
        <v>0</v>
      </c>
      <c r="Q12" s="200">
        <f t="shared" si="0"/>
        <v>0.19487237725400713</v>
      </c>
      <c r="R12" s="200">
        <f t="shared" si="1"/>
        <v>0</v>
      </c>
      <c r="S12" s="201">
        <f t="shared" si="2"/>
        <v>1.0456020173347249</v>
      </c>
      <c r="T12" s="202">
        <f>T11+1</f>
        <v>4</v>
      </c>
      <c r="U12" s="171" t="s">
        <v>304</v>
      </c>
      <c r="V12" s="171"/>
      <c r="W12" s="210">
        <v>43100</v>
      </c>
      <c r="AF12" s="188"/>
      <c r="AK12" s="179">
        <f t="shared" ref="AK12:AK29" si="4">AK11+1</f>
        <v>2</v>
      </c>
      <c r="AL12" s="179" t="s">
        <v>305</v>
      </c>
      <c r="AM12" s="179" t="s">
        <v>306</v>
      </c>
      <c r="AN12" s="179" t="s">
        <v>307</v>
      </c>
      <c r="AP12" s="179" t="s">
        <v>297</v>
      </c>
      <c r="AQ12" s="179" t="s">
        <v>308</v>
      </c>
      <c r="AR12" s="179" t="s">
        <v>309</v>
      </c>
      <c r="AX12" s="179" t="e">
        <f ca="1">_xll.ciqfunctions.udf.CIQ("Nasdaq:AMZN", "IQ_BOND_LIST", 3)</f>
        <v>#NAME?</v>
      </c>
      <c r="AY12" s="204" t="e">
        <f ca="1">IF($AX12="","",IF(_xll.ciqfunctions.udf.CIQ($AX12,"iq_offer_date")&gt;Date,0,_xll.ciqfunctions.udf.CIQ($AX12,"iq_offer_date")))</f>
        <v>#NAME?</v>
      </c>
      <c r="AZ12" s="205" t="e">
        <f ca="1">IF($AX12="","",RANK(AY12,$AY$10:$AY$510)+COUNTIF($AY$10:AY12,AY12)-1)</f>
        <v>#NAME?</v>
      </c>
      <c r="BA12" s="179">
        <f>BA11+1</f>
        <v>3</v>
      </c>
      <c r="BB12" s="206" t="e">
        <f ca="1">IF(INDEX($AX$10:$AX$510,MATCH(BA12,$AZ$10:$AZ$510,0))=0,"NA",INDEX($AX$10:$AX$510,MATCH(BA12,$AZ$10:$AZ$510,0)))</f>
        <v>#N/A</v>
      </c>
      <c r="BC12" s="193" t="e">
        <f ca="1">IF($BB12="NA","NA",_xll.ciqfunctions.udf.CIQ($BB12,"iq_bond_coupon")/100)</f>
        <v>#N/A</v>
      </c>
      <c r="BE12" s="179">
        <f t="shared" ref="BE12:BE75" si="5">BE11+1</f>
        <v>3</v>
      </c>
      <c r="BF12" s="179" t="e">
        <f ca="1">_xll.ciqfunctions.udf.CIQ("Nasdaq:AMZN", "IQ_FIXED_INCOME_LIST", 3)</f>
        <v>#NAME?</v>
      </c>
      <c r="BG12" s="207" t="e">
        <f ca="1">IF($BF12="","",_xll.ciqfunctions.udf.CIQ($BF12,"iq_security_level"))</f>
        <v>#NAME?</v>
      </c>
      <c r="BH12" s="179" t="e">
        <f t="shared" ref="BH12:BH75" ca="1" si="6">IF(BF12="","",IF(BG12="Preferred",BH11+1,BH11))</f>
        <v>#NAME?</v>
      </c>
      <c r="BJ12" s="179" t="e">
        <f t="shared" ca="1" si="3"/>
        <v>#NAME?</v>
      </c>
      <c r="BK12" s="208" t="e">
        <f ca="1">IF($BJ12="","",_xll.ciqfunctions.udf.CIQ($BJ12,"iq_bond_coupon")/100)</f>
        <v>#NAME?</v>
      </c>
    </row>
    <row r="13" spans="1:63" s="179" customFormat="1" ht="14.25" customHeight="1">
      <c r="A13" s="171" t="str">
        <f>+$B$1&amp;" D/E"</f>
        <v>Nasdaq:AMZN D/E</v>
      </c>
      <c r="B13" s="171"/>
      <c r="C13" s="171"/>
      <c r="D13" s="171"/>
      <c r="E13" s="171"/>
      <c r="F13" s="171"/>
      <c r="G13" s="171"/>
      <c r="H13" s="209">
        <f>+W7/W9</f>
        <v>5.5009466066351695E-2</v>
      </c>
      <c r="I13" s="171"/>
      <c r="J13" s="195" t="s">
        <v>310</v>
      </c>
      <c r="K13" s="196" t="s">
        <v>311</v>
      </c>
      <c r="L13" s="197">
        <v>0.31212760000000001</v>
      </c>
      <c r="M13" s="198">
        <v>0.35081000000000001</v>
      </c>
      <c r="N13" s="199">
        <v>54164</v>
      </c>
      <c r="O13" s="199">
        <v>305525.59097000002</v>
      </c>
      <c r="P13" s="199">
        <v>0</v>
      </c>
      <c r="Q13" s="200">
        <f t="shared" si="0"/>
        <v>0.17728138526149986</v>
      </c>
      <c r="R13" s="200">
        <f t="shared" si="1"/>
        <v>0</v>
      </c>
      <c r="S13" s="201">
        <f t="shared" si="2"/>
        <v>0.31267966202418962</v>
      </c>
      <c r="T13" s="202">
        <f>T12+1</f>
        <v>5</v>
      </c>
      <c r="U13" s="171" t="s">
        <v>312</v>
      </c>
      <c r="V13" s="171"/>
      <c r="W13" s="210">
        <v>43373</v>
      </c>
      <c r="AF13" s="211"/>
      <c r="AH13" s="211"/>
      <c r="AK13" s="179">
        <f t="shared" si="4"/>
        <v>3</v>
      </c>
      <c r="AL13" s="179" t="s">
        <v>313</v>
      </c>
      <c r="AM13" s="179" t="s">
        <v>314</v>
      </c>
      <c r="AN13" s="179" t="s">
        <v>315</v>
      </c>
      <c r="AP13" s="179" t="s">
        <v>297</v>
      </c>
      <c r="AQ13" s="179" t="s">
        <v>316</v>
      </c>
      <c r="AR13" s="179" t="s">
        <v>317</v>
      </c>
      <c r="AX13" s="179" t="e">
        <f ca="1">_xll.ciqfunctions.udf.CIQ("Nasdaq:AMZN", "IQ_BOND_LIST", 4)</f>
        <v>#NAME?</v>
      </c>
      <c r="AY13" s="204" t="e">
        <f ca="1">IF($AX13="","",IF(_xll.ciqfunctions.udf.CIQ($AX13,"iq_offer_date")&gt;Date,0,_xll.ciqfunctions.udf.CIQ($AX13,"iq_offer_date")))</f>
        <v>#NAME?</v>
      </c>
      <c r="AZ13" s="205" t="e">
        <f ca="1">IF($AX13="","",RANK(AY13,$AY$10:$AY$510)+COUNTIF($AY$10:AY13,AY13)-1)</f>
        <v>#NAME?</v>
      </c>
      <c r="BA13" s="179">
        <f>BA12+1</f>
        <v>4</v>
      </c>
      <c r="BB13" s="206" t="e">
        <f ca="1">IF(INDEX($AX$10:$AX$510,MATCH(BA13,$AZ$10:$AZ$510,0))=0,"NA",INDEX($AX$10:$AX$510,MATCH(BA13,$AZ$10:$AZ$510,0)))</f>
        <v>#N/A</v>
      </c>
      <c r="BC13" s="193" t="e">
        <f ca="1">IF($BB13="NA","NA",_xll.ciqfunctions.udf.CIQ($BB13,"iq_bond_coupon")/100)</f>
        <v>#N/A</v>
      </c>
      <c r="BE13" s="179">
        <f t="shared" si="5"/>
        <v>4</v>
      </c>
      <c r="BF13" s="179" t="e">
        <f ca="1">_xll.ciqfunctions.udf.CIQ("Nasdaq:AMZN", "IQ_FIXED_INCOME_LIST", 4)</f>
        <v>#NAME?</v>
      </c>
      <c r="BG13" s="207" t="e">
        <f ca="1">IF($BF13="","",_xll.ciqfunctions.udf.CIQ($BF13,"iq_security_level"))</f>
        <v>#NAME?</v>
      </c>
      <c r="BH13" s="179" t="e">
        <f t="shared" ca="1" si="6"/>
        <v>#NAME?</v>
      </c>
      <c r="BJ13" s="179" t="e">
        <f t="shared" ca="1" si="3"/>
        <v>#NAME?</v>
      </c>
      <c r="BK13" s="208" t="e">
        <f ca="1">IF($BJ13="","",_xll.ciqfunctions.udf.CIQ($BJ13,"iq_bond_coupon")/100)</f>
        <v>#NAME?</v>
      </c>
    </row>
    <row r="14" spans="1:63" s="179" customFormat="1" ht="14.25" customHeight="1">
      <c r="A14" s="171" t="str">
        <f>+$B$1&amp;" P/E"</f>
        <v>Nasdaq:AMZN P/E</v>
      </c>
      <c r="B14" s="212"/>
      <c r="C14" s="212"/>
      <c r="D14" s="212"/>
      <c r="E14" s="212"/>
      <c r="F14" s="212"/>
      <c r="G14" s="212"/>
      <c r="H14" s="209">
        <f>W8/W9</f>
        <v>0</v>
      </c>
      <c r="I14" s="171"/>
      <c r="J14" s="195" t="s">
        <v>318</v>
      </c>
      <c r="K14" s="196" t="s">
        <v>319</v>
      </c>
      <c r="L14" s="197">
        <v>0.24621179999999998</v>
      </c>
      <c r="M14" s="198">
        <v>1.2196</v>
      </c>
      <c r="N14" s="199">
        <v>8709.3009999999995</v>
      </c>
      <c r="O14" s="199">
        <v>92574.388860000006</v>
      </c>
      <c r="P14" s="199">
        <v>0</v>
      </c>
      <c r="Q14" s="200">
        <f t="shared" si="0"/>
        <v>9.4078946750283721E-2</v>
      </c>
      <c r="R14" s="200">
        <f t="shared" si="1"/>
        <v>0</v>
      </c>
      <c r="S14" s="201">
        <f t="shared" si="2"/>
        <v>1.1388385789515945</v>
      </c>
      <c r="T14" s="202">
        <f>T13+1</f>
        <v>6</v>
      </c>
      <c r="U14" s="171" t="s">
        <v>320</v>
      </c>
      <c r="V14" s="171"/>
      <c r="W14" s="210">
        <v>43413</v>
      </c>
      <c r="AF14" s="211"/>
      <c r="AH14" s="211"/>
      <c r="AK14" s="179">
        <f t="shared" si="4"/>
        <v>4</v>
      </c>
      <c r="AL14" s="179" t="s">
        <v>321</v>
      </c>
      <c r="AM14" s="179" t="s">
        <v>322</v>
      </c>
      <c r="AN14" s="179" t="s">
        <v>323</v>
      </c>
      <c r="AP14" s="179" t="s">
        <v>297</v>
      </c>
      <c r="AQ14" s="179" t="s">
        <v>324</v>
      </c>
      <c r="AR14" s="179" t="s">
        <v>325</v>
      </c>
      <c r="AX14" s="179" t="e">
        <f ca="1">_xll.ciqfunctions.udf.CIQ("Nasdaq:AMZN", "IQ_BOND_LIST", 5)</f>
        <v>#NAME?</v>
      </c>
      <c r="AY14" s="204" t="e">
        <f ca="1">IF($AX14="","",IF(_xll.ciqfunctions.udf.CIQ($AX14,"iq_offer_date")&gt;Date,0,_xll.ciqfunctions.udf.CIQ($AX14,"iq_offer_date")))</f>
        <v>#NAME?</v>
      </c>
      <c r="AZ14" s="205" t="e">
        <f ca="1">IF($AX14="","",RANK(AY14,$AY$10:$AY$510)+COUNTIF($AY$10:AY14,AY14)-1)</f>
        <v>#NAME?</v>
      </c>
      <c r="BA14" s="179">
        <f>BA13+1</f>
        <v>5</v>
      </c>
      <c r="BB14" s="206" t="e">
        <f ca="1">IF(INDEX($AX$10:$AX$510,MATCH(BA14,$AZ$10:$AZ$510,0))=0,"NA",INDEX($AX$10:$AX$510,MATCH(BA14,$AZ$10:$AZ$510,0)))</f>
        <v>#N/A</v>
      </c>
      <c r="BC14" s="193" t="e">
        <f ca="1">IF($BB14="NA","NA",_xll.ciqfunctions.udf.CIQ($BB14,"iq_bond_coupon")/100)</f>
        <v>#N/A</v>
      </c>
      <c r="BE14" s="179">
        <f t="shared" si="5"/>
        <v>5</v>
      </c>
      <c r="BF14" s="179" t="e">
        <f ca="1">_xll.ciqfunctions.udf.CIQ("Nasdaq:AMZN", "IQ_FIXED_INCOME_LIST", 5)</f>
        <v>#NAME?</v>
      </c>
      <c r="BG14" s="207" t="e">
        <f ca="1">IF($BF14="","",_xll.ciqfunctions.udf.CIQ($BF14,"iq_security_level"))</f>
        <v>#NAME?</v>
      </c>
      <c r="BH14" s="179" t="e">
        <f t="shared" ca="1" si="6"/>
        <v>#NAME?</v>
      </c>
      <c r="BJ14" s="179" t="e">
        <f t="shared" ca="1" si="3"/>
        <v>#NAME?</v>
      </c>
      <c r="BK14" s="208" t="e">
        <f ca="1">IF($BJ14="","",_xll.ciqfunctions.udf.CIQ($BJ14,"iq_bond_coupon")/100)</f>
        <v>#NAME?</v>
      </c>
    </row>
    <row r="15" spans="1:63" s="179" customFormat="1" ht="14.25" customHeight="1">
      <c r="A15" s="171" t="s">
        <v>326</v>
      </c>
      <c r="B15" s="171"/>
      <c r="C15" s="171"/>
      <c r="D15" s="171"/>
      <c r="E15" s="171"/>
      <c r="F15" s="171"/>
      <c r="G15" s="213"/>
      <c r="H15" s="280" t="s">
        <v>327</v>
      </c>
      <c r="I15" s="171"/>
      <c r="J15" s="214"/>
      <c r="K15" s="185"/>
      <c r="L15" s="171"/>
      <c r="M15" s="215"/>
      <c r="N15" s="216"/>
      <c r="O15" s="216"/>
      <c r="P15" s="217"/>
      <c r="Q15" s="217"/>
      <c r="R15" s="217"/>
      <c r="S15" s="218"/>
      <c r="T15" s="171"/>
      <c r="U15" s="171"/>
      <c r="V15" s="171"/>
      <c r="W15" s="219"/>
      <c r="AH15" s="211"/>
      <c r="AK15" s="179">
        <f>AK14+1</f>
        <v>5</v>
      </c>
      <c r="AL15" s="179" t="s">
        <v>328</v>
      </c>
      <c r="AM15" s="179" t="s">
        <v>329</v>
      </c>
      <c r="AN15" s="179" t="s">
        <v>330</v>
      </c>
      <c r="AP15" s="179" t="s">
        <v>297</v>
      </c>
      <c r="AQ15" s="179" t="s">
        <v>331</v>
      </c>
      <c r="AR15" s="179" t="s">
        <v>332</v>
      </c>
      <c r="AX15" s="179" t="e">
        <f ca="1">_xll.ciqfunctions.udf.CIQ("Nasdaq:AMZN", "IQ_BOND_LIST", 6)</f>
        <v>#NAME?</v>
      </c>
      <c r="AY15" s="204" t="e">
        <f ca="1">IF($AX15="","",IF(_xll.ciqfunctions.udf.CIQ($AX15,"iq_offer_date")&gt;Date,0,_xll.ciqfunctions.udf.CIQ($AX15,"iq_offer_date")))</f>
        <v>#NAME?</v>
      </c>
      <c r="AZ15" s="205" t="e">
        <f ca="1">IF($AX15="","",RANK(AY15,$AY$10:$AY$510)+COUNTIF($AY$10:AY15,AY15)-1)</f>
        <v>#NAME?</v>
      </c>
      <c r="BE15" s="179">
        <f>BE14+1</f>
        <v>6</v>
      </c>
      <c r="BF15" s="179" t="e">
        <f ca="1">_xll.ciqfunctions.udf.CIQ("Nasdaq:AMZN", "IQ_FIXED_INCOME_LIST", 6)</f>
        <v>#NAME?</v>
      </c>
      <c r="BG15" s="207" t="e">
        <f ca="1">IF($BF15="","",_xll.ciqfunctions.udf.CIQ($BF15,"iq_security_level"))</f>
        <v>#NAME?</v>
      </c>
      <c r="BH15" s="179" t="e">
        <f ca="1">IF(BF15="","",IF(BG15="Preferred",BH14+1,BH14))</f>
        <v>#NAME?</v>
      </c>
      <c r="BJ15" s="179" t="e">
        <f t="shared" ca="1" si="3"/>
        <v>#NAME?</v>
      </c>
      <c r="BK15" s="208" t="e">
        <f ca="1">IF($BJ15="","",_xll.ciqfunctions.udf.CIQ($BJ15,"iq_bond_coupon")/100)</f>
        <v>#NAME?</v>
      </c>
    </row>
    <row r="16" spans="1:63" s="179" customFormat="1" ht="14.25" customHeight="1">
      <c r="A16" s="220" t="str">
        <f>+$B$1&amp;" Cost of Debt (Rd) - Average of Last 5 Issued Bonds"</f>
        <v>Nasdaq:AMZN Cost of Debt (Rd) - Average of Last 5 Issued Bonds</v>
      </c>
      <c r="B16" s="171"/>
      <c r="C16" s="171"/>
      <c r="D16" s="171"/>
      <c r="E16" s="171"/>
      <c r="F16" s="171"/>
      <c r="G16" s="171"/>
      <c r="H16" s="189">
        <v>2.8249999999999997E-2</v>
      </c>
      <c r="I16" s="171"/>
      <c r="J16" s="221" t="s">
        <v>333</v>
      </c>
      <c r="K16" s="222"/>
      <c r="L16" s="221"/>
      <c r="M16" s="223">
        <f>AVERAGEIFS(M9:M15,M9:M15,"&lt;&gt;0")</f>
        <v>0.9309183333333334</v>
      </c>
      <c r="N16" s="221"/>
      <c r="O16" s="221"/>
      <c r="P16" s="224"/>
      <c r="Q16" s="224"/>
      <c r="R16" s="224"/>
      <c r="S16" s="225">
        <f>AVERAGEIFS(S9:S15,S9:S15,"&lt;&gt;0")</f>
        <v>0.87013919155942399</v>
      </c>
      <c r="T16" s="171"/>
      <c r="U16" s="171"/>
      <c r="V16" s="171"/>
      <c r="W16" s="171"/>
      <c r="AH16" s="211"/>
      <c r="AK16" s="179">
        <f t="shared" si="4"/>
        <v>6</v>
      </c>
      <c r="AL16" s="179" t="s">
        <v>334</v>
      </c>
      <c r="AM16" s="179" t="s">
        <v>335</v>
      </c>
      <c r="AN16" s="179" t="s">
        <v>336</v>
      </c>
      <c r="AP16" s="179" t="s">
        <v>297</v>
      </c>
      <c r="AQ16" s="179" t="s">
        <v>337</v>
      </c>
      <c r="AR16" s="179" t="s">
        <v>338</v>
      </c>
      <c r="AX16" s="179" t="e">
        <f ca="1">_xll.ciqfunctions.udf.CIQ("Nasdaq:AMZN", "IQ_BOND_LIST", 7)</f>
        <v>#NAME?</v>
      </c>
      <c r="AY16" s="204" t="e">
        <f ca="1">IF($AX16="","",IF(_xll.ciqfunctions.udf.CIQ($AX16,"iq_offer_date")&gt;Date,0,_xll.ciqfunctions.udf.CIQ($AX16,"iq_offer_date")))</f>
        <v>#NAME?</v>
      </c>
      <c r="AZ16" s="205" t="e">
        <f ca="1">IF($AX16="","",RANK(AY16,$AY$10:$AY$510)+COUNTIF($AY$10:AY16,AY16)-1)</f>
        <v>#NAME?</v>
      </c>
      <c r="BE16" s="179">
        <f t="shared" si="5"/>
        <v>7</v>
      </c>
      <c r="BF16" s="179" t="e">
        <f ca="1">_xll.ciqfunctions.udf.CIQ("Nasdaq:AMZN", "IQ_FIXED_INCOME_LIST", 7)</f>
        <v>#NAME?</v>
      </c>
      <c r="BG16" s="207" t="e">
        <f ca="1">IF($BF16="","",_xll.ciqfunctions.udf.CIQ($BF16,"iq_security_level"))</f>
        <v>#NAME?</v>
      </c>
      <c r="BH16" s="179" t="e">
        <f t="shared" ca="1" si="6"/>
        <v>#NAME?</v>
      </c>
      <c r="BJ16" s="179" t="e">
        <f t="shared" ca="1" si="3"/>
        <v>#NAME?</v>
      </c>
      <c r="BK16" s="208" t="e">
        <f ca="1">IF($BJ16="","",_xll.ciqfunctions.udf.CIQ($BJ16,"iq_bond_coupon")/100)</f>
        <v>#NAME?</v>
      </c>
    </row>
    <row r="17" spans="1:63" s="179" customFormat="1" ht="14.25" customHeight="1">
      <c r="A17" s="220" t="s">
        <v>339</v>
      </c>
      <c r="B17" s="171"/>
      <c r="C17" s="171"/>
      <c r="D17" s="171"/>
      <c r="E17" s="171"/>
      <c r="F17" s="171"/>
      <c r="G17" s="171"/>
      <c r="H17" s="189">
        <v>3.4889999999999997E-2</v>
      </c>
      <c r="I17" s="171"/>
      <c r="J17" s="226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 t="s">
        <v>340</v>
      </c>
      <c r="V17" s="171"/>
      <c r="W17" s="227">
        <v>1</v>
      </c>
      <c r="AH17" s="211"/>
      <c r="AK17" s="179">
        <f t="shared" si="4"/>
        <v>7</v>
      </c>
      <c r="AL17" s="179" t="s">
        <v>341</v>
      </c>
      <c r="AM17" s="179" t="s">
        <v>342</v>
      </c>
      <c r="AN17" s="179" t="s">
        <v>343</v>
      </c>
      <c r="AP17" s="179" t="s">
        <v>305</v>
      </c>
      <c r="AQ17" s="179" t="s">
        <v>344</v>
      </c>
      <c r="AR17" s="179" t="s">
        <v>345</v>
      </c>
      <c r="AX17" s="179" t="e">
        <f ca="1">_xll.ciqfunctions.udf.CIQ("Nasdaq:AMZN", "IQ_BOND_LIST", 8)</f>
        <v>#NAME?</v>
      </c>
      <c r="AY17" s="204" t="e">
        <f ca="1">IF($AX17="","",IF(_xll.ciqfunctions.udf.CIQ($AX17,"iq_offer_date")&gt;Date,0,_xll.ciqfunctions.udf.CIQ($AX17,"iq_offer_date")))</f>
        <v>#NAME?</v>
      </c>
      <c r="AZ17" s="205" t="e">
        <f ca="1">IF($AX17="","",RANK(AY17,$AY$10:$AY$510)+COUNTIF($AY$10:AY17,AY17)-1)</f>
        <v>#NAME?</v>
      </c>
      <c r="BE17" s="179">
        <f t="shared" si="5"/>
        <v>8</v>
      </c>
      <c r="BF17" s="179" t="e">
        <f ca="1">_xll.ciqfunctions.udf.CIQ("Nasdaq:AMZN", "IQ_FIXED_INCOME_LIST", 8)</f>
        <v>#NAME?</v>
      </c>
      <c r="BG17" s="207" t="e">
        <f ca="1">IF($BF17="","",_xll.ciqfunctions.udf.CIQ($BF17,"iq_security_level"))</f>
        <v>#NAME?</v>
      </c>
      <c r="BH17" s="179" t="e">
        <f t="shared" ca="1" si="6"/>
        <v>#NAME?</v>
      </c>
      <c r="BJ17" s="179" t="e">
        <f t="shared" ca="1" si="3"/>
        <v>#NAME?</v>
      </c>
      <c r="BK17" s="208" t="e">
        <f ca="1">IF($BJ17="","",_xll.ciqfunctions.udf.CIQ($BJ17,"iq_bond_coupon")/100)</f>
        <v>#NAME?</v>
      </c>
    </row>
    <row r="18" spans="1:63" s="179" customFormat="1" ht="14.25" customHeight="1">
      <c r="A18" s="228" t="str">
        <f>+$B$1&amp;" Cost of Preferred (Rp)"</f>
        <v>Nasdaq:AMZN Cost of Preferred (Rp)</v>
      </c>
      <c r="B18" s="228"/>
      <c r="C18" s="228"/>
      <c r="D18" s="228"/>
      <c r="E18" s="228"/>
      <c r="F18" s="228"/>
      <c r="G18" s="228"/>
      <c r="H18" s="229">
        <v>0</v>
      </c>
      <c r="I18" s="171"/>
      <c r="J18" s="171" t="s">
        <v>346</v>
      </c>
      <c r="K18" s="171"/>
      <c r="L18" s="171"/>
      <c r="M18" s="171"/>
      <c r="N18" s="171"/>
      <c r="O18" s="171"/>
      <c r="P18" s="171"/>
      <c r="Q18" s="171"/>
      <c r="R18" s="171"/>
      <c r="S18" s="218">
        <f>+S16</f>
        <v>0.87013919155942399</v>
      </c>
      <c r="T18" s="171"/>
      <c r="U18" s="171" t="s">
        <v>347</v>
      </c>
      <c r="V18" s="171"/>
      <c r="W18" s="218">
        <f>$S$22</f>
        <v>0.89931035122540093</v>
      </c>
      <c r="AK18" s="179">
        <f t="shared" si="4"/>
        <v>8</v>
      </c>
      <c r="AL18" s="179" t="s">
        <v>348</v>
      </c>
      <c r="AM18" s="179" t="s">
        <v>349</v>
      </c>
      <c r="AN18" s="179" t="s">
        <v>350</v>
      </c>
      <c r="AP18" s="179" t="s">
        <v>305</v>
      </c>
      <c r="AQ18" s="179" t="s">
        <v>351</v>
      </c>
      <c r="AR18" s="179" t="s">
        <v>352</v>
      </c>
      <c r="AX18" s="179" t="e">
        <f ca="1">_xll.ciqfunctions.udf.CIQ("Nasdaq:AMZN", "IQ_BOND_LIST", 9)</f>
        <v>#NAME?</v>
      </c>
      <c r="AY18" s="204" t="e">
        <f ca="1">IF($AX18="","",IF(_xll.ciqfunctions.udf.CIQ($AX18,"iq_offer_date")&gt;Date,0,_xll.ciqfunctions.udf.CIQ($AX18,"iq_offer_date")))</f>
        <v>#NAME?</v>
      </c>
      <c r="AZ18" s="205" t="e">
        <f ca="1">IF($AX18="","",RANK(AY18,$AY$10:$AY$510)+COUNTIF($AY$10:AY18,AY18)-1)</f>
        <v>#NAME?</v>
      </c>
      <c r="BE18" s="179">
        <f t="shared" si="5"/>
        <v>9</v>
      </c>
      <c r="BF18" s="179" t="e">
        <f ca="1">_xll.ciqfunctions.udf.CIQ("Nasdaq:AMZN", "IQ_FIXED_INCOME_LIST", 9)</f>
        <v>#NAME?</v>
      </c>
      <c r="BG18" s="207" t="e">
        <f ca="1">IF($BF18="","",_xll.ciqfunctions.udf.CIQ($BF18,"iq_security_level"))</f>
        <v>#NAME?</v>
      </c>
      <c r="BH18" s="179" t="e">
        <f t="shared" ca="1" si="6"/>
        <v>#NAME?</v>
      </c>
      <c r="BJ18" s="179" t="e">
        <f t="shared" ca="1" si="3"/>
        <v>#NAME?</v>
      </c>
      <c r="BK18" s="208" t="e">
        <f ca="1">IF($BJ18="","",_xll.ciqfunctions.udf.CIQ($BJ18,"iq_bond_coupon")/100)</f>
        <v>#NAME?</v>
      </c>
    </row>
    <row r="19" spans="1:63" s="179" customFormat="1" ht="14.25" customHeight="1">
      <c r="A19" s="171"/>
      <c r="B19" s="171"/>
      <c r="C19" s="171"/>
      <c r="D19" s="171"/>
      <c r="E19" s="171"/>
      <c r="F19" s="171"/>
      <c r="G19" s="171"/>
      <c r="H19" s="171"/>
      <c r="I19" s="171"/>
      <c r="J19" s="171" t="str">
        <f>+A13</f>
        <v>Nasdaq:AMZN D/E</v>
      </c>
      <c r="K19" s="171"/>
      <c r="L19" s="171"/>
      <c r="M19" s="171"/>
      <c r="N19" s="171"/>
      <c r="O19" s="171"/>
      <c r="P19" s="171"/>
      <c r="Q19" s="171"/>
      <c r="R19" s="171"/>
      <c r="S19" s="230">
        <f>+H13</f>
        <v>5.5009466066351695E-2</v>
      </c>
      <c r="T19" s="171"/>
      <c r="U19" s="171" t="s">
        <v>353</v>
      </c>
      <c r="V19" s="171"/>
      <c r="W19" s="231">
        <v>1.7144699999999999</v>
      </c>
      <c r="AK19" s="179">
        <f t="shared" si="4"/>
        <v>9</v>
      </c>
      <c r="AL19" s="179" t="s">
        <v>354</v>
      </c>
      <c r="AM19" s="179" t="s">
        <v>355</v>
      </c>
      <c r="AN19" s="179" t="s">
        <v>356</v>
      </c>
      <c r="AP19" s="179" t="s">
        <v>305</v>
      </c>
      <c r="AQ19" s="179" t="s">
        <v>357</v>
      </c>
      <c r="AR19" s="179" t="s">
        <v>358</v>
      </c>
      <c r="AX19" s="179" t="e">
        <f ca="1">_xll.ciqfunctions.udf.CIQ("Nasdaq:AMZN", "IQ_BOND_LIST", 10)</f>
        <v>#NAME?</v>
      </c>
      <c r="AY19" s="204" t="e">
        <f ca="1">IF($AX19="","",IF(_xll.ciqfunctions.udf.CIQ($AX19,"iq_offer_date")&gt;Date,0,_xll.ciqfunctions.udf.CIQ($AX19,"iq_offer_date")))</f>
        <v>#NAME?</v>
      </c>
      <c r="AZ19" s="205" t="e">
        <f ca="1">IF($AX19="","",RANK(AY19,$AY$10:$AY$510)+COUNTIF($AY$10:AY19,AY19)-1)</f>
        <v>#NAME?</v>
      </c>
      <c r="BE19" s="179">
        <f t="shared" si="5"/>
        <v>10</v>
      </c>
      <c r="BF19" s="179" t="e">
        <f ca="1">_xll.ciqfunctions.udf.CIQ("Nasdaq:AMZN", "IQ_FIXED_INCOME_LIST", 10)</f>
        <v>#NAME?</v>
      </c>
      <c r="BG19" s="207" t="e">
        <f ca="1">IF($BF19="","",_xll.ciqfunctions.udf.CIQ($BF19,"iq_security_level"))</f>
        <v>#NAME?</v>
      </c>
      <c r="BH19" s="179" t="e">
        <f t="shared" ca="1" si="6"/>
        <v>#NAME?</v>
      </c>
      <c r="BJ19" s="179" t="e">
        <f t="shared" ca="1" si="3"/>
        <v>#NAME?</v>
      </c>
      <c r="BK19" s="208" t="e">
        <f ca="1">IF($BJ19="","",_xll.ciqfunctions.udf.CIQ($BJ19,"iq_bond_coupon")/100)</f>
        <v>#NAME?</v>
      </c>
    </row>
    <row r="20" spans="1:63" s="179" customFormat="1" ht="14.25" customHeight="1">
      <c r="A20" s="169" t="s">
        <v>359</v>
      </c>
      <c r="B20" s="212"/>
      <c r="C20" s="212"/>
      <c r="D20" s="212"/>
      <c r="E20" s="212"/>
      <c r="F20" s="212"/>
      <c r="G20" s="212"/>
      <c r="H20" s="212"/>
      <c r="I20" s="171"/>
      <c r="J20" s="171" t="str">
        <f>A14</f>
        <v>Nasdaq:AMZN P/E</v>
      </c>
      <c r="K20" s="212"/>
      <c r="L20" s="212"/>
      <c r="M20" s="212"/>
      <c r="N20" s="212"/>
      <c r="O20" s="212"/>
      <c r="P20" s="212"/>
      <c r="Q20" s="212"/>
      <c r="R20" s="212"/>
      <c r="S20" s="230">
        <f>H14</f>
        <v>0</v>
      </c>
      <c r="T20" s="171"/>
      <c r="U20" s="171"/>
      <c r="V20" s="171"/>
      <c r="W20" s="171"/>
      <c r="AB20" s="179" t="str">
        <f>D22</f>
        <v>United States Treasury Constant Maturity - 10 Year</v>
      </c>
      <c r="AK20" s="179">
        <f t="shared" si="4"/>
        <v>10</v>
      </c>
      <c r="AL20" s="179" t="s">
        <v>360</v>
      </c>
      <c r="AM20" s="179" t="s">
        <v>361</v>
      </c>
      <c r="AN20" s="179" t="s">
        <v>362</v>
      </c>
      <c r="AP20" s="179" t="s">
        <v>305</v>
      </c>
      <c r="AQ20" s="179" t="s">
        <v>363</v>
      </c>
      <c r="AR20" s="179" t="s">
        <v>364</v>
      </c>
      <c r="AX20" s="179" t="e">
        <f ca="1">_xll.ciqfunctions.udf.CIQ("Nasdaq:AMZN", "IQ_BOND_LIST", 11)</f>
        <v>#NAME?</v>
      </c>
      <c r="AY20" s="204" t="e">
        <f ca="1">IF($AX20="","",IF(_xll.ciqfunctions.udf.CIQ($AX20,"iq_offer_date")&gt;Date,0,_xll.ciqfunctions.udf.CIQ($AX20,"iq_offer_date")))</f>
        <v>#NAME?</v>
      </c>
      <c r="AZ20" s="205" t="e">
        <f ca="1">IF($AX20="","",RANK(AY20,$AY$10:$AY$510)+COUNTIF($AY$10:AY20,AY20)-1)</f>
        <v>#NAME?</v>
      </c>
      <c r="BE20" s="179">
        <f t="shared" si="5"/>
        <v>11</v>
      </c>
      <c r="BF20" s="179" t="e">
        <f ca="1">_xll.ciqfunctions.udf.CIQ("Nasdaq:AMZN", "IQ_FIXED_INCOME_LIST", 11)</f>
        <v>#NAME?</v>
      </c>
      <c r="BG20" s="207" t="e">
        <f ca="1">IF($BF20="","",_xll.ciqfunctions.udf.CIQ($BF20,"iq_security_level"))</f>
        <v>#NAME?</v>
      </c>
      <c r="BH20" s="179" t="e">
        <f t="shared" ca="1" si="6"/>
        <v>#NAME?</v>
      </c>
      <c r="BJ20" s="179" t="e">
        <f t="shared" ca="1" si="3"/>
        <v>#NAME?</v>
      </c>
      <c r="BK20" s="208" t="e">
        <f ca="1">IF($BJ20="","",_xll.ciqfunctions.udf.CIQ($BJ20,"iq_bond_coupon")/100)</f>
        <v>#NAME?</v>
      </c>
    </row>
    <row r="21" spans="1:63" s="179" customFormat="1" ht="14.25" customHeight="1">
      <c r="A21" s="212" t="s">
        <v>365</v>
      </c>
      <c r="B21" s="212"/>
      <c r="C21" s="213"/>
      <c r="D21" s="171"/>
      <c r="E21" s="232"/>
      <c r="F21" s="232"/>
      <c r="G21" s="416" t="s">
        <v>366</v>
      </c>
      <c r="H21" s="417"/>
      <c r="I21" s="171"/>
      <c r="J21" s="171" t="str">
        <f>A8</f>
        <v>Tax Rate (5 Year Average)</v>
      </c>
      <c r="K21" s="171"/>
      <c r="L21" s="171"/>
      <c r="M21" s="171"/>
      <c r="N21" s="171"/>
      <c r="O21" s="171"/>
      <c r="P21" s="171"/>
      <c r="Q21" s="171"/>
      <c r="R21" s="171"/>
      <c r="S21" s="230">
        <f>+H8</f>
        <v>0.39056479999999999</v>
      </c>
      <c r="T21" s="171"/>
      <c r="U21" s="171"/>
      <c r="V21" s="171"/>
      <c r="W21" s="171"/>
      <c r="AB21" s="179" t="str">
        <f>INDEX($AQ$11:$AQ$122,MATCH($D$22,$AR$11:$AR$122,0),)</f>
        <v>IQT36183839</v>
      </c>
      <c r="AD21" s="179" t="e">
        <f ca="1">_xll.ciqfunctions.udf.CIQ($AB$21,"IQ_RATE_NAME")</f>
        <v>#NAME?</v>
      </c>
      <c r="AE21" s="173"/>
      <c r="AK21" s="179">
        <f t="shared" si="4"/>
        <v>11</v>
      </c>
      <c r="AL21" s="179" t="s">
        <v>367</v>
      </c>
      <c r="AM21" s="179" t="s">
        <v>368</v>
      </c>
      <c r="AN21" s="179" t="s">
        <v>369</v>
      </c>
      <c r="AP21" s="179" t="s">
        <v>305</v>
      </c>
      <c r="AQ21" s="179" t="s">
        <v>370</v>
      </c>
      <c r="AR21" s="179" t="s">
        <v>371</v>
      </c>
      <c r="AX21" s="179" t="e">
        <f ca="1">_xll.ciqfunctions.udf.CIQ("Nasdaq:AMZN", "IQ_BOND_LIST", 12)</f>
        <v>#NAME?</v>
      </c>
      <c r="AY21" s="204" t="e">
        <f ca="1">IF($AX21="","",IF(_xll.ciqfunctions.udf.CIQ($AX21,"iq_offer_date")&gt;Date,0,_xll.ciqfunctions.udf.CIQ($AX21,"iq_offer_date")))</f>
        <v>#NAME?</v>
      </c>
      <c r="AZ21" s="205" t="e">
        <f ca="1">IF($AX21="","",RANK(AY21,$AY$10:$AY$510)+COUNTIF($AY$10:AY21,AY21)-1)</f>
        <v>#NAME?</v>
      </c>
      <c r="BE21" s="179">
        <f t="shared" si="5"/>
        <v>12</v>
      </c>
      <c r="BF21" s="179" t="e">
        <f ca="1">_xll.ciqfunctions.udf.CIQ("Nasdaq:AMZN", "IQ_FIXED_INCOME_LIST", 12)</f>
        <v>#NAME?</v>
      </c>
      <c r="BG21" s="207" t="e">
        <f ca="1">IF($BF21="","",_xll.ciqfunctions.udf.CIQ($BF21,"iq_security_level"))</f>
        <v>#NAME?</v>
      </c>
      <c r="BH21" s="179" t="e">
        <f t="shared" ca="1" si="6"/>
        <v>#NAME?</v>
      </c>
      <c r="BJ21" s="179" t="e">
        <f t="shared" ca="1" si="3"/>
        <v>#NAME?</v>
      </c>
      <c r="BK21" s="208" t="e">
        <f ca="1">IF($BJ21="","",_xll.ciqfunctions.udf.CIQ($BJ21,"iq_bond_coupon")/100)</f>
        <v>#NAME?</v>
      </c>
    </row>
    <row r="22" spans="1:63" s="179" customFormat="1" ht="14.25" customHeight="1">
      <c r="A22" s="212" t="s">
        <v>372</v>
      </c>
      <c r="B22" s="212"/>
      <c r="C22" s="213"/>
      <c r="D22" s="413" t="s">
        <v>373</v>
      </c>
      <c r="E22" s="414"/>
      <c r="F22" s="414"/>
      <c r="G22" s="414"/>
      <c r="H22" s="415"/>
      <c r="I22" s="171"/>
      <c r="J22" s="221" t="str">
        <f>+B1&amp;" Levered Beta "</f>
        <v xml:space="preserve">Nasdaq:AMZN Levered Beta </v>
      </c>
      <c r="K22" s="222"/>
      <c r="L22" s="233">
        <v>-3</v>
      </c>
      <c r="M22" s="222"/>
      <c r="N22" s="222"/>
      <c r="O22" s="222"/>
      <c r="P22" s="222"/>
      <c r="Q22" s="222"/>
      <c r="R22" s="222"/>
      <c r="S22" s="225">
        <f>+S18*(1+S19*(1-S21)+S20)</f>
        <v>0.89931035122540093</v>
      </c>
      <c r="T22" s="171"/>
      <c r="U22" s="171"/>
      <c r="V22" s="171"/>
      <c r="W22" s="171"/>
      <c r="Z22" s="234"/>
      <c r="AA22" s="234"/>
      <c r="AE22" s="235"/>
      <c r="AK22" s="179">
        <f t="shared" si="4"/>
        <v>12</v>
      </c>
      <c r="AL22" s="179" t="s">
        <v>374</v>
      </c>
      <c r="AM22" s="179" t="s">
        <v>375</v>
      </c>
      <c r="AN22" s="179" t="s">
        <v>376</v>
      </c>
      <c r="AP22" s="179" t="s">
        <v>313</v>
      </c>
      <c r="AQ22" s="179" t="s">
        <v>377</v>
      </c>
      <c r="AR22" s="179" t="s">
        <v>378</v>
      </c>
      <c r="AX22" s="179" t="e">
        <f ca="1">_xll.ciqfunctions.udf.CIQ("Nasdaq:AMZN", "IQ_BOND_LIST", 13)</f>
        <v>#NAME?</v>
      </c>
      <c r="AY22" s="204" t="e">
        <f ca="1">IF($AX22="","",IF(_xll.ciqfunctions.udf.CIQ($AX22,"iq_offer_date")&gt;Date,0,_xll.ciqfunctions.udf.CIQ($AX22,"iq_offer_date")))</f>
        <v>#NAME?</v>
      </c>
      <c r="AZ22" s="205" t="e">
        <f ca="1">IF($AX22="","",RANK(AY22,$AY$10:$AY$510)+COUNTIF($AY$10:AY22,AY22)-1)</f>
        <v>#NAME?</v>
      </c>
      <c r="BE22" s="179">
        <f t="shared" si="5"/>
        <v>13</v>
      </c>
      <c r="BF22" s="179" t="e">
        <f ca="1">_xll.ciqfunctions.udf.CIQ("Nasdaq:AMZN", "IQ_FIXED_INCOME_LIST", 13)</f>
        <v>#NAME?</v>
      </c>
      <c r="BG22" s="207" t="e">
        <f ca="1">IF($BF22="","",_xll.ciqfunctions.udf.CIQ($BF22,"iq_security_level"))</f>
        <v>#NAME?</v>
      </c>
      <c r="BH22" s="179" t="e">
        <f t="shared" ca="1" si="6"/>
        <v>#NAME?</v>
      </c>
      <c r="BJ22" s="179" t="e">
        <f t="shared" ca="1" si="3"/>
        <v>#NAME?</v>
      </c>
      <c r="BK22" s="208" t="e">
        <f ca="1">IF($BJ22="","",_xll.ciqfunctions.udf.CIQ($BJ22,"iq_bond_coupon")/100)</f>
        <v>#NAME?</v>
      </c>
    </row>
    <row r="23" spans="1:63" s="179" customFormat="1" ht="14.25" customHeight="1">
      <c r="A23" s="212"/>
      <c r="B23" s="212"/>
      <c r="C23" s="212"/>
      <c r="D23" s="171"/>
      <c r="E23" s="212"/>
      <c r="F23" s="212"/>
      <c r="G23" s="212"/>
      <c r="H23" s="212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Z23" s="234"/>
      <c r="AA23" s="234"/>
      <c r="AH23" s="179" t="str">
        <f>IF(K1=AI23,"H","C")</f>
        <v>H</v>
      </c>
      <c r="AI23" s="179" t="s">
        <v>253</v>
      </c>
      <c r="AK23" s="179">
        <f t="shared" si="4"/>
        <v>13</v>
      </c>
      <c r="AL23" s="179" t="s">
        <v>379</v>
      </c>
      <c r="AM23" s="179" t="s">
        <v>380</v>
      </c>
      <c r="AN23" s="179" t="s">
        <v>381</v>
      </c>
      <c r="AP23" s="179" t="s">
        <v>313</v>
      </c>
      <c r="AQ23" s="179" t="s">
        <v>382</v>
      </c>
      <c r="AR23" s="179" t="s">
        <v>383</v>
      </c>
      <c r="AX23" s="179" t="e">
        <f ca="1">_xll.ciqfunctions.udf.CIQ("Nasdaq:AMZN", "IQ_BOND_LIST", 14)</f>
        <v>#NAME?</v>
      </c>
      <c r="AY23" s="204" t="e">
        <f ca="1">IF($AX23="","",IF(_xll.ciqfunctions.udf.CIQ($AX23,"iq_offer_date")&gt;Date,0,_xll.ciqfunctions.udf.CIQ($AX23,"iq_offer_date")))</f>
        <v>#NAME?</v>
      </c>
      <c r="AZ23" s="205" t="e">
        <f ca="1">IF($AX23="","",RANK(AY23,$AY$10:$AY$510)+COUNTIF($AY$10:AY23,AY23)-1)</f>
        <v>#NAME?</v>
      </c>
      <c r="BE23" s="179">
        <f t="shared" si="5"/>
        <v>14</v>
      </c>
      <c r="BF23" s="179" t="e">
        <f ca="1">_xll.ciqfunctions.udf.CIQ("Nasdaq:AMZN", "IQ_FIXED_INCOME_LIST", 14)</f>
        <v>#NAME?</v>
      </c>
      <c r="BG23" s="207" t="e">
        <f ca="1">IF($BF23="","",_xll.ciqfunctions.udf.CIQ($BF23,"iq_security_level"))</f>
        <v>#NAME?</v>
      </c>
      <c r="BH23" s="179" t="e">
        <f t="shared" ca="1" si="6"/>
        <v>#NAME?</v>
      </c>
      <c r="BJ23" s="179" t="e">
        <f t="shared" ca="1" si="3"/>
        <v>#NAME?</v>
      </c>
      <c r="BK23" s="208" t="e">
        <f ca="1">IF($BJ23="","",_xll.ciqfunctions.udf.CIQ($BJ23,"iq_bond_coupon")/100)</f>
        <v>#NAME?</v>
      </c>
    </row>
    <row r="24" spans="1:63" s="179" customFormat="1" ht="14.25" customHeight="1">
      <c r="A24" s="169" t="s">
        <v>384</v>
      </c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Z24" s="234"/>
      <c r="AA24" s="234"/>
      <c r="AB24" s="179" t="s">
        <v>250</v>
      </c>
      <c r="AC24" s="207" t="e">
        <f ca="1">_xll.ciqfunctions.udf.CIQ($B$1,"IQ_INDUSTRY_SECTOR")</f>
        <v>#NAME?</v>
      </c>
      <c r="AD24" s="207" t="s">
        <v>385</v>
      </c>
      <c r="AE24" s="207" t="s">
        <v>386</v>
      </c>
      <c r="AF24" s="234" t="s">
        <v>387</v>
      </c>
      <c r="AI24" s="179" t="s">
        <v>388</v>
      </c>
      <c r="AK24" s="179">
        <f t="shared" si="4"/>
        <v>14</v>
      </c>
      <c r="AL24" s="179" t="s">
        <v>389</v>
      </c>
      <c r="AM24" s="179" t="s">
        <v>390</v>
      </c>
      <c r="AN24" s="179" t="s">
        <v>391</v>
      </c>
      <c r="AP24" s="179" t="s">
        <v>313</v>
      </c>
      <c r="AQ24" s="179" t="s">
        <v>392</v>
      </c>
      <c r="AR24" s="179" t="s">
        <v>393</v>
      </c>
      <c r="AX24" s="179" t="e">
        <f ca="1">_xll.ciqfunctions.udf.CIQ("Nasdaq:AMZN", "IQ_BOND_LIST", 15)</f>
        <v>#NAME?</v>
      </c>
      <c r="AY24" s="204" t="e">
        <f ca="1">IF($AX24="","",IF(_xll.ciqfunctions.udf.CIQ($AX24,"iq_offer_date")&gt;Date,0,_xll.ciqfunctions.udf.CIQ($AX24,"iq_offer_date")))</f>
        <v>#NAME?</v>
      </c>
      <c r="AZ24" s="205" t="e">
        <f ca="1">IF($AX24="","",RANK(AY24,$AY$10:$AY$510)+COUNTIF($AY$10:AY24,AY24)-1)</f>
        <v>#NAME?</v>
      </c>
      <c r="BE24" s="179">
        <f t="shared" si="5"/>
        <v>15</v>
      </c>
      <c r="BF24" s="179" t="e">
        <f ca="1">_xll.ciqfunctions.udf.CIQ("Nasdaq:AMZN", "IQ_FIXED_INCOME_LIST", 15)</f>
        <v>#NAME?</v>
      </c>
      <c r="BG24" s="207" t="e">
        <f ca="1">IF($BF24="","",_xll.ciqfunctions.udf.CIQ($BF24,"iq_security_level"))</f>
        <v>#NAME?</v>
      </c>
      <c r="BH24" s="179" t="e">
        <f t="shared" ca="1" si="6"/>
        <v>#NAME?</v>
      </c>
      <c r="BJ24" s="179" t="e">
        <f t="shared" ca="1" si="3"/>
        <v>#NAME?</v>
      </c>
      <c r="BK24" s="208" t="e">
        <f ca="1">IF($BJ24="","",_xll.ciqfunctions.udf.CIQ($BJ24,"iq_bond_coupon")/100)</f>
        <v>#NAME?</v>
      </c>
    </row>
    <row r="25" spans="1:63" s="179" customFormat="1" ht="14.25" customHeight="1">
      <c r="A25" s="171" t="s">
        <v>249</v>
      </c>
      <c r="B25" s="213"/>
      <c r="C25" s="171" t="s">
        <v>394</v>
      </c>
      <c r="D25" s="171"/>
      <c r="E25" s="171"/>
      <c r="F25" s="236" t="s">
        <v>395</v>
      </c>
      <c r="G25" s="171"/>
      <c r="H25" s="236" t="s">
        <v>396</v>
      </c>
      <c r="I25" s="171"/>
      <c r="J25" s="180" t="s">
        <v>397</v>
      </c>
      <c r="K25" s="181"/>
      <c r="L25" s="181"/>
      <c r="M25" s="181"/>
      <c r="N25" s="182"/>
      <c r="O25" s="182"/>
      <c r="P25" s="182"/>
      <c r="Q25" s="182"/>
      <c r="R25" s="182"/>
      <c r="S25" s="182"/>
      <c r="T25" s="171"/>
      <c r="U25" s="183" t="s">
        <v>398</v>
      </c>
      <c r="V25" s="184"/>
      <c r="W25" s="184"/>
      <c r="Z25" s="234"/>
      <c r="AA25" s="234"/>
      <c r="AB25" s="179" t="s">
        <v>399</v>
      </c>
      <c r="AC25" s="207" t="s">
        <v>400</v>
      </c>
      <c r="AD25" s="207" t="s">
        <v>401</v>
      </c>
      <c r="AE25" s="207" t="s">
        <v>402</v>
      </c>
      <c r="AF25" s="234" t="s">
        <v>403</v>
      </c>
      <c r="AK25" s="179">
        <f t="shared" si="4"/>
        <v>15</v>
      </c>
      <c r="AL25" s="179" t="s">
        <v>404</v>
      </c>
      <c r="AM25" s="179" t="s">
        <v>405</v>
      </c>
      <c r="AN25" s="179" t="s">
        <v>406</v>
      </c>
      <c r="AP25" s="179" t="s">
        <v>313</v>
      </c>
      <c r="AQ25" s="179" t="s">
        <v>407</v>
      </c>
      <c r="AR25" s="179" t="s">
        <v>408</v>
      </c>
      <c r="AX25" s="179" t="e">
        <f ca="1">_xll.ciqfunctions.udf.CIQ("Nasdaq:AMZN", "IQ_BOND_LIST", 16)</f>
        <v>#NAME?</v>
      </c>
      <c r="AY25" s="204" t="e">
        <f ca="1">IF($AX25="","",IF(_xll.ciqfunctions.udf.CIQ($AX25,"iq_offer_date")&gt;Date,0,_xll.ciqfunctions.udf.CIQ($AX25,"iq_offer_date")))</f>
        <v>#NAME?</v>
      </c>
      <c r="AZ25" s="205" t="e">
        <f ca="1">IF($AX25="","",RANK(AY25,$AY$10:$AY$510)+COUNTIF($AY$10:AY25,AY25)-1)</f>
        <v>#NAME?</v>
      </c>
      <c r="BE25" s="179">
        <f t="shared" si="5"/>
        <v>16</v>
      </c>
      <c r="BF25" s="179" t="e">
        <f ca="1">_xll.ciqfunctions.udf.CIQ("Nasdaq:AMZN", "IQ_FIXED_INCOME_LIST", 16)</f>
        <v>#NAME?</v>
      </c>
      <c r="BG25" s="207" t="e">
        <f ca="1">IF($BF25="","",_xll.ciqfunctions.udf.CIQ($BF25,"iq_security_level"))</f>
        <v>#NAME?</v>
      </c>
      <c r="BH25" s="179" t="e">
        <f t="shared" ca="1" si="6"/>
        <v>#NAME?</v>
      </c>
      <c r="BJ25" s="179" t="e">
        <f t="shared" ca="1" si="3"/>
        <v>#NAME?</v>
      </c>
      <c r="BK25" s="208" t="e">
        <f ca="1">IF($BJ25="","",_xll.ciqfunctions.udf.CIQ($BJ25,"iq_bond_coupon")/100)</f>
        <v>#NAME?</v>
      </c>
    </row>
    <row r="26" spans="1:63" s="179" customFormat="1" ht="14.25" customHeight="1">
      <c r="A26" s="281" t="s">
        <v>250</v>
      </c>
      <c r="B26" s="213"/>
      <c r="C26" s="411" t="s">
        <v>385</v>
      </c>
      <c r="D26" s="412"/>
      <c r="E26" s="237"/>
      <c r="F26" s="280" t="s">
        <v>409</v>
      </c>
      <c r="G26" s="171"/>
      <c r="H26" s="280" t="s">
        <v>410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 t="s">
        <v>411</v>
      </c>
      <c r="V26" s="171"/>
      <c r="W26" s="238">
        <v>5.0000000000000001E-3</v>
      </c>
      <c r="Z26" s="234"/>
      <c r="AA26" s="234"/>
      <c r="AB26" s="179" t="s">
        <v>412</v>
      </c>
      <c r="AC26" s="207" t="s">
        <v>413</v>
      </c>
      <c r="AD26" s="207" t="s">
        <v>414</v>
      </c>
      <c r="AE26" s="207" t="s">
        <v>409</v>
      </c>
      <c r="AF26" s="234" t="s">
        <v>415</v>
      </c>
      <c r="AI26" s="179" t="str">
        <f>INDEX($AI$27:$AI$30,MATCH($Q$1,$AH$27:$AH$30,0))</f>
        <v>LFR</v>
      </c>
      <c r="AK26" s="179">
        <f t="shared" si="4"/>
        <v>16</v>
      </c>
      <c r="AL26" s="179" t="s">
        <v>416</v>
      </c>
      <c r="AM26" s="179" t="s">
        <v>417</v>
      </c>
      <c r="AN26" s="179" t="s">
        <v>418</v>
      </c>
      <c r="AP26" s="179" t="s">
        <v>321</v>
      </c>
      <c r="AQ26" s="179" t="s">
        <v>419</v>
      </c>
      <c r="AR26" s="179" t="s">
        <v>420</v>
      </c>
      <c r="AX26" s="179" t="e">
        <f ca="1">_xll.ciqfunctions.udf.CIQ("Nasdaq:AMZN", "IQ_BOND_LIST", 17)</f>
        <v>#NAME?</v>
      </c>
      <c r="AY26" s="204" t="e">
        <f ca="1">IF($AX26="","",IF(_xll.ciqfunctions.udf.CIQ($AX26,"iq_offer_date")&gt;Date,0,_xll.ciqfunctions.udf.CIQ($AX26,"iq_offer_date")))</f>
        <v>#NAME?</v>
      </c>
      <c r="AZ26" s="205" t="e">
        <f ca="1">IF($AX26="","",RANK(AY26,$AY$10:$AY$510)+COUNTIF($AY$10:AY26,AY26)-1)</f>
        <v>#NAME?</v>
      </c>
      <c r="BE26" s="179">
        <f t="shared" si="5"/>
        <v>17</v>
      </c>
      <c r="BF26" s="179" t="e">
        <f ca="1">_xll.ciqfunctions.udf.CIQ("Nasdaq:AMZN", "IQ_FIXED_INCOME_LIST", 17)</f>
        <v>#NAME?</v>
      </c>
      <c r="BG26" s="207" t="e">
        <f ca="1">IF($BF26="","",_xll.ciqfunctions.udf.CIQ($BF26,"iq_security_level"))</f>
        <v>#NAME?</v>
      </c>
      <c r="BH26" s="179" t="e">
        <f t="shared" ca="1" si="6"/>
        <v>#NAME?</v>
      </c>
      <c r="BJ26" s="179" t="e">
        <f t="shared" ca="1" si="3"/>
        <v>#NAME?</v>
      </c>
      <c r="BK26" s="208" t="e">
        <f ca="1">IF($BJ26="","",_xll.ciqfunctions.udf.CIQ($BJ26,"iq_bond_coupon")/100)</f>
        <v>#NAME?</v>
      </c>
    </row>
    <row r="27" spans="1:63" s="179" customFormat="1" ht="14.25" customHeight="1">
      <c r="A27" s="171"/>
      <c r="B27" s="171"/>
      <c r="C27" s="171"/>
      <c r="D27" s="171"/>
      <c r="E27" s="171"/>
      <c r="F27" s="171"/>
      <c r="G27" s="171"/>
      <c r="H27" s="171"/>
      <c r="I27" s="171"/>
      <c r="J27" s="239" t="s">
        <v>421</v>
      </c>
      <c r="K27" s="240" t="s">
        <v>422</v>
      </c>
      <c r="L27" s="241"/>
      <c r="M27" s="241"/>
      <c r="N27" s="241"/>
      <c r="O27" s="241"/>
      <c r="P27" s="241"/>
      <c r="Q27" s="241"/>
      <c r="R27" s="241"/>
      <c r="S27" s="241"/>
      <c r="T27" s="171"/>
      <c r="U27" s="171" t="s">
        <v>423</v>
      </c>
      <c r="V27" s="171"/>
      <c r="W27" s="238">
        <v>0.05</v>
      </c>
      <c r="Z27" s="234"/>
      <c r="AA27" s="234"/>
      <c r="AB27" s="179" t="s">
        <v>424</v>
      </c>
      <c r="AC27" s="207" t="s">
        <v>425</v>
      </c>
      <c r="AD27" s="207" t="s">
        <v>425</v>
      </c>
      <c r="AE27" s="207" t="s">
        <v>426</v>
      </c>
      <c r="AF27" s="234" t="s">
        <v>427</v>
      </c>
      <c r="AH27" s="179" t="s">
        <v>428</v>
      </c>
      <c r="AI27" s="179" t="s">
        <v>429</v>
      </c>
      <c r="AK27" s="179">
        <f t="shared" si="4"/>
        <v>17</v>
      </c>
      <c r="AL27" s="179" t="s">
        <v>430</v>
      </c>
      <c r="AM27" s="179" t="s">
        <v>431</v>
      </c>
      <c r="AN27" s="179" t="s">
        <v>432</v>
      </c>
      <c r="AP27" s="179" t="s">
        <v>321</v>
      </c>
      <c r="AQ27" s="179" t="s">
        <v>433</v>
      </c>
      <c r="AR27" s="179" t="s">
        <v>434</v>
      </c>
      <c r="AX27" s="179" t="e">
        <f ca="1">_xll.ciqfunctions.udf.CIQ("Nasdaq:AMZN", "IQ_BOND_LIST", 18)</f>
        <v>#NAME?</v>
      </c>
      <c r="AY27" s="204" t="e">
        <f ca="1">IF($AX27="","",IF(_xll.ciqfunctions.udf.CIQ($AX27,"iq_offer_date")&gt;Date,0,_xll.ciqfunctions.udf.CIQ($AX27,"iq_offer_date")))</f>
        <v>#NAME?</v>
      </c>
      <c r="AZ27" s="205" t="e">
        <f ca="1">IF($AX27="","",RANK(AY27,$AY$10:$AY$510)+COUNTIF($AY$10:AY27,AY27)-1)</f>
        <v>#NAME?</v>
      </c>
      <c r="BE27" s="179">
        <f t="shared" si="5"/>
        <v>18</v>
      </c>
      <c r="BF27" s="179" t="e">
        <f ca="1">_xll.ciqfunctions.udf.CIQ("Nasdaq:AMZN", "IQ_FIXED_INCOME_LIST", 18)</f>
        <v>#NAME?</v>
      </c>
      <c r="BG27" s="207" t="e">
        <f ca="1">IF($BF27="","",_xll.ciqfunctions.udf.CIQ($BF27,"iq_security_level"))</f>
        <v>#NAME?</v>
      </c>
      <c r="BH27" s="179" t="e">
        <f t="shared" ca="1" si="6"/>
        <v>#NAME?</v>
      </c>
      <c r="BJ27" s="179" t="e">
        <f t="shared" ca="1" si="3"/>
        <v>#NAME?</v>
      </c>
      <c r="BK27" s="208" t="e">
        <f ca="1">IF($BJ27="","",_xll.ciqfunctions.udf.CIQ($BJ27,"iq_bond_coupon")/100)</f>
        <v>#NAME?</v>
      </c>
    </row>
    <row r="28" spans="1:63" s="179" customFormat="1" ht="14.25" customHeight="1">
      <c r="A28" s="180" t="s">
        <v>435</v>
      </c>
      <c r="B28" s="181"/>
      <c r="C28" s="181"/>
      <c r="D28" s="181"/>
      <c r="E28" s="181"/>
      <c r="F28" s="181"/>
      <c r="G28" s="182"/>
      <c r="H28" s="182"/>
      <c r="I28" s="171"/>
      <c r="J28" s="242">
        <f>H49</f>
        <v>7.2482975183548667E-2</v>
      </c>
      <c r="K28" s="243">
        <v>0.05</v>
      </c>
      <c r="L28" s="244">
        <f t="shared" ref="L28:S28" si="7">K28+$W$26</f>
        <v>5.5E-2</v>
      </c>
      <c r="M28" s="244">
        <f t="shared" si="7"/>
        <v>0.06</v>
      </c>
      <c r="N28" s="244">
        <f t="shared" si="7"/>
        <v>6.5000000000000002E-2</v>
      </c>
      <c r="O28" s="244">
        <f t="shared" si="7"/>
        <v>7.0000000000000007E-2</v>
      </c>
      <c r="P28" s="244">
        <f t="shared" si="7"/>
        <v>7.5000000000000011E-2</v>
      </c>
      <c r="Q28" s="244">
        <f t="shared" si="7"/>
        <v>8.0000000000000016E-2</v>
      </c>
      <c r="R28" s="244">
        <f t="shared" si="7"/>
        <v>8.500000000000002E-2</v>
      </c>
      <c r="S28" s="244">
        <f t="shared" si="7"/>
        <v>9.0000000000000024E-2</v>
      </c>
      <c r="T28" s="171"/>
      <c r="U28" s="171" t="s">
        <v>436</v>
      </c>
      <c r="V28" s="171"/>
      <c r="W28" s="238">
        <v>7.4999999999999997E-3</v>
      </c>
      <c r="Z28" s="234"/>
      <c r="AA28" s="234"/>
      <c r="AC28" s="207" t="s">
        <v>437</v>
      </c>
      <c r="AD28" s="207" t="s">
        <v>437</v>
      </c>
      <c r="AE28" s="207" t="s">
        <v>438</v>
      </c>
      <c r="AF28" s="234" t="s">
        <v>439</v>
      </c>
      <c r="AH28" s="179" t="s">
        <v>440</v>
      </c>
      <c r="AI28" s="179" t="s">
        <v>441</v>
      </c>
      <c r="AK28" s="179">
        <f t="shared" si="4"/>
        <v>18</v>
      </c>
      <c r="AL28" s="179" t="s">
        <v>442</v>
      </c>
      <c r="AM28" s="179" t="s">
        <v>443</v>
      </c>
      <c r="AN28" s="179" t="s">
        <v>444</v>
      </c>
      <c r="AP28" s="179" t="s">
        <v>321</v>
      </c>
      <c r="AQ28" s="179" t="s">
        <v>445</v>
      </c>
      <c r="AR28" s="179" t="s">
        <v>446</v>
      </c>
      <c r="AX28" s="179" t="e">
        <f ca="1">_xll.ciqfunctions.udf.CIQ("Nasdaq:AMZN", "IQ_BOND_LIST", 19)</f>
        <v>#NAME?</v>
      </c>
      <c r="AY28" s="204" t="e">
        <f ca="1">IF($AX28="","",IF(_xll.ciqfunctions.udf.CIQ($AX28,"iq_offer_date")&gt;Date,0,_xll.ciqfunctions.udf.CIQ($AX28,"iq_offer_date")))</f>
        <v>#NAME?</v>
      </c>
      <c r="AZ28" s="205" t="e">
        <f ca="1">IF($AX28="","",RANK(AY28,$AY$10:$AY$510)+COUNTIF($AY$10:AY28,AY28)-1)</f>
        <v>#NAME?</v>
      </c>
      <c r="BE28" s="179">
        <f t="shared" si="5"/>
        <v>19</v>
      </c>
      <c r="BF28" s="179" t="e">
        <f ca="1">_xll.ciqfunctions.udf.CIQ("Nasdaq:AMZN", "IQ_FIXED_INCOME_LIST", 19)</f>
        <v>#NAME?</v>
      </c>
      <c r="BG28" s="207" t="e">
        <f ca="1">IF($BF28="","",_xll.ciqfunctions.udf.CIQ($BF28,"iq_security_level"))</f>
        <v>#NAME?</v>
      </c>
      <c r="BH28" s="179" t="e">
        <f t="shared" ca="1" si="6"/>
        <v>#NAME?</v>
      </c>
      <c r="BJ28" s="179" t="e">
        <f t="shared" ca="1" si="3"/>
        <v>#NAME?</v>
      </c>
      <c r="BK28" s="208" t="e">
        <f ca="1">IF($BJ28="","",_xll.ciqfunctions.udf.CIQ($BJ28,"iq_bond_coupon")/100)</f>
        <v>#NAME?</v>
      </c>
    </row>
    <row r="29" spans="1:63" s="179" customFormat="1" ht="14.25" customHeight="1">
      <c r="A29" s="171"/>
      <c r="B29" s="171"/>
      <c r="C29" s="171"/>
      <c r="D29" s="171"/>
      <c r="E29" s="171"/>
      <c r="F29" s="171"/>
      <c r="G29" s="171"/>
      <c r="H29" s="171"/>
      <c r="I29" s="171"/>
      <c r="J29" s="245">
        <f>J30-$W$27</f>
        <v>0.35000000000000003</v>
      </c>
      <c r="K29" s="246">
        <f t="dataTable" ref="K29:S35" dt2D="1" dtr="0" r1="H39" r2="H42"/>
        <v>5.9755164821024019E-2</v>
      </c>
      <c r="L29" s="247">
        <v>6.0821676421024019E-2</v>
      </c>
      <c r="M29" s="247">
        <v>6.188818802102402E-2</v>
      </c>
      <c r="N29" s="247">
        <v>6.2954699621024013E-2</v>
      </c>
      <c r="O29" s="247">
        <v>6.4021211221024027E-2</v>
      </c>
      <c r="P29" s="247">
        <v>6.5087722821024027E-2</v>
      </c>
      <c r="Q29" s="247">
        <v>6.6154234421024027E-2</v>
      </c>
      <c r="R29" s="247">
        <v>6.7220746021024028E-2</v>
      </c>
      <c r="S29" s="247">
        <v>6.8287257621024028E-2</v>
      </c>
      <c r="T29" s="171"/>
      <c r="U29" s="171" t="s">
        <v>447</v>
      </c>
      <c r="V29" s="171"/>
      <c r="W29" s="238">
        <v>0.05</v>
      </c>
      <c r="Z29" s="234"/>
      <c r="AA29" s="234"/>
      <c r="AC29" s="207" t="s">
        <v>448</v>
      </c>
      <c r="AD29" s="207" t="s">
        <v>448</v>
      </c>
      <c r="AE29" s="207" t="s">
        <v>449</v>
      </c>
      <c r="AF29" s="234" t="s">
        <v>450</v>
      </c>
      <c r="AH29" s="179" t="s">
        <v>451</v>
      </c>
      <c r="AI29" s="179" t="s">
        <v>452</v>
      </c>
      <c r="AK29" s="179">
        <f t="shared" si="4"/>
        <v>19</v>
      </c>
      <c r="AL29" s="179" t="s">
        <v>366</v>
      </c>
      <c r="AM29" s="179" t="s">
        <v>453</v>
      </c>
      <c r="AN29" s="179" t="s">
        <v>454</v>
      </c>
      <c r="AP29" s="179" t="s">
        <v>328</v>
      </c>
      <c r="AQ29" s="179" t="s">
        <v>455</v>
      </c>
      <c r="AR29" s="179" t="s">
        <v>456</v>
      </c>
      <c r="AX29" s="179" t="e">
        <f ca="1">_xll.ciqfunctions.udf.CIQ("Nasdaq:AMZN", "IQ_BOND_LIST", 20)</f>
        <v>#NAME?</v>
      </c>
      <c r="AY29" s="204" t="e">
        <f ca="1">IF($AX29="","",IF(_xll.ciqfunctions.udf.CIQ($AX29,"iq_offer_date")&gt;Date,0,_xll.ciqfunctions.udf.CIQ($AX29,"iq_offer_date")))</f>
        <v>#NAME?</v>
      </c>
      <c r="AZ29" s="205" t="e">
        <f ca="1">IF($AX29="","",RANK(AY29,$AY$10:$AY$510)+COUNTIF($AY$10:AY29,AY29)-1)</f>
        <v>#NAME?</v>
      </c>
      <c r="BE29" s="179">
        <f t="shared" si="5"/>
        <v>20</v>
      </c>
      <c r="BF29" s="179" t="e">
        <f ca="1">_xll.ciqfunctions.udf.CIQ("Nasdaq:AMZN", "IQ_FIXED_INCOME_LIST", 20)</f>
        <v>#NAME?</v>
      </c>
      <c r="BG29" s="207" t="e">
        <f ca="1">IF($BF29="","",_xll.ciqfunctions.udf.CIQ($BF29,"iq_security_level"))</f>
        <v>#NAME?</v>
      </c>
      <c r="BH29" s="179" t="e">
        <f t="shared" ca="1" si="6"/>
        <v>#NAME?</v>
      </c>
      <c r="BJ29" s="179" t="e">
        <f t="shared" ca="1" si="3"/>
        <v>#NAME?</v>
      </c>
      <c r="BK29" s="208" t="e">
        <f ca="1">IF($BJ29="","",_xll.ciqfunctions.udf.CIQ($BJ29,"iq_bond_coupon")/100)</f>
        <v>#NAME?</v>
      </c>
    </row>
    <row r="30" spans="1:63" s="179" customFormat="1" ht="14.25" customHeight="1">
      <c r="A30" s="171" t="s">
        <v>457</v>
      </c>
      <c r="B30" s="171"/>
      <c r="C30" s="171"/>
      <c r="D30" s="171"/>
      <c r="E30" s="171"/>
      <c r="F30" s="171"/>
      <c r="G30" s="171"/>
      <c r="H30" s="230">
        <f>H10-H9</f>
        <v>4.8173749999999994E-2</v>
      </c>
      <c r="I30" s="171"/>
      <c r="J30" s="245">
        <f>J31-$W$27</f>
        <v>0.4</v>
      </c>
      <c r="K30" s="248">
        <v>5.7502595219406788E-2</v>
      </c>
      <c r="L30" s="249">
        <v>5.872146561940679E-2</v>
      </c>
      <c r="M30" s="249">
        <v>5.9940336019406792E-2</v>
      </c>
      <c r="N30" s="249">
        <v>6.1159206419406788E-2</v>
      </c>
      <c r="O30" s="249">
        <v>6.237807681940679E-2</v>
      </c>
      <c r="P30" s="249">
        <v>6.3596947219406785E-2</v>
      </c>
      <c r="Q30" s="249">
        <v>6.4815817619406801E-2</v>
      </c>
      <c r="R30" s="249">
        <v>6.603468801940679E-2</v>
      </c>
      <c r="S30" s="249">
        <v>6.7253558419406792E-2</v>
      </c>
      <c r="T30" s="171"/>
      <c r="U30" s="171"/>
      <c r="V30" s="171"/>
      <c r="W30" s="171"/>
      <c r="Z30" s="234"/>
      <c r="AA30" s="234"/>
      <c r="AC30" s="207" t="s">
        <v>458</v>
      </c>
      <c r="AD30" s="207" t="s">
        <v>458</v>
      </c>
      <c r="AE30" s="207" t="s">
        <v>459</v>
      </c>
      <c r="AF30" s="234" t="s">
        <v>460</v>
      </c>
      <c r="AH30" s="179" t="s">
        <v>257</v>
      </c>
      <c r="AI30" s="179" t="s">
        <v>461</v>
      </c>
      <c r="AP30" s="179" t="s">
        <v>328</v>
      </c>
      <c r="AQ30" s="179" t="s">
        <v>462</v>
      </c>
      <c r="AR30" s="179" t="s">
        <v>463</v>
      </c>
      <c r="AX30" s="179" t="e">
        <f ca="1">_xll.ciqfunctions.udf.CIQ("Nasdaq:AMZN", "IQ_BOND_LIST", 21)</f>
        <v>#NAME?</v>
      </c>
      <c r="AY30" s="204" t="e">
        <f ca="1">IF($AX30="","",IF(_xll.ciqfunctions.udf.CIQ($AX30,"iq_offer_date")&gt;Date,0,_xll.ciqfunctions.udf.CIQ($AX30,"iq_offer_date")))</f>
        <v>#NAME?</v>
      </c>
      <c r="AZ30" s="205" t="e">
        <f ca="1">IF($AX30="","",RANK(AY30,$AY$10:$AY$510)+COUNTIF($AY$10:AY30,AY30)-1)</f>
        <v>#NAME?</v>
      </c>
      <c r="BE30" s="179">
        <f t="shared" si="5"/>
        <v>21</v>
      </c>
      <c r="BF30" s="179" t="e">
        <f ca="1">_xll.ciqfunctions.udf.CIQ("Nasdaq:AMZN", "IQ_FIXED_INCOME_LIST", 21)</f>
        <v>#NAME?</v>
      </c>
      <c r="BG30" s="207" t="e">
        <f ca="1">IF($BF30="","",_xll.ciqfunctions.udf.CIQ($BF30,"iq_security_level"))</f>
        <v>#NAME?</v>
      </c>
      <c r="BH30" s="179" t="e">
        <f t="shared" ca="1" si="6"/>
        <v>#NAME?</v>
      </c>
      <c r="BJ30" s="179" t="e">
        <f t="shared" ca="1" si="3"/>
        <v>#NAME?</v>
      </c>
      <c r="BK30" s="208" t="e">
        <f ca="1">IF($BJ30="","",_xll.ciqfunctions.udf.CIQ($BJ30,"iq_bond_coupon")/100)</f>
        <v>#NAME?</v>
      </c>
    </row>
    <row r="31" spans="1:63" s="179" customFormat="1" ht="14.25" customHeight="1">
      <c r="A31" s="171" t="str">
        <f>"Multiplied by: "&amp;TEXT($B$1,"TTTTTT")&amp;IF($W$17=1," Bottom-Up Beta"," Regression Beta")</f>
        <v>Multiplied by: Nasdaq:AMZN Bottom-Up Beta</v>
      </c>
      <c r="B31" s="171"/>
      <c r="C31" s="171"/>
      <c r="D31" s="171"/>
      <c r="E31" s="171"/>
      <c r="F31" s="171"/>
      <c r="G31" s="171"/>
      <c r="H31" s="250">
        <f>IF($W$17=1,W18,$W$19)</f>
        <v>0.89931035122540093</v>
      </c>
      <c r="I31" s="230"/>
      <c r="J31" s="245">
        <f>J32-$W$27</f>
        <v>0.45</v>
      </c>
      <c r="K31" s="248">
        <v>5.5250025617789564E-2</v>
      </c>
      <c r="L31" s="249">
        <v>5.6621254817789568E-2</v>
      </c>
      <c r="M31" s="249">
        <v>5.7992484017789565E-2</v>
      </c>
      <c r="N31" s="249">
        <v>5.9363713217789563E-2</v>
      </c>
      <c r="O31" s="249">
        <v>6.0734942417789567E-2</v>
      </c>
      <c r="P31" s="249">
        <v>6.2106171617789571E-2</v>
      </c>
      <c r="Q31" s="249">
        <v>6.3477400817789575E-2</v>
      </c>
      <c r="R31" s="249">
        <v>6.4848630017789566E-2</v>
      </c>
      <c r="S31" s="249">
        <v>6.621985921778957E-2</v>
      </c>
      <c r="T31" s="171"/>
      <c r="U31" s="171"/>
      <c r="V31" s="171"/>
      <c r="W31" s="171"/>
      <c r="AC31" s="207" t="s">
        <v>464</v>
      </c>
      <c r="AD31" s="207" t="s">
        <v>465</v>
      </c>
      <c r="AE31" s="207" t="s">
        <v>466</v>
      </c>
      <c r="AF31" s="234" t="s">
        <v>467</v>
      </c>
      <c r="AP31" s="179" t="s">
        <v>328</v>
      </c>
      <c r="AQ31" s="179" t="s">
        <v>468</v>
      </c>
      <c r="AR31" s="179" t="s">
        <v>469</v>
      </c>
      <c r="AX31" s="179" t="e">
        <f ca="1">_xll.ciqfunctions.udf.CIQ("Nasdaq:AMZN", "IQ_BOND_LIST", 22)</f>
        <v>#NAME?</v>
      </c>
      <c r="AY31" s="204" t="e">
        <f ca="1">IF($AX31="","",IF(_xll.ciqfunctions.udf.CIQ($AX31,"iq_offer_date")&gt;Date,0,_xll.ciqfunctions.udf.CIQ($AX31,"iq_offer_date")))</f>
        <v>#NAME?</v>
      </c>
      <c r="AZ31" s="205" t="e">
        <f ca="1">IF($AX31="","",RANK(AY31,$AY$10:$AY$510)+COUNTIF($AY$10:AY31,AY31)-1)</f>
        <v>#NAME?</v>
      </c>
      <c r="BE31" s="179">
        <f t="shared" si="5"/>
        <v>22</v>
      </c>
      <c r="BF31" s="179" t="e">
        <f ca="1">_xll.ciqfunctions.udf.CIQ("Nasdaq:AMZN", "IQ_FIXED_INCOME_LIST", 22)</f>
        <v>#NAME?</v>
      </c>
      <c r="BG31" s="207" t="e">
        <f ca="1">IF($BF31="","",_xll.ciqfunctions.udf.CIQ($BF31,"iq_security_level"))</f>
        <v>#NAME?</v>
      </c>
      <c r="BH31" s="179" t="e">
        <f t="shared" ca="1" si="6"/>
        <v>#NAME?</v>
      </c>
      <c r="BJ31" s="179" t="e">
        <f t="shared" ca="1" si="3"/>
        <v>#NAME?</v>
      </c>
      <c r="BK31" s="208" t="e">
        <f ca="1">IF($BJ31="","",_xll.ciqfunctions.udf.CIQ($BJ31,"iq_bond_coupon")/100)</f>
        <v>#NAME?</v>
      </c>
    </row>
    <row r="32" spans="1:63" s="179" customFormat="1" ht="14.25" customHeight="1">
      <c r="A32" s="171" t="s">
        <v>470</v>
      </c>
      <c r="B32" s="171"/>
      <c r="C32" s="171"/>
      <c r="D32" s="171"/>
      <c r="E32" s="171"/>
      <c r="F32" s="171"/>
      <c r="G32" s="171"/>
      <c r="H32" s="230">
        <f>+H30*H31</f>
        <v>4.3323152032344651E-2</v>
      </c>
      <c r="I32" s="171"/>
      <c r="J32" s="189">
        <v>0.5</v>
      </c>
      <c r="K32" s="248">
        <v>5.2997456016172326E-2</v>
      </c>
      <c r="L32" s="249">
        <v>5.4521044016172332E-2</v>
      </c>
      <c r="M32" s="249">
        <v>5.6044632016172324E-2</v>
      </c>
      <c r="N32" s="249">
        <v>5.7568220016172331E-2</v>
      </c>
      <c r="O32" s="249">
        <v>5.909180801617233E-2</v>
      </c>
      <c r="P32" s="249">
        <v>6.0615396016172329E-2</v>
      </c>
      <c r="Q32" s="249">
        <v>6.2138984016172336E-2</v>
      </c>
      <c r="R32" s="249">
        <v>6.3662572016172342E-2</v>
      </c>
      <c r="S32" s="249">
        <v>6.5186160016172334E-2</v>
      </c>
      <c r="T32" s="171"/>
      <c r="U32" s="171"/>
      <c r="V32" s="171"/>
      <c r="W32" s="171"/>
      <c r="AC32" s="207" t="s">
        <v>471</v>
      </c>
      <c r="AD32" s="207" t="s">
        <v>471</v>
      </c>
      <c r="AE32" s="207" t="s">
        <v>472</v>
      </c>
      <c r="AF32" s="207" t="s">
        <v>410</v>
      </c>
      <c r="AP32" s="179" t="s">
        <v>328</v>
      </c>
      <c r="AQ32" s="179" t="s">
        <v>473</v>
      </c>
      <c r="AR32" s="179" t="s">
        <v>474</v>
      </c>
      <c r="AX32" s="179" t="e">
        <f ca="1">_xll.ciqfunctions.udf.CIQ("Nasdaq:AMZN", "IQ_BOND_LIST", 23)</f>
        <v>#NAME?</v>
      </c>
      <c r="AY32" s="204" t="e">
        <f ca="1">IF($AX32="","",IF(_xll.ciqfunctions.udf.CIQ($AX32,"iq_offer_date")&gt;Date,0,_xll.ciqfunctions.udf.CIQ($AX32,"iq_offer_date")))</f>
        <v>#NAME?</v>
      </c>
      <c r="AZ32" s="205" t="e">
        <f ca="1">IF($AX32="","",RANK(AY32,$AY$10:$AY$510)+COUNTIF($AY$10:AY32,AY32)-1)</f>
        <v>#NAME?</v>
      </c>
      <c r="BE32" s="179">
        <f t="shared" si="5"/>
        <v>23</v>
      </c>
      <c r="BF32" s="179" t="e">
        <f ca="1">_xll.ciqfunctions.udf.CIQ("Nasdaq:AMZN", "IQ_FIXED_INCOME_LIST", 23)</f>
        <v>#NAME?</v>
      </c>
      <c r="BG32" s="207" t="e">
        <f ca="1">IF($BF32="","",_xll.ciqfunctions.udf.CIQ($BF32,"iq_security_level"))</f>
        <v>#NAME?</v>
      </c>
      <c r="BH32" s="179" t="e">
        <f t="shared" ca="1" si="6"/>
        <v>#NAME?</v>
      </c>
      <c r="BJ32" s="179" t="e">
        <f t="shared" ca="1" si="3"/>
        <v>#NAME?</v>
      </c>
      <c r="BK32" s="208" t="e">
        <f ca="1">IF($BJ32="","",_xll.ciqfunctions.udf.CIQ($BJ32,"iq_bond_coupon")/100)</f>
        <v>#NAME?</v>
      </c>
    </row>
    <row r="33" spans="1:63" s="179" customFormat="1" ht="14.25" customHeight="1">
      <c r="A33" s="171" t="s">
        <v>475</v>
      </c>
      <c r="B33" s="171"/>
      <c r="C33" s="171"/>
      <c r="D33" s="171"/>
      <c r="E33" s="171"/>
      <c r="F33" s="171"/>
      <c r="G33" s="171"/>
      <c r="H33" s="230">
        <f>+H9</f>
        <v>3.2199999999999999E-2</v>
      </c>
      <c r="I33" s="171"/>
      <c r="J33" s="245">
        <f>J32+$W$27</f>
        <v>0.55000000000000004</v>
      </c>
      <c r="K33" s="248">
        <v>5.0744886414555088E-2</v>
      </c>
      <c r="L33" s="249">
        <v>5.2420833214555096E-2</v>
      </c>
      <c r="M33" s="249">
        <v>5.409678001455509E-2</v>
      </c>
      <c r="N33" s="249">
        <v>5.5772726814555092E-2</v>
      </c>
      <c r="O33" s="249">
        <v>5.7448673614555093E-2</v>
      </c>
      <c r="P33" s="249">
        <v>5.9124620414555101E-2</v>
      </c>
      <c r="Q33" s="249">
        <v>6.0800567214555096E-2</v>
      </c>
      <c r="R33" s="249">
        <v>6.2476514014555104E-2</v>
      </c>
      <c r="S33" s="249">
        <v>6.4152460814555098E-2</v>
      </c>
      <c r="T33" s="171"/>
      <c r="U33" s="171"/>
      <c r="V33" s="171"/>
      <c r="W33" s="171"/>
      <c r="AC33" s="207" t="s">
        <v>476</v>
      </c>
      <c r="AD33" s="207" t="s">
        <v>477</v>
      </c>
      <c r="AF33" s="207" t="s">
        <v>478</v>
      </c>
      <c r="AH33" s="251" t="s">
        <v>479</v>
      </c>
      <c r="AI33" s="251"/>
      <c r="AP33" s="179" t="s">
        <v>328</v>
      </c>
      <c r="AQ33" s="179" t="s">
        <v>480</v>
      </c>
      <c r="AR33" s="179" t="s">
        <v>481</v>
      </c>
      <c r="AX33" s="179" t="e">
        <f ca="1">_xll.ciqfunctions.udf.CIQ("Nasdaq:AMZN", "IQ_BOND_LIST", 24)</f>
        <v>#NAME?</v>
      </c>
      <c r="AY33" s="204" t="e">
        <f ca="1">IF($AX33="","",IF(_xll.ciqfunctions.udf.CIQ($AX33,"iq_offer_date")&gt;Date,0,_xll.ciqfunctions.udf.CIQ($AX33,"iq_offer_date")))</f>
        <v>#NAME?</v>
      </c>
      <c r="AZ33" s="205" t="e">
        <f ca="1">IF($AX33="","",RANK(AY33,$AY$10:$AY$510)+COUNTIF($AY$10:AY33,AY33)-1)</f>
        <v>#NAME?</v>
      </c>
      <c r="BE33" s="179">
        <f t="shared" si="5"/>
        <v>24</v>
      </c>
      <c r="BF33" s="179" t="e">
        <f ca="1">_xll.ciqfunctions.udf.CIQ("Nasdaq:AMZN", "IQ_FIXED_INCOME_LIST", 24)</f>
        <v>#NAME?</v>
      </c>
      <c r="BG33" s="207" t="e">
        <f ca="1">IF($BF33="","",_xll.ciqfunctions.udf.CIQ($BF33,"iq_security_level"))</f>
        <v>#NAME?</v>
      </c>
      <c r="BH33" s="179" t="e">
        <f t="shared" ca="1" si="6"/>
        <v>#NAME?</v>
      </c>
      <c r="BJ33" s="179" t="e">
        <f t="shared" ca="1" si="3"/>
        <v>#NAME?</v>
      </c>
      <c r="BK33" s="208" t="e">
        <f ca="1">IF($BJ33="","",_xll.ciqfunctions.udf.CIQ($BJ33,"iq_bond_coupon")/100)</f>
        <v>#NAME?</v>
      </c>
    </row>
    <row r="34" spans="1:63" s="179" customFormat="1" ht="14.25" customHeight="1">
      <c r="A34" s="171" t="s">
        <v>482</v>
      </c>
      <c r="B34" s="171"/>
      <c r="C34" s="171"/>
      <c r="D34" s="171"/>
      <c r="E34" s="171"/>
      <c r="F34" s="171"/>
      <c r="G34" s="171"/>
      <c r="H34" s="252">
        <f>+H11</f>
        <v>0</v>
      </c>
      <c r="I34" s="171"/>
      <c r="J34" s="245">
        <f>J33+$W$27</f>
        <v>0.60000000000000009</v>
      </c>
      <c r="K34" s="248">
        <v>4.8492316812937863E-2</v>
      </c>
      <c r="L34" s="249">
        <v>5.032062241293786E-2</v>
      </c>
      <c r="M34" s="249">
        <v>5.2148928012937856E-2</v>
      </c>
      <c r="N34" s="249">
        <v>5.397723361293786E-2</v>
      </c>
      <c r="O34" s="249">
        <v>5.5805539212937863E-2</v>
      </c>
      <c r="P34" s="249">
        <v>5.7633844812937866E-2</v>
      </c>
      <c r="Q34" s="249">
        <v>5.946215041293787E-2</v>
      </c>
      <c r="R34" s="249">
        <v>6.1290456012937866E-2</v>
      </c>
      <c r="S34" s="249">
        <v>6.3118761612937876E-2</v>
      </c>
      <c r="T34" s="171"/>
      <c r="U34" s="171"/>
      <c r="V34" s="171"/>
      <c r="W34" s="171"/>
      <c r="AC34" s="207" t="s">
        <v>483</v>
      </c>
      <c r="AD34" s="207" t="s">
        <v>484</v>
      </c>
      <c r="AE34" s="207" t="e">
        <f ca="1">_xll.ciqfunctions.udf.CIQ($B$1,"IQ_SP_ISSUER_RATING",Date,"LT_LC","RATING")</f>
        <v>#NAME?</v>
      </c>
      <c r="AF34" s="207" t="s">
        <v>485</v>
      </c>
      <c r="AH34" s="253" t="e">
        <f>YEAR(Date)-1</f>
        <v>#NAME?</v>
      </c>
      <c r="AI34" s="254" t="e">
        <f ca="1">IF(_xll.ciqfunctions.udf.CIQPC($N$1,"IQ_LASTSALEPRICE","-1Y",DATE(AH34,12,31))/100=0,"NA",_xll.ciqfunctions.udf.CIQPC($N$1,"IQ_LASTSALEPRICE","-1Y",DATE(AH34,12,31))/100)</f>
        <v>#NAME?</v>
      </c>
      <c r="AP34" s="179" t="s">
        <v>328</v>
      </c>
      <c r="AQ34" s="179" t="s">
        <v>486</v>
      </c>
      <c r="AR34" s="179" t="s">
        <v>487</v>
      </c>
      <c r="AX34" s="179" t="e">
        <f ca="1">_xll.ciqfunctions.udf.CIQ("Nasdaq:AMZN", "IQ_BOND_LIST", 25)</f>
        <v>#NAME?</v>
      </c>
      <c r="AY34" s="204" t="e">
        <f ca="1">IF($AX34="","",IF(_xll.ciqfunctions.udf.CIQ($AX34,"iq_offer_date")&gt;Date,0,_xll.ciqfunctions.udf.CIQ($AX34,"iq_offer_date")))</f>
        <v>#NAME?</v>
      </c>
      <c r="AZ34" s="205" t="e">
        <f ca="1">IF($AX34="","",RANK(AY34,$AY$10:$AY$510)+COUNTIF($AY$10:AY34,AY34)-1)</f>
        <v>#NAME?</v>
      </c>
      <c r="BE34" s="179">
        <f t="shared" si="5"/>
        <v>25</v>
      </c>
      <c r="BF34" s="179" t="e">
        <f ca="1">_xll.ciqfunctions.udf.CIQ("Nasdaq:AMZN", "IQ_FIXED_INCOME_LIST", 25)</f>
        <v>#NAME?</v>
      </c>
      <c r="BG34" s="207" t="e">
        <f ca="1">IF($BF34="","",_xll.ciqfunctions.udf.CIQ($BF34,"iq_security_level"))</f>
        <v>#NAME?</v>
      </c>
      <c r="BH34" s="179" t="e">
        <f t="shared" ca="1" si="6"/>
        <v>#NAME?</v>
      </c>
      <c r="BJ34" s="179" t="e">
        <f t="shared" ca="1" si="3"/>
        <v>#NAME?</v>
      </c>
      <c r="BK34" s="208" t="e">
        <f ca="1">IF($BJ34="","",_xll.ciqfunctions.udf.CIQ($BJ34,"iq_bond_coupon")/100)</f>
        <v>#NAME?</v>
      </c>
    </row>
    <row r="35" spans="1:63" s="179" customFormat="1" ht="14.25" customHeight="1">
      <c r="A35" s="169" t="s">
        <v>488</v>
      </c>
      <c r="B35" s="171"/>
      <c r="C35" s="171"/>
      <c r="D35" s="171"/>
      <c r="E35" s="171"/>
      <c r="F35" s="171"/>
      <c r="G35" s="171"/>
      <c r="H35" s="255">
        <f>+H32+H33+H34</f>
        <v>7.5523152032344651E-2</v>
      </c>
      <c r="I35" s="171"/>
      <c r="J35" s="245">
        <f>J34+$W$27</f>
        <v>0.65000000000000013</v>
      </c>
      <c r="K35" s="248">
        <v>4.6239747211320625E-2</v>
      </c>
      <c r="L35" s="249">
        <v>4.8220411611320624E-2</v>
      </c>
      <c r="M35" s="249">
        <v>5.0201076011320622E-2</v>
      </c>
      <c r="N35" s="249">
        <v>5.2181740411320621E-2</v>
      </c>
      <c r="O35" s="249">
        <v>5.4162404811320633E-2</v>
      </c>
      <c r="P35" s="249">
        <v>5.6143069211320631E-2</v>
      </c>
      <c r="Q35" s="249">
        <v>5.812373361132063E-2</v>
      </c>
      <c r="R35" s="249">
        <v>6.0104398011320642E-2</v>
      </c>
      <c r="S35" s="249">
        <v>6.2085062411320641E-2</v>
      </c>
      <c r="T35" s="171"/>
      <c r="U35" s="171"/>
      <c r="V35" s="171"/>
      <c r="W35" s="171"/>
      <c r="AC35" s="207" t="s">
        <v>489</v>
      </c>
      <c r="AD35" s="207" t="s">
        <v>489</v>
      </c>
      <c r="AE35" s="207" t="e">
        <f ca="1">IF(AND(ISERROR(SEARCH("-",AE34,1)),ISERROR(SEARCH("+",AE34,1))),AE34,LEFT(AE34,LEN(AE34)-1))</f>
        <v>#NAME?</v>
      </c>
      <c r="AF35" s="207" t="s">
        <v>490</v>
      </c>
      <c r="AH35" s="253" t="e">
        <f>AH34-1</f>
        <v>#NAME?</v>
      </c>
      <c r="AI35" s="254" t="e">
        <f ca="1">IF(_xll.ciqfunctions.udf.CIQPC($N$1,"IQ_LASTSALEPRICE","-1Y",DATE(AH35,12,31))/100=0,"NA",_xll.ciqfunctions.udf.CIQPC($N$1,"IQ_LASTSALEPRICE","-1Y",DATE(AH35,12,31))/100)</f>
        <v>#NAME?</v>
      </c>
      <c r="AP35" s="179" t="s">
        <v>328</v>
      </c>
      <c r="AQ35" s="179" t="s">
        <v>491</v>
      </c>
      <c r="AR35" s="179" t="s">
        <v>492</v>
      </c>
      <c r="AX35" s="179" t="e">
        <f ca="1">_xll.ciqfunctions.udf.CIQ("Nasdaq:AMZN", "IQ_BOND_LIST", 26)</f>
        <v>#NAME?</v>
      </c>
      <c r="AY35" s="204" t="e">
        <f ca="1">IF($AX35="","",IF(_xll.ciqfunctions.udf.CIQ($AX35,"iq_offer_date")&gt;Date,0,_xll.ciqfunctions.udf.CIQ($AX35,"iq_offer_date")))</f>
        <v>#NAME?</v>
      </c>
      <c r="AZ35" s="205" t="e">
        <f ca="1">IF($AX35="","",RANK(AY35,$AY$10:$AY$510)+COUNTIF($AY$10:AY35,AY35)-1)</f>
        <v>#NAME?</v>
      </c>
      <c r="BE35" s="179">
        <f t="shared" si="5"/>
        <v>26</v>
      </c>
      <c r="BF35" s="179" t="e">
        <f ca="1">_xll.ciqfunctions.udf.CIQ("Nasdaq:AMZN", "IQ_FIXED_INCOME_LIST", 26)</f>
        <v>#NAME?</v>
      </c>
      <c r="BG35" s="207" t="e">
        <f ca="1">IF($BF35="","",_xll.ciqfunctions.udf.CIQ($BF35,"iq_security_level"))</f>
        <v>#NAME?</v>
      </c>
      <c r="BH35" s="179" t="e">
        <f t="shared" ca="1" si="6"/>
        <v>#NAME?</v>
      </c>
      <c r="BJ35" s="179" t="e">
        <f t="shared" ca="1" si="3"/>
        <v>#NAME?</v>
      </c>
      <c r="BK35" s="208" t="e">
        <f ca="1">IF($BJ35="","",_xll.ciqfunctions.udf.CIQ($BJ35,"iq_bond_coupon")/100)</f>
        <v>#NAME?</v>
      </c>
    </row>
    <row r="36" spans="1:63" s="179" customFormat="1" ht="14.25" customHeight="1">
      <c r="A36" s="171" t="str">
        <f>"Multiplied by: "&amp;TEXT($B$1,"TTTTTT")&amp;" E/(D+P+E)"</f>
        <v>Multiplied by: Nasdaq:AMZN E/(D+P+E)</v>
      </c>
      <c r="B36" s="171"/>
      <c r="C36" s="171"/>
      <c r="D36" s="171"/>
      <c r="E36" s="171"/>
      <c r="F36" s="171"/>
      <c r="G36" s="171"/>
      <c r="H36" s="252">
        <f>1-H42-H46</f>
        <v>0.94785879384432747</v>
      </c>
      <c r="I36" s="171"/>
      <c r="J36" s="171"/>
      <c r="K36" s="171"/>
      <c r="L36" s="171"/>
      <c r="M36" s="171"/>
      <c r="N36" s="256"/>
      <c r="O36" s="171"/>
      <c r="P36" s="171"/>
      <c r="Q36" s="171"/>
      <c r="R36" s="171"/>
      <c r="S36" s="171"/>
      <c r="T36" s="171"/>
      <c r="U36" s="171"/>
      <c r="V36" s="171"/>
      <c r="W36" s="171"/>
      <c r="AC36" s="207" t="e">
        <f ca="1">VLOOKUP(AC24,AC25:AD35,2,0)</f>
        <v>#NAME?</v>
      </c>
      <c r="AD36" s="207" t="s">
        <v>493</v>
      </c>
      <c r="AE36" s="207"/>
      <c r="AF36" s="207" t="s">
        <v>494</v>
      </c>
      <c r="AH36" s="253" t="e">
        <f t="shared" ref="AH36:AH43" si="8">AH35-1</f>
        <v>#NAME?</v>
      </c>
      <c r="AI36" s="254" t="e">
        <f ca="1">IF(_xll.ciqfunctions.udf.CIQPC($N$1,"IQ_LASTSALEPRICE","-1Y",DATE(AH36,12,31))/100=0,"NA",_xll.ciqfunctions.udf.CIQPC($N$1,"IQ_LASTSALEPRICE","-1Y",DATE(AH36,12,31))/100)</f>
        <v>#NAME?</v>
      </c>
      <c r="AP36" s="179" t="s">
        <v>328</v>
      </c>
      <c r="AQ36" s="179" t="s">
        <v>495</v>
      </c>
      <c r="AR36" s="179" t="s">
        <v>496</v>
      </c>
      <c r="AX36" s="179" t="e">
        <f ca="1">_xll.ciqfunctions.udf.CIQ("Nasdaq:AMZN", "IQ_BOND_LIST", 27)</f>
        <v>#NAME?</v>
      </c>
      <c r="AY36" s="204" t="e">
        <f ca="1">IF($AX36="","",IF(_xll.ciqfunctions.udf.CIQ($AX36,"iq_offer_date")&gt;Date,0,_xll.ciqfunctions.udf.CIQ($AX36,"iq_offer_date")))</f>
        <v>#NAME?</v>
      </c>
      <c r="AZ36" s="205" t="e">
        <f ca="1">IF($AX36="","",RANK(AY36,$AY$10:$AY$510)+COUNTIF($AY$10:AY36,AY36)-1)</f>
        <v>#NAME?</v>
      </c>
      <c r="BE36" s="179">
        <f t="shared" si="5"/>
        <v>27</v>
      </c>
      <c r="BF36" s="179" t="e">
        <f ca="1">_xll.ciqfunctions.udf.CIQ("Nasdaq:AMZN", "IQ_FIXED_INCOME_LIST", 27)</f>
        <v>#NAME?</v>
      </c>
      <c r="BG36" s="207" t="e">
        <f ca="1">IF($BF36="","",_xll.ciqfunctions.udf.CIQ($BF36,"iq_security_level"))</f>
        <v>#NAME?</v>
      </c>
      <c r="BH36" s="179" t="e">
        <f t="shared" ca="1" si="6"/>
        <v>#NAME?</v>
      </c>
      <c r="BJ36" s="179" t="e">
        <f t="shared" ca="1" si="3"/>
        <v>#NAME?</v>
      </c>
      <c r="BK36" s="208" t="e">
        <f ca="1">IF($BJ36="","",_xll.ciqfunctions.udf.CIQ($BJ36,"iq_bond_coupon")/100)</f>
        <v>#NAME?</v>
      </c>
    </row>
    <row r="37" spans="1:63" s="179" customFormat="1" ht="14.25" customHeight="1">
      <c r="A37" s="171" t="s">
        <v>497</v>
      </c>
      <c r="B37" s="171"/>
      <c r="C37" s="171"/>
      <c r="D37" s="171"/>
      <c r="E37" s="171"/>
      <c r="F37" s="171"/>
      <c r="G37" s="171"/>
      <c r="H37" s="230">
        <f>+H35*H36</f>
        <v>7.1585283792699975E-2</v>
      </c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AC37" s="207"/>
      <c r="AE37" s="207"/>
      <c r="AF37" s="207" t="s">
        <v>498</v>
      </c>
      <c r="AH37" s="253" t="e">
        <f t="shared" si="8"/>
        <v>#NAME?</v>
      </c>
      <c r="AI37" s="254" t="e">
        <f ca="1">IF(_xll.ciqfunctions.udf.CIQPC($N$1,"IQ_LASTSALEPRICE","-1Y",DATE(AH37,12,31))/100=0,"NA",_xll.ciqfunctions.udf.CIQPC($N$1,"IQ_LASTSALEPRICE","-1Y",DATE(AH37,12,31))/100)</f>
        <v>#NAME?</v>
      </c>
      <c r="AP37" s="179" t="s">
        <v>334</v>
      </c>
      <c r="AQ37" s="179" t="s">
        <v>499</v>
      </c>
      <c r="AR37" s="179" t="s">
        <v>500</v>
      </c>
      <c r="AX37" s="179" t="e">
        <f ca="1">_xll.ciqfunctions.udf.CIQ("Nasdaq:AMZN", "IQ_BOND_LIST", 28)</f>
        <v>#NAME?</v>
      </c>
      <c r="AY37" s="204" t="e">
        <f ca="1">IF($AX37="","",IF(_xll.ciqfunctions.udf.CIQ($AX37,"iq_offer_date")&gt;Date,0,_xll.ciqfunctions.udf.CIQ($AX37,"iq_offer_date")))</f>
        <v>#NAME?</v>
      </c>
      <c r="AZ37" s="205" t="e">
        <f ca="1">IF($AX37="","",RANK(AY37,$AY$10:$AY$510)+COUNTIF($AY$10:AY37,AY37)-1)</f>
        <v>#NAME?</v>
      </c>
      <c r="BE37" s="179">
        <f t="shared" si="5"/>
        <v>28</v>
      </c>
      <c r="BF37" s="179" t="e">
        <f ca="1">_xll.ciqfunctions.udf.CIQ("Nasdaq:AMZN", "IQ_FIXED_INCOME_LIST", 28)</f>
        <v>#NAME?</v>
      </c>
      <c r="BG37" s="207" t="e">
        <f ca="1">IF($BF37="","",_xll.ciqfunctions.udf.CIQ($BF37,"iq_security_level"))</f>
        <v>#NAME?</v>
      </c>
      <c r="BH37" s="179" t="e">
        <f t="shared" ca="1" si="6"/>
        <v>#NAME?</v>
      </c>
      <c r="BJ37" s="179" t="e">
        <f t="shared" ca="1" si="3"/>
        <v>#NAME?</v>
      </c>
      <c r="BK37" s="208" t="e">
        <f ca="1">IF($BJ37="","",_xll.ciqfunctions.udf.CIQ($BJ37,"iq_bond_coupon")/100)</f>
        <v>#NAME?</v>
      </c>
    </row>
    <row r="38" spans="1:63" s="179" customFormat="1" ht="14.25" customHeight="1">
      <c r="A38" s="171"/>
      <c r="B38" s="171"/>
      <c r="C38" s="171"/>
      <c r="D38" s="171"/>
      <c r="E38" s="171"/>
      <c r="F38" s="171"/>
      <c r="G38" s="171"/>
      <c r="H38" s="171"/>
      <c r="I38" s="171"/>
      <c r="J38" s="180" t="s">
        <v>397</v>
      </c>
      <c r="K38" s="181"/>
      <c r="L38" s="181"/>
      <c r="M38" s="181"/>
      <c r="N38" s="182"/>
      <c r="O38" s="182"/>
      <c r="P38" s="182"/>
      <c r="Q38" s="182"/>
      <c r="R38" s="182"/>
      <c r="S38" s="182"/>
      <c r="T38" s="171"/>
      <c r="U38" s="171"/>
      <c r="V38" s="171"/>
      <c r="W38" s="171"/>
      <c r="AC38" s="207"/>
      <c r="AE38" s="207"/>
      <c r="AF38" s="207" t="s">
        <v>501</v>
      </c>
      <c r="AH38" s="253" t="e">
        <f t="shared" si="8"/>
        <v>#NAME?</v>
      </c>
      <c r="AI38" s="254" t="e">
        <f ca="1">IF(_xll.ciqfunctions.udf.CIQPC($N$1,"IQ_LASTSALEPRICE","-1Y",DATE(AH38,12,31))/100=0,"NA",_xll.ciqfunctions.udf.CIQPC($N$1,"IQ_LASTSALEPRICE","-1Y",DATE(AH38,12,31))/100)</f>
        <v>#NAME?</v>
      </c>
      <c r="AP38" s="179" t="s">
        <v>334</v>
      </c>
      <c r="AQ38" s="179" t="s">
        <v>502</v>
      </c>
      <c r="AR38" s="179" t="s">
        <v>503</v>
      </c>
      <c r="AX38" s="179" t="e">
        <f ca="1">_xll.ciqfunctions.udf.CIQ("Nasdaq:AMZN", "IQ_BOND_LIST", 29)</f>
        <v>#NAME?</v>
      </c>
      <c r="AY38" s="204" t="e">
        <f ca="1">IF($AX38="","",IF(_xll.ciqfunctions.udf.CIQ($AX38,"iq_offer_date")&gt;Date,0,_xll.ciqfunctions.udf.CIQ($AX38,"iq_offer_date")))</f>
        <v>#NAME?</v>
      </c>
      <c r="AZ38" s="205" t="e">
        <f ca="1">IF($AX38="","",RANK(AY38,$AY$10:$AY$510)+COUNTIF($AY$10:AY38,AY38)-1)</f>
        <v>#NAME?</v>
      </c>
      <c r="BE38" s="179">
        <f t="shared" si="5"/>
        <v>29</v>
      </c>
      <c r="BF38" s="179" t="e">
        <f ca="1">_xll.ciqfunctions.udf.CIQ("Nasdaq:AMZN", "IQ_FIXED_INCOME_LIST", 29)</f>
        <v>#NAME?</v>
      </c>
      <c r="BG38" s="207" t="e">
        <f ca="1">IF($BF38="","",_xll.ciqfunctions.udf.CIQ($BF38,"iq_security_level"))</f>
        <v>#NAME?</v>
      </c>
      <c r="BH38" s="179" t="e">
        <f t="shared" ca="1" si="6"/>
        <v>#NAME?</v>
      </c>
      <c r="BJ38" s="179" t="e">
        <f t="shared" ca="1" si="3"/>
        <v>#NAME?</v>
      </c>
      <c r="BK38" s="208" t="e">
        <f ca="1">IF($BJ38="","",_xll.ciqfunctions.udf.CIQ($BJ38,"iq_bond_coupon")/100)</f>
        <v>#NAME?</v>
      </c>
    </row>
    <row r="39" spans="1:63" s="179" customFormat="1" ht="14.25" customHeight="1">
      <c r="A39" s="171" t="str">
        <f>IF($H$15="Company",A$16,$A$17)</f>
        <v>Nasdaq:AMZN Cost of Debt (Rd) - Average of Last 5 Issued Bonds</v>
      </c>
      <c r="B39" s="171"/>
      <c r="C39" s="171"/>
      <c r="D39" s="171"/>
      <c r="E39" s="171"/>
      <c r="F39" s="171"/>
      <c r="G39" s="230"/>
      <c r="H39" s="230">
        <f>IF($H$15="Company",$H$16,$H$17)</f>
        <v>2.8249999999999997E-2</v>
      </c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AC39" s="207"/>
      <c r="AE39" s="207"/>
      <c r="AF39" s="207" t="s">
        <v>504</v>
      </c>
      <c r="AH39" s="253" t="e">
        <f t="shared" si="8"/>
        <v>#NAME?</v>
      </c>
      <c r="AI39" s="254" t="e">
        <f ca="1">IF(_xll.ciqfunctions.udf.CIQPC($N$1,"IQ_LASTSALEPRICE","-1Y",DATE(AH39,12,31))/100=0,"NA",_xll.ciqfunctions.udf.CIQPC($N$1,"IQ_LASTSALEPRICE","-1Y",DATE(AH39,12,31))/100)</f>
        <v>#NAME?</v>
      </c>
      <c r="AP39" s="179" t="s">
        <v>334</v>
      </c>
      <c r="AQ39" s="179" t="s">
        <v>505</v>
      </c>
      <c r="AR39" s="179" t="s">
        <v>506</v>
      </c>
      <c r="AX39" s="179" t="e">
        <f ca="1">_xll.ciqfunctions.udf.CIQ("Nasdaq:AMZN", "IQ_BOND_LIST", 30)</f>
        <v>#NAME?</v>
      </c>
      <c r="AY39" s="204" t="e">
        <f ca="1">IF($AX39="","",IF(_xll.ciqfunctions.udf.CIQ($AX39,"iq_offer_date")&gt;Date,0,_xll.ciqfunctions.udf.CIQ($AX39,"iq_offer_date")))</f>
        <v>#NAME?</v>
      </c>
      <c r="AZ39" s="205" t="e">
        <f ca="1">IF($AX39="","",RANK(AY39,$AY$10:$AY$510)+COUNTIF($AY$10:AY39,AY39)-1)</f>
        <v>#NAME?</v>
      </c>
      <c r="BE39" s="179">
        <f t="shared" si="5"/>
        <v>30</v>
      </c>
      <c r="BF39" s="179" t="e">
        <f ca="1">_xll.ciqfunctions.udf.CIQ("Nasdaq:AMZN", "IQ_FIXED_INCOME_LIST", 30)</f>
        <v>#NAME?</v>
      </c>
      <c r="BG39" s="207" t="e">
        <f ca="1">IF($BF39="","",_xll.ciqfunctions.udf.CIQ($BF39,"iq_security_level"))</f>
        <v>#NAME?</v>
      </c>
      <c r="BH39" s="179" t="e">
        <f t="shared" ca="1" si="6"/>
        <v>#NAME?</v>
      </c>
      <c r="BJ39" s="179" t="e">
        <f t="shared" ca="1" si="3"/>
        <v>#NAME?</v>
      </c>
      <c r="BK39" s="208" t="e">
        <f ca="1">IF($BJ39="","",_xll.ciqfunctions.udf.CIQ($BJ39,"iq_bond_coupon")/100)</f>
        <v>#NAME?</v>
      </c>
    </row>
    <row r="40" spans="1:63" s="179" customFormat="1" ht="14.25" customHeight="1">
      <c r="A40" s="171" t="str">
        <f>A8</f>
        <v>Tax Rate (5 Year Average)</v>
      </c>
      <c r="B40" s="171"/>
      <c r="C40" s="171"/>
      <c r="D40" s="171"/>
      <c r="E40" s="171"/>
      <c r="F40" s="171"/>
      <c r="G40" s="171"/>
      <c r="H40" s="252">
        <f>+H8</f>
        <v>0.39056479999999999</v>
      </c>
      <c r="I40" s="171"/>
      <c r="J40" s="239" t="s">
        <v>507</v>
      </c>
      <c r="K40" s="240" t="s">
        <v>488</v>
      </c>
      <c r="L40" s="241"/>
      <c r="M40" s="241"/>
      <c r="N40" s="241"/>
      <c r="O40" s="241"/>
      <c r="P40" s="241"/>
      <c r="Q40" s="241"/>
      <c r="R40" s="241"/>
      <c r="S40" s="241"/>
      <c r="T40" s="171"/>
      <c r="U40" s="171"/>
      <c r="V40" s="171"/>
      <c r="W40" s="171"/>
      <c r="AC40" s="207"/>
      <c r="AE40" s="207"/>
      <c r="AF40" s="207" t="s">
        <v>508</v>
      </c>
      <c r="AH40" s="253" t="e">
        <f t="shared" si="8"/>
        <v>#NAME?</v>
      </c>
      <c r="AI40" s="254" t="e">
        <f ca="1">IF(_xll.ciqfunctions.udf.CIQPC($N$1,"IQ_LASTSALEPRICE","-1Y",DATE(AH40,12,31))/100=0,"NA",_xll.ciqfunctions.udf.CIQPC($N$1,"IQ_LASTSALEPRICE","-1Y",DATE(AH40,12,31))/100)</f>
        <v>#NAME?</v>
      </c>
      <c r="AP40" s="179" t="s">
        <v>334</v>
      </c>
      <c r="AQ40" s="179" t="s">
        <v>509</v>
      </c>
      <c r="AR40" s="179" t="s">
        <v>510</v>
      </c>
      <c r="AX40" s="179" t="e">
        <f ca="1">_xll.ciqfunctions.udf.CIQ("Nasdaq:AMZN", "IQ_BOND_LIST", 31)</f>
        <v>#NAME?</v>
      </c>
      <c r="AY40" s="204" t="e">
        <f ca="1">IF($AX40="","",IF(_xll.ciqfunctions.udf.CIQ($AX40,"iq_offer_date")&gt;Date,0,_xll.ciqfunctions.udf.CIQ($AX40,"iq_offer_date")))</f>
        <v>#NAME?</v>
      </c>
      <c r="AZ40" s="205" t="e">
        <f ca="1">IF($AX40="","",RANK(AY40,$AY$10:$AY$510)+COUNTIF($AY$10:AY40,AY40)-1)</f>
        <v>#NAME?</v>
      </c>
      <c r="BE40" s="179">
        <f t="shared" si="5"/>
        <v>31</v>
      </c>
      <c r="BF40" s="179" t="e">
        <f ca="1">_xll.ciqfunctions.udf.CIQ("Nasdaq:AMZN", "IQ_FIXED_INCOME_LIST", 31)</f>
        <v>#NAME?</v>
      </c>
      <c r="BG40" s="207" t="e">
        <f ca="1">IF($BF40="","",_xll.ciqfunctions.udf.CIQ($BF40,"iq_security_level"))</f>
        <v>#NAME?</v>
      </c>
      <c r="BH40" s="179" t="e">
        <f t="shared" ca="1" si="6"/>
        <v>#NAME?</v>
      </c>
      <c r="BJ40" s="179" t="e">
        <f t="shared" ca="1" si="3"/>
        <v>#NAME?</v>
      </c>
      <c r="BK40" s="208" t="e">
        <f ca="1">IF($BJ40="","",_xll.ciqfunctions.udf.CIQ($BJ40,"iq_bond_coupon")/100)</f>
        <v>#NAME?</v>
      </c>
    </row>
    <row r="41" spans="1:63" s="179" customFormat="1" ht="14.25" customHeight="1">
      <c r="A41" s="169" t="s">
        <v>511</v>
      </c>
      <c r="B41" s="171"/>
      <c r="C41" s="171"/>
      <c r="D41" s="171"/>
      <c r="E41" s="171"/>
      <c r="F41" s="171"/>
      <c r="G41" s="171"/>
      <c r="H41" s="255">
        <f>+H39*(1-H40)</f>
        <v>1.7216544399999999E-2</v>
      </c>
      <c r="I41" s="171"/>
      <c r="J41" s="242">
        <f>H49</f>
        <v>7.2482975183548667E-2</v>
      </c>
      <c r="K41" s="257">
        <f>L41-$W$28</f>
        <v>2.0000000000000004E-2</v>
      </c>
      <c r="L41" s="258">
        <f>M41-$W$28</f>
        <v>2.7500000000000004E-2</v>
      </c>
      <c r="M41" s="258">
        <f>N41-$W$28</f>
        <v>3.5000000000000003E-2</v>
      </c>
      <c r="N41" s="258">
        <f>O41-$W$28</f>
        <v>4.2500000000000003E-2</v>
      </c>
      <c r="O41" s="259">
        <v>0.05</v>
      </c>
      <c r="P41" s="258">
        <f>O41+$W$28</f>
        <v>5.7500000000000002E-2</v>
      </c>
      <c r="Q41" s="258">
        <f>P41+$W$28</f>
        <v>6.5000000000000002E-2</v>
      </c>
      <c r="R41" s="258">
        <f>Q41+$W$28</f>
        <v>7.2500000000000009E-2</v>
      </c>
      <c r="S41" s="258">
        <f>R41+$W$28</f>
        <v>8.0000000000000016E-2</v>
      </c>
      <c r="T41" s="171"/>
      <c r="U41" s="171"/>
      <c r="V41" s="171"/>
      <c r="W41" s="171"/>
      <c r="AC41" s="207"/>
      <c r="AE41" s="207"/>
      <c r="AF41" s="207" t="s">
        <v>512</v>
      </c>
      <c r="AH41" s="253" t="e">
        <f t="shared" si="8"/>
        <v>#NAME?</v>
      </c>
      <c r="AI41" s="254" t="e">
        <f ca="1">IF(_xll.ciqfunctions.udf.CIQPC($N$1,"IQ_LASTSALEPRICE","-1Y",DATE(AH41,12,31))/100=0,"NA",_xll.ciqfunctions.udf.CIQPC($N$1,"IQ_LASTSALEPRICE","-1Y",DATE(AH41,12,31))/100)</f>
        <v>#NAME?</v>
      </c>
      <c r="AP41" s="179" t="s">
        <v>334</v>
      </c>
      <c r="AQ41" s="179" t="s">
        <v>513</v>
      </c>
      <c r="AR41" s="179" t="s">
        <v>514</v>
      </c>
      <c r="AX41" s="179" t="e">
        <f ca="1">_xll.ciqfunctions.udf.CIQ("Nasdaq:AMZN", "IQ_BOND_LIST", 32)</f>
        <v>#NAME?</v>
      </c>
      <c r="AY41" s="204" t="e">
        <f ca="1">IF($AX41="","",IF(_xll.ciqfunctions.udf.CIQ($AX41,"iq_offer_date")&gt;Date,0,_xll.ciqfunctions.udf.CIQ($AX41,"iq_offer_date")))</f>
        <v>#NAME?</v>
      </c>
      <c r="AZ41" s="205" t="e">
        <f ca="1">IF($AX41="","",RANK(AY41,$AY$10:$AY$510)+COUNTIF($AY$10:AY41,AY41)-1)</f>
        <v>#NAME?</v>
      </c>
      <c r="BE41" s="179">
        <f t="shared" si="5"/>
        <v>32</v>
      </c>
      <c r="BF41" s="179" t="e">
        <f ca="1">_xll.ciqfunctions.udf.CIQ("Nasdaq:AMZN", "IQ_FIXED_INCOME_LIST", 32)</f>
        <v>#NAME?</v>
      </c>
      <c r="BG41" s="207" t="e">
        <f ca="1">IF($BF41="","",_xll.ciqfunctions.udf.CIQ($BF41,"iq_security_level"))</f>
        <v>#NAME?</v>
      </c>
      <c r="BH41" s="179" t="e">
        <f t="shared" ca="1" si="6"/>
        <v>#NAME?</v>
      </c>
      <c r="BJ41" s="179" t="e">
        <f t="shared" ca="1" si="3"/>
        <v>#NAME?</v>
      </c>
      <c r="BK41" s="208" t="e">
        <f ca="1">IF($BJ41="","",_xll.ciqfunctions.udf.CIQ($BJ41,"iq_bond_coupon")/100)</f>
        <v>#NAME?</v>
      </c>
    </row>
    <row r="42" spans="1:63" s="179" customFormat="1" ht="14.25" customHeight="1">
      <c r="A42" s="171" t="str">
        <f>"Multiplied by: "&amp;TEXT($B$1,"TTTTTT")&amp;" D/(D+P+E)"</f>
        <v>Multiplied by: Nasdaq:AMZN D/(D+P+E)</v>
      </c>
      <c r="B42" s="171"/>
      <c r="C42" s="171"/>
      <c r="D42" s="171"/>
      <c r="E42" s="171"/>
      <c r="F42" s="171"/>
      <c r="G42" s="171"/>
      <c r="H42" s="252">
        <f>+H12</f>
        <v>5.2141206155672574E-2</v>
      </c>
      <c r="I42" s="171"/>
      <c r="J42" s="245">
        <f>J43-$W$29</f>
        <v>0.35000000000000003</v>
      </c>
      <c r="K42" s="260">
        <f t="dataTable" ref="K42:S48" dt2D="1" dtr="0" r1="H35" r2="H36" ca="1"/>
        <v>7.897691390848692E-3</v>
      </c>
      <c r="L42" s="261">
        <v>1.0522691390848691E-2</v>
      </c>
      <c r="M42" s="261">
        <v>1.3147691390848693E-2</v>
      </c>
      <c r="N42" s="261">
        <v>1.5772691390848692E-2</v>
      </c>
      <c r="O42" s="261">
        <v>1.8397691390848691E-2</v>
      </c>
      <c r="P42" s="261">
        <v>2.1022691390848693E-2</v>
      </c>
      <c r="Q42" s="261">
        <v>2.3647691390848692E-2</v>
      </c>
      <c r="R42" s="261">
        <v>2.6272691390848694E-2</v>
      </c>
      <c r="S42" s="261">
        <v>2.8897691390848697E-2</v>
      </c>
      <c r="T42" s="171"/>
      <c r="U42" s="171"/>
      <c r="V42" s="171"/>
      <c r="W42" s="171"/>
      <c r="AC42" s="207"/>
      <c r="AE42" s="207"/>
      <c r="AF42" s="207" t="s">
        <v>515</v>
      </c>
      <c r="AH42" s="253" t="e">
        <f t="shared" si="8"/>
        <v>#NAME?</v>
      </c>
      <c r="AI42" s="254" t="e">
        <f ca="1">IF(_xll.ciqfunctions.udf.CIQPC($N$1,"IQ_LASTSALEPRICE","-1Y",DATE(AH42,12,31))/100=0,"NA",_xll.ciqfunctions.udf.CIQPC($N$1,"IQ_LASTSALEPRICE","-1Y",DATE(AH42,12,31))/100)</f>
        <v>#NAME?</v>
      </c>
      <c r="AP42" s="179" t="s">
        <v>334</v>
      </c>
      <c r="AQ42" s="179" t="s">
        <v>516</v>
      </c>
      <c r="AR42" s="179" t="s">
        <v>517</v>
      </c>
      <c r="AX42" s="179" t="e">
        <f ca="1">_xll.ciqfunctions.udf.CIQ("Nasdaq:AMZN", "IQ_BOND_LIST", 33)</f>
        <v>#NAME?</v>
      </c>
      <c r="AY42" s="204" t="e">
        <f ca="1">IF($AX42="","",IF(_xll.ciqfunctions.udf.CIQ($AX42,"iq_offer_date")&gt;Date,0,_xll.ciqfunctions.udf.CIQ($AX42,"iq_offer_date")))</f>
        <v>#NAME?</v>
      </c>
      <c r="AZ42" s="205" t="e">
        <f ca="1">IF($AX42="","",RANK(AY42,$AY$10:$AY$510)+COUNTIF($AY$10:AY42,AY42)-1)</f>
        <v>#NAME?</v>
      </c>
      <c r="BE42" s="179">
        <f t="shared" si="5"/>
        <v>33</v>
      </c>
      <c r="BF42" s="179" t="e">
        <f ca="1">_xll.ciqfunctions.udf.CIQ("Nasdaq:AMZN", "IQ_FIXED_INCOME_LIST", 33)</f>
        <v>#NAME?</v>
      </c>
      <c r="BG42" s="207" t="e">
        <f ca="1">IF($BF42="","",_xll.ciqfunctions.udf.CIQ($BF42,"iq_security_level"))</f>
        <v>#NAME?</v>
      </c>
      <c r="BH42" s="179" t="e">
        <f t="shared" ca="1" si="6"/>
        <v>#NAME?</v>
      </c>
      <c r="BJ42" s="179" t="e">
        <f t="shared" ca="1" si="3"/>
        <v>#NAME?</v>
      </c>
      <c r="BK42" s="208" t="e">
        <f ca="1">IF($BJ42="","",_xll.ciqfunctions.udf.CIQ($BJ42,"iq_bond_coupon")/100)</f>
        <v>#NAME?</v>
      </c>
    </row>
    <row r="43" spans="1:63" s="179" customFormat="1" ht="14.25" customHeight="1">
      <c r="A43" s="171" t="s">
        <v>518</v>
      </c>
      <c r="B43" s="171"/>
      <c r="C43" s="171"/>
      <c r="D43" s="171"/>
      <c r="E43" s="171"/>
      <c r="F43" s="171"/>
      <c r="G43" s="171"/>
      <c r="H43" s="230">
        <f>+H41*H42</f>
        <v>8.9769139084869016E-4</v>
      </c>
      <c r="I43" s="171"/>
      <c r="J43" s="245">
        <f>J44-$W$29</f>
        <v>0.4</v>
      </c>
      <c r="K43" s="262">
        <v>8.8976913908486929E-3</v>
      </c>
      <c r="L43" s="263">
        <v>1.1897691390848692E-2</v>
      </c>
      <c r="M43" s="263">
        <v>1.4897691390848691E-2</v>
      </c>
      <c r="N43" s="263">
        <v>1.7897691390848691E-2</v>
      </c>
      <c r="O43" s="263">
        <v>2.0897691390848693E-2</v>
      </c>
      <c r="P43" s="263">
        <v>2.3897691390848692E-2</v>
      </c>
      <c r="Q43" s="263">
        <v>2.6897691390848692E-2</v>
      </c>
      <c r="R43" s="263">
        <v>2.9897691390848694E-2</v>
      </c>
      <c r="S43" s="263">
        <v>3.28976913908487E-2</v>
      </c>
      <c r="T43" s="171"/>
      <c r="U43" s="171"/>
      <c r="V43" s="171"/>
      <c r="W43" s="171"/>
      <c r="AC43" s="207"/>
      <c r="AE43" s="207"/>
      <c r="AF43" s="207" t="s">
        <v>519</v>
      </c>
      <c r="AH43" s="253" t="e">
        <f t="shared" si="8"/>
        <v>#NAME?</v>
      </c>
      <c r="AI43" s="254" t="e">
        <f ca="1">IF(_xll.ciqfunctions.udf.CIQPC($N$1,"IQ_LASTSALEPRICE","-1Y",DATE(AH43,12,31))/100=0,"NA",_xll.ciqfunctions.udf.CIQPC($N$1,"IQ_LASTSALEPRICE","-1Y",DATE(AH43,12,31))/100)</f>
        <v>#NAME?</v>
      </c>
      <c r="AP43" s="179" t="s">
        <v>334</v>
      </c>
      <c r="AQ43" s="179" t="s">
        <v>520</v>
      </c>
      <c r="AR43" s="179" t="s">
        <v>521</v>
      </c>
      <c r="AX43" s="179" t="e">
        <f ca="1">_xll.ciqfunctions.udf.CIQ("Nasdaq:AMZN", "IQ_BOND_LIST", 34)</f>
        <v>#NAME?</v>
      </c>
      <c r="AY43" s="204" t="e">
        <f ca="1">IF($AX43="","",IF(_xll.ciqfunctions.udf.CIQ($AX43,"iq_offer_date")&gt;Date,0,_xll.ciqfunctions.udf.CIQ($AX43,"iq_offer_date")))</f>
        <v>#NAME?</v>
      </c>
      <c r="AZ43" s="205" t="e">
        <f ca="1">IF($AX43="","",RANK(AY43,$AY$10:$AY$510)+COUNTIF($AY$10:AY43,AY43)-1)</f>
        <v>#NAME?</v>
      </c>
      <c r="BE43" s="179">
        <f t="shared" si="5"/>
        <v>34</v>
      </c>
      <c r="BF43" s="179" t="e">
        <f ca="1">_xll.ciqfunctions.udf.CIQ("Nasdaq:AMZN", "IQ_FIXED_INCOME_LIST", 34)</f>
        <v>#NAME?</v>
      </c>
      <c r="BG43" s="207" t="e">
        <f ca="1">IF($BF43="","",_xll.ciqfunctions.udf.CIQ($BF43,"iq_security_level"))</f>
        <v>#NAME?</v>
      </c>
      <c r="BH43" s="179" t="e">
        <f t="shared" ca="1" si="6"/>
        <v>#NAME?</v>
      </c>
      <c r="BJ43" s="179" t="e">
        <f t="shared" ca="1" si="3"/>
        <v>#NAME?</v>
      </c>
      <c r="BK43" s="208" t="e">
        <f ca="1">IF($BJ43="","",_xll.ciqfunctions.udf.CIQ($BJ43,"iq_bond_coupon")/100)</f>
        <v>#NAME?</v>
      </c>
    </row>
    <row r="44" spans="1:63" s="179" customFormat="1" ht="14.25" customHeight="1">
      <c r="A44" s="171"/>
      <c r="B44" s="171"/>
      <c r="C44" s="171"/>
      <c r="D44" s="171"/>
      <c r="E44" s="171"/>
      <c r="F44" s="171"/>
      <c r="G44" s="171"/>
      <c r="H44" s="171"/>
      <c r="I44" s="171"/>
      <c r="J44" s="245">
        <f>J45-$W$29</f>
        <v>0.45</v>
      </c>
      <c r="K44" s="262">
        <v>9.8976913908486938E-3</v>
      </c>
      <c r="L44" s="263">
        <v>1.3272691390848693E-2</v>
      </c>
      <c r="M44" s="263">
        <v>1.6647691390848693E-2</v>
      </c>
      <c r="N44" s="263">
        <v>2.0022691390848692E-2</v>
      </c>
      <c r="O44" s="263">
        <v>2.3397691390848692E-2</v>
      </c>
      <c r="P44" s="263">
        <v>2.6772691390848691E-2</v>
      </c>
      <c r="Q44" s="263">
        <v>3.0147691390848691E-2</v>
      </c>
      <c r="R44" s="263">
        <v>3.3522691390848701E-2</v>
      </c>
      <c r="S44" s="263">
        <v>3.6897691390848704E-2</v>
      </c>
      <c r="T44" s="171"/>
      <c r="U44" s="171"/>
      <c r="V44" s="171"/>
      <c r="W44" s="171"/>
      <c r="AC44" s="207"/>
      <c r="AE44" s="207"/>
      <c r="AF44" s="207" t="s">
        <v>522</v>
      </c>
      <c r="AP44" s="179" t="s">
        <v>334</v>
      </c>
      <c r="AQ44" s="179" t="s">
        <v>523</v>
      </c>
      <c r="AR44" s="179" t="s">
        <v>524</v>
      </c>
      <c r="AX44" s="179" t="e">
        <f ca="1">_xll.ciqfunctions.udf.CIQ("Nasdaq:AMZN", "IQ_BOND_LIST", 35)</f>
        <v>#NAME?</v>
      </c>
      <c r="AY44" s="204" t="e">
        <f ca="1">IF($AX44="","",IF(_xll.ciqfunctions.udf.CIQ($AX44,"iq_offer_date")&gt;Date,0,_xll.ciqfunctions.udf.CIQ($AX44,"iq_offer_date")))</f>
        <v>#NAME?</v>
      </c>
      <c r="AZ44" s="205" t="e">
        <f ca="1">IF($AX44="","",RANK(AY44,$AY$10:$AY$510)+COUNTIF($AY$10:AY44,AY44)-1)</f>
        <v>#NAME?</v>
      </c>
      <c r="BE44" s="179">
        <f t="shared" si="5"/>
        <v>35</v>
      </c>
      <c r="BF44" s="179" t="e">
        <f ca="1">_xll.ciqfunctions.udf.CIQ("Nasdaq:AMZN", "IQ_FIXED_INCOME_LIST", 35)</f>
        <v>#NAME?</v>
      </c>
      <c r="BG44" s="207" t="e">
        <f ca="1">IF($BF44="","",_xll.ciqfunctions.udf.CIQ($BF44,"iq_security_level"))</f>
        <v>#NAME?</v>
      </c>
      <c r="BH44" s="179" t="e">
        <f t="shared" ca="1" si="6"/>
        <v>#NAME?</v>
      </c>
      <c r="BJ44" s="179" t="e">
        <f t="shared" ca="1" si="3"/>
        <v>#NAME?</v>
      </c>
      <c r="BK44" s="208" t="e">
        <f ca="1">IF($BJ44="","",_xll.ciqfunctions.udf.CIQ($BJ44,"iq_bond_coupon")/100)</f>
        <v>#NAME?</v>
      </c>
    </row>
    <row r="45" spans="1:63" s="179" customFormat="1" ht="14.25" customHeight="1">
      <c r="A45" s="169" t="str">
        <f>+A18</f>
        <v>Nasdaq:AMZN Cost of Preferred (Rp)</v>
      </c>
      <c r="B45" s="169"/>
      <c r="C45" s="169"/>
      <c r="D45" s="169"/>
      <c r="E45" s="169"/>
      <c r="F45" s="169"/>
      <c r="G45" s="169"/>
      <c r="H45" s="255">
        <f>+H18</f>
        <v>0</v>
      </c>
      <c r="I45" s="171"/>
      <c r="J45" s="189">
        <v>0.5</v>
      </c>
      <c r="K45" s="262">
        <v>1.0897691390848691E-2</v>
      </c>
      <c r="L45" s="263">
        <v>1.4647691390848691E-2</v>
      </c>
      <c r="M45" s="263">
        <v>1.8397691390848691E-2</v>
      </c>
      <c r="N45" s="263">
        <v>2.2147691390848691E-2</v>
      </c>
      <c r="O45" s="263">
        <v>2.5897691390848691E-2</v>
      </c>
      <c r="P45" s="263">
        <v>2.9647691390848691E-2</v>
      </c>
      <c r="Q45" s="263">
        <v>3.3397691390848694E-2</v>
      </c>
      <c r="R45" s="263">
        <v>3.7147691390848697E-2</v>
      </c>
      <c r="S45" s="263">
        <v>4.0897691390848701E-2</v>
      </c>
      <c r="T45" s="171"/>
      <c r="U45" s="171"/>
      <c r="V45" s="171"/>
      <c r="W45" s="171"/>
      <c r="AC45" s="207"/>
      <c r="AE45" s="207"/>
      <c r="AF45" s="207" t="s">
        <v>525</v>
      </c>
      <c r="AP45" s="179" t="s">
        <v>341</v>
      </c>
      <c r="AQ45" s="179" t="s">
        <v>526</v>
      </c>
      <c r="AR45" s="179" t="s">
        <v>527</v>
      </c>
      <c r="AX45" s="179" t="e">
        <f ca="1">_xll.ciqfunctions.udf.CIQ("Nasdaq:AMZN", "IQ_BOND_LIST", 36)</f>
        <v>#NAME?</v>
      </c>
      <c r="AY45" s="204" t="e">
        <f ca="1">IF($AX45="","",IF(_xll.ciqfunctions.udf.CIQ($AX45,"iq_offer_date")&gt;Date,0,_xll.ciqfunctions.udf.CIQ($AX45,"iq_offer_date")))</f>
        <v>#NAME?</v>
      </c>
      <c r="AZ45" s="205" t="e">
        <f ca="1">IF($AX45="","",RANK(AY45,$AY$10:$AY$510)+COUNTIF($AY$10:AY45,AY45)-1)</f>
        <v>#NAME?</v>
      </c>
      <c r="BE45" s="179">
        <f t="shared" si="5"/>
        <v>36</v>
      </c>
      <c r="BF45" s="179" t="e">
        <f ca="1">_xll.ciqfunctions.udf.CIQ("Nasdaq:AMZN", "IQ_FIXED_INCOME_LIST", 36)</f>
        <v>#NAME?</v>
      </c>
      <c r="BG45" s="207" t="e">
        <f ca="1">IF($BF45="","",_xll.ciqfunctions.udf.CIQ($BF45,"iq_security_level"))</f>
        <v>#NAME?</v>
      </c>
      <c r="BH45" s="179" t="e">
        <f t="shared" ca="1" si="6"/>
        <v>#NAME?</v>
      </c>
      <c r="BJ45" s="179" t="e">
        <f t="shared" ca="1" si="3"/>
        <v>#NAME?</v>
      </c>
      <c r="BK45" s="208" t="e">
        <f ca="1">IF($BJ45="","",_xll.ciqfunctions.udf.CIQ($BJ45,"iq_bond_coupon")/100)</f>
        <v>#NAME?</v>
      </c>
    </row>
    <row r="46" spans="1:63" s="179" customFormat="1" ht="14.25" customHeight="1">
      <c r="A46" s="171" t="str">
        <f>"Multiplied by: "&amp;TEXT($B$1,"TTTTTT")&amp;" P/(D+P+E)"</f>
        <v>Multiplied by: Nasdaq:AMZN P/(D+P+E)</v>
      </c>
      <c r="B46" s="171"/>
      <c r="C46" s="171"/>
      <c r="D46" s="171"/>
      <c r="E46" s="171"/>
      <c r="F46" s="171"/>
      <c r="G46" s="171"/>
      <c r="H46" s="252">
        <f>+W8/(W7+W8+W9)</f>
        <v>0</v>
      </c>
      <c r="I46" s="171"/>
      <c r="J46" s="245">
        <f>J45+$W$29</f>
        <v>0.55000000000000004</v>
      </c>
      <c r="K46" s="262">
        <v>1.1897691390848692E-2</v>
      </c>
      <c r="L46" s="263">
        <v>1.6022691390848692E-2</v>
      </c>
      <c r="M46" s="263">
        <v>2.0147691390848693E-2</v>
      </c>
      <c r="N46" s="263">
        <v>2.4272691390848693E-2</v>
      </c>
      <c r="O46" s="263">
        <v>2.8397691390848693E-2</v>
      </c>
      <c r="P46" s="263">
        <v>3.25226913908487E-2</v>
      </c>
      <c r="Q46" s="263">
        <v>3.6647691390848697E-2</v>
      </c>
      <c r="R46" s="263">
        <v>4.07726913908487E-2</v>
      </c>
      <c r="S46" s="263">
        <v>4.4897691390848704E-2</v>
      </c>
      <c r="T46" s="171"/>
      <c r="U46" s="171"/>
      <c r="V46" s="171"/>
      <c r="W46" s="171"/>
      <c r="AC46" s="207"/>
      <c r="AE46" s="207"/>
      <c r="AF46" s="207" t="s">
        <v>528</v>
      </c>
      <c r="AP46" s="179" t="s">
        <v>341</v>
      </c>
      <c r="AQ46" s="179" t="s">
        <v>529</v>
      </c>
      <c r="AR46" s="179" t="s">
        <v>530</v>
      </c>
      <c r="AX46" s="179" t="e">
        <f ca="1">_xll.ciqfunctions.udf.CIQ("Nasdaq:AMZN", "IQ_BOND_LIST", 37)</f>
        <v>#NAME?</v>
      </c>
      <c r="AY46" s="204" t="e">
        <f ca="1">IF($AX46="","",IF(_xll.ciqfunctions.udf.CIQ($AX46,"iq_offer_date")&gt;Date,0,_xll.ciqfunctions.udf.CIQ($AX46,"iq_offer_date")))</f>
        <v>#NAME?</v>
      </c>
      <c r="AZ46" s="205" t="e">
        <f ca="1">IF($AX46="","",RANK(AY46,$AY$10:$AY$510)+COUNTIF($AY$10:AY46,AY46)-1)</f>
        <v>#NAME?</v>
      </c>
      <c r="BE46" s="179">
        <f t="shared" si="5"/>
        <v>37</v>
      </c>
      <c r="BF46" s="179" t="e">
        <f ca="1">_xll.ciqfunctions.udf.CIQ("Nasdaq:AMZN", "IQ_FIXED_INCOME_LIST", 37)</f>
        <v>#NAME?</v>
      </c>
      <c r="BG46" s="207" t="e">
        <f ca="1">IF($BF46="","",_xll.ciqfunctions.udf.CIQ($BF46,"iq_security_level"))</f>
        <v>#NAME?</v>
      </c>
      <c r="BH46" s="179" t="e">
        <f t="shared" ca="1" si="6"/>
        <v>#NAME?</v>
      </c>
      <c r="BJ46" s="179" t="e">
        <f t="shared" ca="1" si="3"/>
        <v>#NAME?</v>
      </c>
      <c r="BK46" s="208" t="e">
        <f ca="1">IF($BJ46="","",_xll.ciqfunctions.udf.CIQ($BJ46,"iq_bond_coupon")/100)</f>
        <v>#NAME?</v>
      </c>
    </row>
    <row r="47" spans="1:63" s="179" customFormat="1" ht="14.25" customHeight="1">
      <c r="A47" s="171" t="s">
        <v>531</v>
      </c>
      <c r="B47" s="171"/>
      <c r="C47" s="171"/>
      <c r="D47" s="171"/>
      <c r="E47" s="171"/>
      <c r="F47" s="171"/>
      <c r="G47" s="171"/>
      <c r="H47" s="264">
        <f>+H45*H46</f>
        <v>0</v>
      </c>
      <c r="I47" s="171"/>
      <c r="J47" s="245">
        <f>J46+$W$29</f>
        <v>0.60000000000000009</v>
      </c>
      <c r="K47" s="262">
        <v>1.2897691390848693E-2</v>
      </c>
      <c r="L47" s="263">
        <v>1.7397691390848694E-2</v>
      </c>
      <c r="M47" s="263">
        <v>2.1897691390848694E-2</v>
      </c>
      <c r="N47" s="263">
        <v>2.6397691390848695E-2</v>
      </c>
      <c r="O47" s="263">
        <v>3.0897691390848695E-2</v>
      </c>
      <c r="P47" s="263">
        <v>3.5397691390848703E-2</v>
      </c>
      <c r="Q47" s="263">
        <v>3.98976913908487E-2</v>
      </c>
      <c r="R47" s="263">
        <v>4.4397691390848704E-2</v>
      </c>
      <c r="S47" s="263">
        <v>4.8897691390848708E-2</v>
      </c>
      <c r="T47" s="171"/>
      <c r="U47" s="171"/>
      <c r="V47" s="171"/>
      <c r="W47" s="171"/>
      <c r="AC47" s="207"/>
      <c r="AE47" s="207"/>
      <c r="AF47" s="207" t="s">
        <v>532</v>
      </c>
      <c r="AP47" s="179" t="s">
        <v>341</v>
      </c>
      <c r="AQ47" s="179" t="s">
        <v>533</v>
      </c>
      <c r="AR47" s="179" t="s">
        <v>534</v>
      </c>
      <c r="AX47" s="179" t="e">
        <f ca="1">_xll.ciqfunctions.udf.CIQ("Nasdaq:AMZN", "IQ_BOND_LIST", 38)</f>
        <v>#NAME?</v>
      </c>
      <c r="AY47" s="204" t="e">
        <f ca="1">IF($AX47="","",IF(_xll.ciqfunctions.udf.CIQ($AX47,"iq_offer_date")&gt;Date,0,_xll.ciqfunctions.udf.CIQ($AX47,"iq_offer_date")))</f>
        <v>#NAME?</v>
      </c>
      <c r="AZ47" s="205" t="e">
        <f ca="1">IF($AX47="","",RANK(AY47,$AY$10:$AY$510)+COUNTIF($AY$10:AY47,AY47)-1)</f>
        <v>#NAME?</v>
      </c>
      <c r="BE47" s="179">
        <f t="shared" si="5"/>
        <v>38</v>
      </c>
      <c r="BF47" s="179" t="e">
        <f ca="1">_xll.ciqfunctions.udf.CIQ("Nasdaq:AMZN", "IQ_FIXED_INCOME_LIST", 38)</f>
        <v>#NAME?</v>
      </c>
      <c r="BG47" s="207" t="e">
        <f ca="1">IF($BF47="","",_xll.ciqfunctions.udf.CIQ($BF47,"iq_security_level"))</f>
        <v>#NAME?</v>
      </c>
      <c r="BH47" s="179" t="e">
        <f t="shared" ca="1" si="6"/>
        <v>#NAME?</v>
      </c>
      <c r="BJ47" s="179" t="e">
        <f t="shared" ca="1" si="3"/>
        <v>#NAME?</v>
      </c>
      <c r="BK47" s="208" t="e">
        <f ca="1">IF($BJ47="","",_xll.ciqfunctions.udf.CIQ($BJ47,"iq_bond_coupon")/100)</f>
        <v>#NAME?</v>
      </c>
    </row>
    <row r="48" spans="1:63" s="179" customFormat="1" ht="14.25" customHeight="1">
      <c r="A48" s="171"/>
      <c r="B48" s="171"/>
      <c r="C48" s="171"/>
      <c r="D48" s="171"/>
      <c r="E48" s="171"/>
      <c r="F48" s="171"/>
      <c r="G48" s="171"/>
      <c r="H48" s="171"/>
      <c r="I48" s="171"/>
      <c r="J48" s="245">
        <f>J47+$W$29</f>
        <v>0.65000000000000013</v>
      </c>
      <c r="K48" s="262">
        <v>1.3897691390848694E-2</v>
      </c>
      <c r="L48" s="263">
        <v>1.8772691390848695E-2</v>
      </c>
      <c r="M48" s="263">
        <v>2.3647691390848696E-2</v>
      </c>
      <c r="N48" s="263">
        <v>2.8522691390848696E-2</v>
      </c>
      <c r="O48" s="263">
        <v>3.3397691390848701E-2</v>
      </c>
      <c r="P48" s="263">
        <v>3.8272691390848705E-2</v>
      </c>
      <c r="Q48" s="263">
        <v>4.3147691390848703E-2</v>
      </c>
      <c r="R48" s="263">
        <v>4.8022691390848707E-2</v>
      </c>
      <c r="S48" s="263">
        <v>5.2897691390848711E-2</v>
      </c>
      <c r="T48" s="171"/>
      <c r="U48" s="171"/>
      <c r="V48" s="171"/>
      <c r="W48" s="171"/>
      <c r="AC48" s="207"/>
      <c r="AE48" s="207"/>
      <c r="AF48" s="207" t="s">
        <v>535</v>
      </c>
      <c r="AP48" s="179" t="s">
        <v>341</v>
      </c>
      <c r="AQ48" s="179" t="s">
        <v>536</v>
      </c>
      <c r="AR48" s="179" t="s">
        <v>537</v>
      </c>
      <c r="AY48" s="204" t="str">
        <f>IF($AX48="","",IF(_xll.ciqfunctions.udf.CIQ($AX48,"iq_offer_date")&gt;Date,0,_xll.ciqfunctions.udf.CIQ($AX48,"iq_offer_date")))</f>
        <v/>
      </c>
      <c r="AZ48" s="205" t="str">
        <f>IF($AX48="","",RANK(AY48,$AY$10:$AY$510)+COUNTIF($AY$10:AY48,AY48)-1)</f>
        <v/>
      </c>
      <c r="BE48" s="179">
        <f t="shared" si="5"/>
        <v>39</v>
      </c>
      <c r="BF48" s="179" t="e">
        <f ca="1">_xll.ciqfunctions.udf.CIQ("Nasdaq:AMZN", "IQ_FIXED_INCOME_LIST", 39)</f>
        <v>#NAME?</v>
      </c>
      <c r="BG48" s="207" t="e">
        <f ca="1">IF($BF48="","",_xll.ciqfunctions.udf.CIQ($BF48,"iq_security_level"))</f>
        <v>#NAME?</v>
      </c>
      <c r="BH48" s="179" t="e">
        <f t="shared" ca="1" si="6"/>
        <v>#NAME?</v>
      </c>
      <c r="BJ48" s="179" t="e">
        <f t="shared" ca="1" si="3"/>
        <v>#NAME?</v>
      </c>
      <c r="BK48" s="208" t="e">
        <f ca="1">IF($BJ48="","",_xll.ciqfunctions.udf.CIQ($BJ48,"iq_bond_coupon")/100)</f>
        <v>#NAME?</v>
      </c>
    </row>
    <row r="49" spans="1:63" s="179" customFormat="1" ht="14.25" customHeight="1">
      <c r="A49" s="169" t="s">
        <v>435</v>
      </c>
      <c r="B49" s="171"/>
      <c r="C49" s="171"/>
      <c r="D49" s="171"/>
      <c r="E49" s="171"/>
      <c r="F49" s="171"/>
      <c r="G49" s="171"/>
      <c r="H49" s="282">
        <f>+H37+H43+H47</f>
        <v>7.2482975183548667E-2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AC49" s="207"/>
      <c r="AE49" s="207"/>
      <c r="AF49" s="207" t="s">
        <v>538</v>
      </c>
      <c r="AP49" s="179" t="s">
        <v>348</v>
      </c>
      <c r="AQ49" s="179" t="s">
        <v>539</v>
      </c>
      <c r="AR49" s="179" t="s">
        <v>540</v>
      </c>
      <c r="AY49" s="204" t="str">
        <f>IF($AX49="","",IF(_xll.ciqfunctions.udf.CIQ($AX49,"iq_offer_date")&gt;Date,0,_xll.ciqfunctions.udf.CIQ($AX49,"iq_offer_date")))</f>
        <v/>
      </c>
      <c r="AZ49" s="205" t="str">
        <f>IF($AX49="","",RANK(AY49,$AY$10:$AY$510)+COUNTIF($AY$10:AY49,AY49)-1)</f>
        <v/>
      </c>
      <c r="BE49" s="179">
        <f t="shared" si="5"/>
        <v>40</v>
      </c>
      <c r="BG49" s="207" t="str">
        <f>IF($BF49="","",_xll.ciqfunctions.udf.CIQ($BF49,"iq_security_level"))</f>
        <v/>
      </c>
      <c r="BH49" s="179" t="str">
        <f t="shared" si="6"/>
        <v/>
      </c>
      <c r="BJ49" s="179" t="str">
        <f t="shared" si="3"/>
        <v/>
      </c>
      <c r="BK49" s="208" t="str">
        <f>IF($BJ49="","",_xll.ciqfunctions.udf.CIQ($BJ49,"iq_bond_coupon")/100)</f>
        <v/>
      </c>
    </row>
    <row r="50" spans="1:63" s="179" customFormat="1" ht="14.25" customHeight="1">
      <c r="A50" s="213"/>
      <c r="B50" s="213"/>
      <c r="C50" s="213"/>
      <c r="D50" s="213"/>
      <c r="E50" s="213"/>
      <c r="F50" s="213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AC50" s="207"/>
      <c r="AE50" s="207"/>
      <c r="AF50" s="207" t="s">
        <v>541</v>
      </c>
      <c r="AP50" s="179" t="s">
        <v>348</v>
      </c>
      <c r="AQ50" s="179" t="s">
        <v>542</v>
      </c>
      <c r="AR50" s="179" t="s">
        <v>543</v>
      </c>
      <c r="AY50" s="204" t="str">
        <f>IF($AX50="","",IF(_xll.ciqfunctions.udf.CIQ($AX50,"iq_offer_date")&gt;Date,0,_xll.ciqfunctions.udf.CIQ($AX50,"iq_offer_date")))</f>
        <v/>
      </c>
      <c r="AZ50" s="205" t="str">
        <f>IF($AX50="","",RANK(AY50,$AY$10:$AY$510)+COUNTIF($AY$10:AY50,AY50)-1)</f>
        <v/>
      </c>
      <c r="BE50" s="179">
        <f t="shared" si="5"/>
        <v>41</v>
      </c>
      <c r="BG50" s="207" t="str">
        <f>IF($BF50="","",_xll.ciqfunctions.udf.CIQ($BF50,"iq_security_level"))</f>
        <v/>
      </c>
      <c r="BH50" s="179" t="str">
        <f t="shared" si="6"/>
        <v/>
      </c>
      <c r="BJ50" s="179" t="str">
        <f t="shared" si="3"/>
        <v/>
      </c>
      <c r="BK50" s="208" t="str">
        <f>IF($BJ50="","",_xll.ciqfunctions.udf.CIQ($BJ50,"iq_bond_coupon")/100)</f>
        <v/>
      </c>
    </row>
    <row r="51" spans="1:63" s="179" customFormat="1" ht="14.25" customHeight="1">
      <c r="A51" s="265" t="s">
        <v>544</v>
      </c>
      <c r="B51" s="266"/>
      <c r="C51" s="266"/>
      <c r="D51" s="266"/>
      <c r="E51" s="266"/>
      <c r="F51" s="175"/>
      <c r="G51" s="267"/>
      <c r="H51" s="267"/>
      <c r="I51" s="175"/>
      <c r="J51" s="171"/>
      <c r="K51" s="268"/>
      <c r="L51" s="268"/>
      <c r="M51" s="268"/>
      <c r="N51" s="268"/>
      <c r="O51" s="268"/>
      <c r="P51" s="268"/>
      <c r="Q51" s="268"/>
      <c r="R51" s="268"/>
      <c r="S51" s="268"/>
      <c r="T51" s="171"/>
      <c r="U51" s="171"/>
      <c r="V51" s="171"/>
      <c r="W51" s="171"/>
      <c r="AC51" s="207"/>
      <c r="AE51" s="207"/>
      <c r="AF51" s="207" t="s">
        <v>545</v>
      </c>
      <c r="AP51" s="179" t="s">
        <v>348</v>
      </c>
      <c r="AQ51" s="179" t="s">
        <v>546</v>
      </c>
      <c r="AR51" s="179" t="s">
        <v>547</v>
      </c>
      <c r="AY51" s="204" t="str">
        <f>IF($AX51="","",IF(_xll.ciqfunctions.udf.CIQ($AX51,"iq_offer_date")&gt;Date,0,_xll.ciqfunctions.udf.CIQ($AX51,"iq_offer_date")))</f>
        <v/>
      </c>
      <c r="AZ51" s="205" t="str">
        <f>IF($AX51="","",RANK(AY51,$AY$10:$AY$510)+COUNTIF($AY$10:AY51,AY51)-1)</f>
        <v/>
      </c>
      <c r="BE51" s="179">
        <f t="shared" si="5"/>
        <v>42</v>
      </c>
      <c r="BG51" s="207" t="str">
        <f>IF($BF51="","",_xll.ciqfunctions.udf.CIQ($BF51,"iq_security_level"))</f>
        <v/>
      </c>
      <c r="BH51" s="179" t="str">
        <f t="shared" si="6"/>
        <v/>
      </c>
      <c r="BJ51" s="179" t="str">
        <f t="shared" si="3"/>
        <v/>
      </c>
      <c r="BK51" s="208" t="str">
        <f>IF($BJ51="","",_xll.ciqfunctions.udf.CIQ($BJ51,"iq_bond_coupon")/100)</f>
        <v/>
      </c>
    </row>
    <row r="52" spans="1:63" s="179" customFormat="1" ht="14.25" customHeight="1">
      <c r="A52" s="175" t="str">
        <f>"(1) Interest on "&amp;AB20</f>
        <v>(1) Interest on United States Treasury Constant Maturity - 10 Year</v>
      </c>
      <c r="B52" s="175"/>
      <c r="C52" s="175"/>
      <c r="D52" s="175"/>
      <c r="E52" s="175"/>
      <c r="F52" s="175"/>
      <c r="G52" s="175"/>
      <c r="H52" s="175"/>
      <c r="I52" s="175"/>
      <c r="J52" s="171"/>
      <c r="K52" s="268"/>
      <c r="L52" s="268"/>
      <c r="M52" s="268"/>
      <c r="N52" s="268"/>
      <c r="O52" s="268"/>
      <c r="P52" s="268"/>
      <c r="Q52" s="268"/>
      <c r="R52" s="268"/>
      <c r="S52" s="268"/>
      <c r="T52" s="171"/>
      <c r="U52" s="171"/>
      <c r="V52" s="171"/>
      <c r="W52" s="171"/>
      <c r="AC52" s="207"/>
      <c r="AE52" s="207"/>
      <c r="AF52" s="207" t="s">
        <v>548</v>
      </c>
      <c r="AP52" s="179" t="s">
        <v>348</v>
      </c>
      <c r="AQ52" s="179" t="s">
        <v>549</v>
      </c>
      <c r="AR52" s="179" t="s">
        <v>550</v>
      </c>
      <c r="AY52" s="204" t="str">
        <f>IF($AX52="","",IF(_xll.ciqfunctions.udf.CIQ($AX52,"iq_offer_date")&gt;Date,0,_xll.ciqfunctions.udf.CIQ($AX52,"iq_offer_date")))</f>
        <v/>
      </c>
      <c r="AZ52" s="205" t="str">
        <f>IF($AX52="","",RANK(AY52,$AY$10:$AY$510)+COUNTIF($AY$10:AY52,AY52)-1)</f>
        <v/>
      </c>
      <c r="BE52" s="179">
        <f t="shared" si="5"/>
        <v>43</v>
      </c>
      <c r="BG52" s="207" t="str">
        <f>IF($BF52="","",_xll.ciqfunctions.udf.CIQ($BF52,"iq_security_level"))</f>
        <v/>
      </c>
      <c r="BH52" s="179" t="str">
        <f t="shared" si="6"/>
        <v/>
      </c>
      <c r="BK52" s="208"/>
    </row>
    <row r="53" spans="1:63" s="179" customFormat="1" ht="14.25" customHeight="1">
      <c r="A53" s="175" t="s">
        <v>551</v>
      </c>
      <c r="B53" s="175"/>
      <c r="C53" s="175"/>
      <c r="D53" s="175"/>
      <c r="E53" s="175"/>
      <c r="F53" s="175"/>
      <c r="G53" s="175"/>
      <c r="H53" s="175"/>
      <c r="I53" s="175"/>
      <c r="J53" s="171"/>
      <c r="K53" s="268"/>
      <c r="L53" s="268"/>
      <c r="M53" s="268"/>
      <c r="N53" s="268"/>
      <c r="O53" s="268"/>
      <c r="P53" s="268"/>
      <c r="Q53" s="268"/>
      <c r="R53" s="268"/>
      <c r="S53" s="268"/>
      <c r="T53" s="171"/>
      <c r="U53" s="171"/>
      <c r="V53" s="171"/>
      <c r="W53" s="171"/>
      <c r="AC53" s="207"/>
      <c r="AE53" s="207"/>
      <c r="AF53" s="207" t="s">
        <v>552</v>
      </c>
      <c r="AP53" s="179" t="s">
        <v>348</v>
      </c>
      <c r="AQ53" s="179" t="s">
        <v>553</v>
      </c>
      <c r="AR53" s="179" t="s">
        <v>554</v>
      </c>
      <c r="AY53" s="204" t="str">
        <f>IF($AX53="","",IF(_xll.ciqfunctions.udf.CIQ($AX53,"iq_offer_date")&gt;Date,0,_xll.ciqfunctions.udf.CIQ($AX53,"iq_offer_date")))</f>
        <v/>
      </c>
      <c r="AZ53" s="205" t="str">
        <f>IF($AX53="","",RANK(AY53,$AY$10:$AY$510)+COUNTIF($AY$10:AY53,AY53)-1)</f>
        <v/>
      </c>
      <c r="BE53" s="179">
        <f t="shared" si="5"/>
        <v>44</v>
      </c>
      <c r="BG53" s="207" t="str">
        <f>IF($BF53="","",_xll.ciqfunctions.udf.CIQ($BF53,"iq_security_level"))</f>
        <v/>
      </c>
      <c r="BH53" s="179" t="str">
        <f t="shared" si="6"/>
        <v/>
      </c>
      <c r="BJ53" s="179" t="str">
        <f t="shared" ref="BJ53:BJ116" si="9">IF($BF52="","",IF(ISERROR(INDEX($BF$10:$BF$509,MATCH(BE52,$BH$10:$BH$509,0))),"",INDEX($BF$10:$BF$509,MATCH(BE52,$BH$10:$BH$509,0))))</f>
        <v/>
      </c>
      <c r="BK53" s="208" t="str">
        <f>IF($BJ53="","",_xll.ciqfunctions.udf.CIQ($BJ53,"iq_bond_coupon")/100)</f>
        <v/>
      </c>
    </row>
    <row r="54" spans="1:63" s="179" customFormat="1" ht="14.25" customHeight="1">
      <c r="A54" s="175" t="s">
        <v>555</v>
      </c>
      <c r="B54" s="175"/>
      <c r="C54" s="175"/>
      <c r="D54" s="175"/>
      <c r="E54" s="175"/>
      <c r="F54" s="175"/>
      <c r="G54" s="175"/>
      <c r="H54" s="175"/>
      <c r="I54" s="175"/>
      <c r="J54" s="171"/>
      <c r="K54" s="268"/>
      <c r="L54" s="268"/>
      <c r="M54" s="268"/>
      <c r="N54" s="268"/>
      <c r="O54" s="268"/>
      <c r="P54" s="268"/>
      <c r="Q54" s="268"/>
      <c r="R54" s="268"/>
      <c r="S54" s="268"/>
      <c r="T54" s="171"/>
      <c r="U54" s="171"/>
      <c r="V54" s="171"/>
      <c r="W54" s="171"/>
      <c r="AC54" s="207"/>
      <c r="AE54" s="207"/>
      <c r="AF54" s="207" t="s">
        <v>556</v>
      </c>
      <c r="AP54" s="179" t="s">
        <v>348</v>
      </c>
      <c r="AQ54" s="179" t="s">
        <v>557</v>
      </c>
      <c r="AR54" s="179" t="s">
        <v>558</v>
      </c>
      <c r="AY54" s="204" t="str">
        <f>IF($AX54="","",IF(_xll.ciqfunctions.udf.CIQ($AX54,"iq_offer_date")&gt;Date,0,_xll.ciqfunctions.udf.CIQ($AX54,"iq_offer_date")))</f>
        <v/>
      </c>
      <c r="AZ54" s="205" t="str">
        <f>IF($AX54="","",RANK(AY54,$AY$10:$AY$510)+COUNTIF($AY$10:AY54,AY54)-1)</f>
        <v/>
      </c>
      <c r="BE54" s="179">
        <f t="shared" si="5"/>
        <v>45</v>
      </c>
      <c r="BG54" s="207" t="str">
        <f>IF($BF54="","",_xll.ciqfunctions.udf.CIQ($BF54,"iq_security_level"))</f>
        <v/>
      </c>
      <c r="BH54" s="179" t="str">
        <f t="shared" si="6"/>
        <v/>
      </c>
      <c r="BJ54" s="179" t="str">
        <f t="shared" si="9"/>
        <v/>
      </c>
      <c r="BK54" s="208" t="str">
        <f>IF($BJ54="","",_xll.ciqfunctions.udf.CIQ($BJ54,"iq_bond_coupon")/100)</f>
        <v/>
      </c>
    </row>
    <row r="55" spans="1:63" s="179" customFormat="1" ht="14.25" customHeight="1">
      <c r="A55" s="269" t="s">
        <v>559</v>
      </c>
      <c r="B55" s="175"/>
      <c r="C55" s="175"/>
      <c r="D55" s="175"/>
      <c r="E55" s="175"/>
      <c r="F55" s="175"/>
      <c r="G55" s="175"/>
      <c r="H55" s="175"/>
      <c r="I55" s="175"/>
      <c r="J55" s="171"/>
      <c r="K55" s="268"/>
      <c r="L55" s="268"/>
      <c r="M55" s="268"/>
      <c r="N55" s="268"/>
      <c r="O55" s="268"/>
      <c r="P55" s="268"/>
      <c r="Q55" s="268"/>
      <c r="R55" s="268"/>
      <c r="S55" s="268"/>
      <c r="T55" s="171"/>
      <c r="U55" s="171"/>
      <c r="V55" s="171"/>
      <c r="W55" s="171"/>
      <c r="AC55" s="207"/>
      <c r="AE55" s="207"/>
      <c r="AF55" s="207" t="s">
        <v>560</v>
      </c>
      <c r="AP55" s="179" t="s">
        <v>348</v>
      </c>
      <c r="AQ55" s="179" t="s">
        <v>561</v>
      </c>
      <c r="AR55" s="179" t="s">
        <v>562</v>
      </c>
      <c r="AY55" s="204" t="str">
        <f>IF($AX55="","",IF(_xll.ciqfunctions.udf.CIQ($AX55,"iq_offer_date")&gt;Date,0,_xll.ciqfunctions.udf.CIQ($AX55,"iq_offer_date")))</f>
        <v/>
      </c>
      <c r="AZ55" s="205" t="str">
        <f>IF($AX55="","",RANK(AY55,$AY$10:$AY$510)+COUNTIF($AY$10:AY55,AY55)-1)</f>
        <v/>
      </c>
      <c r="BE55" s="179">
        <f t="shared" si="5"/>
        <v>46</v>
      </c>
      <c r="BG55" s="207" t="str">
        <f>IF($BF55="","",_xll.ciqfunctions.udf.CIQ($BF55,"iq_security_level"))</f>
        <v/>
      </c>
      <c r="BH55" s="179" t="str">
        <f t="shared" si="6"/>
        <v/>
      </c>
      <c r="BJ55" s="179" t="str">
        <f t="shared" si="9"/>
        <v/>
      </c>
      <c r="BK55" s="208" t="str">
        <f>IF($BJ55="","",_xll.ciqfunctions.udf.CIQ($BJ55,"iq_bond_coupon")/100)</f>
        <v/>
      </c>
    </row>
    <row r="56" spans="1:63" s="179" customFormat="1" ht="14.25" customHeight="1">
      <c r="A56" s="270"/>
      <c r="B56" s="175"/>
      <c r="C56" s="175"/>
      <c r="D56" s="175"/>
      <c r="E56" s="175"/>
      <c r="F56" s="175"/>
      <c r="G56" s="175"/>
      <c r="H56" s="175"/>
      <c r="I56" s="175"/>
      <c r="J56" s="171"/>
      <c r="K56" s="268"/>
      <c r="L56" s="268"/>
      <c r="M56" s="268"/>
      <c r="N56" s="268"/>
      <c r="O56" s="268"/>
      <c r="P56" s="268"/>
      <c r="Q56" s="268"/>
      <c r="R56" s="268"/>
      <c r="S56" s="268"/>
      <c r="T56" s="171"/>
      <c r="U56" s="171"/>
      <c r="V56" s="171"/>
      <c r="W56" s="171"/>
      <c r="AC56" s="207"/>
      <c r="AE56" s="207"/>
      <c r="AF56" s="207" t="s">
        <v>563</v>
      </c>
      <c r="AP56" s="179" t="s">
        <v>348</v>
      </c>
      <c r="AQ56" s="179" t="s">
        <v>564</v>
      </c>
      <c r="AR56" s="179" t="s">
        <v>565</v>
      </c>
      <c r="AY56" s="204" t="str">
        <f>IF($AX56="","",IF(_xll.ciqfunctions.udf.CIQ($AX56,"iq_offer_date")&gt;Date,0,_xll.ciqfunctions.udf.CIQ($AX56,"iq_offer_date")))</f>
        <v/>
      </c>
      <c r="AZ56" s="205" t="str">
        <f>IF($AX56="","",RANK(AY56,$AY$10:$AY$510)+COUNTIF($AY$10:AY56,AY56)-1)</f>
        <v/>
      </c>
      <c r="BE56" s="179">
        <f t="shared" si="5"/>
        <v>47</v>
      </c>
      <c r="BG56" s="207" t="str">
        <f>IF($BF56="","",_xll.ciqfunctions.udf.CIQ($BF56,"iq_security_level"))</f>
        <v/>
      </c>
      <c r="BH56" s="179" t="str">
        <f t="shared" si="6"/>
        <v/>
      </c>
      <c r="BJ56" s="179" t="str">
        <f t="shared" si="9"/>
        <v/>
      </c>
      <c r="BK56" s="208" t="str">
        <f>IF($BJ56="","",_xll.ciqfunctions.udf.CIQ($BJ56,"iq_bond_coupon")/100)</f>
        <v/>
      </c>
    </row>
    <row r="57" spans="1:63" s="179" customFormat="1" ht="14.25" customHeight="1">
      <c r="L57" s="268"/>
      <c r="M57" s="268"/>
      <c r="N57" s="268"/>
      <c r="O57" s="268"/>
      <c r="P57" s="268"/>
      <c r="Q57" s="268"/>
      <c r="R57" s="268"/>
      <c r="S57" s="268"/>
      <c r="T57" s="268"/>
      <c r="U57" s="268"/>
      <c r="V57" s="268"/>
      <c r="AC57" s="207"/>
      <c r="AE57" s="207"/>
      <c r="AF57" s="207" t="s">
        <v>566</v>
      </c>
      <c r="AP57" s="179" t="s">
        <v>354</v>
      </c>
      <c r="AQ57" s="179" t="s">
        <v>567</v>
      </c>
      <c r="AR57" s="179" t="s">
        <v>568</v>
      </c>
      <c r="AY57" s="204" t="str">
        <f>IF($AX57="","",IF(_xll.ciqfunctions.udf.CIQ($AX57,"iq_offer_date")&gt;Date,0,_xll.ciqfunctions.udf.CIQ($AX57,"iq_offer_date")))</f>
        <v/>
      </c>
      <c r="AZ57" s="205" t="str">
        <f>IF($AX57="","",RANK(AY57,$AY$10:$AY$510)+COUNTIF($AY$10:AY57,AY57)-1)</f>
        <v/>
      </c>
      <c r="BE57" s="179">
        <f t="shared" si="5"/>
        <v>48</v>
      </c>
      <c r="BG57" s="207" t="str">
        <f>IF($BF57="","",_xll.ciqfunctions.udf.CIQ($BF57,"iq_security_level"))</f>
        <v/>
      </c>
      <c r="BH57" s="179" t="str">
        <f t="shared" si="6"/>
        <v/>
      </c>
      <c r="BJ57" s="179" t="str">
        <f t="shared" si="9"/>
        <v/>
      </c>
      <c r="BK57" s="208" t="str">
        <f>IF($BJ57="","",_xll.ciqfunctions.udf.CIQ($BJ57,"iq_bond_coupon")/100)</f>
        <v/>
      </c>
    </row>
    <row r="58" spans="1:63" s="179" customFormat="1" ht="14.25" customHeight="1">
      <c r="A58" s="213"/>
      <c r="B58" s="213"/>
      <c r="C58" s="213"/>
      <c r="D58" s="213"/>
      <c r="E58" s="213"/>
      <c r="F58" s="213"/>
      <c r="G58" s="213"/>
      <c r="H58" s="213"/>
      <c r="I58" s="213"/>
      <c r="J58" s="213"/>
      <c r="K58" s="213"/>
      <c r="L58" s="268"/>
      <c r="M58" s="268"/>
      <c r="N58" s="268"/>
      <c r="O58" s="268"/>
      <c r="P58" s="268"/>
      <c r="Q58" s="268"/>
      <c r="R58" s="268"/>
      <c r="S58" s="268"/>
      <c r="T58" s="268"/>
      <c r="U58" s="268"/>
      <c r="V58" s="268"/>
      <c r="AC58" s="207"/>
      <c r="AE58" s="207"/>
      <c r="AP58" s="179" t="s">
        <v>354</v>
      </c>
      <c r="AQ58" s="179" t="s">
        <v>569</v>
      </c>
      <c r="AR58" s="179" t="s">
        <v>570</v>
      </c>
      <c r="AY58" s="204" t="str">
        <f>IF($AX58="","",IF(_xll.ciqfunctions.udf.CIQ($AX58,"iq_offer_date")&gt;Date,0,_xll.ciqfunctions.udf.CIQ($AX58,"iq_offer_date")))</f>
        <v/>
      </c>
      <c r="AZ58" s="205" t="str">
        <f>IF($AX58="","",RANK(AY58,$AY$10:$AY$510)+COUNTIF($AY$10:AY58,AY58)-1)</f>
        <v/>
      </c>
      <c r="BE58" s="179">
        <f t="shared" si="5"/>
        <v>49</v>
      </c>
      <c r="BG58" s="207" t="str">
        <f>IF($BF58="","",_xll.ciqfunctions.udf.CIQ($BF58,"iq_security_level"))</f>
        <v/>
      </c>
      <c r="BH58" s="179" t="str">
        <f t="shared" si="6"/>
        <v/>
      </c>
      <c r="BJ58" s="179" t="str">
        <f t="shared" si="9"/>
        <v/>
      </c>
      <c r="BK58" s="208" t="str">
        <f>IF($BJ58="","",_xll.ciqfunctions.udf.CIQ($BJ58,"iq_bond_coupon")/100)</f>
        <v/>
      </c>
    </row>
    <row r="59" spans="1:63" ht="12" hidden="1" customHeight="1" outlineLevel="1">
      <c r="A59" s="213"/>
      <c r="B59" s="213"/>
      <c r="C59" s="213"/>
      <c r="D59" s="213"/>
      <c r="E59" s="213"/>
      <c r="F59" s="213"/>
      <c r="G59" s="213"/>
      <c r="H59" s="213"/>
      <c r="I59" s="213"/>
      <c r="AP59" s="177" t="s">
        <v>354</v>
      </c>
      <c r="AQ59" s="177" t="s">
        <v>571</v>
      </c>
      <c r="AR59" s="177" t="s">
        <v>572</v>
      </c>
      <c r="AY59" s="271" t="str">
        <f>IF($AX59="","",IF(_xll.ciqfunctions.udf.CIQ($AX59,"iq_offer_date")&gt;Date,0,_xll.ciqfunctions.udf.CIQ($AX59,"iq_offer_date")))</f>
        <v/>
      </c>
      <c r="AZ59" s="272" t="str">
        <f>IF($AX59="","",RANK(AY59,$AY$10:$AY$510)+COUNTIF($AY$10:AY59,AY59)-1)</f>
        <v/>
      </c>
      <c r="BE59" s="177">
        <f t="shared" si="5"/>
        <v>50</v>
      </c>
      <c r="BG59" s="273" t="str">
        <f>IF($BF59="","",_xll.ciqfunctions.udf.CIQ($BF59,"iq_security_level"))</f>
        <v/>
      </c>
      <c r="BH59" s="177" t="str">
        <f t="shared" si="6"/>
        <v/>
      </c>
      <c r="BJ59" s="177" t="str">
        <f t="shared" si="9"/>
        <v/>
      </c>
      <c r="BK59" s="274" t="str">
        <f>IF($BJ59="","",_xll.ciqfunctions.udf.CIQ($BJ59,"iq_bond_coupon")/100)</f>
        <v/>
      </c>
    </row>
    <row r="60" spans="1:63" ht="12" hidden="1" customHeight="1" outlineLevel="1">
      <c r="A60" s="213"/>
      <c r="B60" s="213"/>
      <c r="C60" s="213"/>
      <c r="D60" s="213"/>
      <c r="E60" s="213"/>
      <c r="F60" s="213"/>
      <c r="G60" s="213"/>
      <c r="H60" s="213"/>
      <c r="I60" s="213"/>
      <c r="AP60" s="177" t="s">
        <v>354</v>
      </c>
      <c r="AQ60" s="177" t="s">
        <v>573</v>
      </c>
      <c r="AR60" s="177" t="s">
        <v>574</v>
      </c>
      <c r="AY60" s="271" t="str">
        <f>IF($AX60="","",IF(_xll.ciqfunctions.udf.CIQ($AX60,"iq_offer_date")&gt;Date,0,_xll.ciqfunctions.udf.CIQ($AX60,"iq_offer_date")))</f>
        <v/>
      </c>
      <c r="AZ60" s="272" t="str">
        <f>IF($AX60="","",RANK(AY60,$AY$10:$AY$510)+COUNTIF($AY$10:AY60,AY60)-1)</f>
        <v/>
      </c>
      <c r="BE60" s="177">
        <f t="shared" si="5"/>
        <v>51</v>
      </c>
      <c r="BG60" s="273" t="str">
        <f>IF($BF60="","",_xll.ciqfunctions.udf.CIQ($BF60,"iq_security_level"))</f>
        <v/>
      </c>
      <c r="BH60" s="177" t="str">
        <f t="shared" si="6"/>
        <v/>
      </c>
      <c r="BJ60" s="177" t="str">
        <f t="shared" si="9"/>
        <v/>
      </c>
      <c r="BK60" s="274" t="str">
        <f>IF($BJ60="","",_xll.ciqfunctions.udf.CIQ($BJ60,"iq_bond_coupon")/100)</f>
        <v/>
      </c>
    </row>
    <row r="61" spans="1:63" ht="12" hidden="1" customHeight="1" outlineLevel="1">
      <c r="A61" s="213"/>
      <c r="B61" s="213"/>
      <c r="C61" s="213"/>
      <c r="D61" s="213"/>
      <c r="E61" s="213"/>
      <c r="F61" s="213"/>
      <c r="G61" s="213"/>
      <c r="H61" s="213"/>
      <c r="I61" s="213"/>
      <c r="AP61" s="177" t="s">
        <v>354</v>
      </c>
      <c r="AQ61" s="177" t="s">
        <v>575</v>
      </c>
      <c r="AR61" s="177" t="s">
        <v>576</v>
      </c>
      <c r="AY61" s="271" t="str">
        <f>IF($AX61="","",IF(_xll.ciqfunctions.udf.CIQ($AX61,"iq_offer_date")&gt;Date,0,_xll.ciqfunctions.udf.CIQ($AX61,"iq_offer_date")))</f>
        <v/>
      </c>
      <c r="AZ61" s="272" t="str">
        <f>IF($AX61="","",RANK(AY61,$AY$10:$AY$510)+COUNTIF($AY$10:AY61,AY61)-1)</f>
        <v/>
      </c>
      <c r="BE61" s="177">
        <f t="shared" si="5"/>
        <v>52</v>
      </c>
      <c r="BG61" s="273" t="str">
        <f>IF($BF61="","",_xll.ciqfunctions.udf.CIQ($BF61,"iq_security_level"))</f>
        <v/>
      </c>
      <c r="BH61" s="177" t="str">
        <f t="shared" si="6"/>
        <v/>
      </c>
      <c r="BJ61" s="177" t="str">
        <f t="shared" si="9"/>
        <v/>
      </c>
      <c r="BK61" s="274" t="str">
        <f>IF($BJ61="","",_xll.ciqfunctions.udf.CIQ($BJ61,"iq_bond_coupon")/100)</f>
        <v/>
      </c>
    </row>
    <row r="62" spans="1:63" ht="12" hidden="1" customHeight="1" outlineLevel="1">
      <c r="AP62" s="177" t="s">
        <v>354</v>
      </c>
      <c r="AQ62" s="177" t="s">
        <v>577</v>
      </c>
      <c r="AR62" s="177" t="s">
        <v>578</v>
      </c>
      <c r="AY62" s="271" t="str">
        <f>IF($AX62="","",IF(_xll.ciqfunctions.udf.CIQ($AX62,"iq_offer_date")&gt;Date,0,_xll.ciqfunctions.udf.CIQ($AX62,"iq_offer_date")))</f>
        <v/>
      </c>
      <c r="AZ62" s="272" t="str">
        <f>IF($AX62="","",RANK(AY62,$AY$10:$AY$510)+COUNTIF($AY$10:AY62,AY62)-1)</f>
        <v/>
      </c>
      <c r="BE62" s="177">
        <f t="shared" si="5"/>
        <v>53</v>
      </c>
      <c r="BG62" s="273" t="str">
        <f>IF($BF62="","",_xll.ciqfunctions.udf.CIQ($BF62,"iq_security_level"))</f>
        <v/>
      </c>
      <c r="BH62" s="177" t="str">
        <f t="shared" si="6"/>
        <v/>
      </c>
      <c r="BJ62" s="177" t="str">
        <f t="shared" si="9"/>
        <v/>
      </c>
      <c r="BK62" s="274" t="str">
        <f>IF($BJ62="","",_xll.ciqfunctions.udf.CIQ($BJ62,"iq_bond_coupon")/100)</f>
        <v/>
      </c>
    </row>
    <row r="63" spans="1:63" ht="12" hidden="1" customHeight="1" outlineLevel="1">
      <c r="AP63" s="177" t="s">
        <v>354</v>
      </c>
      <c r="AQ63" s="177" t="s">
        <v>579</v>
      </c>
      <c r="AR63" s="177" t="s">
        <v>580</v>
      </c>
      <c r="AY63" s="271" t="str">
        <f>IF($AX63="","",IF(_xll.ciqfunctions.udf.CIQ($AX63,"iq_offer_date")&gt;Date,0,_xll.ciqfunctions.udf.CIQ($AX63,"iq_offer_date")))</f>
        <v/>
      </c>
      <c r="AZ63" s="272" t="str">
        <f>IF($AX63="","",RANK(AY63,$AY$10:$AY$510)+COUNTIF($AY$10:AY63,AY63)-1)</f>
        <v/>
      </c>
      <c r="BE63" s="177">
        <f t="shared" si="5"/>
        <v>54</v>
      </c>
      <c r="BG63" s="273" t="str">
        <f>IF($BF63="","",_xll.ciqfunctions.udf.CIQ($BF63,"iq_security_level"))</f>
        <v/>
      </c>
      <c r="BH63" s="177" t="str">
        <f t="shared" si="6"/>
        <v/>
      </c>
      <c r="BJ63" s="177" t="str">
        <f t="shared" si="9"/>
        <v/>
      </c>
      <c r="BK63" s="274" t="str">
        <f>IF($BJ63="","",_xll.ciqfunctions.udf.CIQ($BJ63,"iq_bond_coupon")/100)</f>
        <v/>
      </c>
    </row>
    <row r="64" spans="1:63" ht="12" hidden="1" customHeight="1" outlineLevel="1">
      <c r="AP64" s="177" t="s">
        <v>354</v>
      </c>
      <c r="AQ64" s="177" t="s">
        <v>581</v>
      </c>
      <c r="AR64" s="177" t="s">
        <v>582</v>
      </c>
      <c r="AY64" s="271" t="str">
        <f>IF($AX64="","",IF(_xll.ciqfunctions.udf.CIQ($AX64,"iq_offer_date")&gt;Date,0,_xll.ciqfunctions.udf.CIQ($AX64,"iq_offer_date")))</f>
        <v/>
      </c>
      <c r="AZ64" s="272" t="str">
        <f>IF($AX64="","",RANK(AY64,$AY$10:$AY$510)+COUNTIF($AY$10:AY64,AY64)-1)</f>
        <v/>
      </c>
      <c r="BE64" s="177">
        <f t="shared" si="5"/>
        <v>55</v>
      </c>
      <c r="BG64" s="273" t="str">
        <f>IF($BF64="","",_xll.ciqfunctions.udf.CIQ($BF64,"iq_security_level"))</f>
        <v/>
      </c>
      <c r="BH64" s="177" t="str">
        <f t="shared" si="6"/>
        <v/>
      </c>
      <c r="BJ64" s="177" t="str">
        <f t="shared" si="9"/>
        <v/>
      </c>
      <c r="BK64" s="274" t="str">
        <f>IF($BJ64="","",_xll.ciqfunctions.udf.CIQ($BJ64,"iq_bond_coupon")/100)</f>
        <v/>
      </c>
    </row>
    <row r="65" spans="42:63" ht="12" hidden="1" customHeight="1" outlineLevel="1">
      <c r="AP65" s="177" t="s">
        <v>360</v>
      </c>
      <c r="AQ65" s="177" t="s">
        <v>583</v>
      </c>
      <c r="AR65" s="177" t="s">
        <v>584</v>
      </c>
      <c r="AY65" s="271" t="str">
        <f>IF($AX65="","",IF(_xll.ciqfunctions.udf.CIQ($AX65,"iq_offer_date")&gt;Date,0,_xll.ciqfunctions.udf.CIQ($AX65,"iq_offer_date")))</f>
        <v/>
      </c>
      <c r="AZ65" s="272" t="str">
        <f>IF($AX65="","",RANK(AY65,$AY$10:$AY$510)+COUNTIF($AY$10:AY65,AY65)-1)</f>
        <v/>
      </c>
      <c r="BE65" s="177">
        <f t="shared" si="5"/>
        <v>56</v>
      </c>
      <c r="BG65" s="273" t="str">
        <f>IF($BF65="","",_xll.ciqfunctions.udf.CIQ($BF65,"iq_security_level"))</f>
        <v/>
      </c>
      <c r="BH65" s="177" t="str">
        <f t="shared" si="6"/>
        <v/>
      </c>
      <c r="BJ65" s="177" t="str">
        <f t="shared" si="9"/>
        <v/>
      </c>
      <c r="BK65" s="274" t="str">
        <f>IF($BJ65="","",_xll.ciqfunctions.udf.CIQ($BJ65,"iq_bond_coupon")/100)</f>
        <v/>
      </c>
    </row>
    <row r="66" spans="42:63" ht="12" hidden="1" customHeight="1" outlineLevel="1">
      <c r="AP66" s="177" t="s">
        <v>360</v>
      </c>
      <c r="AQ66" s="177" t="s">
        <v>585</v>
      </c>
      <c r="AR66" s="177" t="s">
        <v>586</v>
      </c>
      <c r="AY66" s="271" t="str">
        <f>IF($AX66="","",IF(_xll.ciqfunctions.udf.CIQ($AX66,"iq_offer_date")&gt;Date,0,_xll.ciqfunctions.udf.CIQ($AX66,"iq_offer_date")))</f>
        <v/>
      </c>
      <c r="AZ66" s="272" t="str">
        <f>IF($AX66="","",RANK(AY66,$AY$10:$AY$510)+COUNTIF($AY$10:AY66,AY66)-1)</f>
        <v/>
      </c>
      <c r="BE66" s="177">
        <f t="shared" si="5"/>
        <v>57</v>
      </c>
      <c r="BG66" s="273" t="str">
        <f>IF($BF66="","",_xll.ciqfunctions.udf.CIQ($BF66,"iq_security_level"))</f>
        <v/>
      </c>
      <c r="BH66" s="177" t="str">
        <f t="shared" si="6"/>
        <v/>
      </c>
      <c r="BJ66" s="177" t="str">
        <f t="shared" si="9"/>
        <v/>
      </c>
      <c r="BK66" s="274" t="str">
        <f>IF($BJ66="","",_xll.ciqfunctions.udf.CIQ($BJ66,"iq_bond_coupon")/100)</f>
        <v/>
      </c>
    </row>
    <row r="67" spans="42:63" ht="12" hidden="1" customHeight="1" outlineLevel="1">
      <c r="AP67" s="177" t="s">
        <v>360</v>
      </c>
      <c r="AQ67" s="177" t="s">
        <v>587</v>
      </c>
      <c r="AR67" s="177" t="s">
        <v>588</v>
      </c>
      <c r="AY67" s="271" t="str">
        <f>IF($AX67="","",IF(_xll.ciqfunctions.udf.CIQ($AX67,"iq_offer_date")&gt;Date,0,_xll.ciqfunctions.udf.CIQ($AX67,"iq_offer_date")))</f>
        <v/>
      </c>
      <c r="AZ67" s="272" t="str">
        <f>IF($AX67="","",RANK(AY67,$AY$10:$AY$510)+COUNTIF($AY$10:AY67,AY67)-1)</f>
        <v/>
      </c>
      <c r="BE67" s="177">
        <f t="shared" si="5"/>
        <v>58</v>
      </c>
      <c r="BG67" s="273" t="str">
        <f>IF($BF67="","",_xll.ciqfunctions.udf.CIQ($BF67,"iq_security_level"))</f>
        <v/>
      </c>
      <c r="BH67" s="177" t="str">
        <f t="shared" si="6"/>
        <v/>
      </c>
      <c r="BJ67" s="177" t="str">
        <f t="shared" si="9"/>
        <v/>
      </c>
      <c r="BK67" s="274" t="str">
        <f>IF($BJ67="","",_xll.ciqfunctions.udf.CIQ($BJ67,"iq_bond_coupon")/100)</f>
        <v/>
      </c>
    </row>
    <row r="68" spans="42:63" ht="12" hidden="1" customHeight="1" outlineLevel="1">
      <c r="AP68" s="177" t="s">
        <v>360</v>
      </c>
      <c r="AQ68" s="177" t="s">
        <v>589</v>
      </c>
      <c r="AR68" s="177" t="s">
        <v>590</v>
      </c>
      <c r="AY68" s="271" t="str">
        <f>IF($AX68="","",IF(_xll.ciqfunctions.udf.CIQ($AX68,"iq_offer_date")&gt;Date,0,_xll.ciqfunctions.udf.CIQ($AX68,"iq_offer_date")))</f>
        <v/>
      </c>
      <c r="AZ68" s="272" t="str">
        <f>IF($AX68="","",RANK(AY68,$AY$10:$AY$510)+COUNTIF($AY$10:AY68,AY68)-1)</f>
        <v/>
      </c>
      <c r="BE68" s="177">
        <f t="shared" si="5"/>
        <v>59</v>
      </c>
      <c r="BG68" s="273" t="str">
        <f>IF($BF68="","",_xll.ciqfunctions.udf.CIQ($BF68,"iq_security_level"))</f>
        <v/>
      </c>
      <c r="BH68" s="177" t="str">
        <f t="shared" si="6"/>
        <v/>
      </c>
      <c r="BJ68" s="177" t="str">
        <f t="shared" si="9"/>
        <v/>
      </c>
      <c r="BK68" s="274" t="str">
        <f>IF($BJ68="","",_xll.ciqfunctions.udf.CIQ($BJ68,"iq_bond_coupon")/100)</f>
        <v/>
      </c>
    </row>
    <row r="69" spans="42:63" ht="12" hidden="1" customHeight="1" outlineLevel="1">
      <c r="AP69" s="177" t="s">
        <v>360</v>
      </c>
      <c r="AQ69" s="177" t="s">
        <v>591</v>
      </c>
      <c r="AR69" s="177" t="s">
        <v>592</v>
      </c>
      <c r="AY69" s="271" t="str">
        <f>IF($AX69="","",IF(_xll.ciqfunctions.udf.CIQ($AX69,"iq_offer_date")&gt;Date,0,_xll.ciqfunctions.udf.CIQ($AX69,"iq_offer_date")))</f>
        <v/>
      </c>
      <c r="AZ69" s="272" t="str">
        <f>IF($AX69="","",RANK(AY69,$AY$10:$AY$510)+COUNTIF($AY$10:AY69,AY69)-1)</f>
        <v/>
      </c>
      <c r="BE69" s="177">
        <f t="shared" si="5"/>
        <v>60</v>
      </c>
      <c r="BG69" s="273" t="str">
        <f>IF($BF69="","",_xll.ciqfunctions.udf.CIQ($BF69,"iq_security_level"))</f>
        <v/>
      </c>
      <c r="BH69" s="177" t="str">
        <f t="shared" si="6"/>
        <v/>
      </c>
      <c r="BJ69" s="177" t="str">
        <f t="shared" si="9"/>
        <v/>
      </c>
      <c r="BK69" s="274" t="str">
        <f>IF($BJ69="","",_xll.ciqfunctions.udf.CIQ($BJ69,"iq_bond_coupon")/100)</f>
        <v/>
      </c>
    </row>
    <row r="70" spans="42:63" ht="12" hidden="1" customHeight="1" outlineLevel="1">
      <c r="AP70" s="177" t="s">
        <v>360</v>
      </c>
      <c r="AQ70" s="177" t="s">
        <v>593</v>
      </c>
      <c r="AR70" s="177" t="s">
        <v>594</v>
      </c>
      <c r="AY70" s="271" t="str">
        <f>IF($AX70="","",IF(_xll.ciqfunctions.udf.CIQ($AX70,"iq_offer_date")&gt;Date,0,_xll.ciqfunctions.udf.CIQ($AX70,"iq_offer_date")))</f>
        <v/>
      </c>
      <c r="AZ70" s="272" t="str">
        <f>IF($AX70="","",RANK(AY70,$AY$10:$AY$510)+COUNTIF($AY$10:AY70,AY70)-1)</f>
        <v/>
      </c>
      <c r="BE70" s="177">
        <f t="shared" si="5"/>
        <v>61</v>
      </c>
      <c r="BG70" s="273" t="str">
        <f>IF($BF70="","",_xll.ciqfunctions.udf.CIQ($BF70,"iq_security_level"))</f>
        <v/>
      </c>
      <c r="BH70" s="177" t="str">
        <f t="shared" si="6"/>
        <v/>
      </c>
      <c r="BJ70" s="177" t="str">
        <f t="shared" si="9"/>
        <v/>
      </c>
      <c r="BK70" s="274" t="str">
        <f>IF($BJ70="","",_xll.ciqfunctions.udf.CIQ($BJ70,"iq_bond_coupon")/100)</f>
        <v/>
      </c>
    </row>
    <row r="71" spans="42:63" ht="12" hidden="1" customHeight="1" outlineLevel="1">
      <c r="AP71" s="177" t="s">
        <v>367</v>
      </c>
      <c r="AQ71" s="177" t="s">
        <v>595</v>
      </c>
      <c r="AR71" s="177" t="s">
        <v>596</v>
      </c>
      <c r="AY71" s="271" t="str">
        <f>IF($AX71="","",IF(_xll.ciqfunctions.udf.CIQ($AX71,"iq_offer_date")&gt;Date,0,_xll.ciqfunctions.udf.CIQ($AX71,"iq_offer_date")))</f>
        <v/>
      </c>
      <c r="AZ71" s="272" t="str">
        <f>IF($AX71="","",RANK(AY71,$AY$10:$AY$510)+COUNTIF($AY$10:AY71,AY71)-1)</f>
        <v/>
      </c>
      <c r="BE71" s="177">
        <f t="shared" si="5"/>
        <v>62</v>
      </c>
      <c r="BG71" s="273" t="str">
        <f>IF($BF71="","",_xll.ciqfunctions.udf.CIQ($BF71,"iq_security_level"))</f>
        <v/>
      </c>
      <c r="BH71" s="177" t="str">
        <f t="shared" si="6"/>
        <v/>
      </c>
      <c r="BJ71" s="177" t="str">
        <f t="shared" si="9"/>
        <v/>
      </c>
      <c r="BK71" s="274" t="str">
        <f>IF($BJ71="","",_xll.ciqfunctions.udf.CIQ($BJ71,"iq_bond_coupon")/100)</f>
        <v/>
      </c>
    </row>
    <row r="72" spans="42:63" ht="12" hidden="1" customHeight="1" outlineLevel="1">
      <c r="AP72" s="177" t="s">
        <v>367</v>
      </c>
      <c r="AQ72" s="177" t="s">
        <v>597</v>
      </c>
      <c r="AR72" s="177" t="s">
        <v>598</v>
      </c>
      <c r="AY72" s="271" t="str">
        <f>IF($AX72="","",IF(_xll.ciqfunctions.udf.CIQ($AX72,"iq_offer_date")&gt;Date,0,_xll.ciqfunctions.udf.CIQ($AX72,"iq_offer_date")))</f>
        <v/>
      </c>
      <c r="AZ72" s="272" t="str">
        <f>IF($AX72="","",RANK(AY72,$AY$10:$AY$510)+COUNTIF($AY$10:AY72,AY72)-1)</f>
        <v/>
      </c>
      <c r="BE72" s="177">
        <f t="shared" si="5"/>
        <v>63</v>
      </c>
      <c r="BG72" s="273" t="str">
        <f>IF($BF72="","",_xll.ciqfunctions.udf.CIQ($BF72,"iq_security_level"))</f>
        <v/>
      </c>
      <c r="BH72" s="177" t="str">
        <f t="shared" si="6"/>
        <v/>
      </c>
      <c r="BJ72" s="177" t="str">
        <f t="shared" si="9"/>
        <v/>
      </c>
      <c r="BK72" s="274" t="str">
        <f>IF($BJ72="","",_xll.ciqfunctions.udf.CIQ($BJ72,"iq_bond_coupon")/100)</f>
        <v/>
      </c>
    </row>
    <row r="73" spans="42:63" ht="12" hidden="1" customHeight="1" outlineLevel="1">
      <c r="AP73" s="177" t="s">
        <v>367</v>
      </c>
      <c r="AQ73" s="177" t="s">
        <v>599</v>
      </c>
      <c r="AR73" s="177" t="s">
        <v>600</v>
      </c>
      <c r="AY73" s="271" t="str">
        <f>IF($AX73="","",IF(_xll.ciqfunctions.udf.CIQ($AX73,"iq_offer_date")&gt;Date,0,_xll.ciqfunctions.udf.CIQ($AX73,"iq_offer_date")))</f>
        <v/>
      </c>
      <c r="AZ73" s="272" t="str">
        <f>IF($AX73="","",RANK(AY73,$AY$10:$AY$510)+COUNTIF($AY$10:AY73,AY73)-1)</f>
        <v/>
      </c>
      <c r="BE73" s="177">
        <f t="shared" si="5"/>
        <v>64</v>
      </c>
      <c r="BG73" s="273" t="str">
        <f>IF($BF73="","",_xll.ciqfunctions.udf.CIQ($BF73,"iq_security_level"))</f>
        <v/>
      </c>
      <c r="BH73" s="177" t="str">
        <f t="shared" si="6"/>
        <v/>
      </c>
      <c r="BJ73" s="177" t="str">
        <f t="shared" si="9"/>
        <v/>
      </c>
      <c r="BK73" s="274" t="str">
        <f>IF($BJ73="","",_xll.ciqfunctions.udf.CIQ($BJ73,"iq_bond_coupon")/100)</f>
        <v/>
      </c>
    </row>
    <row r="74" spans="42:63" ht="12" hidden="1" customHeight="1" outlineLevel="1">
      <c r="AP74" s="177" t="s">
        <v>367</v>
      </c>
      <c r="AQ74" s="177" t="s">
        <v>601</v>
      </c>
      <c r="AR74" s="177" t="s">
        <v>602</v>
      </c>
      <c r="AY74" s="271" t="str">
        <f>IF($AX74="","",IF(_xll.ciqfunctions.udf.CIQ($AX74,"iq_offer_date")&gt;Date,0,_xll.ciqfunctions.udf.CIQ($AX74,"iq_offer_date")))</f>
        <v/>
      </c>
      <c r="AZ74" s="272" t="str">
        <f>IF($AX74="","",RANK(AY74,$AY$10:$AY$510)+COUNTIF($AY$10:AY74,AY74)-1)</f>
        <v/>
      </c>
      <c r="BE74" s="177">
        <f t="shared" si="5"/>
        <v>65</v>
      </c>
      <c r="BG74" s="273" t="str">
        <f>IF($BF74="","",_xll.ciqfunctions.udf.CIQ($BF74,"iq_security_level"))</f>
        <v/>
      </c>
      <c r="BH74" s="177" t="str">
        <f t="shared" si="6"/>
        <v/>
      </c>
      <c r="BJ74" s="177" t="str">
        <f t="shared" si="9"/>
        <v/>
      </c>
      <c r="BK74" s="274" t="str">
        <f>IF($BJ74="","",_xll.ciqfunctions.udf.CIQ($BJ74,"iq_bond_coupon")/100)</f>
        <v/>
      </c>
    </row>
    <row r="75" spans="42:63" ht="12" hidden="1" customHeight="1" outlineLevel="1">
      <c r="AP75" s="177" t="s">
        <v>374</v>
      </c>
      <c r="AQ75" s="177" t="s">
        <v>603</v>
      </c>
      <c r="AR75" s="177" t="s">
        <v>604</v>
      </c>
      <c r="AY75" s="271" t="str">
        <f>IF($AX75="","",IF(_xll.ciqfunctions.udf.CIQ($AX75,"iq_offer_date")&gt;Date,0,_xll.ciqfunctions.udf.CIQ($AX75,"iq_offer_date")))</f>
        <v/>
      </c>
      <c r="AZ75" s="272" t="str">
        <f>IF($AX75="","",RANK(AY75,$AY$10:$AY$510)+COUNTIF($AY$10:AY75,AY75)-1)</f>
        <v/>
      </c>
      <c r="BE75" s="177">
        <f t="shared" si="5"/>
        <v>66</v>
      </c>
      <c r="BG75" s="273" t="str">
        <f>IF($BF75="","",_xll.ciqfunctions.udf.CIQ($BF75,"iq_security_level"))</f>
        <v/>
      </c>
      <c r="BH75" s="177" t="str">
        <f t="shared" si="6"/>
        <v/>
      </c>
      <c r="BJ75" s="177" t="str">
        <f t="shared" si="9"/>
        <v/>
      </c>
      <c r="BK75" s="274" t="str">
        <f>IF($BJ75="","",_xll.ciqfunctions.udf.CIQ($BJ75,"iq_bond_coupon")/100)</f>
        <v/>
      </c>
    </row>
    <row r="76" spans="42:63" ht="12" hidden="1" customHeight="1" outlineLevel="1">
      <c r="AP76" s="177" t="s">
        <v>374</v>
      </c>
      <c r="AQ76" s="177" t="s">
        <v>605</v>
      </c>
      <c r="AR76" s="177" t="s">
        <v>606</v>
      </c>
      <c r="AY76" s="271" t="str">
        <f>IF($AX76="","",IF(_xll.ciqfunctions.udf.CIQ($AX76,"iq_offer_date")&gt;Date,0,_xll.ciqfunctions.udf.CIQ($AX76,"iq_offer_date")))</f>
        <v/>
      </c>
      <c r="AZ76" s="272" t="str">
        <f>IF($AX76="","",RANK(AY76,$AY$10:$AY$510)+COUNTIF($AY$10:AY76,AY76)-1)</f>
        <v/>
      </c>
      <c r="BE76" s="177">
        <f t="shared" ref="BE76:BE139" si="10">BE75+1</f>
        <v>67</v>
      </c>
      <c r="BG76" s="273" t="str">
        <f>IF($BF76="","",_xll.ciqfunctions.udf.CIQ($BF76,"iq_security_level"))</f>
        <v/>
      </c>
      <c r="BH76" s="177" t="str">
        <f t="shared" ref="BH76:BH139" si="11">IF(BF76="","",IF(BG76="Preferred",BH75+1,BH75))</f>
        <v/>
      </c>
      <c r="BJ76" s="177" t="str">
        <f t="shared" si="9"/>
        <v/>
      </c>
      <c r="BK76" s="274" t="str">
        <f>IF($BJ76="","",_xll.ciqfunctions.udf.CIQ($BJ76,"iq_bond_coupon")/100)</f>
        <v/>
      </c>
    </row>
    <row r="77" spans="42:63" ht="12" hidden="1" customHeight="1" outlineLevel="1">
      <c r="AP77" s="177" t="s">
        <v>374</v>
      </c>
      <c r="AQ77" s="177" t="s">
        <v>607</v>
      </c>
      <c r="AR77" s="177" t="s">
        <v>608</v>
      </c>
      <c r="AY77" s="271" t="str">
        <f>IF($AX77="","",IF(_xll.ciqfunctions.udf.CIQ($AX77,"iq_offer_date")&gt;Date,0,_xll.ciqfunctions.udf.CIQ($AX77,"iq_offer_date")))</f>
        <v/>
      </c>
      <c r="AZ77" s="272" t="str">
        <f>IF($AX77="","",RANK(AY77,$AY$10:$AY$510)+COUNTIF($AY$10:AY77,AY77)-1)</f>
        <v/>
      </c>
      <c r="BE77" s="177">
        <f t="shared" si="10"/>
        <v>68</v>
      </c>
      <c r="BG77" s="273" t="str">
        <f>IF($BF77="","",_xll.ciqfunctions.udf.CIQ($BF77,"iq_security_level"))</f>
        <v/>
      </c>
      <c r="BH77" s="177" t="str">
        <f t="shared" si="11"/>
        <v/>
      </c>
      <c r="BJ77" s="177" t="str">
        <f t="shared" si="9"/>
        <v/>
      </c>
      <c r="BK77" s="274" t="str">
        <f>IF($BJ77="","",_xll.ciqfunctions.udf.CIQ($BJ77,"iq_bond_coupon")/100)</f>
        <v/>
      </c>
    </row>
    <row r="78" spans="42:63" ht="12" hidden="1" customHeight="1" outlineLevel="1">
      <c r="AP78" s="177" t="s">
        <v>374</v>
      </c>
      <c r="AQ78" s="177" t="s">
        <v>609</v>
      </c>
      <c r="AR78" s="177" t="s">
        <v>610</v>
      </c>
      <c r="AY78" s="271" t="str">
        <f>IF($AX78="","",IF(_xll.ciqfunctions.udf.CIQ($AX78,"iq_offer_date")&gt;Date,0,_xll.ciqfunctions.udf.CIQ($AX78,"iq_offer_date")))</f>
        <v/>
      </c>
      <c r="AZ78" s="272" t="str">
        <f>IF($AX78="","",RANK(AY78,$AY$10:$AY$510)+COUNTIF($AY$10:AY78,AY78)-1)</f>
        <v/>
      </c>
      <c r="BE78" s="177">
        <f t="shared" si="10"/>
        <v>69</v>
      </c>
      <c r="BG78" s="273" t="str">
        <f>IF($BF78="","",_xll.ciqfunctions.udf.CIQ($BF78,"iq_security_level"))</f>
        <v/>
      </c>
      <c r="BH78" s="177" t="str">
        <f t="shared" si="11"/>
        <v/>
      </c>
      <c r="BJ78" s="177" t="str">
        <f t="shared" si="9"/>
        <v/>
      </c>
      <c r="BK78" s="274" t="str">
        <f>IF($BJ78="","",_xll.ciqfunctions.udf.CIQ($BJ78,"iq_bond_coupon")/100)</f>
        <v/>
      </c>
    </row>
    <row r="79" spans="42:63" ht="12" hidden="1" customHeight="1" outlineLevel="1">
      <c r="AP79" s="177" t="s">
        <v>379</v>
      </c>
      <c r="AQ79" s="177" t="s">
        <v>611</v>
      </c>
      <c r="AR79" s="177" t="s">
        <v>612</v>
      </c>
      <c r="AY79" s="271" t="str">
        <f>IF($AX79="","",IF(_xll.ciqfunctions.udf.CIQ($AX79,"iq_offer_date")&gt;Date,0,_xll.ciqfunctions.udf.CIQ($AX79,"iq_offer_date")))</f>
        <v/>
      </c>
      <c r="AZ79" s="272" t="str">
        <f>IF($AX79="","",RANK(AY79,$AY$10:$AY$510)+COUNTIF($AY$10:AY79,AY79)-1)</f>
        <v/>
      </c>
      <c r="BE79" s="177">
        <f t="shared" si="10"/>
        <v>70</v>
      </c>
      <c r="BG79" s="273" t="str">
        <f>IF($BF79="","",_xll.ciqfunctions.udf.CIQ($BF79,"iq_security_level"))</f>
        <v/>
      </c>
      <c r="BH79" s="177" t="str">
        <f t="shared" si="11"/>
        <v/>
      </c>
      <c r="BJ79" s="177" t="str">
        <f t="shared" si="9"/>
        <v/>
      </c>
      <c r="BK79" s="274" t="str">
        <f>IF($BJ79="","",_xll.ciqfunctions.udf.CIQ($BJ79,"iq_bond_coupon")/100)</f>
        <v/>
      </c>
    </row>
    <row r="80" spans="42:63" ht="12" hidden="1" customHeight="1" outlineLevel="1">
      <c r="AP80" s="177" t="s">
        <v>379</v>
      </c>
      <c r="AQ80" s="177" t="s">
        <v>613</v>
      </c>
      <c r="AR80" s="177" t="s">
        <v>614</v>
      </c>
      <c r="AY80" s="271" t="str">
        <f>IF($AX80="","",IF(_xll.ciqfunctions.udf.CIQ($AX80,"iq_offer_date")&gt;Date,0,_xll.ciqfunctions.udf.CIQ($AX80,"iq_offer_date")))</f>
        <v/>
      </c>
      <c r="AZ80" s="272" t="str">
        <f>IF($AX80="","",RANK(AY80,$AY$10:$AY$510)+COUNTIF($AY$10:AY80,AY80)-1)</f>
        <v/>
      </c>
      <c r="BE80" s="177">
        <f t="shared" si="10"/>
        <v>71</v>
      </c>
      <c r="BG80" s="273" t="str">
        <f>IF($BF80="","",_xll.ciqfunctions.udf.CIQ($BF80,"iq_security_level"))</f>
        <v/>
      </c>
      <c r="BH80" s="177" t="str">
        <f t="shared" si="11"/>
        <v/>
      </c>
      <c r="BJ80" s="177" t="str">
        <f t="shared" si="9"/>
        <v/>
      </c>
      <c r="BK80" s="274" t="str">
        <f>IF($BJ80="","",_xll.ciqfunctions.udf.CIQ($BJ80,"iq_bond_coupon")/100)</f>
        <v/>
      </c>
    </row>
    <row r="81" spans="42:63" ht="12" hidden="1" customHeight="1" outlineLevel="1">
      <c r="AP81" s="177" t="s">
        <v>379</v>
      </c>
      <c r="AQ81" s="177" t="s">
        <v>615</v>
      </c>
      <c r="AR81" s="177" t="s">
        <v>616</v>
      </c>
      <c r="AY81" s="271" t="str">
        <f>IF($AX81="","",IF(_xll.ciqfunctions.udf.CIQ($AX81,"iq_offer_date")&gt;Date,0,_xll.ciqfunctions.udf.CIQ($AX81,"iq_offer_date")))</f>
        <v/>
      </c>
      <c r="AZ81" s="272" t="str">
        <f>IF($AX81="","",RANK(AY81,$AY$10:$AY$510)+COUNTIF($AY$10:AY81,AY81)-1)</f>
        <v/>
      </c>
      <c r="BE81" s="177">
        <f t="shared" si="10"/>
        <v>72</v>
      </c>
      <c r="BG81" s="273" t="str">
        <f>IF($BF81="","",_xll.ciqfunctions.udf.CIQ($BF81,"iq_security_level"))</f>
        <v/>
      </c>
      <c r="BH81" s="177" t="str">
        <f t="shared" si="11"/>
        <v/>
      </c>
      <c r="BJ81" s="177" t="str">
        <f t="shared" si="9"/>
        <v/>
      </c>
      <c r="BK81" s="274" t="str">
        <f>IF($BJ81="","",_xll.ciqfunctions.udf.CIQ($BJ81,"iq_bond_coupon")/100)</f>
        <v/>
      </c>
    </row>
    <row r="82" spans="42:63" ht="12" hidden="1" customHeight="1" outlineLevel="1">
      <c r="AP82" s="177" t="s">
        <v>379</v>
      </c>
      <c r="AQ82" s="177" t="s">
        <v>617</v>
      </c>
      <c r="AR82" s="177" t="s">
        <v>618</v>
      </c>
      <c r="AY82" s="271" t="str">
        <f>IF($AX82="","",IF(_xll.ciqfunctions.udf.CIQ($AX82,"iq_offer_date")&gt;Date,0,_xll.ciqfunctions.udf.CIQ($AX82,"iq_offer_date")))</f>
        <v/>
      </c>
      <c r="AZ82" s="272" t="str">
        <f>IF($AX82="","",RANK(AY82,$AY$10:$AY$510)+COUNTIF($AY$10:AY82,AY82)-1)</f>
        <v/>
      </c>
      <c r="BE82" s="177">
        <f t="shared" si="10"/>
        <v>73</v>
      </c>
      <c r="BG82" s="273" t="str">
        <f>IF($BF82="","",_xll.ciqfunctions.udf.CIQ($BF82,"iq_security_level"))</f>
        <v/>
      </c>
      <c r="BH82" s="177" t="str">
        <f t="shared" si="11"/>
        <v/>
      </c>
      <c r="BJ82" s="177" t="str">
        <f t="shared" si="9"/>
        <v/>
      </c>
      <c r="BK82" s="274" t="str">
        <f>IF($BJ82="","",_xll.ciqfunctions.udf.CIQ($BJ82,"iq_bond_coupon")/100)</f>
        <v/>
      </c>
    </row>
    <row r="83" spans="42:63" ht="12" hidden="1" customHeight="1" outlineLevel="1">
      <c r="AP83" s="177" t="s">
        <v>379</v>
      </c>
      <c r="AQ83" s="177" t="s">
        <v>619</v>
      </c>
      <c r="AR83" s="177" t="s">
        <v>620</v>
      </c>
      <c r="AY83" s="271" t="str">
        <f>IF($AX83="","",IF(_xll.ciqfunctions.udf.CIQ($AX83,"iq_offer_date")&gt;Date,0,_xll.ciqfunctions.udf.CIQ($AX83,"iq_offer_date")))</f>
        <v/>
      </c>
      <c r="AZ83" s="272" t="str">
        <f>IF($AX83="","",RANK(AY83,$AY$10:$AY$510)+COUNTIF($AY$10:AY83,AY83)-1)</f>
        <v/>
      </c>
      <c r="BE83" s="177">
        <f t="shared" si="10"/>
        <v>74</v>
      </c>
      <c r="BG83" s="273" t="str">
        <f>IF($BF83="","",_xll.ciqfunctions.udf.CIQ($BF83,"iq_security_level"))</f>
        <v/>
      </c>
      <c r="BH83" s="177" t="str">
        <f t="shared" si="11"/>
        <v/>
      </c>
      <c r="BJ83" s="177" t="str">
        <f t="shared" si="9"/>
        <v/>
      </c>
      <c r="BK83" s="274" t="str">
        <f>IF($BJ83="","",_xll.ciqfunctions.udf.CIQ($BJ83,"iq_bond_coupon")/100)</f>
        <v/>
      </c>
    </row>
    <row r="84" spans="42:63" ht="12" hidden="1" customHeight="1" outlineLevel="1">
      <c r="AP84" s="177" t="s">
        <v>389</v>
      </c>
      <c r="AQ84" s="177" t="s">
        <v>621</v>
      </c>
      <c r="AR84" s="177" t="s">
        <v>622</v>
      </c>
      <c r="AY84" s="271" t="str">
        <f>IF($AX84="","",IF(_xll.ciqfunctions.udf.CIQ($AX84,"iq_offer_date")&gt;Date,0,_xll.ciqfunctions.udf.CIQ($AX84,"iq_offer_date")))</f>
        <v/>
      </c>
      <c r="AZ84" s="272" t="str">
        <f>IF($AX84="","",RANK(AY84,$AY$10:$AY$510)+COUNTIF($AY$10:AY84,AY84)-1)</f>
        <v/>
      </c>
      <c r="BE84" s="177">
        <f t="shared" si="10"/>
        <v>75</v>
      </c>
      <c r="BG84" s="273" t="str">
        <f>IF($BF84="","",_xll.ciqfunctions.udf.CIQ($BF84,"iq_security_level"))</f>
        <v/>
      </c>
      <c r="BH84" s="177" t="str">
        <f t="shared" si="11"/>
        <v/>
      </c>
      <c r="BJ84" s="177" t="str">
        <f t="shared" si="9"/>
        <v/>
      </c>
      <c r="BK84" s="274" t="str">
        <f>IF($BJ84="","",_xll.ciqfunctions.udf.CIQ($BJ84,"iq_bond_coupon")/100)</f>
        <v/>
      </c>
    </row>
    <row r="85" spans="42:63" ht="12" hidden="1" customHeight="1" outlineLevel="1">
      <c r="AP85" s="177" t="s">
        <v>389</v>
      </c>
      <c r="AQ85" s="177" t="s">
        <v>623</v>
      </c>
      <c r="AR85" s="177" t="s">
        <v>624</v>
      </c>
      <c r="AY85" s="271" t="str">
        <f>IF($AX85="","",IF(_xll.ciqfunctions.udf.CIQ($AX85,"iq_offer_date")&gt;Date,0,_xll.ciqfunctions.udf.CIQ($AX85,"iq_offer_date")))</f>
        <v/>
      </c>
      <c r="AZ85" s="272" t="str">
        <f>IF($AX85="","",RANK(AY85,$AY$10:$AY$510)+COUNTIF($AY$10:AY85,AY85)-1)</f>
        <v/>
      </c>
      <c r="BE85" s="177">
        <f t="shared" si="10"/>
        <v>76</v>
      </c>
      <c r="BG85" s="273" t="str">
        <f>IF($BF85="","",_xll.ciqfunctions.udf.CIQ($BF85,"iq_security_level"))</f>
        <v/>
      </c>
      <c r="BH85" s="177" t="str">
        <f t="shared" si="11"/>
        <v/>
      </c>
      <c r="BJ85" s="177" t="str">
        <f t="shared" si="9"/>
        <v/>
      </c>
      <c r="BK85" s="274" t="str">
        <f>IF($BJ85="","",_xll.ciqfunctions.udf.CIQ($BJ85,"iq_bond_coupon")/100)</f>
        <v/>
      </c>
    </row>
    <row r="86" spans="42:63" ht="12" hidden="1" customHeight="1" outlineLevel="1">
      <c r="AP86" s="177" t="s">
        <v>389</v>
      </c>
      <c r="AQ86" s="177" t="s">
        <v>625</v>
      </c>
      <c r="AR86" s="177" t="s">
        <v>626</v>
      </c>
      <c r="AY86" s="271" t="str">
        <f>IF($AX86="","",IF(_xll.ciqfunctions.udf.CIQ($AX86,"iq_offer_date")&gt;Date,0,_xll.ciqfunctions.udf.CIQ($AX86,"iq_offer_date")))</f>
        <v/>
      </c>
      <c r="AZ86" s="272" t="str">
        <f>IF($AX86="","",RANK(AY86,$AY$10:$AY$510)+COUNTIF($AY$10:AY86,AY86)-1)</f>
        <v/>
      </c>
      <c r="BE86" s="177">
        <f t="shared" si="10"/>
        <v>77</v>
      </c>
      <c r="BG86" s="273" t="str">
        <f>IF($BF86="","",_xll.ciqfunctions.udf.CIQ($BF86,"iq_security_level"))</f>
        <v/>
      </c>
      <c r="BH86" s="177" t="str">
        <f t="shared" si="11"/>
        <v/>
      </c>
      <c r="BJ86" s="177" t="str">
        <f t="shared" si="9"/>
        <v/>
      </c>
      <c r="BK86" s="274" t="str">
        <f>IF($BJ86="","",_xll.ciqfunctions.udf.CIQ($BJ86,"iq_bond_coupon")/100)</f>
        <v/>
      </c>
    </row>
    <row r="87" spans="42:63" ht="12" hidden="1" customHeight="1" outlineLevel="1">
      <c r="AP87" s="177" t="s">
        <v>389</v>
      </c>
      <c r="AQ87" s="177" t="s">
        <v>627</v>
      </c>
      <c r="AR87" s="177" t="s">
        <v>628</v>
      </c>
      <c r="AY87" s="271" t="str">
        <f>IF($AX87="","",IF(_xll.ciqfunctions.udf.CIQ($AX87,"iq_offer_date")&gt;Date,0,_xll.ciqfunctions.udf.CIQ($AX87,"iq_offer_date")))</f>
        <v/>
      </c>
      <c r="AZ87" s="272" t="str">
        <f>IF($AX87="","",RANK(AY87,$AY$10:$AY$510)+COUNTIF($AY$10:AY87,AY87)-1)</f>
        <v/>
      </c>
      <c r="BE87" s="177">
        <f t="shared" si="10"/>
        <v>78</v>
      </c>
      <c r="BG87" s="273" t="str">
        <f>IF($BF87="","",_xll.ciqfunctions.udf.CIQ($BF87,"iq_security_level"))</f>
        <v/>
      </c>
      <c r="BH87" s="177" t="str">
        <f t="shared" si="11"/>
        <v/>
      </c>
      <c r="BJ87" s="177" t="str">
        <f t="shared" si="9"/>
        <v/>
      </c>
      <c r="BK87" s="274" t="str">
        <f>IF($BJ87="","",_xll.ciqfunctions.udf.CIQ($BJ87,"iq_bond_coupon")/100)</f>
        <v/>
      </c>
    </row>
    <row r="88" spans="42:63" ht="12" hidden="1" customHeight="1" outlineLevel="1">
      <c r="AP88" s="177" t="s">
        <v>404</v>
      </c>
      <c r="AQ88" s="177" t="s">
        <v>629</v>
      </c>
      <c r="AR88" s="177" t="s">
        <v>630</v>
      </c>
      <c r="AY88" s="271" t="str">
        <f>IF($AX88="","",IF(_xll.ciqfunctions.udf.CIQ($AX88,"iq_offer_date")&gt;Date,0,_xll.ciqfunctions.udf.CIQ($AX88,"iq_offer_date")))</f>
        <v/>
      </c>
      <c r="AZ88" s="272" t="str">
        <f>IF($AX88="","",RANK(AY88,$AY$10:$AY$510)+COUNTIF($AY$10:AY88,AY88)-1)</f>
        <v/>
      </c>
      <c r="BE88" s="177">
        <f t="shared" si="10"/>
        <v>79</v>
      </c>
      <c r="BG88" s="273" t="str">
        <f>IF($BF88="","",_xll.ciqfunctions.udf.CIQ($BF88,"iq_security_level"))</f>
        <v/>
      </c>
      <c r="BH88" s="177" t="str">
        <f t="shared" si="11"/>
        <v/>
      </c>
      <c r="BJ88" s="177" t="str">
        <f t="shared" si="9"/>
        <v/>
      </c>
      <c r="BK88" s="274" t="str">
        <f>IF($BJ88="","",_xll.ciqfunctions.udf.CIQ($BJ88,"iq_bond_coupon")/100)</f>
        <v/>
      </c>
    </row>
    <row r="89" spans="42:63" ht="12" hidden="1" customHeight="1" outlineLevel="1">
      <c r="AP89" s="177" t="s">
        <v>404</v>
      </c>
      <c r="AQ89" s="177" t="s">
        <v>631</v>
      </c>
      <c r="AR89" s="177" t="s">
        <v>632</v>
      </c>
      <c r="AY89" s="271" t="str">
        <f>IF($AX89="","",IF(_xll.ciqfunctions.udf.CIQ($AX89,"iq_offer_date")&gt;Date,0,_xll.ciqfunctions.udf.CIQ($AX89,"iq_offer_date")))</f>
        <v/>
      </c>
      <c r="AZ89" s="272" t="str">
        <f>IF($AX89="","",RANK(AY89,$AY$10:$AY$510)+COUNTIF($AY$10:AY89,AY89)-1)</f>
        <v/>
      </c>
      <c r="BE89" s="177">
        <f t="shared" si="10"/>
        <v>80</v>
      </c>
      <c r="BG89" s="273" t="str">
        <f>IF($BF89="","",_xll.ciqfunctions.udf.CIQ($BF89,"iq_security_level"))</f>
        <v/>
      </c>
      <c r="BH89" s="177" t="str">
        <f t="shared" si="11"/>
        <v/>
      </c>
      <c r="BJ89" s="177" t="str">
        <f t="shared" si="9"/>
        <v/>
      </c>
      <c r="BK89" s="274" t="str">
        <f>IF($BJ89="","",_xll.ciqfunctions.udf.CIQ($BJ89,"iq_bond_coupon")/100)</f>
        <v/>
      </c>
    </row>
    <row r="90" spans="42:63" ht="15" hidden="1" customHeight="1" outlineLevel="1">
      <c r="AP90" s="177" t="s">
        <v>404</v>
      </c>
      <c r="AQ90" s="177" t="s">
        <v>633</v>
      </c>
      <c r="AR90" s="177" t="s">
        <v>634</v>
      </c>
      <c r="AY90" s="271" t="str">
        <f>IF($AX90="","",IF(_xll.ciqfunctions.udf.CIQ($AX90,"iq_offer_date")&gt;Date,0,_xll.ciqfunctions.udf.CIQ($AX90,"iq_offer_date")))</f>
        <v/>
      </c>
      <c r="AZ90" s="272" t="str">
        <f>IF($AX90="","",RANK(AY90,$AY$10:$AY$510)+COUNTIF($AY$10:AY90,AY90)-1)</f>
        <v/>
      </c>
      <c r="BE90" s="177">
        <f t="shared" si="10"/>
        <v>81</v>
      </c>
      <c r="BG90" s="273" t="str">
        <f>IF($BF90="","",_xll.ciqfunctions.udf.CIQ($BF90,"iq_security_level"))</f>
        <v/>
      </c>
      <c r="BH90" s="177" t="str">
        <f t="shared" si="11"/>
        <v/>
      </c>
      <c r="BJ90" s="177" t="str">
        <f t="shared" si="9"/>
        <v/>
      </c>
      <c r="BK90" s="274" t="str">
        <f>IF($BJ90="","",_xll.ciqfunctions.udf.CIQ($BJ90,"iq_bond_coupon")/100)</f>
        <v/>
      </c>
    </row>
    <row r="91" spans="42:63" ht="12" hidden="1" customHeight="1" outlineLevel="1">
      <c r="AP91" s="177" t="s">
        <v>404</v>
      </c>
      <c r="AQ91" s="177" t="s">
        <v>635</v>
      </c>
      <c r="AR91" s="177" t="s">
        <v>636</v>
      </c>
      <c r="AY91" s="271" t="str">
        <f>IF($AX91="","",IF(_xll.ciqfunctions.udf.CIQ($AX91,"iq_offer_date")&gt;Date,0,_xll.ciqfunctions.udf.CIQ($AX91,"iq_offer_date")))</f>
        <v/>
      </c>
      <c r="AZ91" s="272" t="str">
        <f>IF($AX91="","",RANK(AY91,$AY$10:$AY$510)+COUNTIF($AY$10:AY91,AY91)-1)</f>
        <v/>
      </c>
      <c r="BE91" s="177">
        <f t="shared" si="10"/>
        <v>82</v>
      </c>
      <c r="BG91" s="273" t="str">
        <f>IF($BF91="","",_xll.ciqfunctions.udf.CIQ($BF91,"iq_security_level"))</f>
        <v/>
      </c>
      <c r="BH91" s="177" t="str">
        <f t="shared" si="11"/>
        <v/>
      </c>
      <c r="BJ91" s="177" t="str">
        <f t="shared" si="9"/>
        <v/>
      </c>
      <c r="BK91" s="274" t="str">
        <f>IF($BJ91="","",_xll.ciqfunctions.udf.CIQ($BJ91,"iq_bond_coupon")/100)</f>
        <v/>
      </c>
    </row>
    <row r="92" spans="42:63" ht="12" hidden="1" customHeight="1" outlineLevel="1">
      <c r="AP92" s="177" t="s">
        <v>404</v>
      </c>
      <c r="AQ92" s="177" t="s">
        <v>637</v>
      </c>
      <c r="AR92" s="177" t="s">
        <v>638</v>
      </c>
      <c r="AY92" s="271" t="str">
        <f>IF($AX92="","",IF(_xll.ciqfunctions.udf.CIQ($AX92,"iq_offer_date")&gt;Date,0,_xll.ciqfunctions.udf.CIQ($AX92,"iq_offer_date")))</f>
        <v/>
      </c>
      <c r="AZ92" s="272" t="str">
        <f>IF($AX92="","",RANK(AY92,$AY$10:$AY$510)+COUNTIF($AY$10:AY92,AY92)-1)</f>
        <v/>
      </c>
      <c r="BE92" s="177">
        <f t="shared" si="10"/>
        <v>83</v>
      </c>
      <c r="BG92" s="273" t="str">
        <f>IF($BF92="","",_xll.ciqfunctions.udf.CIQ($BF92,"iq_security_level"))</f>
        <v/>
      </c>
      <c r="BH92" s="177" t="str">
        <f t="shared" si="11"/>
        <v/>
      </c>
      <c r="BJ92" s="177" t="str">
        <f t="shared" si="9"/>
        <v/>
      </c>
      <c r="BK92" s="274" t="str">
        <f>IF($BJ92="","",_xll.ciqfunctions.udf.CIQ($BJ92,"iq_bond_coupon")/100)</f>
        <v/>
      </c>
    </row>
    <row r="93" spans="42:63" ht="12" hidden="1" customHeight="1" outlineLevel="1">
      <c r="AP93" s="177" t="s">
        <v>416</v>
      </c>
      <c r="AQ93" s="177" t="s">
        <v>639</v>
      </c>
      <c r="AR93" s="177" t="s">
        <v>640</v>
      </c>
      <c r="AY93" s="271" t="str">
        <f>IF($AX93="","",IF(_xll.ciqfunctions.udf.CIQ($AX93,"iq_offer_date")&gt;Date,0,_xll.ciqfunctions.udf.CIQ($AX93,"iq_offer_date")))</f>
        <v/>
      </c>
      <c r="AZ93" s="272" t="str">
        <f>IF($AX93="","",RANK(AY93,$AY$10:$AY$510)+COUNTIF($AY$10:AY93,AY93)-1)</f>
        <v/>
      </c>
      <c r="BE93" s="177">
        <f t="shared" si="10"/>
        <v>84</v>
      </c>
      <c r="BG93" s="273" t="str">
        <f>IF($BF93="","",_xll.ciqfunctions.udf.CIQ($BF93,"iq_security_level"))</f>
        <v/>
      </c>
      <c r="BH93" s="177" t="str">
        <f t="shared" si="11"/>
        <v/>
      </c>
      <c r="BJ93" s="177" t="str">
        <f t="shared" si="9"/>
        <v/>
      </c>
      <c r="BK93" s="274" t="str">
        <f>IF($BJ93="","",_xll.ciqfunctions.udf.CIQ($BJ93,"iq_bond_coupon")/100)</f>
        <v/>
      </c>
    </row>
    <row r="94" spans="42:63" ht="12" hidden="1" customHeight="1" outlineLevel="1">
      <c r="AP94" s="177" t="s">
        <v>416</v>
      </c>
      <c r="AQ94" s="177" t="s">
        <v>641</v>
      </c>
      <c r="AR94" s="177" t="s">
        <v>642</v>
      </c>
      <c r="AY94" s="271" t="str">
        <f>IF($AX94="","",IF(_xll.ciqfunctions.udf.CIQ($AX94,"iq_offer_date")&gt;Date,0,_xll.ciqfunctions.udf.CIQ($AX94,"iq_offer_date")))</f>
        <v/>
      </c>
      <c r="AZ94" s="272" t="str">
        <f>IF($AX94="","",RANK(AY94,$AY$10:$AY$510)+COUNTIF($AY$10:AY94,AY94)-1)</f>
        <v/>
      </c>
      <c r="BE94" s="177">
        <f t="shared" si="10"/>
        <v>85</v>
      </c>
      <c r="BG94" s="273" t="str">
        <f>IF($BF94="","",_xll.ciqfunctions.udf.CIQ($BF94,"iq_security_level"))</f>
        <v/>
      </c>
      <c r="BH94" s="177" t="str">
        <f t="shared" si="11"/>
        <v/>
      </c>
      <c r="BJ94" s="177" t="str">
        <f t="shared" si="9"/>
        <v/>
      </c>
      <c r="BK94" s="274" t="str">
        <f>IF($BJ94="","",_xll.ciqfunctions.udf.CIQ($BJ94,"iq_bond_coupon")/100)</f>
        <v/>
      </c>
    </row>
    <row r="95" spans="42:63" ht="12" hidden="1" customHeight="1" outlineLevel="1">
      <c r="AP95" s="177" t="s">
        <v>416</v>
      </c>
      <c r="AQ95" s="177" t="s">
        <v>643</v>
      </c>
      <c r="AR95" s="177" t="s">
        <v>644</v>
      </c>
      <c r="AY95" s="271" t="str">
        <f>IF($AX95="","",IF(_xll.ciqfunctions.udf.CIQ($AX95,"iq_offer_date")&gt;Date,0,_xll.ciqfunctions.udf.CIQ($AX95,"iq_offer_date")))</f>
        <v/>
      </c>
      <c r="AZ95" s="272" t="str">
        <f>IF($AX95="","",RANK(AY95,$AY$10:$AY$510)+COUNTIF($AY$10:AY95,AY95)-1)</f>
        <v/>
      </c>
      <c r="BE95" s="177">
        <f t="shared" si="10"/>
        <v>86</v>
      </c>
      <c r="BG95" s="273" t="str">
        <f>IF($BF95="","",_xll.ciqfunctions.udf.CIQ($BF95,"iq_security_level"))</f>
        <v/>
      </c>
      <c r="BH95" s="177" t="str">
        <f t="shared" si="11"/>
        <v/>
      </c>
      <c r="BJ95" s="177" t="str">
        <f t="shared" si="9"/>
        <v/>
      </c>
      <c r="BK95" s="274" t="str">
        <f>IF($BJ95="","",_xll.ciqfunctions.udf.CIQ($BJ95,"iq_bond_coupon")/100)</f>
        <v/>
      </c>
    </row>
    <row r="96" spans="42:63" ht="12" hidden="1" customHeight="1" outlineLevel="1">
      <c r="AP96" s="177" t="s">
        <v>416</v>
      </c>
      <c r="AQ96" s="177" t="s">
        <v>645</v>
      </c>
      <c r="AR96" s="177" t="s">
        <v>646</v>
      </c>
      <c r="AY96" s="271" t="str">
        <f>IF($AX96="","",IF(_xll.ciqfunctions.udf.CIQ($AX96,"iq_offer_date")&gt;Date,0,_xll.ciqfunctions.udf.CIQ($AX96,"iq_offer_date")))</f>
        <v/>
      </c>
      <c r="AZ96" s="272" t="str">
        <f>IF($AX96="","",RANK(AY96,$AY$10:$AY$510)+COUNTIF($AY$10:AY96,AY96)-1)</f>
        <v/>
      </c>
      <c r="BE96" s="177">
        <f t="shared" si="10"/>
        <v>87</v>
      </c>
      <c r="BG96" s="273" t="str">
        <f>IF($BF96="","",_xll.ciqfunctions.udf.CIQ($BF96,"iq_security_level"))</f>
        <v/>
      </c>
      <c r="BH96" s="177" t="str">
        <f t="shared" si="11"/>
        <v/>
      </c>
      <c r="BJ96" s="177" t="str">
        <f t="shared" si="9"/>
        <v/>
      </c>
      <c r="BK96" s="274" t="str">
        <f>IF($BJ96="","",_xll.ciqfunctions.udf.CIQ($BJ96,"iq_bond_coupon")/100)</f>
        <v/>
      </c>
    </row>
    <row r="97" spans="42:63" ht="12" hidden="1" customHeight="1" outlineLevel="1">
      <c r="AP97" s="177" t="s">
        <v>430</v>
      </c>
      <c r="AQ97" s="177" t="s">
        <v>647</v>
      </c>
      <c r="AR97" s="177" t="s">
        <v>648</v>
      </c>
      <c r="AY97" s="271" t="str">
        <f>IF($AX97="","",IF(_xll.ciqfunctions.udf.CIQ($AX97,"iq_offer_date")&gt;Date,0,_xll.ciqfunctions.udf.CIQ($AX97,"iq_offer_date")))</f>
        <v/>
      </c>
      <c r="AZ97" s="272" t="str">
        <f>IF($AX97="","",RANK(AY97,$AY$10:$AY$510)+COUNTIF($AY$10:AY97,AY97)-1)</f>
        <v/>
      </c>
      <c r="BE97" s="177">
        <f t="shared" si="10"/>
        <v>88</v>
      </c>
      <c r="BG97" s="273" t="str">
        <f>IF($BF97="","",_xll.ciqfunctions.udf.CIQ($BF97,"iq_security_level"))</f>
        <v/>
      </c>
      <c r="BH97" s="177" t="str">
        <f t="shared" si="11"/>
        <v/>
      </c>
      <c r="BJ97" s="177" t="str">
        <f t="shared" si="9"/>
        <v/>
      </c>
      <c r="BK97" s="274" t="str">
        <f>IF($BJ97="","",_xll.ciqfunctions.udf.CIQ($BJ97,"iq_bond_coupon")/100)</f>
        <v/>
      </c>
    </row>
    <row r="98" spans="42:63" ht="12" hidden="1" customHeight="1" outlineLevel="1">
      <c r="AP98" s="177" t="s">
        <v>430</v>
      </c>
      <c r="AQ98" s="177" t="s">
        <v>649</v>
      </c>
      <c r="AR98" s="177" t="s">
        <v>650</v>
      </c>
      <c r="AY98" s="271" t="str">
        <f>IF($AX98="","",IF(_xll.ciqfunctions.udf.CIQ($AX98,"iq_offer_date")&gt;Date,0,_xll.ciqfunctions.udf.CIQ($AX98,"iq_offer_date")))</f>
        <v/>
      </c>
      <c r="AZ98" s="272" t="str">
        <f>IF($AX98="","",RANK(AY98,$AY$10:$AY$510)+COUNTIF($AY$10:AY98,AY98)-1)</f>
        <v/>
      </c>
      <c r="BE98" s="177">
        <f t="shared" si="10"/>
        <v>89</v>
      </c>
      <c r="BG98" s="273" t="str">
        <f>IF($BF98="","",_xll.ciqfunctions.udf.CIQ($BF98,"iq_security_level"))</f>
        <v/>
      </c>
      <c r="BH98" s="177" t="str">
        <f t="shared" si="11"/>
        <v/>
      </c>
      <c r="BJ98" s="177" t="str">
        <f t="shared" si="9"/>
        <v/>
      </c>
      <c r="BK98" s="274" t="str">
        <f>IF($BJ98="","",_xll.ciqfunctions.udf.CIQ($BJ98,"iq_bond_coupon")/100)</f>
        <v/>
      </c>
    </row>
    <row r="99" spans="42:63" ht="12" hidden="1" customHeight="1" outlineLevel="1">
      <c r="AP99" s="177" t="s">
        <v>430</v>
      </c>
      <c r="AQ99" s="177" t="s">
        <v>651</v>
      </c>
      <c r="AR99" s="177" t="s">
        <v>652</v>
      </c>
      <c r="AY99" s="271" t="str">
        <f>IF($AX99="","",IF(_xll.ciqfunctions.udf.CIQ($AX99,"iq_offer_date")&gt;Date,0,_xll.ciqfunctions.udf.CIQ($AX99,"iq_offer_date")))</f>
        <v/>
      </c>
      <c r="AZ99" s="272" t="str">
        <f>IF($AX99="","",RANK(AY99,$AY$10:$AY$510)+COUNTIF($AY$10:AY99,AY99)-1)</f>
        <v/>
      </c>
      <c r="BE99" s="177">
        <f t="shared" si="10"/>
        <v>90</v>
      </c>
      <c r="BG99" s="273" t="str">
        <f>IF($BF99="","",_xll.ciqfunctions.udf.CIQ($BF99,"iq_security_level"))</f>
        <v/>
      </c>
      <c r="BH99" s="177" t="str">
        <f t="shared" si="11"/>
        <v/>
      </c>
      <c r="BJ99" s="177" t="str">
        <f t="shared" si="9"/>
        <v/>
      </c>
      <c r="BK99" s="274" t="str">
        <f>IF($BJ99="","",_xll.ciqfunctions.udf.CIQ($BJ99,"iq_bond_coupon")/100)</f>
        <v/>
      </c>
    </row>
    <row r="100" spans="42:63" ht="12" hidden="1" customHeight="1" outlineLevel="1">
      <c r="AP100" s="177" t="s">
        <v>430</v>
      </c>
      <c r="AQ100" s="177" t="s">
        <v>653</v>
      </c>
      <c r="AR100" s="177" t="s">
        <v>654</v>
      </c>
      <c r="AY100" s="271" t="str">
        <f>IF($AX100="","",IF(_xll.ciqfunctions.udf.CIQ($AX100,"iq_offer_date")&gt;Date,0,_xll.ciqfunctions.udf.CIQ($AX100,"iq_offer_date")))</f>
        <v/>
      </c>
      <c r="AZ100" s="272" t="str">
        <f>IF($AX100="","",RANK(AY100,$AY$10:$AY$510)+COUNTIF($AY$10:AY100,AY100)-1)</f>
        <v/>
      </c>
      <c r="BE100" s="177">
        <f t="shared" si="10"/>
        <v>91</v>
      </c>
      <c r="BG100" s="273" t="str">
        <f>IF($BF100="","",_xll.ciqfunctions.udf.CIQ($BF100,"iq_security_level"))</f>
        <v/>
      </c>
      <c r="BH100" s="177" t="str">
        <f t="shared" si="11"/>
        <v/>
      </c>
      <c r="BJ100" s="177" t="str">
        <f t="shared" si="9"/>
        <v/>
      </c>
      <c r="BK100" s="274" t="str">
        <f>IF($BJ100="","",_xll.ciqfunctions.udf.CIQ($BJ100,"iq_bond_coupon")/100)</f>
        <v/>
      </c>
    </row>
    <row r="101" spans="42:63" ht="12" hidden="1" customHeight="1" outlineLevel="1">
      <c r="AP101" s="177" t="s">
        <v>430</v>
      </c>
      <c r="AQ101" s="177" t="s">
        <v>655</v>
      </c>
      <c r="AR101" s="177" t="s">
        <v>656</v>
      </c>
      <c r="AY101" s="271" t="str">
        <f>IF($AX101="","",IF(_xll.ciqfunctions.udf.CIQ($AX101,"iq_offer_date")&gt;Date,0,_xll.ciqfunctions.udf.CIQ($AX101,"iq_offer_date")))</f>
        <v/>
      </c>
      <c r="AZ101" s="272" t="str">
        <f>IF($AX101="","",RANK(AY101,$AY$10:$AY$510)+COUNTIF($AY$10:AY101,AY101)-1)</f>
        <v/>
      </c>
      <c r="BE101" s="177">
        <f t="shared" si="10"/>
        <v>92</v>
      </c>
      <c r="BG101" s="273" t="str">
        <f>IF($BF101="","",_xll.ciqfunctions.udf.CIQ($BF101,"iq_security_level"))</f>
        <v/>
      </c>
      <c r="BH101" s="177" t="str">
        <f t="shared" si="11"/>
        <v/>
      </c>
      <c r="BJ101" s="177" t="str">
        <f t="shared" si="9"/>
        <v/>
      </c>
      <c r="BK101" s="274" t="str">
        <f>IF($BJ101="","",_xll.ciqfunctions.udf.CIQ($BJ101,"iq_bond_coupon")/100)</f>
        <v/>
      </c>
    </row>
    <row r="102" spans="42:63" ht="12" hidden="1" customHeight="1" outlineLevel="1">
      <c r="AP102" s="177" t="s">
        <v>430</v>
      </c>
      <c r="AQ102" s="177" t="s">
        <v>657</v>
      </c>
      <c r="AR102" s="177" t="s">
        <v>658</v>
      </c>
      <c r="AY102" s="271" t="str">
        <f>IF($AX102="","",IF(_xll.ciqfunctions.udf.CIQ($AX102,"iq_offer_date")&gt;Date,0,_xll.ciqfunctions.udf.CIQ($AX102,"iq_offer_date")))</f>
        <v/>
      </c>
      <c r="AZ102" s="272" t="str">
        <f>IF($AX102="","",RANK(AY102,$AY$10:$AY$510)+COUNTIF($AY$10:AY102,AY102)-1)</f>
        <v/>
      </c>
      <c r="BE102" s="177">
        <f t="shared" si="10"/>
        <v>93</v>
      </c>
      <c r="BG102" s="273" t="str">
        <f>IF($BF102="","",_xll.ciqfunctions.udf.CIQ($BF102,"iq_security_level"))</f>
        <v/>
      </c>
      <c r="BH102" s="177" t="str">
        <f t="shared" si="11"/>
        <v/>
      </c>
      <c r="BJ102" s="177" t="str">
        <f t="shared" si="9"/>
        <v/>
      </c>
      <c r="BK102" s="274" t="str">
        <f>IF($BJ102="","",_xll.ciqfunctions.udf.CIQ($BJ102,"iq_bond_coupon")/100)</f>
        <v/>
      </c>
    </row>
    <row r="103" spans="42:63" ht="12" hidden="1" customHeight="1" outlineLevel="1">
      <c r="AP103" s="177" t="s">
        <v>430</v>
      </c>
      <c r="AQ103" s="177" t="s">
        <v>659</v>
      </c>
      <c r="AR103" s="177" t="s">
        <v>660</v>
      </c>
      <c r="AY103" s="271" t="str">
        <f>IF($AX103="","",IF(_xll.ciqfunctions.udf.CIQ($AX103,"iq_offer_date")&gt;Date,0,_xll.ciqfunctions.udf.CIQ($AX103,"iq_offer_date")))</f>
        <v/>
      </c>
      <c r="AZ103" s="272" t="str">
        <f>IF($AX103="","",RANK(AY103,$AY$10:$AY$510)+COUNTIF($AY$10:AY103,AY103)-1)</f>
        <v/>
      </c>
      <c r="BE103" s="177">
        <f t="shared" si="10"/>
        <v>94</v>
      </c>
      <c r="BG103" s="273" t="str">
        <f>IF($BF103="","",_xll.ciqfunctions.udf.CIQ($BF103,"iq_security_level"))</f>
        <v/>
      </c>
      <c r="BH103" s="177" t="str">
        <f t="shared" si="11"/>
        <v/>
      </c>
      <c r="BJ103" s="177" t="str">
        <f t="shared" si="9"/>
        <v/>
      </c>
      <c r="BK103" s="274" t="str">
        <f>IF($BJ103="","",_xll.ciqfunctions.udf.CIQ($BJ103,"iq_bond_coupon")/100)</f>
        <v/>
      </c>
    </row>
    <row r="104" spans="42:63" ht="12" hidden="1" customHeight="1" outlineLevel="1">
      <c r="AP104" s="177" t="s">
        <v>442</v>
      </c>
      <c r="AQ104" s="177" t="s">
        <v>661</v>
      </c>
      <c r="AR104" s="177" t="s">
        <v>662</v>
      </c>
      <c r="AY104" s="271" t="str">
        <f>IF($AX104="","",IF(_xll.ciqfunctions.udf.CIQ($AX104,"iq_offer_date")&gt;Date,0,_xll.ciqfunctions.udf.CIQ($AX104,"iq_offer_date")))</f>
        <v/>
      </c>
      <c r="AZ104" s="272" t="str">
        <f>IF($AX104="","",RANK(AY104,$AY$10:$AY$510)+COUNTIF($AY$10:AY104,AY104)-1)</f>
        <v/>
      </c>
      <c r="BE104" s="177">
        <f t="shared" si="10"/>
        <v>95</v>
      </c>
      <c r="BG104" s="273" t="str">
        <f>IF($BF104="","",_xll.ciqfunctions.udf.CIQ($BF104,"iq_security_level"))</f>
        <v/>
      </c>
      <c r="BH104" s="177" t="str">
        <f t="shared" si="11"/>
        <v/>
      </c>
      <c r="BJ104" s="177" t="str">
        <f t="shared" si="9"/>
        <v/>
      </c>
      <c r="BK104" s="274" t="str">
        <f>IF($BJ104="","",_xll.ciqfunctions.udf.CIQ($BJ104,"iq_bond_coupon")/100)</f>
        <v/>
      </c>
    </row>
    <row r="105" spans="42:63" ht="12" hidden="1" customHeight="1" outlineLevel="1">
      <c r="AP105" s="177" t="s">
        <v>442</v>
      </c>
      <c r="AQ105" s="177" t="s">
        <v>663</v>
      </c>
      <c r="AR105" s="177" t="s">
        <v>664</v>
      </c>
      <c r="AY105" s="271" t="str">
        <f>IF($AX105="","",IF(_xll.ciqfunctions.udf.CIQ($AX105,"iq_offer_date")&gt;Date,0,_xll.ciqfunctions.udf.CIQ($AX105,"iq_offer_date")))</f>
        <v/>
      </c>
      <c r="AZ105" s="272" t="str">
        <f>IF($AX105="","",RANK(AY105,$AY$10:$AY$510)+COUNTIF($AY$10:AY105,AY105)-1)</f>
        <v/>
      </c>
      <c r="BE105" s="177">
        <f t="shared" si="10"/>
        <v>96</v>
      </c>
      <c r="BG105" s="273" t="str">
        <f>IF($BF105="","",_xll.ciqfunctions.udf.CIQ($BF105,"iq_security_level"))</f>
        <v/>
      </c>
      <c r="BH105" s="177" t="str">
        <f t="shared" si="11"/>
        <v/>
      </c>
      <c r="BJ105" s="177" t="str">
        <f t="shared" si="9"/>
        <v/>
      </c>
      <c r="BK105" s="274" t="str">
        <f>IF($BJ105="","",_xll.ciqfunctions.udf.CIQ($BJ105,"iq_bond_coupon")/100)</f>
        <v/>
      </c>
    </row>
    <row r="106" spans="42:63" ht="12" hidden="1" customHeight="1" outlineLevel="1">
      <c r="AP106" s="177" t="s">
        <v>442</v>
      </c>
      <c r="AQ106" s="177" t="s">
        <v>665</v>
      </c>
      <c r="AR106" s="177" t="s">
        <v>666</v>
      </c>
      <c r="AY106" s="271" t="str">
        <f>IF($AX106="","",IF(_xll.ciqfunctions.udf.CIQ($AX106,"iq_offer_date")&gt;Date,0,_xll.ciqfunctions.udf.CIQ($AX106,"iq_offer_date")))</f>
        <v/>
      </c>
      <c r="AZ106" s="272" t="str">
        <f>IF($AX106="","",RANK(AY106,$AY$10:$AY$510)+COUNTIF($AY$10:AY106,AY106)-1)</f>
        <v/>
      </c>
      <c r="BE106" s="177">
        <f t="shared" si="10"/>
        <v>97</v>
      </c>
      <c r="BG106" s="273" t="str">
        <f>IF($BF106="","",_xll.ciqfunctions.udf.CIQ($BF106,"iq_security_level"))</f>
        <v/>
      </c>
      <c r="BH106" s="177" t="str">
        <f t="shared" si="11"/>
        <v/>
      </c>
      <c r="BJ106" s="177" t="str">
        <f t="shared" si="9"/>
        <v/>
      </c>
      <c r="BK106" s="274" t="str">
        <f>IF($BJ106="","",_xll.ciqfunctions.udf.CIQ($BJ106,"iq_bond_coupon")/100)</f>
        <v/>
      </c>
    </row>
    <row r="107" spans="42:63" ht="12" hidden="1" customHeight="1" outlineLevel="1">
      <c r="AP107" s="177" t="s">
        <v>442</v>
      </c>
      <c r="AQ107" s="177" t="s">
        <v>667</v>
      </c>
      <c r="AR107" s="177" t="s">
        <v>668</v>
      </c>
      <c r="AY107" s="271" t="str">
        <f>IF($AX107="","",IF(_xll.ciqfunctions.udf.CIQ($AX107,"iq_offer_date")&gt;Date,0,_xll.ciqfunctions.udf.CIQ($AX107,"iq_offer_date")))</f>
        <v/>
      </c>
      <c r="AZ107" s="272" t="str">
        <f>IF($AX107="","",RANK(AY107,$AY$10:$AY$510)+COUNTIF($AY$10:AY107,AY107)-1)</f>
        <v/>
      </c>
      <c r="BE107" s="177">
        <f t="shared" si="10"/>
        <v>98</v>
      </c>
      <c r="BG107" s="273" t="str">
        <f>IF($BF107="","",_xll.ciqfunctions.udf.CIQ($BF107,"iq_security_level"))</f>
        <v/>
      </c>
      <c r="BH107" s="177" t="str">
        <f t="shared" si="11"/>
        <v/>
      </c>
      <c r="BJ107" s="177" t="str">
        <f t="shared" si="9"/>
        <v/>
      </c>
      <c r="BK107" s="274" t="str">
        <f>IF($BJ107="","",_xll.ciqfunctions.udf.CIQ($BJ107,"iq_bond_coupon")/100)</f>
        <v/>
      </c>
    </row>
    <row r="108" spans="42:63" ht="12" hidden="1" customHeight="1" outlineLevel="1">
      <c r="AP108" s="177" t="s">
        <v>442</v>
      </c>
      <c r="AQ108" s="177" t="s">
        <v>669</v>
      </c>
      <c r="AR108" s="177" t="s">
        <v>670</v>
      </c>
      <c r="AY108" s="271" t="str">
        <f>IF($AX108="","",IF(_xll.ciqfunctions.udf.CIQ($AX108,"iq_offer_date")&gt;Date,0,_xll.ciqfunctions.udf.CIQ($AX108,"iq_offer_date")))</f>
        <v/>
      </c>
      <c r="AZ108" s="272" t="str">
        <f>IF($AX108="","",RANK(AY108,$AY$10:$AY$510)+COUNTIF($AY$10:AY108,AY108)-1)</f>
        <v/>
      </c>
      <c r="BE108" s="177">
        <f t="shared" si="10"/>
        <v>99</v>
      </c>
      <c r="BG108" s="273" t="str">
        <f>IF($BF108="","",_xll.ciqfunctions.udf.CIQ($BF108,"iq_security_level"))</f>
        <v/>
      </c>
      <c r="BH108" s="177" t="str">
        <f t="shared" si="11"/>
        <v/>
      </c>
      <c r="BJ108" s="177" t="str">
        <f t="shared" si="9"/>
        <v/>
      </c>
      <c r="BK108" s="274" t="str">
        <f>IF($BJ108="","",_xll.ciqfunctions.udf.CIQ($BJ108,"iq_bond_coupon")/100)</f>
        <v/>
      </c>
    </row>
    <row r="109" spans="42:63" ht="12" hidden="1" customHeight="1" outlineLevel="1">
      <c r="AP109" s="177" t="s">
        <v>442</v>
      </c>
      <c r="AQ109" s="177" t="s">
        <v>671</v>
      </c>
      <c r="AR109" s="177" t="s">
        <v>672</v>
      </c>
      <c r="AY109" s="271" t="str">
        <f>IF($AX109="","",IF(_xll.ciqfunctions.udf.CIQ($AX109,"iq_offer_date")&gt;Date,0,_xll.ciqfunctions.udf.CIQ($AX109,"iq_offer_date")))</f>
        <v/>
      </c>
      <c r="AZ109" s="272" t="str">
        <f>IF($AX109="","",RANK(AY109,$AY$10:$AY$510)+COUNTIF($AY$10:AY109,AY109)-1)</f>
        <v/>
      </c>
      <c r="BE109" s="177">
        <f t="shared" si="10"/>
        <v>100</v>
      </c>
      <c r="BG109" s="273" t="str">
        <f>IF($BF109="","",_xll.ciqfunctions.udf.CIQ($BF109,"iq_security_level"))</f>
        <v/>
      </c>
      <c r="BH109" s="177" t="str">
        <f t="shared" si="11"/>
        <v/>
      </c>
      <c r="BJ109" s="177" t="str">
        <f t="shared" si="9"/>
        <v/>
      </c>
      <c r="BK109" s="274" t="str">
        <f>IF($BJ109="","",_xll.ciqfunctions.udf.CIQ($BJ109,"iq_bond_coupon")/100)</f>
        <v/>
      </c>
    </row>
    <row r="110" spans="42:63" ht="12" hidden="1" customHeight="1" outlineLevel="1">
      <c r="AP110" s="177" t="s">
        <v>442</v>
      </c>
      <c r="AQ110" s="177" t="s">
        <v>673</v>
      </c>
      <c r="AR110" s="177" t="s">
        <v>674</v>
      </c>
      <c r="AY110" s="271" t="str">
        <f>IF($AX110="","",IF(_xll.ciqfunctions.udf.CIQ($AX110,"iq_offer_date")&gt;Date,0,_xll.ciqfunctions.udf.CIQ($AX110,"iq_offer_date")))</f>
        <v/>
      </c>
      <c r="AZ110" s="272" t="str">
        <f>IF($AX110="","",RANK(AY110,$AY$10:$AY$510)+COUNTIF($AY$10:AY110,AY110)-1)</f>
        <v/>
      </c>
      <c r="BE110" s="177">
        <f t="shared" si="10"/>
        <v>101</v>
      </c>
      <c r="BG110" s="273" t="str">
        <f>IF($BF110="","",_xll.ciqfunctions.udf.CIQ($BF110,"iq_security_level"))</f>
        <v/>
      </c>
      <c r="BH110" s="177" t="str">
        <f t="shared" si="11"/>
        <v/>
      </c>
      <c r="BJ110" s="177" t="str">
        <f t="shared" si="9"/>
        <v/>
      </c>
      <c r="BK110" s="274" t="str">
        <f>IF($BJ110="","",_xll.ciqfunctions.udf.CIQ($BJ110,"iq_bond_coupon")/100)</f>
        <v/>
      </c>
    </row>
    <row r="111" spans="42:63" ht="12" hidden="1" customHeight="1" outlineLevel="1">
      <c r="AP111" s="177" t="s">
        <v>442</v>
      </c>
      <c r="AQ111" s="177" t="s">
        <v>675</v>
      </c>
      <c r="AR111" s="177" t="s">
        <v>676</v>
      </c>
      <c r="AY111" s="271" t="str">
        <f>IF($AX111="","",IF(_xll.ciqfunctions.udf.CIQ($AX111,"iq_offer_date")&gt;Date,0,_xll.ciqfunctions.udf.CIQ($AX111,"iq_offer_date")))</f>
        <v/>
      </c>
      <c r="AZ111" s="272" t="str">
        <f>IF($AX111="","",RANK(AY111,$AY$10:$AY$510)+COUNTIF($AY$10:AY111,AY111)-1)</f>
        <v/>
      </c>
      <c r="BE111" s="177">
        <f t="shared" si="10"/>
        <v>102</v>
      </c>
      <c r="BG111" s="273" t="str">
        <f>IF($BF111="","",_xll.ciqfunctions.udf.CIQ($BF111,"iq_security_level"))</f>
        <v/>
      </c>
      <c r="BH111" s="177" t="str">
        <f t="shared" si="11"/>
        <v/>
      </c>
      <c r="BJ111" s="177" t="str">
        <f t="shared" si="9"/>
        <v/>
      </c>
      <c r="BK111" s="274" t="str">
        <f>IF($BJ111="","",_xll.ciqfunctions.udf.CIQ($BJ111,"iq_bond_coupon")/100)</f>
        <v/>
      </c>
    </row>
    <row r="112" spans="42:63" ht="12" hidden="1" customHeight="1" outlineLevel="1">
      <c r="AP112" s="177" t="s">
        <v>366</v>
      </c>
      <c r="AQ112" s="177" t="s">
        <v>677</v>
      </c>
      <c r="AR112" s="177" t="s">
        <v>678</v>
      </c>
      <c r="AY112" s="271" t="str">
        <f>IF($AX112="","",IF(_xll.ciqfunctions.udf.CIQ($AX112,"iq_offer_date")&gt;Date,0,_xll.ciqfunctions.udf.CIQ($AX112,"iq_offer_date")))</f>
        <v/>
      </c>
      <c r="AZ112" s="272" t="str">
        <f>IF($AX112="","",RANK(AY112,$AY$10:$AY$510)+COUNTIF($AY$10:AY112,AY112)-1)</f>
        <v/>
      </c>
      <c r="BE112" s="177">
        <f t="shared" si="10"/>
        <v>103</v>
      </c>
      <c r="BG112" s="273" t="str">
        <f>IF($BF112="","",_xll.ciqfunctions.udf.CIQ($BF112,"iq_security_level"))</f>
        <v/>
      </c>
      <c r="BH112" s="177" t="str">
        <f t="shared" si="11"/>
        <v/>
      </c>
      <c r="BJ112" s="177" t="str">
        <f t="shared" si="9"/>
        <v/>
      </c>
      <c r="BK112" s="274" t="str">
        <f>IF($BJ112="","",_xll.ciqfunctions.udf.CIQ($BJ112,"iq_bond_coupon")/100)</f>
        <v/>
      </c>
    </row>
    <row r="113" spans="42:63" ht="15" hidden="1" customHeight="1" outlineLevel="1">
      <c r="AP113" s="177" t="s">
        <v>366</v>
      </c>
      <c r="AQ113" s="177" t="s">
        <v>679</v>
      </c>
      <c r="AR113" s="177" t="s">
        <v>680</v>
      </c>
      <c r="AY113" s="271" t="str">
        <f>IF($AX113="","",IF(_xll.ciqfunctions.udf.CIQ($AX113,"iq_offer_date")&gt;Date,0,_xll.ciqfunctions.udf.CIQ($AX113,"iq_offer_date")))</f>
        <v/>
      </c>
      <c r="AZ113" s="272" t="str">
        <f>IF($AX113="","",RANK(AY113,$AY$10:$AY$510)+COUNTIF($AY$10:AY113,AY113)-1)</f>
        <v/>
      </c>
      <c r="BE113" s="177">
        <f t="shared" si="10"/>
        <v>104</v>
      </c>
      <c r="BG113" s="273" t="str">
        <f>IF($BF113="","",_xll.ciqfunctions.udf.CIQ($BF113,"iq_security_level"))</f>
        <v/>
      </c>
      <c r="BH113" s="177" t="str">
        <f t="shared" si="11"/>
        <v/>
      </c>
      <c r="BJ113" s="177" t="str">
        <f t="shared" si="9"/>
        <v/>
      </c>
      <c r="BK113" s="274" t="str">
        <f>IF($BJ113="","",_xll.ciqfunctions.udf.CIQ($BJ113,"iq_bond_coupon")/100)</f>
        <v/>
      </c>
    </row>
    <row r="114" spans="42:63" ht="12" hidden="1" customHeight="1" outlineLevel="1">
      <c r="AP114" s="177" t="s">
        <v>366</v>
      </c>
      <c r="AQ114" s="177" t="s">
        <v>681</v>
      </c>
      <c r="AR114" s="177" t="s">
        <v>682</v>
      </c>
      <c r="AY114" s="271" t="str">
        <f>IF($AX114="","",IF(_xll.ciqfunctions.udf.CIQ($AX114,"iq_offer_date")&gt;Date,0,_xll.ciqfunctions.udf.CIQ($AX114,"iq_offer_date")))</f>
        <v/>
      </c>
      <c r="AZ114" s="272" t="str">
        <f>IF($AX114="","",RANK(AY114,$AY$10:$AY$510)+COUNTIF($AY$10:AY114,AY114)-1)</f>
        <v/>
      </c>
      <c r="BE114" s="177">
        <f t="shared" si="10"/>
        <v>105</v>
      </c>
      <c r="BG114" s="273" t="str">
        <f>IF($BF114="","",_xll.ciqfunctions.udf.CIQ($BF114,"iq_security_level"))</f>
        <v/>
      </c>
      <c r="BH114" s="177" t="str">
        <f t="shared" si="11"/>
        <v/>
      </c>
      <c r="BJ114" s="177" t="str">
        <f t="shared" si="9"/>
        <v/>
      </c>
      <c r="BK114" s="274" t="str">
        <f>IF($BJ114="","",_xll.ciqfunctions.udf.CIQ($BJ114,"iq_bond_coupon")/100)</f>
        <v/>
      </c>
    </row>
    <row r="115" spans="42:63" ht="12" hidden="1" customHeight="1" outlineLevel="1">
      <c r="AP115" s="177" t="s">
        <v>366</v>
      </c>
      <c r="AQ115" s="177" t="s">
        <v>683</v>
      </c>
      <c r="AR115" s="177" t="s">
        <v>684</v>
      </c>
      <c r="AY115" s="271" t="str">
        <f>IF($AX115="","",IF(_xll.ciqfunctions.udf.CIQ($AX115,"iq_offer_date")&gt;Date,0,_xll.ciqfunctions.udf.CIQ($AX115,"iq_offer_date")))</f>
        <v/>
      </c>
      <c r="AZ115" s="272" t="str">
        <f>IF($AX115="","",RANK(AY115,$AY$10:$AY$510)+COUNTIF($AY$10:AY115,AY115)-1)</f>
        <v/>
      </c>
      <c r="BE115" s="177">
        <f t="shared" si="10"/>
        <v>106</v>
      </c>
      <c r="BG115" s="273" t="str">
        <f>IF($BF115="","",_xll.ciqfunctions.udf.CIQ($BF115,"iq_security_level"))</f>
        <v/>
      </c>
      <c r="BH115" s="177" t="str">
        <f t="shared" si="11"/>
        <v/>
      </c>
      <c r="BJ115" s="177" t="str">
        <f t="shared" si="9"/>
        <v/>
      </c>
      <c r="BK115" s="274" t="str">
        <f>IF($BJ115="","",_xll.ciqfunctions.udf.CIQ($BJ115,"iq_bond_coupon")/100)</f>
        <v/>
      </c>
    </row>
    <row r="116" spans="42:63" ht="12" hidden="1" customHeight="1" outlineLevel="1">
      <c r="AP116" s="177" t="s">
        <v>366</v>
      </c>
      <c r="AQ116" s="177" t="s">
        <v>685</v>
      </c>
      <c r="AR116" s="177" t="s">
        <v>686</v>
      </c>
      <c r="AY116" s="271" t="str">
        <f>IF($AX116="","",IF(_xll.ciqfunctions.udf.CIQ($AX116,"iq_offer_date")&gt;Date,0,_xll.ciqfunctions.udf.CIQ($AX116,"iq_offer_date")))</f>
        <v/>
      </c>
      <c r="AZ116" s="272" t="str">
        <f>IF($AX116="","",RANK(AY116,$AY$10:$AY$510)+COUNTIF($AY$10:AY116,AY116)-1)</f>
        <v/>
      </c>
      <c r="BE116" s="177">
        <f t="shared" si="10"/>
        <v>107</v>
      </c>
      <c r="BG116" s="273" t="str">
        <f>IF($BF116="","",_xll.ciqfunctions.udf.CIQ($BF116,"iq_security_level"))</f>
        <v/>
      </c>
      <c r="BH116" s="177" t="str">
        <f t="shared" si="11"/>
        <v/>
      </c>
      <c r="BJ116" s="177" t="str">
        <f t="shared" si="9"/>
        <v/>
      </c>
      <c r="BK116" s="274" t="str">
        <f>IF($BJ116="","",_xll.ciqfunctions.udf.CIQ($BJ116,"iq_bond_coupon")/100)</f>
        <v/>
      </c>
    </row>
    <row r="117" spans="42:63" ht="12" hidden="1" customHeight="1" outlineLevel="1">
      <c r="AP117" s="177" t="s">
        <v>366</v>
      </c>
      <c r="AQ117" s="177" t="s">
        <v>687</v>
      </c>
      <c r="AR117" s="177" t="s">
        <v>688</v>
      </c>
      <c r="AY117" s="271" t="str">
        <f>IF($AX117="","",IF(_xll.ciqfunctions.udf.CIQ($AX117,"iq_offer_date")&gt;Date,0,_xll.ciqfunctions.udf.CIQ($AX117,"iq_offer_date")))</f>
        <v/>
      </c>
      <c r="AZ117" s="272" t="str">
        <f>IF($AX117="","",RANK(AY117,$AY$10:$AY$510)+COUNTIF($AY$10:AY117,AY117)-1)</f>
        <v/>
      </c>
      <c r="BE117" s="177">
        <f t="shared" si="10"/>
        <v>108</v>
      </c>
      <c r="BG117" s="273" t="str">
        <f>IF($BF117="","",_xll.ciqfunctions.udf.CIQ($BF117,"iq_security_level"))</f>
        <v/>
      </c>
      <c r="BH117" s="177" t="str">
        <f t="shared" si="11"/>
        <v/>
      </c>
      <c r="BJ117" s="177" t="str">
        <f t="shared" ref="BJ117:BJ180" si="12">IF($BF116="","",IF(ISERROR(INDEX($BF$10:$BF$509,MATCH(BE116,$BH$10:$BH$509,0))),"",INDEX($BF$10:$BF$509,MATCH(BE116,$BH$10:$BH$509,0))))</f>
        <v/>
      </c>
      <c r="BK117" s="274" t="str">
        <f>IF($BJ117="","",_xll.ciqfunctions.udf.CIQ($BJ117,"iq_bond_coupon")/100)</f>
        <v/>
      </c>
    </row>
    <row r="118" spans="42:63" ht="12" hidden="1" customHeight="1" outlineLevel="1">
      <c r="AP118" s="177" t="s">
        <v>366</v>
      </c>
      <c r="AQ118" s="177" t="s">
        <v>689</v>
      </c>
      <c r="AR118" s="177" t="s">
        <v>690</v>
      </c>
      <c r="AY118" s="271" t="str">
        <f>IF($AX118="","",IF(_xll.ciqfunctions.udf.CIQ($AX118,"iq_offer_date")&gt;Date,0,_xll.ciqfunctions.udf.CIQ($AX118,"iq_offer_date")))</f>
        <v/>
      </c>
      <c r="AZ118" s="272" t="str">
        <f>IF($AX118="","",RANK(AY118,$AY$10:$AY$510)+COUNTIF($AY$10:AY118,AY118)-1)</f>
        <v/>
      </c>
      <c r="BE118" s="177">
        <f t="shared" si="10"/>
        <v>109</v>
      </c>
      <c r="BG118" s="273" t="str">
        <f>IF($BF118="","",_xll.ciqfunctions.udf.CIQ($BF118,"iq_security_level"))</f>
        <v/>
      </c>
      <c r="BH118" s="177" t="str">
        <f t="shared" si="11"/>
        <v/>
      </c>
      <c r="BJ118" s="177" t="str">
        <f t="shared" si="12"/>
        <v/>
      </c>
      <c r="BK118" s="274" t="str">
        <f>IF($BJ118="","",_xll.ciqfunctions.udf.CIQ($BJ118,"iq_bond_coupon")/100)</f>
        <v/>
      </c>
    </row>
    <row r="119" spans="42:63" ht="12" hidden="1" customHeight="1" outlineLevel="1">
      <c r="AP119" s="177" t="s">
        <v>366</v>
      </c>
      <c r="AQ119" s="177" t="s">
        <v>691</v>
      </c>
      <c r="AR119" s="177" t="s">
        <v>692</v>
      </c>
      <c r="AY119" s="271" t="str">
        <f>IF($AX119="","",IF(_xll.ciqfunctions.udf.CIQ($AX119,"iq_offer_date")&gt;Date,0,_xll.ciqfunctions.udf.CIQ($AX119,"iq_offer_date")))</f>
        <v/>
      </c>
      <c r="AZ119" s="272" t="str">
        <f>IF($AX119="","",RANK(AY119,$AY$10:$AY$510)+COUNTIF($AY$10:AY119,AY119)-1)</f>
        <v/>
      </c>
      <c r="BE119" s="177">
        <f t="shared" si="10"/>
        <v>110</v>
      </c>
      <c r="BG119" s="273" t="str">
        <f>IF($BF119="","",_xll.ciqfunctions.udf.CIQ($BF119,"iq_security_level"))</f>
        <v/>
      </c>
      <c r="BH119" s="177" t="str">
        <f t="shared" si="11"/>
        <v/>
      </c>
      <c r="BJ119" s="177" t="str">
        <f t="shared" si="12"/>
        <v/>
      </c>
      <c r="BK119" s="274" t="str">
        <f>IF($BJ119="","",_xll.ciqfunctions.udf.CIQ($BJ119,"iq_bond_coupon")/100)</f>
        <v/>
      </c>
    </row>
    <row r="120" spans="42:63" ht="12" hidden="1" customHeight="1" outlineLevel="1">
      <c r="AP120" s="177" t="s">
        <v>366</v>
      </c>
      <c r="AQ120" s="177" t="s">
        <v>693</v>
      </c>
      <c r="AR120" s="177" t="s">
        <v>373</v>
      </c>
      <c r="AY120" s="271" t="str">
        <f>IF($AX120="","",IF(_xll.ciqfunctions.udf.CIQ($AX120,"iq_offer_date")&gt;Date,0,_xll.ciqfunctions.udf.CIQ($AX120,"iq_offer_date")))</f>
        <v/>
      </c>
      <c r="AZ120" s="272" t="str">
        <f>IF($AX120="","",RANK(AY120,$AY$10:$AY$510)+COUNTIF($AY$10:AY120,AY120)-1)</f>
        <v/>
      </c>
      <c r="BE120" s="177">
        <f t="shared" si="10"/>
        <v>111</v>
      </c>
      <c r="BG120" s="273" t="str">
        <f>IF($BF120="","",_xll.ciqfunctions.udf.CIQ($BF120,"iq_security_level"))</f>
        <v/>
      </c>
      <c r="BH120" s="177" t="str">
        <f t="shared" si="11"/>
        <v/>
      </c>
      <c r="BJ120" s="177" t="str">
        <f t="shared" si="12"/>
        <v/>
      </c>
      <c r="BK120" s="274" t="str">
        <f>IF($BJ120="","",_xll.ciqfunctions.udf.CIQ($BJ120,"iq_bond_coupon")/100)</f>
        <v/>
      </c>
    </row>
    <row r="121" spans="42:63" ht="12" hidden="1" customHeight="1" outlineLevel="1">
      <c r="AP121" s="177" t="s">
        <v>366</v>
      </c>
      <c r="AQ121" s="177" t="s">
        <v>694</v>
      </c>
      <c r="AR121" s="177" t="s">
        <v>695</v>
      </c>
      <c r="AY121" s="271" t="str">
        <f>IF($AX121="","",IF(_xll.ciqfunctions.udf.CIQ($AX121,"iq_offer_date")&gt;Date,0,_xll.ciqfunctions.udf.CIQ($AX121,"iq_offer_date")))</f>
        <v/>
      </c>
      <c r="AZ121" s="272" t="str">
        <f>IF($AX121="","",RANK(AY121,$AY$10:$AY$510)+COUNTIF($AY$10:AY121,AY121)-1)</f>
        <v/>
      </c>
      <c r="BE121" s="177">
        <f t="shared" si="10"/>
        <v>112</v>
      </c>
      <c r="BG121" s="273" t="str">
        <f>IF($BF121="","",_xll.ciqfunctions.udf.CIQ($BF121,"iq_security_level"))</f>
        <v/>
      </c>
      <c r="BH121" s="177" t="str">
        <f t="shared" si="11"/>
        <v/>
      </c>
      <c r="BJ121" s="177" t="str">
        <f t="shared" si="12"/>
        <v/>
      </c>
      <c r="BK121" s="274" t="str">
        <f>IF($BJ121="","",_xll.ciqfunctions.udf.CIQ($BJ121,"iq_bond_coupon")/100)</f>
        <v/>
      </c>
    </row>
    <row r="122" spans="42:63" ht="12" hidden="1" customHeight="1" outlineLevel="1">
      <c r="AP122" s="177" t="s">
        <v>366</v>
      </c>
      <c r="AQ122" s="177" t="s">
        <v>696</v>
      </c>
      <c r="AR122" s="177" t="s">
        <v>697</v>
      </c>
      <c r="AY122" s="271" t="str">
        <f>IF($AX122="","",IF(_xll.ciqfunctions.udf.CIQ($AX122,"iq_offer_date")&gt;Date,0,_xll.ciqfunctions.udf.CIQ($AX122,"iq_offer_date")))</f>
        <v/>
      </c>
      <c r="AZ122" s="272" t="str">
        <f>IF($AX122="","",RANK(AY122,$AY$10:$AY$510)+COUNTIF($AY$10:AY122,AY122)-1)</f>
        <v/>
      </c>
      <c r="BE122" s="177">
        <f t="shared" si="10"/>
        <v>113</v>
      </c>
      <c r="BG122" s="273" t="str">
        <f>IF($BF122="","",_xll.ciqfunctions.udf.CIQ($BF122,"iq_security_level"))</f>
        <v/>
      </c>
      <c r="BH122" s="177" t="str">
        <f t="shared" si="11"/>
        <v/>
      </c>
      <c r="BJ122" s="177" t="str">
        <f t="shared" si="12"/>
        <v/>
      </c>
      <c r="BK122" s="274" t="str">
        <f>IF($BJ122="","",_xll.ciqfunctions.udf.CIQ($BJ122,"iq_bond_coupon")/100)</f>
        <v/>
      </c>
    </row>
    <row r="123" spans="42:63" ht="12" hidden="1" customHeight="1" outlineLevel="1">
      <c r="BE123" s="177">
        <f t="shared" si="10"/>
        <v>114</v>
      </c>
      <c r="BG123" s="273" t="str">
        <f>IF($BF123="","",_xll.ciqfunctions.udf.CIQ($BF123,"iq_security_level"))</f>
        <v/>
      </c>
      <c r="BH123" s="177" t="str">
        <f t="shared" si="11"/>
        <v/>
      </c>
      <c r="BJ123" s="177" t="str">
        <f t="shared" si="12"/>
        <v/>
      </c>
      <c r="BK123" s="274" t="str">
        <f>IF($BJ123="","",_xll.ciqfunctions.udf.CIQ($BJ123,"iq_bond_coupon")/100)</f>
        <v/>
      </c>
    </row>
    <row r="124" spans="42:63" ht="12" hidden="1" customHeight="1" outlineLevel="1">
      <c r="AY124" s="271" t="str">
        <f>IF($AX124="","",_xll.ciqfunctions.udf.CIQ($AX124,"iq_offer_date"))</f>
        <v/>
      </c>
      <c r="AZ124" s="272" t="str">
        <f>IF($AX124="","",RANK(AY124,$AY$10:$AY$510)+COUNTIF($AY$10:AY124,AY124)-1)</f>
        <v/>
      </c>
      <c r="BE124" s="177">
        <f t="shared" si="10"/>
        <v>115</v>
      </c>
      <c r="BG124" s="273" t="str">
        <f>IF($BF124="","",_xll.ciqfunctions.udf.CIQ($BF124,"iq_security_level"))</f>
        <v/>
      </c>
      <c r="BH124" s="177" t="str">
        <f t="shared" si="11"/>
        <v/>
      </c>
      <c r="BJ124" s="177" t="str">
        <f t="shared" si="12"/>
        <v/>
      </c>
      <c r="BK124" s="274" t="str">
        <f>IF($BJ124="","",_xll.ciqfunctions.udf.CIQ($BJ124,"iq_bond_coupon")/100)</f>
        <v/>
      </c>
    </row>
    <row r="125" spans="42:63" ht="12" hidden="1" customHeight="1" outlineLevel="1">
      <c r="AY125" s="271" t="str">
        <f>IF($AX125="","",_xll.ciqfunctions.udf.CIQ($AX125,"iq_offer_date"))</f>
        <v/>
      </c>
      <c r="AZ125" s="272" t="str">
        <f>IF($AX125="","",RANK(AY125,$AY$10:$AY$510)+COUNTIF($AY$10:AY125,AY125)-1)</f>
        <v/>
      </c>
      <c r="BE125" s="177">
        <f t="shared" si="10"/>
        <v>116</v>
      </c>
      <c r="BG125" s="273" t="str">
        <f>IF($BF125="","",_xll.ciqfunctions.udf.CIQ($BF125,"iq_security_level"))</f>
        <v/>
      </c>
      <c r="BH125" s="177" t="str">
        <f t="shared" si="11"/>
        <v/>
      </c>
      <c r="BJ125" s="177" t="str">
        <f t="shared" si="12"/>
        <v/>
      </c>
      <c r="BK125" s="274" t="str">
        <f>IF($BJ125="","",_xll.ciqfunctions.udf.CIQ($BJ125,"iq_bond_coupon")/100)</f>
        <v/>
      </c>
    </row>
    <row r="126" spans="42:63" ht="12" hidden="1" customHeight="1" outlineLevel="1">
      <c r="AY126" s="271" t="str">
        <f>IF($AX126="","",_xll.ciqfunctions.udf.CIQ($AX126,"iq_offer_date"))</f>
        <v/>
      </c>
      <c r="AZ126" s="272" t="str">
        <f>IF($AX126="","",RANK(AY126,$AY$10:$AY$510)+COUNTIF($AY$10:AY126,AY126)-1)</f>
        <v/>
      </c>
      <c r="BE126" s="177">
        <f t="shared" si="10"/>
        <v>117</v>
      </c>
      <c r="BG126" s="273" t="str">
        <f>IF($BF126="","",_xll.ciqfunctions.udf.CIQ($BF126,"iq_security_level"))</f>
        <v/>
      </c>
      <c r="BH126" s="177" t="str">
        <f t="shared" si="11"/>
        <v/>
      </c>
      <c r="BJ126" s="177" t="str">
        <f t="shared" si="12"/>
        <v/>
      </c>
      <c r="BK126" s="274" t="str">
        <f>IF($BJ126="","",_xll.ciqfunctions.udf.CIQ($BJ126,"iq_bond_coupon")/100)</f>
        <v/>
      </c>
    </row>
    <row r="127" spans="42:63" ht="12" hidden="1" customHeight="1" outlineLevel="1">
      <c r="AY127" s="271" t="str">
        <f>IF($AX127="","",_xll.ciqfunctions.udf.CIQ($AX127,"iq_offer_date"))</f>
        <v/>
      </c>
      <c r="AZ127" s="272" t="str">
        <f>IF($AX127="","",RANK(AY127,$AY$10:$AY$510)+COUNTIF($AY$10:AY127,AY127)-1)</f>
        <v/>
      </c>
      <c r="BE127" s="177">
        <f t="shared" si="10"/>
        <v>118</v>
      </c>
      <c r="BG127" s="273" t="str">
        <f>IF($BF127="","",_xll.ciqfunctions.udf.CIQ($BF127,"iq_security_level"))</f>
        <v/>
      </c>
      <c r="BH127" s="177" t="str">
        <f t="shared" si="11"/>
        <v/>
      </c>
      <c r="BJ127" s="177" t="str">
        <f t="shared" si="12"/>
        <v/>
      </c>
      <c r="BK127" s="274" t="str">
        <f>IF($BJ127="","",_xll.ciqfunctions.udf.CIQ($BJ127,"iq_bond_coupon")/100)</f>
        <v/>
      </c>
    </row>
    <row r="128" spans="42:63" ht="12" hidden="1" customHeight="1" outlineLevel="1">
      <c r="AY128" s="271" t="str">
        <f>IF($AX128="","",_xll.ciqfunctions.udf.CIQ($AX128,"iq_offer_date"))</f>
        <v/>
      </c>
      <c r="AZ128" s="272" t="str">
        <f>IF($AX128="","",RANK(AY128,$AY$10:$AY$510)+COUNTIF($AY$10:AY128,AY128)-1)</f>
        <v/>
      </c>
      <c r="BE128" s="177">
        <f t="shared" si="10"/>
        <v>119</v>
      </c>
      <c r="BG128" s="273" t="str">
        <f>IF($BF128="","",_xll.ciqfunctions.udf.CIQ($BF128,"iq_security_level"))</f>
        <v/>
      </c>
      <c r="BH128" s="177" t="str">
        <f t="shared" si="11"/>
        <v/>
      </c>
      <c r="BJ128" s="177" t="str">
        <f t="shared" si="12"/>
        <v/>
      </c>
      <c r="BK128" s="274" t="str">
        <f>IF($BJ128="","",_xll.ciqfunctions.udf.CIQ($BJ128,"iq_bond_coupon")/100)</f>
        <v/>
      </c>
    </row>
    <row r="129" spans="51:63" ht="12" hidden="1" customHeight="1" outlineLevel="1">
      <c r="AY129" s="271" t="str">
        <f>IF($AX129="","",_xll.ciqfunctions.udf.CIQ($AX129,"iq_offer_date"))</f>
        <v/>
      </c>
      <c r="AZ129" s="272" t="str">
        <f>IF($AX129="","",RANK(AY129,$AY$10:$AY$510)+COUNTIF($AY$10:AY129,AY129)-1)</f>
        <v/>
      </c>
      <c r="BE129" s="177">
        <f t="shared" si="10"/>
        <v>120</v>
      </c>
      <c r="BG129" s="273" t="str">
        <f>IF($BF129="","",_xll.ciqfunctions.udf.CIQ($BF129,"iq_security_level"))</f>
        <v/>
      </c>
      <c r="BH129" s="177" t="str">
        <f t="shared" si="11"/>
        <v/>
      </c>
      <c r="BJ129" s="177" t="str">
        <f t="shared" si="12"/>
        <v/>
      </c>
      <c r="BK129" s="274" t="str">
        <f>IF($BJ129="","",_xll.ciqfunctions.udf.CIQ($BJ129,"iq_bond_coupon")/100)</f>
        <v/>
      </c>
    </row>
    <row r="130" spans="51:63" ht="12" hidden="1" customHeight="1" outlineLevel="1">
      <c r="AY130" s="271" t="str">
        <f>IF($AX130="","",_xll.ciqfunctions.udf.CIQ($AX130,"iq_offer_date"))</f>
        <v/>
      </c>
      <c r="AZ130" s="272" t="str">
        <f>IF($AX130="","",RANK(AY130,$AY$10:$AY$510)+COUNTIF($AY$10:AY130,AY130)-1)</f>
        <v/>
      </c>
      <c r="BE130" s="177">
        <f t="shared" si="10"/>
        <v>121</v>
      </c>
      <c r="BG130" s="273" t="str">
        <f>IF($BF130="","",_xll.ciqfunctions.udf.CIQ($BF130,"iq_security_level"))</f>
        <v/>
      </c>
      <c r="BH130" s="177" t="str">
        <f t="shared" si="11"/>
        <v/>
      </c>
      <c r="BJ130" s="177" t="str">
        <f t="shared" si="12"/>
        <v/>
      </c>
      <c r="BK130" s="274" t="str">
        <f>IF($BJ130="","",_xll.ciqfunctions.udf.CIQ($BJ130,"iq_bond_coupon")/100)</f>
        <v/>
      </c>
    </row>
    <row r="131" spans="51:63" ht="12" hidden="1" customHeight="1" outlineLevel="1">
      <c r="AY131" s="271" t="str">
        <f>IF($AX131="","",_xll.ciqfunctions.udf.CIQ($AX131,"iq_offer_date"))</f>
        <v/>
      </c>
      <c r="AZ131" s="272" t="str">
        <f>IF($AX131="","",RANK(AY131,$AY$10:$AY$510)+COUNTIF($AY$10:AY131,AY131)-1)</f>
        <v/>
      </c>
      <c r="BE131" s="177">
        <f t="shared" si="10"/>
        <v>122</v>
      </c>
      <c r="BG131" s="273" t="str">
        <f>IF($BF131="","",_xll.ciqfunctions.udf.CIQ($BF131,"iq_security_level"))</f>
        <v/>
      </c>
      <c r="BH131" s="177" t="str">
        <f t="shared" si="11"/>
        <v/>
      </c>
      <c r="BJ131" s="177" t="str">
        <f t="shared" si="12"/>
        <v/>
      </c>
      <c r="BK131" s="274" t="str">
        <f>IF($BJ131="","",_xll.ciqfunctions.udf.CIQ($BJ131,"iq_bond_coupon")/100)</f>
        <v/>
      </c>
    </row>
    <row r="132" spans="51:63" ht="12" hidden="1" customHeight="1" outlineLevel="1">
      <c r="AY132" s="271" t="str">
        <f>IF($AX132="","",_xll.ciqfunctions.udf.CIQ($AX132,"iq_offer_date"))</f>
        <v/>
      </c>
      <c r="AZ132" s="272" t="str">
        <f>IF($AX132="","",RANK(AY132,$AY$10:$AY$510)+COUNTIF($AY$10:AY132,AY132)-1)</f>
        <v/>
      </c>
      <c r="BE132" s="177">
        <f t="shared" si="10"/>
        <v>123</v>
      </c>
      <c r="BG132" s="273" t="str">
        <f>IF($BF132="","",_xll.ciqfunctions.udf.CIQ($BF132,"iq_security_level"))</f>
        <v/>
      </c>
      <c r="BH132" s="177" t="str">
        <f t="shared" si="11"/>
        <v/>
      </c>
      <c r="BJ132" s="177" t="str">
        <f t="shared" si="12"/>
        <v/>
      </c>
      <c r="BK132" s="274" t="str">
        <f>IF($BJ132="","",_xll.ciqfunctions.udf.CIQ($BJ132,"iq_bond_coupon")/100)</f>
        <v/>
      </c>
    </row>
    <row r="133" spans="51:63" ht="12" hidden="1" customHeight="1" outlineLevel="1">
      <c r="AY133" s="271" t="str">
        <f>IF($AX133="","",_xll.ciqfunctions.udf.CIQ($AX133,"iq_offer_date"))</f>
        <v/>
      </c>
      <c r="AZ133" s="272" t="str">
        <f>IF($AX133="","",RANK(AY133,$AY$10:$AY$510)+COUNTIF($AY$10:AY133,AY133)-1)</f>
        <v/>
      </c>
      <c r="BE133" s="177">
        <f t="shared" si="10"/>
        <v>124</v>
      </c>
      <c r="BG133" s="273" t="str">
        <f>IF($BF133="","",_xll.ciqfunctions.udf.CIQ($BF133,"iq_security_level"))</f>
        <v/>
      </c>
      <c r="BH133" s="177" t="str">
        <f t="shared" si="11"/>
        <v/>
      </c>
      <c r="BJ133" s="177" t="str">
        <f t="shared" si="12"/>
        <v/>
      </c>
      <c r="BK133" s="274" t="str">
        <f>IF($BJ133="","",_xll.ciqfunctions.udf.CIQ($BJ133,"iq_bond_coupon")/100)</f>
        <v/>
      </c>
    </row>
    <row r="134" spans="51:63" ht="12" hidden="1" customHeight="1" outlineLevel="1">
      <c r="AY134" s="271" t="str">
        <f>IF($AX134="","",_xll.ciqfunctions.udf.CIQ($AX134,"iq_offer_date"))</f>
        <v/>
      </c>
      <c r="AZ134" s="272" t="str">
        <f>IF($AX134="","",RANK(AY134,$AY$10:$AY$510)+COUNTIF($AY$10:AY134,AY134)-1)</f>
        <v/>
      </c>
      <c r="BE134" s="177">
        <f t="shared" si="10"/>
        <v>125</v>
      </c>
      <c r="BG134" s="273" t="str">
        <f>IF($BF134="","",_xll.ciqfunctions.udf.CIQ($BF134,"iq_security_level"))</f>
        <v/>
      </c>
      <c r="BH134" s="177" t="str">
        <f t="shared" si="11"/>
        <v/>
      </c>
      <c r="BJ134" s="177" t="str">
        <f t="shared" si="12"/>
        <v/>
      </c>
      <c r="BK134" s="274" t="str">
        <f>IF($BJ134="","",_xll.ciqfunctions.udf.CIQ($BJ134,"iq_bond_coupon")/100)</f>
        <v/>
      </c>
    </row>
    <row r="135" spans="51:63" ht="12" hidden="1" customHeight="1" outlineLevel="1">
      <c r="AY135" s="271" t="str">
        <f>IF($AX135="","",_xll.ciqfunctions.udf.CIQ($AX135,"iq_offer_date"))</f>
        <v/>
      </c>
      <c r="AZ135" s="272" t="str">
        <f>IF($AX135="","",RANK(AY135,$AY$10:$AY$510)+COUNTIF($AY$10:AY135,AY135)-1)</f>
        <v/>
      </c>
      <c r="BE135" s="177">
        <f t="shared" si="10"/>
        <v>126</v>
      </c>
      <c r="BG135" s="273" t="str">
        <f>IF($BF135="","",_xll.ciqfunctions.udf.CIQ($BF135,"iq_security_level"))</f>
        <v/>
      </c>
      <c r="BH135" s="177" t="str">
        <f t="shared" si="11"/>
        <v/>
      </c>
      <c r="BJ135" s="177" t="str">
        <f t="shared" si="12"/>
        <v/>
      </c>
      <c r="BK135" s="274" t="str">
        <f>IF($BJ135="","",_xll.ciqfunctions.udf.CIQ($BJ135,"iq_bond_coupon")/100)</f>
        <v/>
      </c>
    </row>
    <row r="136" spans="51:63" ht="12" hidden="1" customHeight="1" outlineLevel="1">
      <c r="AY136" s="271" t="str">
        <f>IF($AX136="","",_xll.ciqfunctions.udf.CIQ($AX136,"iq_offer_date"))</f>
        <v/>
      </c>
      <c r="AZ136" s="272" t="str">
        <f>IF($AX136="","",RANK(AY136,$AY$10:$AY$510)+COUNTIF($AY$10:AY136,AY136)-1)</f>
        <v/>
      </c>
      <c r="BE136" s="177">
        <f t="shared" si="10"/>
        <v>127</v>
      </c>
      <c r="BG136" s="273" t="str">
        <f>IF($BF136="","",_xll.ciqfunctions.udf.CIQ($BF136,"iq_security_level"))</f>
        <v/>
      </c>
      <c r="BH136" s="177" t="str">
        <f t="shared" si="11"/>
        <v/>
      </c>
      <c r="BJ136" s="177" t="str">
        <f t="shared" si="12"/>
        <v/>
      </c>
      <c r="BK136" s="274" t="str">
        <f>IF($BJ136="","",_xll.ciqfunctions.udf.CIQ($BJ136,"iq_bond_coupon")/100)</f>
        <v/>
      </c>
    </row>
    <row r="137" spans="51:63" ht="12" hidden="1" customHeight="1" outlineLevel="1">
      <c r="AY137" s="271" t="str">
        <f>IF($AX137="","",_xll.ciqfunctions.udf.CIQ($AX137,"iq_offer_date"))</f>
        <v/>
      </c>
      <c r="AZ137" s="272" t="str">
        <f>IF($AX137="","",RANK(AY137,$AY$10:$AY$510)+COUNTIF($AY$10:AY137,AY137)-1)</f>
        <v/>
      </c>
      <c r="BE137" s="177">
        <f t="shared" si="10"/>
        <v>128</v>
      </c>
      <c r="BG137" s="273" t="str">
        <f>IF($BF137="","",_xll.ciqfunctions.udf.CIQ($BF137,"iq_security_level"))</f>
        <v/>
      </c>
      <c r="BH137" s="177" t="str">
        <f t="shared" si="11"/>
        <v/>
      </c>
      <c r="BJ137" s="177" t="str">
        <f t="shared" si="12"/>
        <v/>
      </c>
      <c r="BK137" s="274" t="str">
        <f>IF($BJ137="","",_xll.ciqfunctions.udf.CIQ($BJ137,"iq_bond_coupon")/100)</f>
        <v/>
      </c>
    </row>
    <row r="138" spans="51:63" ht="12" hidden="1" customHeight="1" outlineLevel="1">
      <c r="AY138" s="271" t="str">
        <f>IF($AX138="","",_xll.ciqfunctions.udf.CIQ($AX138,"iq_offer_date"))</f>
        <v/>
      </c>
      <c r="AZ138" s="272" t="str">
        <f>IF($AX138="","",RANK(AY138,$AY$10:$AY$510)+COUNTIF($AY$10:AY138,AY138)-1)</f>
        <v/>
      </c>
      <c r="BE138" s="177">
        <f t="shared" si="10"/>
        <v>129</v>
      </c>
      <c r="BG138" s="273" t="str">
        <f>IF($BF138="","",_xll.ciqfunctions.udf.CIQ($BF138,"iq_security_level"))</f>
        <v/>
      </c>
      <c r="BH138" s="177" t="str">
        <f t="shared" si="11"/>
        <v/>
      </c>
      <c r="BJ138" s="177" t="str">
        <f t="shared" si="12"/>
        <v/>
      </c>
      <c r="BK138" s="274" t="str">
        <f>IF($BJ138="","",_xll.ciqfunctions.udf.CIQ($BJ138,"iq_bond_coupon")/100)</f>
        <v/>
      </c>
    </row>
    <row r="139" spans="51:63" ht="12" hidden="1" customHeight="1" outlineLevel="1">
      <c r="AY139" s="271" t="str">
        <f>IF($AX139="","",_xll.ciqfunctions.udf.CIQ($AX139,"iq_offer_date"))</f>
        <v/>
      </c>
      <c r="AZ139" s="272" t="str">
        <f>IF($AX139="","",RANK(AY139,$AY$10:$AY$510)+COUNTIF($AY$10:AY139,AY139)-1)</f>
        <v/>
      </c>
      <c r="BE139" s="177">
        <f t="shared" si="10"/>
        <v>130</v>
      </c>
      <c r="BG139" s="273" t="str">
        <f>IF($BF139="","",_xll.ciqfunctions.udf.CIQ($BF139,"iq_security_level"))</f>
        <v/>
      </c>
      <c r="BH139" s="177" t="str">
        <f t="shared" si="11"/>
        <v/>
      </c>
      <c r="BJ139" s="177" t="str">
        <f t="shared" si="12"/>
        <v/>
      </c>
      <c r="BK139" s="274" t="str">
        <f>IF($BJ139="","",_xll.ciqfunctions.udf.CIQ($BJ139,"iq_bond_coupon")/100)</f>
        <v/>
      </c>
    </row>
    <row r="140" spans="51:63" ht="12" hidden="1" customHeight="1" outlineLevel="1">
      <c r="AY140" s="271" t="str">
        <f>IF($AX140="","",_xll.ciqfunctions.udf.CIQ($AX140,"iq_offer_date"))</f>
        <v/>
      </c>
      <c r="AZ140" s="272" t="str">
        <f>IF($AX140="","",RANK(AY140,$AY$10:$AY$510)+COUNTIF($AY$10:AY140,AY140)-1)</f>
        <v/>
      </c>
      <c r="BE140" s="177">
        <f t="shared" ref="BE140:BE203" si="13">BE139+1</f>
        <v>131</v>
      </c>
      <c r="BG140" s="273" t="str">
        <f>IF($BF140="","",_xll.ciqfunctions.udf.CIQ($BF140,"iq_security_level"))</f>
        <v/>
      </c>
      <c r="BH140" s="177" t="str">
        <f t="shared" ref="BH140:BH203" si="14">IF(BF140="","",IF(BG140="Preferred",BH139+1,BH139))</f>
        <v/>
      </c>
      <c r="BJ140" s="177" t="str">
        <f t="shared" si="12"/>
        <v/>
      </c>
      <c r="BK140" s="274" t="str">
        <f>IF($BJ140="","",_xll.ciqfunctions.udf.CIQ($BJ140,"iq_bond_coupon")/100)</f>
        <v/>
      </c>
    </row>
    <row r="141" spans="51:63" ht="12" hidden="1" customHeight="1" outlineLevel="1">
      <c r="AY141" s="271" t="str">
        <f>IF($AX141="","",_xll.ciqfunctions.udf.CIQ($AX141,"iq_offer_date"))</f>
        <v/>
      </c>
      <c r="AZ141" s="272" t="str">
        <f>IF($AX141="","",RANK(AY141,$AY$10:$AY$510)+COUNTIF($AY$10:AY141,AY141)-1)</f>
        <v/>
      </c>
      <c r="BE141" s="177">
        <f t="shared" si="13"/>
        <v>132</v>
      </c>
      <c r="BG141" s="273" t="str">
        <f>IF($BF141="","",_xll.ciqfunctions.udf.CIQ($BF141,"iq_security_level"))</f>
        <v/>
      </c>
      <c r="BH141" s="177" t="str">
        <f t="shared" si="14"/>
        <v/>
      </c>
      <c r="BJ141" s="177" t="str">
        <f t="shared" si="12"/>
        <v/>
      </c>
      <c r="BK141" s="274" t="str">
        <f>IF($BJ141="","",_xll.ciqfunctions.udf.CIQ($BJ141,"iq_bond_coupon")/100)</f>
        <v/>
      </c>
    </row>
    <row r="142" spans="51:63" ht="12" hidden="1" customHeight="1" outlineLevel="1">
      <c r="AY142" s="271" t="str">
        <f>IF($AX142="","",_xll.ciqfunctions.udf.CIQ($AX142,"iq_offer_date"))</f>
        <v/>
      </c>
      <c r="AZ142" s="272" t="str">
        <f>IF($AX142="","",RANK(AY142,$AY$10:$AY$510)+COUNTIF($AY$10:AY142,AY142)-1)</f>
        <v/>
      </c>
      <c r="BE142" s="177">
        <f t="shared" si="13"/>
        <v>133</v>
      </c>
      <c r="BG142" s="273" t="str">
        <f>IF($BF142="","",_xll.ciqfunctions.udf.CIQ($BF142,"iq_security_level"))</f>
        <v/>
      </c>
      <c r="BH142" s="177" t="str">
        <f t="shared" si="14"/>
        <v/>
      </c>
      <c r="BJ142" s="177" t="str">
        <f t="shared" si="12"/>
        <v/>
      </c>
      <c r="BK142" s="274" t="str">
        <f>IF($BJ142="","",_xll.ciqfunctions.udf.CIQ($BJ142,"iq_bond_coupon")/100)</f>
        <v/>
      </c>
    </row>
    <row r="143" spans="51:63" ht="12" hidden="1" customHeight="1" outlineLevel="1">
      <c r="AY143" s="271" t="str">
        <f>IF($AX143="","",_xll.ciqfunctions.udf.CIQ($AX143,"iq_offer_date"))</f>
        <v/>
      </c>
      <c r="AZ143" s="272" t="str">
        <f>IF($AX143="","",RANK(AY143,$AY$10:$AY$510)+COUNTIF($AY$10:AY143,AY143)-1)</f>
        <v/>
      </c>
      <c r="BE143" s="177">
        <f t="shared" si="13"/>
        <v>134</v>
      </c>
      <c r="BG143" s="273" t="str">
        <f>IF($BF143="","",_xll.ciqfunctions.udf.CIQ($BF143,"iq_security_level"))</f>
        <v/>
      </c>
      <c r="BH143" s="177" t="str">
        <f t="shared" si="14"/>
        <v/>
      </c>
      <c r="BJ143" s="177" t="str">
        <f t="shared" si="12"/>
        <v/>
      </c>
      <c r="BK143" s="274" t="str">
        <f>IF($BJ143="","",_xll.ciqfunctions.udf.CIQ($BJ143,"iq_bond_coupon")/100)</f>
        <v/>
      </c>
    </row>
    <row r="144" spans="51:63" ht="12" hidden="1" customHeight="1" outlineLevel="1">
      <c r="AY144" s="271" t="str">
        <f>IF($AX144="","",_xll.ciqfunctions.udf.CIQ($AX144,"iq_offer_date"))</f>
        <v/>
      </c>
      <c r="AZ144" s="272" t="str">
        <f>IF($AX144="","",RANK(AY144,$AY$10:$AY$510)+COUNTIF($AY$10:AY144,AY144)-1)</f>
        <v/>
      </c>
      <c r="BE144" s="177">
        <f t="shared" si="13"/>
        <v>135</v>
      </c>
      <c r="BG144" s="273" t="str">
        <f>IF($BF144="","",_xll.ciqfunctions.udf.CIQ($BF144,"iq_security_level"))</f>
        <v/>
      </c>
      <c r="BH144" s="177" t="str">
        <f t="shared" si="14"/>
        <v/>
      </c>
      <c r="BJ144" s="177" t="str">
        <f t="shared" si="12"/>
        <v/>
      </c>
      <c r="BK144" s="274" t="str">
        <f>IF($BJ144="","",_xll.ciqfunctions.udf.CIQ($BJ144,"iq_bond_coupon")/100)</f>
        <v/>
      </c>
    </row>
    <row r="145" spans="51:63" ht="12" hidden="1" customHeight="1" outlineLevel="1">
      <c r="AY145" s="271" t="str">
        <f>IF($AX145="","",_xll.ciqfunctions.udf.CIQ($AX145,"iq_offer_date"))</f>
        <v/>
      </c>
      <c r="AZ145" s="272" t="str">
        <f>IF($AX145="","",RANK(AY145,$AY$10:$AY$510)+COUNTIF($AY$10:AY145,AY145)-1)</f>
        <v/>
      </c>
      <c r="BE145" s="177">
        <f t="shared" si="13"/>
        <v>136</v>
      </c>
      <c r="BG145" s="273" t="str">
        <f>IF($BF145="","",_xll.ciqfunctions.udf.CIQ($BF145,"iq_security_level"))</f>
        <v/>
      </c>
      <c r="BH145" s="177" t="str">
        <f t="shared" si="14"/>
        <v/>
      </c>
      <c r="BJ145" s="177" t="str">
        <f t="shared" si="12"/>
        <v/>
      </c>
      <c r="BK145" s="274" t="str">
        <f>IF($BJ145="","",_xll.ciqfunctions.udf.CIQ($BJ145,"iq_bond_coupon")/100)</f>
        <v/>
      </c>
    </row>
    <row r="146" spans="51:63" ht="12" hidden="1" customHeight="1" outlineLevel="1">
      <c r="AY146" s="271" t="str">
        <f>IF($AX146="","",_xll.ciqfunctions.udf.CIQ($AX146,"iq_offer_date"))</f>
        <v/>
      </c>
      <c r="AZ146" s="272" t="str">
        <f>IF($AX146="","",RANK(AY146,$AY$10:$AY$510)+COUNTIF($AY$10:AY146,AY146)-1)</f>
        <v/>
      </c>
      <c r="BE146" s="177">
        <f t="shared" si="13"/>
        <v>137</v>
      </c>
      <c r="BG146" s="273" t="str">
        <f>IF($BF146="","",_xll.ciqfunctions.udf.CIQ($BF146,"iq_security_level"))</f>
        <v/>
      </c>
      <c r="BH146" s="177" t="str">
        <f t="shared" si="14"/>
        <v/>
      </c>
      <c r="BJ146" s="177" t="str">
        <f t="shared" si="12"/>
        <v/>
      </c>
      <c r="BK146" s="274" t="str">
        <f>IF($BJ146="","",_xll.ciqfunctions.udf.CIQ($BJ146,"iq_bond_coupon")/100)</f>
        <v/>
      </c>
    </row>
    <row r="147" spans="51:63" ht="12" hidden="1" customHeight="1" outlineLevel="1">
      <c r="AY147" s="271" t="str">
        <f>IF($AX147="","",_xll.ciqfunctions.udf.CIQ($AX147,"iq_offer_date"))</f>
        <v/>
      </c>
      <c r="AZ147" s="272" t="str">
        <f>IF($AX147="","",RANK(AY147,$AY$10:$AY$510)+COUNTIF($AY$10:AY147,AY147)-1)</f>
        <v/>
      </c>
      <c r="BE147" s="177">
        <f t="shared" si="13"/>
        <v>138</v>
      </c>
      <c r="BG147" s="273" t="str">
        <f>IF($BF147="","",_xll.ciqfunctions.udf.CIQ($BF147,"iq_security_level"))</f>
        <v/>
      </c>
      <c r="BH147" s="177" t="str">
        <f t="shared" si="14"/>
        <v/>
      </c>
      <c r="BJ147" s="177" t="str">
        <f t="shared" si="12"/>
        <v/>
      </c>
      <c r="BK147" s="274" t="str">
        <f>IF($BJ147="","",_xll.ciqfunctions.udf.CIQ($BJ147,"iq_bond_coupon")/100)</f>
        <v/>
      </c>
    </row>
    <row r="148" spans="51:63" ht="12" hidden="1" customHeight="1" outlineLevel="1">
      <c r="AY148" s="271" t="str">
        <f>IF($AX148="","",_xll.ciqfunctions.udf.CIQ($AX148,"iq_offer_date"))</f>
        <v/>
      </c>
      <c r="AZ148" s="272" t="str">
        <f>IF($AX148="","",RANK(AY148,$AY$10:$AY$510)+COUNTIF($AY$10:AY148,AY148)-1)</f>
        <v/>
      </c>
      <c r="BE148" s="177">
        <f t="shared" si="13"/>
        <v>139</v>
      </c>
      <c r="BG148" s="273" t="str">
        <f>IF($BF148="","",_xll.ciqfunctions.udf.CIQ($BF148,"iq_security_level"))</f>
        <v/>
      </c>
      <c r="BH148" s="177" t="str">
        <f t="shared" si="14"/>
        <v/>
      </c>
      <c r="BJ148" s="177" t="str">
        <f t="shared" si="12"/>
        <v/>
      </c>
      <c r="BK148" s="274" t="str">
        <f>IF($BJ148="","",_xll.ciqfunctions.udf.CIQ($BJ148,"iq_bond_coupon")/100)</f>
        <v/>
      </c>
    </row>
    <row r="149" spans="51:63" ht="12" hidden="1" customHeight="1" outlineLevel="1">
      <c r="AY149" s="271" t="str">
        <f>IF($AX149="","",_xll.ciqfunctions.udf.CIQ($AX149,"iq_offer_date"))</f>
        <v/>
      </c>
      <c r="AZ149" s="272" t="str">
        <f>IF($AX149="","",RANK(AY149,$AY$10:$AY$510)+COUNTIF($AY$10:AY149,AY149)-1)</f>
        <v/>
      </c>
      <c r="BE149" s="177">
        <f t="shared" si="13"/>
        <v>140</v>
      </c>
      <c r="BG149" s="273" t="str">
        <f>IF($BF149="","",_xll.ciqfunctions.udf.CIQ($BF149,"iq_security_level"))</f>
        <v/>
      </c>
      <c r="BH149" s="177" t="str">
        <f t="shared" si="14"/>
        <v/>
      </c>
      <c r="BJ149" s="177" t="str">
        <f t="shared" si="12"/>
        <v/>
      </c>
      <c r="BK149" s="274" t="str">
        <f>IF($BJ149="","",_xll.ciqfunctions.udf.CIQ($BJ149,"iq_bond_coupon")/100)</f>
        <v/>
      </c>
    </row>
    <row r="150" spans="51:63" ht="12" hidden="1" customHeight="1" outlineLevel="1">
      <c r="AY150" s="271" t="str">
        <f>IF($AX150="","",_xll.ciqfunctions.udf.CIQ($AX150,"iq_offer_date"))</f>
        <v/>
      </c>
      <c r="AZ150" s="272" t="str">
        <f>IF($AX150="","",RANK(AY150,$AY$10:$AY$510)+COUNTIF($AY$10:AY150,AY150)-1)</f>
        <v/>
      </c>
      <c r="BE150" s="177">
        <f t="shared" si="13"/>
        <v>141</v>
      </c>
      <c r="BG150" s="273" t="str">
        <f>IF($BF150="","",_xll.ciqfunctions.udf.CIQ($BF150,"iq_security_level"))</f>
        <v/>
      </c>
      <c r="BH150" s="177" t="str">
        <f t="shared" si="14"/>
        <v/>
      </c>
      <c r="BJ150" s="177" t="str">
        <f t="shared" si="12"/>
        <v/>
      </c>
      <c r="BK150" s="274" t="str">
        <f>IF($BJ150="","",_xll.ciqfunctions.udf.CIQ($BJ150,"iq_bond_coupon")/100)</f>
        <v/>
      </c>
    </row>
    <row r="151" spans="51:63" ht="12" hidden="1" customHeight="1" outlineLevel="1">
      <c r="AY151" s="271" t="str">
        <f>IF($AX151="","",_xll.ciqfunctions.udf.CIQ($AX151,"iq_offer_date"))</f>
        <v/>
      </c>
      <c r="AZ151" s="272" t="str">
        <f>IF($AX151="","",RANK(AY151,$AY$10:$AY$510)+COUNTIF($AY$10:AY151,AY151)-1)</f>
        <v/>
      </c>
      <c r="BE151" s="177">
        <f t="shared" si="13"/>
        <v>142</v>
      </c>
      <c r="BG151" s="273" t="str">
        <f>IF($BF151="","",_xll.ciqfunctions.udf.CIQ($BF151,"iq_security_level"))</f>
        <v/>
      </c>
      <c r="BH151" s="177" t="str">
        <f t="shared" si="14"/>
        <v/>
      </c>
      <c r="BJ151" s="177" t="str">
        <f t="shared" si="12"/>
        <v/>
      </c>
      <c r="BK151" s="274" t="str">
        <f>IF($BJ151="","",_xll.ciqfunctions.udf.CIQ($BJ151,"iq_bond_coupon")/100)</f>
        <v/>
      </c>
    </row>
    <row r="152" spans="51:63" ht="12" hidden="1" customHeight="1" outlineLevel="1">
      <c r="AY152" s="271" t="str">
        <f>IF($AX152="","",_xll.ciqfunctions.udf.CIQ($AX152,"iq_offer_date"))</f>
        <v/>
      </c>
      <c r="AZ152" s="272" t="str">
        <f>IF($AX152="","",RANK(AY152,$AY$10:$AY$510)+COUNTIF($AY$10:AY152,AY152)-1)</f>
        <v/>
      </c>
      <c r="BE152" s="177">
        <f t="shared" si="13"/>
        <v>143</v>
      </c>
      <c r="BG152" s="273" t="str">
        <f>IF($BF152="","",_xll.ciqfunctions.udf.CIQ($BF152,"iq_security_level"))</f>
        <v/>
      </c>
      <c r="BH152" s="177" t="str">
        <f t="shared" si="14"/>
        <v/>
      </c>
      <c r="BJ152" s="177" t="str">
        <f t="shared" si="12"/>
        <v/>
      </c>
      <c r="BK152" s="274" t="str">
        <f>IF($BJ152="","",_xll.ciqfunctions.udf.CIQ($BJ152,"iq_bond_coupon")/100)</f>
        <v/>
      </c>
    </row>
    <row r="153" spans="51:63" ht="12" hidden="1" customHeight="1" outlineLevel="1">
      <c r="AY153" s="271" t="str">
        <f>IF($AX153="","",_xll.ciqfunctions.udf.CIQ($AX153,"iq_offer_date"))</f>
        <v/>
      </c>
      <c r="AZ153" s="272" t="str">
        <f>IF($AX153="","",RANK(AY153,$AY$10:$AY$510)+COUNTIF($AY$10:AY153,AY153)-1)</f>
        <v/>
      </c>
      <c r="BE153" s="177">
        <f t="shared" si="13"/>
        <v>144</v>
      </c>
      <c r="BG153" s="273" t="str">
        <f>IF($BF153="","",_xll.ciqfunctions.udf.CIQ($BF153,"iq_security_level"))</f>
        <v/>
      </c>
      <c r="BH153" s="177" t="str">
        <f t="shared" si="14"/>
        <v/>
      </c>
      <c r="BJ153" s="177" t="str">
        <f t="shared" si="12"/>
        <v/>
      </c>
      <c r="BK153" s="274" t="str">
        <f>IF($BJ153="","",_xll.ciqfunctions.udf.CIQ($BJ153,"iq_bond_coupon")/100)</f>
        <v/>
      </c>
    </row>
    <row r="154" spans="51:63" ht="12" hidden="1" customHeight="1" outlineLevel="1">
      <c r="AY154" s="271" t="str">
        <f>IF($AX154="","",_xll.ciqfunctions.udf.CIQ($AX154,"iq_offer_date"))</f>
        <v/>
      </c>
      <c r="AZ154" s="272" t="str">
        <f>IF($AX154="","",RANK(AY154,$AY$10:$AY$510)+COUNTIF($AY$10:AY154,AY154)-1)</f>
        <v/>
      </c>
      <c r="BE154" s="177">
        <f t="shared" si="13"/>
        <v>145</v>
      </c>
      <c r="BG154" s="273" t="str">
        <f>IF($BF154="","",_xll.ciqfunctions.udf.CIQ($BF154,"iq_security_level"))</f>
        <v/>
      </c>
      <c r="BH154" s="177" t="str">
        <f t="shared" si="14"/>
        <v/>
      </c>
      <c r="BJ154" s="177" t="str">
        <f t="shared" si="12"/>
        <v/>
      </c>
      <c r="BK154" s="274" t="str">
        <f>IF($BJ154="","",_xll.ciqfunctions.udf.CIQ($BJ154,"iq_bond_coupon")/100)</f>
        <v/>
      </c>
    </row>
    <row r="155" spans="51:63" ht="12" hidden="1" customHeight="1" outlineLevel="1">
      <c r="AY155" s="271" t="str">
        <f>IF($AX155="","",_xll.ciqfunctions.udf.CIQ($AX155,"iq_offer_date"))</f>
        <v/>
      </c>
      <c r="AZ155" s="272" t="str">
        <f>IF($AX155="","",RANK(AY155,$AY$10:$AY$510)+COUNTIF($AY$10:AY155,AY155)-1)</f>
        <v/>
      </c>
      <c r="BE155" s="177">
        <f t="shared" si="13"/>
        <v>146</v>
      </c>
      <c r="BG155" s="273" t="str">
        <f>IF($BF155="","",_xll.ciqfunctions.udf.CIQ($BF155,"iq_security_level"))</f>
        <v/>
      </c>
      <c r="BH155" s="177" t="str">
        <f t="shared" si="14"/>
        <v/>
      </c>
      <c r="BJ155" s="177" t="str">
        <f t="shared" si="12"/>
        <v/>
      </c>
      <c r="BK155" s="274" t="str">
        <f>IF($BJ155="","",_xll.ciqfunctions.udf.CIQ($BJ155,"iq_bond_coupon")/100)</f>
        <v/>
      </c>
    </row>
    <row r="156" spans="51:63" ht="15" hidden="1" customHeight="1" outlineLevel="1">
      <c r="AY156" s="271" t="str">
        <f>IF($AX156="","",_xll.ciqfunctions.udf.CIQ($AX156,"iq_offer_date"))</f>
        <v/>
      </c>
      <c r="AZ156" s="272" t="str">
        <f>IF($AX156="","",RANK(AY156,$AY$10:$AY$510)+COUNTIF($AY$10:AY156,AY156)-1)</f>
        <v/>
      </c>
      <c r="BE156" s="177">
        <f t="shared" si="13"/>
        <v>147</v>
      </c>
      <c r="BG156" s="273" t="str">
        <f>IF($BF156="","",_xll.ciqfunctions.udf.CIQ($BF156,"iq_security_level"))</f>
        <v/>
      </c>
      <c r="BH156" s="177" t="str">
        <f t="shared" si="14"/>
        <v/>
      </c>
      <c r="BJ156" s="177" t="str">
        <f t="shared" si="12"/>
        <v/>
      </c>
      <c r="BK156" s="274" t="str">
        <f>IF($BJ156="","",_xll.ciqfunctions.udf.CIQ($BJ156,"iq_bond_coupon")/100)</f>
        <v/>
      </c>
    </row>
    <row r="157" spans="51:63" ht="12" hidden="1" customHeight="1" outlineLevel="1">
      <c r="AY157" s="271" t="str">
        <f>IF($AX157="","",_xll.ciqfunctions.udf.CIQ($AX157,"iq_offer_date"))</f>
        <v/>
      </c>
      <c r="AZ157" s="272" t="str">
        <f>IF($AX157="","",RANK(AY157,$AY$10:$AY$510)+COUNTIF($AY$10:AY157,AY157)-1)</f>
        <v/>
      </c>
      <c r="BE157" s="177">
        <f t="shared" si="13"/>
        <v>148</v>
      </c>
      <c r="BG157" s="273" t="str">
        <f>IF($BF157="","",_xll.ciqfunctions.udf.CIQ($BF157,"iq_security_level"))</f>
        <v/>
      </c>
      <c r="BH157" s="177" t="str">
        <f t="shared" si="14"/>
        <v/>
      </c>
      <c r="BJ157" s="177" t="str">
        <f t="shared" si="12"/>
        <v/>
      </c>
      <c r="BK157" s="274" t="str">
        <f>IF($BJ157="","",_xll.ciqfunctions.udf.CIQ($BJ157,"iq_bond_coupon")/100)</f>
        <v/>
      </c>
    </row>
    <row r="158" spans="51:63" ht="12" hidden="1" customHeight="1" outlineLevel="1">
      <c r="AY158" s="271" t="str">
        <f>IF($AX158="","",_xll.ciqfunctions.udf.CIQ($AX158,"iq_offer_date"))</f>
        <v/>
      </c>
      <c r="AZ158" s="272" t="str">
        <f>IF($AX158="","",RANK(AY158,$AY$10:$AY$510)+COUNTIF($AY$10:AY158,AY158)-1)</f>
        <v/>
      </c>
      <c r="BE158" s="177">
        <f t="shared" si="13"/>
        <v>149</v>
      </c>
      <c r="BG158" s="273" t="str">
        <f>IF($BF158="","",_xll.ciqfunctions.udf.CIQ($BF158,"iq_security_level"))</f>
        <v/>
      </c>
      <c r="BH158" s="177" t="str">
        <f t="shared" si="14"/>
        <v/>
      </c>
      <c r="BJ158" s="177" t="str">
        <f t="shared" si="12"/>
        <v/>
      </c>
      <c r="BK158" s="274" t="str">
        <f>IF($BJ158="","",_xll.ciqfunctions.udf.CIQ($BJ158,"iq_bond_coupon")/100)</f>
        <v/>
      </c>
    </row>
    <row r="159" spans="51:63" ht="12" hidden="1" customHeight="1" outlineLevel="1">
      <c r="AY159" s="271" t="str">
        <f>IF($AX159="","",_xll.ciqfunctions.udf.CIQ($AX159,"iq_offer_date"))</f>
        <v/>
      </c>
      <c r="AZ159" s="272" t="str">
        <f>IF($AX159="","",RANK(AY159,$AY$10:$AY$510)+COUNTIF($AY$10:AY159,AY159)-1)</f>
        <v/>
      </c>
      <c r="BE159" s="177">
        <f t="shared" si="13"/>
        <v>150</v>
      </c>
      <c r="BG159" s="273" t="str">
        <f>IF($BF159="","",_xll.ciqfunctions.udf.CIQ($BF159,"iq_security_level"))</f>
        <v/>
      </c>
      <c r="BH159" s="177" t="str">
        <f t="shared" si="14"/>
        <v/>
      </c>
      <c r="BJ159" s="177" t="str">
        <f t="shared" si="12"/>
        <v/>
      </c>
      <c r="BK159" s="274" t="str">
        <f>IF($BJ159="","",_xll.ciqfunctions.udf.CIQ($BJ159,"iq_bond_coupon")/100)</f>
        <v/>
      </c>
    </row>
    <row r="160" spans="51:63" ht="12" hidden="1" customHeight="1" outlineLevel="1">
      <c r="AY160" s="271" t="str">
        <f>IF($AX160="","",_xll.ciqfunctions.udf.CIQ($AX160,"iq_offer_date"))</f>
        <v/>
      </c>
      <c r="AZ160" s="272" t="str">
        <f>IF($AX160="","",RANK(AY160,$AY$10:$AY$510)+COUNTIF($AY$10:AY160,AY160)-1)</f>
        <v/>
      </c>
      <c r="BE160" s="177">
        <f t="shared" si="13"/>
        <v>151</v>
      </c>
      <c r="BG160" s="273" t="str">
        <f>IF($BF160="","",_xll.ciqfunctions.udf.CIQ($BF160,"iq_security_level"))</f>
        <v/>
      </c>
      <c r="BH160" s="177" t="str">
        <f t="shared" si="14"/>
        <v/>
      </c>
      <c r="BJ160" s="177" t="str">
        <f t="shared" si="12"/>
        <v/>
      </c>
      <c r="BK160" s="274" t="str">
        <f>IF($BJ160="","",_xll.ciqfunctions.udf.CIQ($BJ160,"iq_bond_coupon")/100)</f>
        <v/>
      </c>
    </row>
    <row r="161" spans="51:63" ht="12" hidden="1" customHeight="1" outlineLevel="1">
      <c r="AY161" s="271" t="str">
        <f>IF($AX161="","",_xll.ciqfunctions.udf.CIQ($AX161,"iq_offer_date"))</f>
        <v/>
      </c>
      <c r="AZ161" s="272" t="str">
        <f>IF($AX161="","",RANK(AY161,$AY$10:$AY$510)+COUNTIF($AY$10:AY161,AY161)-1)</f>
        <v/>
      </c>
      <c r="BE161" s="177">
        <f t="shared" si="13"/>
        <v>152</v>
      </c>
      <c r="BG161" s="273" t="str">
        <f>IF($BF161="","",_xll.ciqfunctions.udf.CIQ($BF161,"iq_security_level"))</f>
        <v/>
      </c>
      <c r="BH161" s="177" t="str">
        <f t="shared" si="14"/>
        <v/>
      </c>
      <c r="BJ161" s="177" t="str">
        <f t="shared" si="12"/>
        <v/>
      </c>
      <c r="BK161" s="274" t="str">
        <f>IF($BJ161="","",_xll.ciqfunctions.udf.CIQ($BJ161,"iq_bond_coupon")/100)</f>
        <v/>
      </c>
    </row>
    <row r="162" spans="51:63" ht="12" hidden="1" customHeight="1" outlineLevel="1">
      <c r="AY162" s="271" t="str">
        <f>IF($AX162="","",_xll.ciqfunctions.udf.CIQ($AX162,"iq_offer_date"))</f>
        <v/>
      </c>
      <c r="AZ162" s="272" t="str">
        <f>IF($AX162="","",RANK(AY162,$AY$10:$AY$510)+COUNTIF($AY$10:AY162,AY162)-1)</f>
        <v/>
      </c>
      <c r="BE162" s="177">
        <f t="shared" si="13"/>
        <v>153</v>
      </c>
      <c r="BG162" s="273" t="str">
        <f>IF($BF162="","",_xll.ciqfunctions.udf.CIQ($BF162,"iq_security_level"))</f>
        <v/>
      </c>
      <c r="BH162" s="177" t="str">
        <f t="shared" si="14"/>
        <v/>
      </c>
      <c r="BJ162" s="177" t="str">
        <f t="shared" si="12"/>
        <v/>
      </c>
      <c r="BK162" s="274" t="str">
        <f>IF($BJ162="","",_xll.ciqfunctions.udf.CIQ($BJ162,"iq_bond_coupon")/100)</f>
        <v/>
      </c>
    </row>
    <row r="163" spans="51:63" ht="12" hidden="1" customHeight="1" outlineLevel="1">
      <c r="AY163" s="271" t="str">
        <f>IF($AX163="","",_xll.ciqfunctions.udf.CIQ($AX163,"iq_offer_date"))</f>
        <v/>
      </c>
      <c r="AZ163" s="272" t="str">
        <f>IF($AX163="","",RANK(AY163,$AY$10:$AY$510)+COUNTIF($AY$10:AY163,AY163)-1)</f>
        <v/>
      </c>
      <c r="BE163" s="177">
        <f t="shared" si="13"/>
        <v>154</v>
      </c>
      <c r="BG163" s="273" t="str">
        <f>IF($BF163="","",_xll.ciqfunctions.udf.CIQ($BF163,"iq_security_level"))</f>
        <v/>
      </c>
      <c r="BH163" s="177" t="str">
        <f t="shared" si="14"/>
        <v/>
      </c>
      <c r="BJ163" s="177" t="str">
        <f t="shared" si="12"/>
        <v/>
      </c>
      <c r="BK163" s="274" t="str">
        <f>IF($BJ163="","",_xll.ciqfunctions.udf.CIQ($BJ163,"iq_bond_coupon")/100)</f>
        <v/>
      </c>
    </row>
    <row r="164" spans="51:63" ht="12" hidden="1" customHeight="1" outlineLevel="1">
      <c r="AY164" s="271" t="str">
        <f>IF($AX164="","",_xll.ciqfunctions.udf.CIQ($AX164,"iq_offer_date"))</f>
        <v/>
      </c>
      <c r="AZ164" s="272" t="str">
        <f>IF($AX164="","",RANK(AY164,$AY$10:$AY$510)+COUNTIF($AY$10:AY164,AY164)-1)</f>
        <v/>
      </c>
      <c r="BE164" s="177">
        <f t="shared" si="13"/>
        <v>155</v>
      </c>
      <c r="BG164" s="273" t="str">
        <f>IF($BF164="","",_xll.ciqfunctions.udf.CIQ($BF164,"iq_security_level"))</f>
        <v/>
      </c>
      <c r="BH164" s="177" t="str">
        <f t="shared" si="14"/>
        <v/>
      </c>
      <c r="BJ164" s="177" t="str">
        <f t="shared" si="12"/>
        <v/>
      </c>
      <c r="BK164" s="274" t="str">
        <f>IF($BJ164="","",_xll.ciqfunctions.udf.CIQ($BJ164,"iq_bond_coupon")/100)</f>
        <v/>
      </c>
    </row>
    <row r="165" spans="51:63" ht="12" hidden="1" customHeight="1" outlineLevel="1">
      <c r="AY165" s="271" t="str">
        <f>IF($AX165="","",_xll.ciqfunctions.udf.CIQ($AX165,"iq_offer_date"))</f>
        <v/>
      </c>
      <c r="AZ165" s="272" t="str">
        <f>IF($AX165="","",RANK(AY165,$AY$10:$AY$510)+COUNTIF($AY$10:AY165,AY165)-1)</f>
        <v/>
      </c>
      <c r="BE165" s="177">
        <f t="shared" si="13"/>
        <v>156</v>
      </c>
      <c r="BG165" s="273" t="str">
        <f>IF($BF165="","",_xll.ciqfunctions.udf.CIQ($BF165,"iq_security_level"))</f>
        <v/>
      </c>
      <c r="BH165" s="177" t="str">
        <f t="shared" si="14"/>
        <v/>
      </c>
      <c r="BJ165" s="177" t="str">
        <f t="shared" si="12"/>
        <v/>
      </c>
      <c r="BK165" s="274" t="str">
        <f>IF($BJ165="","",_xll.ciqfunctions.udf.CIQ($BJ165,"iq_bond_coupon")/100)</f>
        <v/>
      </c>
    </row>
    <row r="166" spans="51:63" ht="12" hidden="1" customHeight="1" outlineLevel="1">
      <c r="AY166" s="271" t="str">
        <f>IF($AX166="","",_xll.ciqfunctions.udf.CIQ($AX166,"iq_offer_date"))</f>
        <v/>
      </c>
      <c r="AZ166" s="272" t="str">
        <f>IF($AX166="","",RANK(AY166,$AY$10:$AY$510)+COUNTIF($AY$10:AY166,AY166)-1)</f>
        <v/>
      </c>
      <c r="BE166" s="177">
        <f t="shared" si="13"/>
        <v>157</v>
      </c>
      <c r="BG166" s="273" t="str">
        <f>IF($BF166="","",_xll.ciqfunctions.udf.CIQ($BF166,"iq_security_level"))</f>
        <v/>
      </c>
      <c r="BH166" s="177" t="str">
        <f t="shared" si="14"/>
        <v/>
      </c>
      <c r="BJ166" s="177" t="str">
        <f t="shared" si="12"/>
        <v/>
      </c>
      <c r="BK166" s="274" t="str">
        <f>IF($BJ166="","",_xll.ciqfunctions.udf.CIQ($BJ166,"iq_bond_coupon")/100)</f>
        <v/>
      </c>
    </row>
    <row r="167" spans="51:63" ht="12" hidden="1" customHeight="1" outlineLevel="1">
      <c r="AY167" s="271" t="str">
        <f>IF($AX167="","",_xll.ciqfunctions.udf.CIQ($AX167,"iq_offer_date"))</f>
        <v/>
      </c>
      <c r="AZ167" s="272" t="str">
        <f>IF($AX167="","",RANK(AY167,$AY$10:$AY$510)+COUNTIF($AY$10:AY167,AY167)-1)</f>
        <v/>
      </c>
      <c r="BE167" s="177">
        <f t="shared" si="13"/>
        <v>158</v>
      </c>
      <c r="BG167" s="273" t="str">
        <f>IF($BF167="","",_xll.ciqfunctions.udf.CIQ($BF167,"iq_security_level"))</f>
        <v/>
      </c>
      <c r="BH167" s="177" t="str">
        <f t="shared" si="14"/>
        <v/>
      </c>
      <c r="BJ167" s="177" t="str">
        <f t="shared" si="12"/>
        <v/>
      </c>
      <c r="BK167" s="274" t="str">
        <f>IF($BJ167="","",_xll.ciqfunctions.udf.CIQ($BJ167,"iq_bond_coupon")/100)</f>
        <v/>
      </c>
    </row>
    <row r="168" spans="51:63" ht="12" hidden="1" customHeight="1" outlineLevel="1">
      <c r="AY168" s="271" t="str">
        <f>IF($AX168="","",_xll.ciqfunctions.udf.CIQ($AX168,"iq_offer_date"))</f>
        <v/>
      </c>
      <c r="AZ168" s="272" t="str">
        <f>IF($AX168="","",RANK(AY168,$AY$10:$AY$510)+COUNTIF($AY$10:AY168,AY168)-1)</f>
        <v/>
      </c>
      <c r="BE168" s="177">
        <f t="shared" si="13"/>
        <v>159</v>
      </c>
      <c r="BG168" s="273" t="str">
        <f>IF($BF168="","",_xll.ciqfunctions.udf.CIQ($BF168,"iq_security_level"))</f>
        <v/>
      </c>
      <c r="BH168" s="177" t="str">
        <f t="shared" si="14"/>
        <v/>
      </c>
      <c r="BJ168" s="177" t="str">
        <f t="shared" si="12"/>
        <v/>
      </c>
      <c r="BK168" s="274" t="str">
        <f>IF($BJ168="","",_xll.ciqfunctions.udf.CIQ($BJ168,"iq_bond_coupon")/100)</f>
        <v/>
      </c>
    </row>
    <row r="169" spans="51:63" ht="12" hidden="1" customHeight="1" outlineLevel="1">
      <c r="AY169" s="271" t="str">
        <f>IF($AX169="","",_xll.ciqfunctions.udf.CIQ($AX169,"iq_offer_date"))</f>
        <v/>
      </c>
      <c r="AZ169" s="272" t="str">
        <f>IF($AX169="","",RANK(AY169,$AY$10:$AY$510)+COUNTIF($AY$10:AY169,AY169)-1)</f>
        <v/>
      </c>
      <c r="BE169" s="177">
        <f t="shared" si="13"/>
        <v>160</v>
      </c>
      <c r="BG169" s="273" t="str">
        <f>IF($BF169="","",_xll.ciqfunctions.udf.CIQ($BF169,"iq_security_level"))</f>
        <v/>
      </c>
      <c r="BH169" s="177" t="str">
        <f t="shared" si="14"/>
        <v/>
      </c>
      <c r="BJ169" s="177" t="str">
        <f t="shared" si="12"/>
        <v/>
      </c>
      <c r="BK169" s="274" t="str">
        <f>IF($BJ169="","",_xll.ciqfunctions.udf.CIQ($BJ169,"iq_bond_coupon")/100)</f>
        <v/>
      </c>
    </row>
    <row r="170" spans="51:63" ht="12" hidden="1" customHeight="1" outlineLevel="1">
      <c r="AY170" s="271" t="str">
        <f>IF($AX170="","",_xll.ciqfunctions.udf.CIQ($AX170,"iq_offer_date"))</f>
        <v/>
      </c>
      <c r="AZ170" s="272" t="str">
        <f>IF($AX170="","",RANK(AY170,$AY$10:$AY$510)+COUNTIF($AY$10:AY170,AY170)-1)</f>
        <v/>
      </c>
      <c r="BE170" s="177">
        <f t="shared" si="13"/>
        <v>161</v>
      </c>
      <c r="BG170" s="273" t="str">
        <f>IF($BF170="","",_xll.ciqfunctions.udf.CIQ($BF170,"iq_security_level"))</f>
        <v/>
      </c>
      <c r="BH170" s="177" t="str">
        <f t="shared" si="14"/>
        <v/>
      </c>
      <c r="BJ170" s="177" t="str">
        <f t="shared" si="12"/>
        <v/>
      </c>
      <c r="BK170" s="274" t="str">
        <f>IF($BJ170="","",_xll.ciqfunctions.udf.CIQ($BJ170,"iq_bond_coupon")/100)</f>
        <v/>
      </c>
    </row>
    <row r="171" spans="51:63" ht="12" hidden="1" customHeight="1" outlineLevel="1">
      <c r="AY171" s="271" t="str">
        <f>IF($AX171="","",_xll.ciqfunctions.udf.CIQ($AX171,"iq_offer_date"))</f>
        <v/>
      </c>
      <c r="AZ171" s="272" t="str">
        <f>IF($AX171="","",RANK(AY171,$AY$10:$AY$510)+COUNTIF($AY$10:AY171,AY171)-1)</f>
        <v/>
      </c>
      <c r="BE171" s="177">
        <f t="shared" si="13"/>
        <v>162</v>
      </c>
      <c r="BG171" s="273" t="str">
        <f>IF($BF171="","",_xll.ciqfunctions.udf.CIQ($BF171,"iq_security_level"))</f>
        <v/>
      </c>
      <c r="BH171" s="177" t="str">
        <f t="shared" si="14"/>
        <v/>
      </c>
      <c r="BJ171" s="177" t="str">
        <f t="shared" si="12"/>
        <v/>
      </c>
      <c r="BK171" s="274" t="str">
        <f>IF($BJ171="","",_xll.ciqfunctions.udf.CIQ($BJ171,"iq_bond_coupon")/100)</f>
        <v/>
      </c>
    </row>
    <row r="172" spans="51:63" ht="12" hidden="1" customHeight="1" outlineLevel="1">
      <c r="AY172" s="271" t="str">
        <f>IF($AX172="","",_xll.ciqfunctions.udf.CIQ($AX172,"iq_offer_date"))</f>
        <v/>
      </c>
      <c r="AZ172" s="272" t="str">
        <f>IF($AX172="","",RANK(AY172,$AY$10:$AY$510)+COUNTIF($AY$10:AY172,AY172)-1)</f>
        <v/>
      </c>
      <c r="BE172" s="177">
        <f t="shared" si="13"/>
        <v>163</v>
      </c>
      <c r="BG172" s="273" t="str">
        <f>IF($BF172="","",_xll.ciqfunctions.udf.CIQ($BF172,"iq_security_level"))</f>
        <v/>
      </c>
      <c r="BH172" s="177" t="str">
        <f t="shared" si="14"/>
        <v/>
      </c>
      <c r="BJ172" s="177" t="str">
        <f t="shared" si="12"/>
        <v/>
      </c>
      <c r="BK172" s="274" t="str">
        <f>IF($BJ172="","",_xll.ciqfunctions.udf.CIQ($BJ172,"iq_bond_coupon")/100)</f>
        <v/>
      </c>
    </row>
    <row r="173" spans="51:63" ht="12" hidden="1" customHeight="1" outlineLevel="1">
      <c r="AY173" s="271" t="str">
        <f>IF($AX173="","",_xll.ciqfunctions.udf.CIQ($AX173,"iq_offer_date"))</f>
        <v/>
      </c>
      <c r="AZ173" s="272" t="str">
        <f>IF($AX173="","",RANK(AY173,$AY$10:$AY$510)+COUNTIF($AY$10:AY173,AY173)-1)</f>
        <v/>
      </c>
      <c r="BE173" s="177">
        <f t="shared" si="13"/>
        <v>164</v>
      </c>
      <c r="BG173" s="273" t="str">
        <f>IF($BF173="","",_xll.ciqfunctions.udf.CIQ($BF173,"iq_security_level"))</f>
        <v/>
      </c>
      <c r="BH173" s="177" t="str">
        <f t="shared" si="14"/>
        <v/>
      </c>
      <c r="BJ173" s="177" t="str">
        <f t="shared" si="12"/>
        <v/>
      </c>
      <c r="BK173" s="274" t="str">
        <f>IF($BJ173="","",_xll.ciqfunctions.udf.CIQ($BJ173,"iq_bond_coupon")/100)</f>
        <v/>
      </c>
    </row>
    <row r="174" spans="51:63" ht="12" hidden="1" customHeight="1" outlineLevel="1">
      <c r="AY174" s="271" t="str">
        <f>IF($AX174="","",_xll.ciqfunctions.udf.CIQ($AX174,"iq_offer_date"))</f>
        <v/>
      </c>
      <c r="AZ174" s="272" t="str">
        <f>IF($AX174="","",RANK(AY174,$AY$10:$AY$510)+COUNTIF($AY$10:AY174,AY174)-1)</f>
        <v/>
      </c>
      <c r="BE174" s="177">
        <f t="shared" si="13"/>
        <v>165</v>
      </c>
      <c r="BG174" s="273" t="str">
        <f>IF($BF174="","",_xll.ciqfunctions.udf.CIQ($BF174,"iq_security_level"))</f>
        <v/>
      </c>
      <c r="BH174" s="177" t="str">
        <f t="shared" si="14"/>
        <v/>
      </c>
      <c r="BJ174" s="177" t="str">
        <f t="shared" si="12"/>
        <v/>
      </c>
      <c r="BK174" s="274" t="str">
        <f>IF($BJ174="","",_xll.ciqfunctions.udf.CIQ($BJ174,"iq_bond_coupon")/100)</f>
        <v/>
      </c>
    </row>
    <row r="175" spans="51:63" ht="12" hidden="1" customHeight="1" outlineLevel="1">
      <c r="AY175" s="271" t="str">
        <f>IF($AX175="","",_xll.ciqfunctions.udf.CIQ($AX175,"iq_offer_date"))</f>
        <v/>
      </c>
      <c r="AZ175" s="272" t="str">
        <f>IF($AX175="","",RANK(AY175,$AY$10:$AY$510)+COUNTIF($AY$10:AY175,AY175)-1)</f>
        <v/>
      </c>
      <c r="BE175" s="177">
        <f t="shared" si="13"/>
        <v>166</v>
      </c>
      <c r="BG175" s="273" t="str">
        <f>IF($BF175="","",_xll.ciqfunctions.udf.CIQ($BF175,"iq_security_level"))</f>
        <v/>
      </c>
      <c r="BH175" s="177" t="str">
        <f t="shared" si="14"/>
        <v/>
      </c>
      <c r="BJ175" s="177" t="str">
        <f t="shared" si="12"/>
        <v/>
      </c>
      <c r="BK175" s="274" t="str">
        <f>IF($BJ175="","",_xll.ciqfunctions.udf.CIQ($BJ175,"iq_bond_coupon")/100)</f>
        <v/>
      </c>
    </row>
    <row r="176" spans="51:63" ht="12" hidden="1" customHeight="1" outlineLevel="1">
      <c r="AY176" s="271" t="str">
        <f>IF($AX176="","",_xll.ciqfunctions.udf.CIQ($AX176,"iq_offer_date"))</f>
        <v/>
      </c>
      <c r="AZ176" s="272" t="str">
        <f>IF($AX176="","",RANK(AY176,$AY$10:$AY$510)+COUNTIF($AY$10:AY176,AY176)-1)</f>
        <v/>
      </c>
      <c r="BE176" s="177">
        <f t="shared" si="13"/>
        <v>167</v>
      </c>
      <c r="BG176" s="273" t="str">
        <f>IF($BF176="","",_xll.ciqfunctions.udf.CIQ($BF176,"iq_security_level"))</f>
        <v/>
      </c>
      <c r="BH176" s="177" t="str">
        <f t="shared" si="14"/>
        <v/>
      </c>
      <c r="BJ176" s="177" t="str">
        <f t="shared" si="12"/>
        <v/>
      </c>
      <c r="BK176" s="274" t="str">
        <f>IF($BJ176="","",_xll.ciqfunctions.udf.CIQ($BJ176,"iq_bond_coupon")/100)</f>
        <v/>
      </c>
    </row>
    <row r="177" spans="51:63" ht="12" hidden="1" customHeight="1" outlineLevel="1">
      <c r="AY177" s="271" t="str">
        <f>IF($AX177="","",_xll.ciqfunctions.udf.CIQ($AX177,"iq_offer_date"))</f>
        <v/>
      </c>
      <c r="AZ177" s="272" t="str">
        <f>IF($AX177="","",RANK(AY177,$AY$10:$AY$510)+COUNTIF($AY$10:AY177,AY177)-1)</f>
        <v/>
      </c>
      <c r="BE177" s="177">
        <f t="shared" si="13"/>
        <v>168</v>
      </c>
      <c r="BG177" s="273" t="str">
        <f>IF($BF177="","",_xll.ciqfunctions.udf.CIQ($BF177,"iq_security_level"))</f>
        <v/>
      </c>
      <c r="BH177" s="177" t="str">
        <f t="shared" si="14"/>
        <v/>
      </c>
      <c r="BJ177" s="177" t="str">
        <f t="shared" si="12"/>
        <v/>
      </c>
      <c r="BK177" s="274" t="str">
        <f>IF($BJ177="","",_xll.ciqfunctions.udf.CIQ($BJ177,"iq_bond_coupon")/100)</f>
        <v/>
      </c>
    </row>
    <row r="178" spans="51:63" ht="12" hidden="1" customHeight="1" outlineLevel="1">
      <c r="AY178" s="271" t="str">
        <f>IF($AX178="","",_xll.ciqfunctions.udf.CIQ($AX178,"iq_offer_date"))</f>
        <v/>
      </c>
      <c r="AZ178" s="272" t="str">
        <f>IF($AX178="","",RANK(AY178,$AY$10:$AY$510)+COUNTIF($AY$10:AY178,AY178)-1)</f>
        <v/>
      </c>
      <c r="BE178" s="177">
        <f t="shared" si="13"/>
        <v>169</v>
      </c>
      <c r="BG178" s="273" t="str">
        <f>IF($BF178="","",_xll.ciqfunctions.udf.CIQ($BF178,"iq_security_level"))</f>
        <v/>
      </c>
      <c r="BH178" s="177" t="str">
        <f t="shared" si="14"/>
        <v/>
      </c>
      <c r="BJ178" s="177" t="str">
        <f t="shared" si="12"/>
        <v/>
      </c>
      <c r="BK178" s="274" t="str">
        <f>IF($BJ178="","",_xll.ciqfunctions.udf.CIQ($BJ178,"iq_bond_coupon")/100)</f>
        <v/>
      </c>
    </row>
    <row r="179" spans="51:63" ht="12" hidden="1" customHeight="1" outlineLevel="1">
      <c r="AY179" s="271" t="str">
        <f>IF($AX179="","",_xll.ciqfunctions.udf.CIQ($AX179,"iq_offer_date"))</f>
        <v/>
      </c>
      <c r="AZ179" s="272" t="str">
        <f>IF($AX179="","",RANK(AY179,$AY$10:$AY$510)+COUNTIF($AY$10:AY179,AY179)-1)</f>
        <v/>
      </c>
      <c r="BE179" s="177">
        <f t="shared" si="13"/>
        <v>170</v>
      </c>
      <c r="BG179" s="273" t="str">
        <f>IF($BF179="","",_xll.ciqfunctions.udf.CIQ($BF179,"iq_security_level"))</f>
        <v/>
      </c>
      <c r="BH179" s="177" t="str">
        <f t="shared" si="14"/>
        <v/>
      </c>
      <c r="BJ179" s="177" t="str">
        <f t="shared" si="12"/>
        <v/>
      </c>
      <c r="BK179" s="274" t="str">
        <f>IF($BJ179="","",_xll.ciqfunctions.udf.CIQ($BJ179,"iq_bond_coupon")/100)</f>
        <v/>
      </c>
    </row>
    <row r="180" spans="51:63" ht="12" hidden="1" customHeight="1" outlineLevel="1">
      <c r="AY180" s="271" t="str">
        <f>IF($AX180="","",_xll.ciqfunctions.udf.CIQ($AX180,"iq_offer_date"))</f>
        <v/>
      </c>
      <c r="AZ180" s="272" t="str">
        <f>IF($AX180="","",RANK(AY180,$AY$10:$AY$510)+COUNTIF($AY$10:AY180,AY180)-1)</f>
        <v/>
      </c>
      <c r="BE180" s="177">
        <f t="shared" si="13"/>
        <v>171</v>
      </c>
      <c r="BG180" s="273" t="str">
        <f>IF($BF180="","",_xll.ciqfunctions.udf.CIQ($BF180,"iq_security_level"))</f>
        <v/>
      </c>
      <c r="BH180" s="177" t="str">
        <f t="shared" si="14"/>
        <v/>
      </c>
      <c r="BJ180" s="177" t="str">
        <f t="shared" si="12"/>
        <v/>
      </c>
      <c r="BK180" s="274" t="str">
        <f>IF($BJ180="","",_xll.ciqfunctions.udf.CIQ($BJ180,"iq_bond_coupon")/100)</f>
        <v/>
      </c>
    </row>
    <row r="181" spans="51:63" ht="12" hidden="1" customHeight="1" outlineLevel="1">
      <c r="AY181" s="271" t="str">
        <f>IF($AX181="","",_xll.ciqfunctions.udf.CIQ($AX181,"iq_offer_date"))</f>
        <v/>
      </c>
      <c r="AZ181" s="272" t="str">
        <f>IF($AX181="","",RANK(AY181,$AY$10:$AY$510)+COUNTIF($AY$10:AY181,AY181)-1)</f>
        <v/>
      </c>
      <c r="BE181" s="177">
        <f t="shared" si="13"/>
        <v>172</v>
      </c>
      <c r="BG181" s="273" t="str">
        <f>IF($BF181="","",_xll.ciqfunctions.udf.CIQ($BF181,"iq_security_level"))</f>
        <v/>
      </c>
      <c r="BH181" s="177" t="str">
        <f t="shared" si="14"/>
        <v/>
      </c>
      <c r="BJ181" s="177" t="str">
        <f t="shared" ref="BJ181:BJ244" si="15">IF($BF180="","",IF(ISERROR(INDEX($BF$10:$BF$509,MATCH(BE180,$BH$10:$BH$509,0))),"",INDEX($BF$10:$BF$509,MATCH(BE180,$BH$10:$BH$509,0))))</f>
        <v/>
      </c>
      <c r="BK181" s="274" t="str">
        <f>IF($BJ181="","",_xll.ciqfunctions.udf.CIQ($BJ181,"iq_bond_coupon")/100)</f>
        <v/>
      </c>
    </row>
    <row r="182" spans="51:63" ht="12" hidden="1" customHeight="1" outlineLevel="1">
      <c r="AY182" s="271" t="str">
        <f>IF($AX182="","",_xll.ciqfunctions.udf.CIQ($AX182,"iq_offer_date"))</f>
        <v/>
      </c>
      <c r="AZ182" s="272" t="str">
        <f>IF($AX182="","",RANK(AY182,$AY$10:$AY$510)+COUNTIF($AY$10:AY182,AY182)-1)</f>
        <v/>
      </c>
      <c r="BE182" s="177">
        <f t="shared" si="13"/>
        <v>173</v>
      </c>
      <c r="BG182" s="273" t="str">
        <f>IF($BF182="","",_xll.ciqfunctions.udf.CIQ($BF182,"iq_security_level"))</f>
        <v/>
      </c>
      <c r="BH182" s="177" t="str">
        <f t="shared" si="14"/>
        <v/>
      </c>
      <c r="BJ182" s="177" t="str">
        <f t="shared" si="15"/>
        <v/>
      </c>
      <c r="BK182" s="274" t="str">
        <f>IF($BJ182="","",_xll.ciqfunctions.udf.CIQ($BJ182,"iq_bond_coupon")/100)</f>
        <v/>
      </c>
    </row>
    <row r="183" spans="51:63" ht="12" hidden="1" customHeight="1" outlineLevel="1">
      <c r="AY183" s="271" t="str">
        <f>IF($AX183="","",_xll.ciqfunctions.udf.CIQ($AX183,"iq_offer_date"))</f>
        <v/>
      </c>
      <c r="AZ183" s="272" t="str">
        <f>IF($AX183="","",RANK(AY183,$AY$10:$AY$510)+COUNTIF($AY$10:AY183,AY183)-1)</f>
        <v/>
      </c>
      <c r="BE183" s="177">
        <f t="shared" si="13"/>
        <v>174</v>
      </c>
      <c r="BG183" s="273" t="str">
        <f>IF($BF183="","",_xll.ciqfunctions.udf.CIQ($BF183,"iq_security_level"))</f>
        <v/>
      </c>
      <c r="BH183" s="177" t="str">
        <f t="shared" si="14"/>
        <v/>
      </c>
      <c r="BJ183" s="177" t="str">
        <f t="shared" si="15"/>
        <v/>
      </c>
      <c r="BK183" s="274" t="str">
        <f>IF($BJ183="","",_xll.ciqfunctions.udf.CIQ($BJ183,"iq_bond_coupon")/100)</f>
        <v/>
      </c>
    </row>
    <row r="184" spans="51:63" ht="12" hidden="1" customHeight="1" outlineLevel="1">
      <c r="AY184" s="271" t="str">
        <f>IF($AX184="","",_xll.ciqfunctions.udf.CIQ($AX184,"iq_offer_date"))</f>
        <v/>
      </c>
      <c r="AZ184" s="272" t="str">
        <f>IF($AX184="","",RANK(AY184,$AY$10:$AY$510)+COUNTIF($AY$10:AY184,AY184)-1)</f>
        <v/>
      </c>
      <c r="BE184" s="177">
        <f t="shared" si="13"/>
        <v>175</v>
      </c>
      <c r="BG184" s="273" t="str">
        <f>IF($BF184="","",_xll.ciqfunctions.udf.CIQ($BF184,"iq_security_level"))</f>
        <v/>
      </c>
      <c r="BH184" s="177" t="str">
        <f t="shared" si="14"/>
        <v/>
      </c>
      <c r="BJ184" s="177" t="str">
        <f t="shared" si="15"/>
        <v/>
      </c>
      <c r="BK184" s="274" t="str">
        <f>IF($BJ184="","",_xll.ciqfunctions.udf.CIQ($BJ184,"iq_bond_coupon")/100)</f>
        <v/>
      </c>
    </row>
    <row r="185" spans="51:63" ht="12" hidden="1" customHeight="1" outlineLevel="1">
      <c r="AY185" s="271" t="str">
        <f>IF($AX185="","",_xll.ciqfunctions.udf.CIQ($AX185,"iq_offer_date"))</f>
        <v/>
      </c>
      <c r="AZ185" s="272" t="str">
        <f>IF($AX185="","",RANK(AY185,$AY$10:$AY$510)+COUNTIF($AY$10:AY185,AY185)-1)</f>
        <v/>
      </c>
      <c r="BE185" s="177">
        <f t="shared" si="13"/>
        <v>176</v>
      </c>
      <c r="BG185" s="273" t="str">
        <f>IF($BF185="","",_xll.ciqfunctions.udf.CIQ($BF185,"iq_security_level"))</f>
        <v/>
      </c>
      <c r="BH185" s="177" t="str">
        <f t="shared" si="14"/>
        <v/>
      </c>
      <c r="BJ185" s="177" t="str">
        <f t="shared" si="15"/>
        <v/>
      </c>
      <c r="BK185" s="274" t="str">
        <f>IF($BJ185="","",_xll.ciqfunctions.udf.CIQ($BJ185,"iq_bond_coupon")/100)</f>
        <v/>
      </c>
    </row>
    <row r="186" spans="51:63" ht="12" hidden="1" customHeight="1" outlineLevel="1">
      <c r="AY186" s="271" t="str">
        <f>IF($AX186="","",_xll.ciqfunctions.udf.CIQ($AX186,"iq_offer_date"))</f>
        <v/>
      </c>
      <c r="AZ186" s="272" t="str">
        <f>IF($AX186="","",RANK(AY186,$AY$10:$AY$510)+COUNTIF($AY$10:AY186,AY186)-1)</f>
        <v/>
      </c>
      <c r="BE186" s="177">
        <f t="shared" si="13"/>
        <v>177</v>
      </c>
      <c r="BG186" s="273" t="str">
        <f>IF($BF186="","",_xll.ciqfunctions.udf.CIQ($BF186,"iq_security_level"))</f>
        <v/>
      </c>
      <c r="BH186" s="177" t="str">
        <f t="shared" si="14"/>
        <v/>
      </c>
      <c r="BJ186" s="177" t="str">
        <f t="shared" si="15"/>
        <v/>
      </c>
      <c r="BK186" s="274" t="str">
        <f>IF($BJ186="","",_xll.ciqfunctions.udf.CIQ($BJ186,"iq_bond_coupon")/100)</f>
        <v/>
      </c>
    </row>
    <row r="187" spans="51:63" ht="12" hidden="1" customHeight="1" outlineLevel="1">
      <c r="AY187" s="271" t="str">
        <f>IF($AX187="","",_xll.ciqfunctions.udf.CIQ($AX187,"iq_offer_date"))</f>
        <v/>
      </c>
      <c r="AZ187" s="272" t="str">
        <f>IF($AX187="","",RANK(AY187,$AY$10:$AY$510)+COUNTIF($AY$10:AY187,AY187)-1)</f>
        <v/>
      </c>
      <c r="BE187" s="177">
        <f t="shared" si="13"/>
        <v>178</v>
      </c>
      <c r="BG187" s="273" t="str">
        <f>IF($BF187="","",_xll.ciqfunctions.udf.CIQ($BF187,"iq_security_level"))</f>
        <v/>
      </c>
      <c r="BH187" s="177" t="str">
        <f t="shared" si="14"/>
        <v/>
      </c>
      <c r="BJ187" s="177" t="str">
        <f t="shared" si="15"/>
        <v/>
      </c>
      <c r="BK187" s="274" t="str">
        <f>IF($BJ187="","",_xll.ciqfunctions.udf.CIQ($BJ187,"iq_bond_coupon")/100)</f>
        <v/>
      </c>
    </row>
    <row r="188" spans="51:63" ht="12" hidden="1" customHeight="1" outlineLevel="1">
      <c r="AY188" s="271" t="str">
        <f>IF($AX188="","",_xll.ciqfunctions.udf.CIQ($AX188,"iq_offer_date"))</f>
        <v/>
      </c>
      <c r="AZ188" s="272" t="str">
        <f>IF($AX188="","",RANK(AY188,$AY$10:$AY$510)+COUNTIF($AY$10:AY188,AY188)-1)</f>
        <v/>
      </c>
      <c r="BE188" s="177">
        <f t="shared" si="13"/>
        <v>179</v>
      </c>
      <c r="BG188" s="273" t="str">
        <f>IF($BF188="","",_xll.ciqfunctions.udf.CIQ($BF188,"iq_security_level"))</f>
        <v/>
      </c>
      <c r="BH188" s="177" t="str">
        <f t="shared" si="14"/>
        <v/>
      </c>
      <c r="BJ188" s="177" t="str">
        <f t="shared" si="15"/>
        <v/>
      </c>
      <c r="BK188" s="274" t="str">
        <f>IF($BJ188="","",_xll.ciqfunctions.udf.CIQ($BJ188,"iq_bond_coupon")/100)</f>
        <v/>
      </c>
    </row>
    <row r="189" spans="51:63" ht="12" hidden="1" customHeight="1" outlineLevel="1">
      <c r="AY189" s="271" t="str">
        <f>IF($AX189="","",_xll.ciqfunctions.udf.CIQ($AX189,"iq_offer_date"))</f>
        <v/>
      </c>
      <c r="AZ189" s="272" t="str">
        <f>IF($AX189="","",RANK(AY189,$AY$10:$AY$510)+COUNTIF($AY$10:AY189,AY189)-1)</f>
        <v/>
      </c>
      <c r="BE189" s="177">
        <f t="shared" si="13"/>
        <v>180</v>
      </c>
      <c r="BG189" s="273" t="str">
        <f>IF($BF189="","",_xll.ciqfunctions.udf.CIQ($BF189,"iq_security_level"))</f>
        <v/>
      </c>
      <c r="BH189" s="177" t="str">
        <f t="shared" si="14"/>
        <v/>
      </c>
      <c r="BJ189" s="177" t="str">
        <f t="shared" si="15"/>
        <v/>
      </c>
      <c r="BK189" s="274" t="str">
        <f>IF($BJ189="","",_xll.ciqfunctions.udf.CIQ($BJ189,"iq_bond_coupon")/100)</f>
        <v/>
      </c>
    </row>
    <row r="190" spans="51:63" ht="12" hidden="1" customHeight="1" outlineLevel="1">
      <c r="AY190" s="271" t="str">
        <f>IF($AX190="","",_xll.ciqfunctions.udf.CIQ($AX190,"iq_offer_date"))</f>
        <v/>
      </c>
      <c r="AZ190" s="272" t="str">
        <f>IF($AX190="","",RANK(AY190,$AY$10:$AY$510)+COUNTIF($AY$10:AY190,AY190)-1)</f>
        <v/>
      </c>
      <c r="BE190" s="177">
        <f t="shared" si="13"/>
        <v>181</v>
      </c>
      <c r="BG190" s="273" t="str">
        <f>IF($BF190="","",_xll.ciqfunctions.udf.CIQ($BF190,"iq_security_level"))</f>
        <v/>
      </c>
      <c r="BH190" s="177" t="str">
        <f t="shared" si="14"/>
        <v/>
      </c>
      <c r="BJ190" s="177" t="str">
        <f t="shared" si="15"/>
        <v/>
      </c>
      <c r="BK190" s="274" t="str">
        <f>IF($BJ190="","",_xll.ciqfunctions.udf.CIQ($BJ190,"iq_bond_coupon")/100)</f>
        <v/>
      </c>
    </row>
    <row r="191" spans="51:63" ht="12" hidden="1" customHeight="1" outlineLevel="1">
      <c r="AY191" s="271" t="str">
        <f>IF($AX191="","",_xll.ciqfunctions.udf.CIQ($AX191,"iq_offer_date"))</f>
        <v/>
      </c>
      <c r="AZ191" s="272" t="str">
        <f>IF($AX191="","",RANK(AY191,$AY$10:$AY$510)+COUNTIF($AY$10:AY191,AY191)-1)</f>
        <v/>
      </c>
      <c r="BE191" s="177">
        <f t="shared" si="13"/>
        <v>182</v>
      </c>
      <c r="BG191" s="273" t="str">
        <f>IF($BF191="","",_xll.ciqfunctions.udf.CIQ($BF191,"iq_security_level"))</f>
        <v/>
      </c>
      <c r="BH191" s="177" t="str">
        <f t="shared" si="14"/>
        <v/>
      </c>
      <c r="BJ191" s="177" t="str">
        <f t="shared" si="15"/>
        <v/>
      </c>
      <c r="BK191" s="274" t="str">
        <f>IF($BJ191="","",_xll.ciqfunctions.udf.CIQ($BJ191,"iq_bond_coupon")/100)</f>
        <v/>
      </c>
    </row>
    <row r="192" spans="51:63" ht="12" hidden="1" customHeight="1" outlineLevel="1">
      <c r="AY192" s="271" t="str">
        <f>IF($AX192="","",_xll.ciqfunctions.udf.CIQ($AX192,"iq_offer_date"))</f>
        <v/>
      </c>
      <c r="AZ192" s="272" t="str">
        <f>IF($AX192="","",RANK(AY192,$AY$10:$AY$510)+COUNTIF($AY$10:AY192,AY192)-1)</f>
        <v/>
      </c>
      <c r="BE192" s="177">
        <f t="shared" si="13"/>
        <v>183</v>
      </c>
      <c r="BG192" s="273" t="str">
        <f>IF($BF192="","",_xll.ciqfunctions.udf.CIQ($BF192,"iq_security_level"))</f>
        <v/>
      </c>
      <c r="BH192" s="177" t="str">
        <f t="shared" si="14"/>
        <v/>
      </c>
      <c r="BJ192" s="177" t="str">
        <f t="shared" si="15"/>
        <v/>
      </c>
      <c r="BK192" s="274" t="str">
        <f>IF($BJ192="","",_xll.ciqfunctions.udf.CIQ($BJ192,"iq_bond_coupon")/100)</f>
        <v/>
      </c>
    </row>
    <row r="193" spans="51:63" ht="12" hidden="1" customHeight="1" outlineLevel="1">
      <c r="AY193" s="271" t="str">
        <f>IF($AX193="","",_xll.ciqfunctions.udf.CIQ($AX193,"iq_offer_date"))</f>
        <v/>
      </c>
      <c r="AZ193" s="272" t="str">
        <f>IF($AX193="","",RANK(AY193,$AY$10:$AY$510)+COUNTIF($AY$10:AY193,AY193)-1)</f>
        <v/>
      </c>
      <c r="BE193" s="177">
        <f t="shared" si="13"/>
        <v>184</v>
      </c>
      <c r="BG193" s="273" t="str">
        <f>IF($BF193="","",_xll.ciqfunctions.udf.CIQ($BF193,"iq_security_level"))</f>
        <v/>
      </c>
      <c r="BH193" s="177" t="str">
        <f t="shared" si="14"/>
        <v/>
      </c>
      <c r="BJ193" s="177" t="str">
        <f t="shared" si="15"/>
        <v/>
      </c>
      <c r="BK193" s="274" t="str">
        <f>IF($BJ193="","",_xll.ciqfunctions.udf.CIQ($BJ193,"iq_bond_coupon")/100)</f>
        <v/>
      </c>
    </row>
    <row r="194" spans="51:63" ht="12" hidden="1" customHeight="1" outlineLevel="1">
      <c r="AY194" s="271" t="str">
        <f>IF($AX194="","",_xll.ciqfunctions.udf.CIQ($AX194,"iq_offer_date"))</f>
        <v/>
      </c>
      <c r="AZ194" s="272" t="str">
        <f>IF($AX194="","",RANK(AY194,$AY$10:$AY$510)+COUNTIF($AY$10:AY194,AY194)-1)</f>
        <v/>
      </c>
      <c r="BE194" s="177">
        <f t="shared" si="13"/>
        <v>185</v>
      </c>
      <c r="BG194" s="273" t="str">
        <f>IF($BF194="","",_xll.ciqfunctions.udf.CIQ($BF194,"iq_security_level"))</f>
        <v/>
      </c>
      <c r="BH194" s="177" t="str">
        <f t="shared" si="14"/>
        <v/>
      </c>
      <c r="BJ194" s="177" t="str">
        <f t="shared" si="15"/>
        <v/>
      </c>
      <c r="BK194" s="274" t="str">
        <f>IF($BJ194="","",_xll.ciqfunctions.udf.CIQ($BJ194,"iq_bond_coupon")/100)</f>
        <v/>
      </c>
    </row>
    <row r="195" spans="51:63" ht="12" hidden="1" customHeight="1" outlineLevel="1">
      <c r="AY195" s="271" t="str">
        <f>IF($AX195="","",_xll.ciqfunctions.udf.CIQ($AX195,"iq_offer_date"))</f>
        <v/>
      </c>
      <c r="AZ195" s="272" t="str">
        <f>IF($AX195="","",RANK(AY195,$AY$10:$AY$510)+COUNTIF($AY$10:AY195,AY195)-1)</f>
        <v/>
      </c>
      <c r="BE195" s="177">
        <f t="shared" si="13"/>
        <v>186</v>
      </c>
      <c r="BG195" s="273" t="str">
        <f>IF($BF195="","",_xll.ciqfunctions.udf.CIQ($BF195,"iq_security_level"))</f>
        <v/>
      </c>
      <c r="BH195" s="177" t="str">
        <f t="shared" si="14"/>
        <v/>
      </c>
      <c r="BJ195" s="177" t="str">
        <f t="shared" si="15"/>
        <v/>
      </c>
      <c r="BK195" s="274" t="str">
        <f>IF($BJ195="","",_xll.ciqfunctions.udf.CIQ($BJ195,"iq_bond_coupon")/100)</f>
        <v/>
      </c>
    </row>
    <row r="196" spans="51:63" ht="12" hidden="1" customHeight="1" outlineLevel="1">
      <c r="AY196" s="271" t="str">
        <f>IF($AX196="","",_xll.ciqfunctions.udf.CIQ($AX196,"iq_offer_date"))</f>
        <v/>
      </c>
      <c r="AZ196" s="272" t="str">
        <f>IF($AX196="","",RANK(AY196,$AY$10:$AY$510)+COUNTIF($AY$10:AY196,AY196)-1)</f>
        <v/>
      </c>
      <c r="BE196" s="177">
        <f t="shared" si="13"/>
        <v>187</v>
      </c>
      <c r="BG196" s="273" t="str">
        <f>IF($BF196="","",_xll.ciqfunctions.udf.CIQ($BF196,"iq_security_level"))</f>
        <v/>
      </c>
      <c r="BH196" s="177" t="str">
        <f t="shared" si="14"/>
        <v/>
      </c>
      <c r="BJ196" s="177" t="str">
        <f t="shared" si="15"/>
        <v/>
      </c>
      <c r="BK196" s="274" t="str">
        <f>IF($BJ196="","",_xll.ciqfunctions.udf.CIQ($BJ196,"iq_bond_coupon")/100)</f>
        <v/>
      </c>
    </row>
    <row r="197" spans="51:63" ht="12" hidden="1" customHeight="1" outlineLevel="1">
      <c r="AY197" s="271" t="str">
        <f>IF($AX197="","",_xll.ciqfunctions.udf.CIQ($AX197,"iq_offer_date"))</f>
        <v/>
      </c>
      <c r="AZ197" s="272" t="str">
        <f>IF($AX197="","",RANK(AY197,$AY$10:$AY$510)+COUNTIF($AY$10:AY197,AY197)-1)</f>
        <v/>
      </c>
      <c r="BE197" s="177">
        <f t="shared" si="13"/>
        <v>188</v>
      </c>
      <c r="BG197" s="273" t="str">
        <f>IF($BF197="","",_xll.ciqfunctions.udf.CIQ($BF197,"iq_security_level"))</f>
        <v/>
      </c>
      <c r="BH197" s="177" t="str">
        <f t="shared" si="14"/>
        <v/>
      </c>
      <c r="BJ197" s="177" t="str">
        <f t="shared" si="15"/>
        <v/>
      </c>
      <c r="BK197" s="274" t="str">
        <f>IF($BJ197="","",_xll.ciqfunctions.udf.CIQ($BJ197,"iq_bond_coupon")/100)</f>
        <v/>
      </c>
    </row>
    <row r="198" spans="51:63" ht="12" hidden="1" customHeight="1" outlineLevel="1">
      <c r="AY198" s="271" t="str">
        <f>IF($AX198="","",_xll.ciqfunctions.udf.CIQ($AX198,"iq_offer_date"))</f>
        <v/>
      </c>
      <c r="AZ198" s="272" t="str">
        <f>IF($AX198="","",RANK(AY198,$AY$10:$AY$510)+COUNTIF($AY$10:AY198,AY198)-1)</f>
        <v/>
      </c>
      <c r="BE198" s="177">
        <f t="shared" si="13"/>
        <v>189</v>
      </c>
      <c r="BG198" s="273" t="str">
        <f>IF($BF198="","",_xll.ciqfunctions.udf.CIQ($BF198,"iq_security_level"))</f>
        <v/>
      </c>
      <c r="BH198" s="177" t="str">
        <f t="shared" si="14"/>
        <v/>
      </c>
      <c r="BJ198" s="177" t="str">
        <f t="shared" si="15"/>
        <v/>
      </c>
      <c r="BK198" s="274" t="str">
        <f>IF($BJ198="","",_xll.ciqfunctions.udf.CIQ($BJ198,"iq_bond_coupon")/100)</f>
        <v/>
      </c>
    </row>
    <row r="199" spans="51:63" ht="12" hidden="1" customHeight="1" outlineLevel="1">
      <c r="AY199" s="271" t="str">
        <f>IF($AX199="","",_xll.ciqfunctions.udf.CIQ($AX199,"iq_offer_date"))</f>
        <v/>
      </c>
      <c r="AZ199" s="272" t="str">
        <f>IF($AX199="","",RANK(AY199,$AY$10:$AY$510)+COUNTIF($AY$10:AY199,AY199)-1)</f>
        <v/>
      </c>
      <c r="BE199" s="177">
        <f t="shared" si="13"/>
        <v>190</v>
      </c>
      <c r="BG199" s="273" t="str">
        <f>IF($BF199="","",_xll.ciqfunctions.udf.CIQ($BF199,"iq_security_level"))</f>
        <v/>
      </c>
      <c r="BH199" s="177" t="str">
        <f t="shared" si="14"/>
        <v/>
      </c>
      <c r="BJ199" s="177" t="str">
        <f t="shared" si="15"/>
        <v/>
      </c>
      <c r="BK199" s="274" t="str">
        <f>IF($BJ199="","",_xll.ciqfunctions.udf.CIQ($BJ199,"iq_bond_coupon")/100)</f>
        <v/>
      </c>
    </row>
    <row r="200" spans="51:63" ht="12" hidden="1" customHeight="1" outlineLevel="1">
      <c r="AY200" s="271" t="str">
        <f>IF($AX200="","",_xll.ciqfunctions.udf.CIQ($AX200,"iq_offer_date"))</f>
        <v/>
      </c>
      <c r="AZ200" s="272" t="str">
        <f>IF($AX200="","",RANK(AY200,$AY$10:$AY$510)+COUNTIF($AY$10:AY200,AY200)-1)</f>
        <v/>
      </c>
      <c r="BE200" s="177">
        <f t="shared" si="13"/>
        <v>191</v>
      </c>
      <c r="BG200" s="273" t="str">
        <f>IF($BF200="","",_xll.ciqfunctions.udf.CIQ($BF200,"iq_security_level"))</f>
        <v/>
      </c>
      <c r="BH200" s="177" t="str">
        <f t="shared" si="14"/>
        <v/>
      </c>
      <c r="BJ200" s="177" t="str">
        <f t="shared" si="15"/>
        <v/>
      </c>
      <c r="BK200" s="274" t="str">
        <f>IF($BJ200="","",_xll.ciqfunctions.udf.CIQ($BJ200,"iq_bond_coupon")/100)</f>
        <v/>
      </c>
    </row>
    <row r="201" spans="51:63" ht="12" hidden="1" customHeight="1" outlineLevel="1">
      <c r="AY201" s="271" t="str">
        <f>IF($AX201="","",_xll.ciqfunctions.udf.CIQ($AX201,"iq_offer_date"))</f>
        <v/>
      </c>
      <c r="AZ201" s="272" t="str">
        <f>IF($AX201="","",RANK(AY201,$AY$10:$AY$510)+COUNTIF($AY$10:AY201,AY201)-1)</f>
        <v/>
      </c>
      <c r="BE201" s="177">
        <f t="shared" si="13"/>
        <v>192</v>
      </c>
      <c r="BG201" s="273" t="str">
        <f>IF($BF201="","",_xll.ciqfunctions.udf.CIQ($BF201,"iq_security_level"))</f>
        <v/>
      </c>
      <c r="BH201" s="177" t="str">
        <f t="shared" si="14"/>
        <v/>
      </c>
      <c r="BJ201" s="177" t="str">
        <f t="shared" si="15"/>
        <v/>
      </c>
      <c r="BK201" s="274" t="str">
        <f>IF($BJ201="","",_xll.ciqfunctions.udf.CIQ($BJ201,"iq_bond_coupon")/100)</f>
        <v/>
      </c>
    </row>
    <row r="202" spans="51:63" ht="12" hidden="1" customHeight="1" outlineLevel="1">
      <c r="AY202" s="271" t="str">
        <f>IF($AX202="","",_xll.ciqfunctions.udf.CIQ($AX202,"iq_offer_date"))</f>
        <v/>
      </c>
      <c r="AZ202" s="272" t="str">
        <f>IF($AX202="","",RANK(AY202,$AY$10:$AY$510)+COUNTIF($AY$10:AY202,AY202)-1)</f>
        <v/>
      </c>
      <c r="BE202" s="177">
        <f t="shared" si="13"/>
        <v>193</v>
      </c>
      <c r="BG202" s="273" t="str">
        <f>IF($BF202="","",_xll.ciqfunctions.udf.CIQ($BF202,"iq_security_level"))</f>
        <v/>
      </c>
      <c r="BH202" s="177" t="str">
        <f t="shared" si="14"/>
        <v/>
      </c>
      <c r="BJ202" s="177" t="str">
        <f t="shared" si="15"/>
        <v/>
      </c>
      <c r="BK202" s="274" t="str">
        <f>IF($BJ202="","",_xll.ciqfunctions.udf.CIQ($BJ202,"iq_bond_coupon")/100)</f>
        <v/>
      </c>
    </row>
    <row r="203" spans="51:63" ht="12" hidden="1" customHeight="1" outlineLevel="1">
      <c r="AY203" s="271" t="str">
        <f>IF($AX203="","",_xll.ciqfunctions.udf.CIQ($AX203,"iq_offer_date"))</f>
        <v/>
      </c>
      <c r="AZ203" s="272" t="str">
        <f>IF($AX203="","",RANK(AY203,$AY$10:$AY$510)+COUNTIF($AY$10:AY203,AY203)-1)</f>
        <v/>
      </c>
      <c r="BE203" s="177">
        <f t="shared" si="13"/>
        <v>194</v>
      </c>
      <c r="BG203" s="273" t="str">
        <f>IF($BF203="","",_xll.ciqfunctions.udf.CIQ($BF203,"iq_security_level"))</f>
        <v/>
      </c>
      <c r="BH203" s="177" t="str">
        <f t="shared" si="14"/>
        <v/>
      </c>
      <c r="BJ203" s="177" t="str">
        <f t="shared" si="15"/>
        <v/>
      </c>
      <c r="BK203" s="274" t="str">
        <f>IF($BJ203="","",_xll.ciqfunctions.udf.CIQ($BJ203,"iq_bond_coupon")/100)</f>
        <v/>
      </c>
    </row>
    <row r="204" spans="51:63" ht="12" hidden="1" customHeight="1" outlineLevel="1">
      <c r="AY204" s="271" t="str">
        <f>IF($AX204="","",_xll.ciqfunctions.udf.CIQ($AX204,"iq_offer_date"))</f>
        <v/>
      </c>
      <c r="AZ204" s="272" t="str">
        <f>IF($AX204="","",RANK(AY204,$AY$10:$AY$510)+COUNTIF($AY$10:AY204,AY204)-1)</f>
        <v/>
      </c>
      <c r="BE204" s="177">
        <f t="shared" ref="BE204:BE267" si="16">BE203+1</f>
        <v>195</v>
      </c>
      <c r="BG204" s="273" t="str">
        <f>IF($BF204="","",_xll.ciqfunctions.udf.CIQ($BF204,"iq_security_level"))</f>
        <v/>
      </c>
      <c r="BH204" s="177" t="str">
        <f t="shared" ref="BH204:BH267" si="17">IF(BF204="","",IF(BG204="Preferred",BH203+1,BH203))</f>
        <v/>
      </c>
      <c r="BJ204" s="177" t="str">
        <f t="shared" si="15"/>
        <v/>
      </c>
      <c r="BK204" s="274" t="str">
        <f>IF($BJ204="","",_xll.ciqfunctions.udf.CIQ($BJ204,"iq_bond_coupon")/100)</f>
        <v/>
      </c>
    </row>
    <row r="205" spans="51:63" ht="12" hidden="1" customHeight="1" outlineLevel="1">
      <c r="AY205" s="271" t="str">
        <f>IF($AX205="","",_xll.ciqfunctions.udf.CIQ($AX205,"iq_offer_date"))</f>
        <v/>
      </c>
      <c r="AZ205" s="272" t="str">
        <f>IF($AX205="","",RANK(AY205,$AY$10:$AY$510)+COUNTIF($AY$10:AY205,AY205)-1)</f>
        <v/>
      </c>
      <c r="BE205" s="177">
        <f t="shared" si="16"/>
        <v>196</v>
      </c>
      <c r="BG205" s="273" t="str">
        <f>IF($BF205="","",_xll.ciqfunctions.udf.CIQ($BF205,"iq_security_level"))</f>
        <v/>
      </c>
      <c r="BH205" s="177" t="str">
        <f t="shared" si="17"/>
        <v/>
      </c>
      <c r="BJ205" s="177" t="str">
        <f t="shared" si="15"/>
        <v/>
      </c>
      <c r="BK205" s="274" t="str">
        <f>IF($BJ205="","",_xll.ciqfunctions.udf.CIQ($BJ205,"iq_bond_coupon")/100)</f>
        <v/>
      </c>
    </row>
    <row r="206" spans="51:63" ht="12" hidden="1" customHeight="1" outlineLevel="1">
      <c r="AY206" s="271" t="str">
        <f>IF($AX206="","",_xll.ciqfunctions.udf.CIQ($AX206,"iq_offer_date"))</f>
        <v/>
      </c>
      <c r="AZ206" s="272" t="str">
        <f>IF($AX206="","",RANK(AY206,$AY$10:$AY$510)+COUNTIF($AY$10:AY206,AY206)-1)</f>
        <v/>
      </c>
      <c r="BE206" s="177">
        <f t="shared" si="16"/>
        <v>197</v>
      </c>
      <c r="BG206" s="273" t="str">
        <f>IF($BF206="","",_xll.ciqfunctions.udf.CIQ($BF206,"iq_security_level"))</f>
        <v/>
      </c>
      <c r="BH206" s="177" t="str">
        <f t="shared" si="17"/>
        <v/>
      </c>
      <c r="BJ206" s="177" t="str">
        <f t="shared" si="15"/>
        <v/>
      </c>
      <c r="BK206" s="274" t="str">
        <f>IF($BJ206="","",_xll.ciqfunctions.udf.CIQ($BJ206,"iq_bond_coupon")/100)</f>
        <v/>
      </c>
    </row>
    <row r="207" spans="51:63" ht="12" hidden="1" customHeight="1" outlineLevel="1">
      <c r="AY207" s="271" t="str">
        <f>IF($AX207="","",_xll.ciqfunctions.udf.CIQ($AX207,"iq_offer_date"))</f>
        <v/>
      </c>
      <c r="AZ207" s="272" t="str">
        <f>IF($AX207="","",RANK(AY207,$AY$10:$AY$510)+COUNTIF($AY$10:AY207,AY207)-1)</f>
        <v/>
      </c>
      <c r="BE207" s="177">
        <f t="shared" si="16"/>
        <v>198</v>
      </c>
      <c r="BG207" s="273" t="str">
        <f>IF($BF207="","",_xll.ciqfunctions.udf.CIQ($BF207,"iq_security_level"))</f>
        <v/>
      </c>
      <c r="BH207" s="177" t="str">
        <f t="shared" si="17"/>
        <v/>
      </c>
      <c r="BJ207" s="177" t="str">
        <f t="shared" si="15"/>
        <v/>
      </c>
      <c r="BK207" s="274" t="str">
        <f>IF($BJ207="","",_xll.ciqfunctions.udf.CIQ($BJ207,"iq_bond_coupon")/100)</f>
        <v/>
      </c>
    </row>
    <row r="208" spans="51:63" ht="12" hidden="1" customHeight="1" outlineLevel="1">
      <c r="AY208" s="271" t="str">
        <f>IF($AX208="","",_xll.ciqfunctions.udf.CIQ($AX208,"iq_offer_date"))</f>
        <v/>
      </c>
      <c r="AZ208" s="272" t="str">
        <f>IF($AX208="","",RANK(AY208,$AY$10:$AY$510)+COUNTIF($AY$10:AY208,AY208)-1)</f>
        <v/>
      </c>
      <c r="BE208" s="177">
        <f t="shared" si="16"/>
        <v>199</v>
      </c>
      <c r="BG208" s="273" t="str">
        <f>IF($BF208="","",_xll.ciqfunctions.udf.CIQ($BF208,"iq_security_level"))</f>
        <v/>
      </c>
      <c r="BH208" s="177" t="str">
        <f t="shared" si="17"/>
        <v/>
      </c>
      <c r="BJ208" s="177" t="str">
        <f t="shared" si="15"/>
        <v/>
      </c>
      <c r="BK208" s="274" t="str">
        <f>IF($BJ208="","",_xll.ciqfunctions.udf.CIQ($BJ208,"iq_bond_coupon")/100)</f>
        <v/>
      </c>
    </row>
    <row r="209" spans="51:63" ht="12" hidden="1" customHeight="1" outlineLevel="1">
      <c r="AY209" s="271" t="str">
        <f>IF($AX209="","",_xll.ciqfunctions.udf.CIQ($AX209,"iq_offer_date"))</f>
        <v/>
      </c>
      <c r="AZ209" s="272" t="str">
        <f>IF($AX209="","",RANK(AY209,$AY$10:$AY$510)+COUNTIF($AY$10:AY209,AY209)-1)</f>
        <v/>
      </c>
      <c r="BE209" s="177">
        <f t="shared" si="16"/>
        <v>200</v>
      </c>
      <c r="BG209" s="273" t="str">
        <f>IF($BF209="","",_xll.ciqfunctions.udf.CIQ($BF209,"iq_security_level"))</f>
        <v/>
      </c>
      <c r="BH209" s="177" t="str">
        <f t="shared" si="17"/>
        <v/>
      </c>
      <c r="BJ209" s="177" t="str">
        <f t="shared" si="15"/>
        <v/>
      </c>
      <c r="BK209" s="274" t="str">
        <f>IF($BJ209="","",_xll.ciqfunctions.udf.CIQ($BJ209,"iq_bond_coupon")/100)</f>
        <v/>
      </c>
    </row>
    <row r="210" spans="51:63" ht="12" hidden="1" customHeight="1" outlineLevel="1">
      <c r="AY210" s="271" t="str">
        <f>IF($AX210="","",_xll.ciqfunctions.udf.CIQ($AX210,"iq_offer_date"))</f>
        <v/>
      </c>
      <c r="AZ210" s="272" t="str">
        <f>IF($AX210="","",RANK(AY210,$AY$10:$AY$510)+COUNTIF($AY$10:AY210,AY210)-1)</f>
        <v/>
      </c>
      <c r="BE210" s="177">
        <f t="shared" si="16"/>
        <v>201</v>
      </c>
      <c r="BG210" s="273" t="str">
        <f>IF($BF210="","",_xll.ciqfunctions.udf.CIQ($BF210,"iq_security_level"))</f>
        <v/>
      </c>
      <c r="BH210" s="177" t="str">
        <f t="shared" si="17"/>
        <v/>
      </c>
      <c r="BJ210" s="177" t="str">
        <f t="shared" si="15"/>
        <v/>
      </c>
      <c r="BK210" s="274" t="str">
        <f>IF($BJ210="","",_xll.ciqfunctions.udf.CIQ($BJ210,"iq_bond_coupon")/100)</f>
        <v/>
      </c>
    </row>
    <row r="211" spans="51:63" ht="12" hidden="1" customHeight="1" outlineLevel="1">
      <c r="AY211" s="271" t="str">
        <f>IF($AX211="","",_xll.ciqfunctions.udf.CIQ($AX211,"iq_offer_date"))</f>
        <v/>
      </c>
      <c r="AZ211" s="272" t="str">
        <f>IF($AX211="","",RANK(AY211,$AY$10:$AY$510)+COUNTIF($AY$10:AY211,AY211)-1)</f>
        <v/>
      </c>
      <c r="BE211" s="177">
        <f t="shared" si="16"/>
        <v>202</v>
      </c>
      <c r="BG211" s="273" t="str">
        <f>IF($BF211="","",_xll.ciqfunctions.udf.CIQ($BF211,"iq_security_level"))</f>
        <v/>
      </c>
      <c r="BH211" s="177" t="str">
        <f t="shared" si="17"/>
        <v/>
      </c>
      <c r="BJ211" s="177" t="str">
        <f t="shared" si="15"/>
        <v/>
      </c>
      <c r="BK211" s="274" t="str">
        <f>IF($BJ211="","",_xll.ciqfunctions.udf.CIQ($BJ211,"iq_bond_coupon")/100)</f>
        <v/>
      </c>
    </row>
    <row r="212" spans="51:63" ht="12" hidden="1" customHeight="1" outlineLevel="1">
      <c r="AY212" s="271" t="str">
        <f>IF($AX212="","",_xll.ciqfunctions.udf.CIQ($AX212,"iq_offer_date"))</f>
        <v/>
      </c>
      <c r="AZ212" s="272" t="str">
        <f>IF($AX212="","",RANK(AY212,$AY$10:$AY$510)+COUNTIF($AY$10:AY212,AY212)-1)</f>
        <v/>
      </c>
      <c r="BE212" s="177">
        <f t="shared" si="16"/>
        <v>203</v>
      </c>
      <c r="BG212" s="273" t="str">
        <f>IF($BF212="","",_xll.ciqfunctions.udf.CIQ($BF212,"iq_security_level"))</f>
        <v/>
      </c>
      <c r="BH212" s="177" t="str">
        <f t="shared" si="17"/>
        <v/>
      </c>
      <c r="BJ212" s="177" t="str">
        <f t="shared" si="15"/>
        <v/>
      </c>
      <c r="BK212" s="274" t="str">
        <f>IF($BJ212="","",_xll.ciqfunctions.udf.CIQ($BJ212,"iq_bond_coupon")/100)</f>
        <v/>
      </c>
    </row>
    <row r="213" spans="51:63" ht="12" hidden="1" customHeight="1" outlineLevel="1">
      <c r="AY213" s="271" t="str">
        <f>IF($AX213="","",_xll.ciqfunctions.udf.CIQ($AX213,"iq_offer_date"))</f>
        <v/>
      </c>
      <c r="AZ213" s="272" t="str">
        <f>IF($AX213="","",RANK(AY213,$AY$10:$AY$510)+COUNTIF($AY$10:AY213,AY213)-1)</f>
        <v/>
      </c>
      <c r="BE213" s="177">
        <f t="shared" si="16"/>
        <v>204</v>
      </c>
      <c r="BG213" s="273" t="str">
        <f>IF($BF213="","",_xll.ciqfunctions.udf.CIQ($BF213,"iq_security_level"))</f>
        <v/>
      </c>
      <c r="BH213" s="177" t="str">
        <f t="shared" si="17"/>
        <v/>
      </c>
      <c r="BJ213" s="177" t="str">
        <f t="shared" si="15"/>
        <v/>
      </c>
      <c r="BK213" s="274" t="str">
        <f>IF($BJ213="","",_xll.ciqfunctions.udf.CIQ($BJ213,"iq_bond_coupon")/100)</f>
        <v/>
      </c>
    </row>
    <row r="214" spans="51:63" ht="12" hidden="1" customHeight="1" outlineLevel="1">
      <c r="AY214" s="271" t="str">
        <f>IF($AX214="","",_xll.ciqfunctions.udf.CIQ($AX214,"iq_offer_date"))</f>
        <v/>
      </c>
      <c r="AZ214" s="272" t="str">
        <f>IF($AX214="","",RANK(AY214,$AY$10:$AY$510)+COUNTIF($AY$10:AY214,AY214)-1)</f>
        <v/>
      </c>
      <c r="BE214" s="177">
        <f t="shared" si="16"/>
        <v>205</v>
      </c>
      <c r="BG214" s="273" t="str">
        <f>IF($BF214="","",_xll.ciqfunctions.udf.CIQ($BF214,"iq_security_level"))</f>
        <v/>
      </c>
      <c r="BH214" s="177" t="str">
        <f t="shared" si="17"/>
        <v/>
      </c>
      <c r="BJ214" s="177" t="str">
        <f t="shared" si="15"/>
        <v/>
      </c>
      <c r="BK214" s="274" t="str">
        <f>IF($BJ214="","",_xll.ciqfunctions.udf.CIQ($BJ214,"iq_bond_coupon")/100)</f>
        <v/>
      </c>
    </row>
    <row r="215" spans="51:63" ht="12" hidden="1" customHeight="1" outlineLevel="1">
      <c r="AY215" s="271" t="str">
        <f>IF($AX215="","",_xll.ciqfunctions.udf.CIQ($AX215,"iq_offer_date"))</f>
        <v/>
      </c>
      <c r="AZ215" s="272" t="str">
        <f>IF($AX215="","",RANK(AY215,$AY$10:$AY$510)+COUNTIF($AY$10:AY215,AY215)-1)</f>
        <v/>
      </c>
      <c r="BE215" s="177">
        <f t="shared" si="16"/>
        <v>206</v>
      </c>
      <c r="BG215" s="273" t="str">
        <f>IF($BF215="","",_xll.ciqfunctions.udf.CIQ($BF215,"iq_security_level"))</f>
        <v/>
      </c>
      <c r="BH215" s="177" t="str">
        <f t="shared" si="17"/>
        <v/>
      </c>
      <c r="BJ215" s="177" t="str">
        <f t="shared" si="15"/>
        <v/>
      </c>
      <c r="BK215" s="274" t="str">
        <f>IF($BJ215="","",_xll.ciqfunctions.udf.CIQ($BJ215,"iq_bond_coupon")/100)</f>
        <v/>
      </c>
    </row>
    <row r="216" spans="51:63" ht="12" hidden="1" customHeight="1" outlineLevel="1">
      <c r="AY216" s="271" t="str">
        <f>IF($AX216="","",_xll.ciqfunctions.udf.CIQ($AX216,"iq_offer_date"))</f>
        <v/>
      </c>
      <c r="AZ216" s="272" t="str">
        <f>IF($AX216="","",RANK(AY216,$AY$10:$AY$510)+COUNTIF($AY$10:AY216,AY216)-1)</f>
        <v/>
      </c>
      <c r="BE216" s="177">
        <f t="shared" si="16"/>
        <v>207</v>
      </c>
      <c r="BG216" s="273" t="str">
        <f>IF($BF216="","",_xll.ciqfunctions.udf.CIQ($BF216,"iq_security_level"))</f>
        <v/>
      </c>
      <c r="BH216" s="177" t="str">
        <f t="shared" si="17"/>
        <v/>
      </c>
      <c r="BJ216" s="177" t="str">
        <f t="shared" si="15"/>
        <v/>
      </c>
      <c r="BK216" s="274" t="str">
        <f>IF($BJ216="","",_xll.ciqfunctions.udf.CIQ($BJ216,"iq_bond_coupon")/100)</f>
        <v/>
      </c>
    </row>
    <row r="217" spans="51:63" ht="12" hidden="1" customHeight="1" outlineLevel="1">
      <c r="AY217" s="271" t="str">
        <f>IF($AX217="","",_xll.ciqfunctions.udf.CIQ($AX217,"iq_offer_date"))</f>
        <v/>
      </c>
      <c r="AZ217" s="272" t="str">
        <f>IF($AX217="","",RANK(AY217,$AY$10:$AY$510)+COUNTIF($AY$10:AY217,AY217)-1)</f>
        <v/>
      </c>
      <c r="BE217" s="177">
        <f t="shared" si="16"/>
        <v>208</v>
      </c>
      <c r="BG217" s="273" t="str">
        <f>IF($BF217="","",_xll.ciqfunctions.udf.CIQ($BF217,"iq_security_level"))</f>
        <v/>
      </c>
      <c r="BH217" s="177" t="str">
        <f t="shared" si="17"/>
        <v/>
      </c>
      <c r="BJ217" s="177" t="str">
        <f t="shared" si="15"/>
        <v/>
      </c>
      <c r="BK217" s="274" t="str">
        <f>IF($BJ217="","",_xll.ciqfunctions.udf.CIQ($BJ217,"iq_bond_coupon")/100)</f>
        <v/>
      </c>
    </row>
    <row r="218" spans="51:63" ht="12" hidden="1" customHeight="1" outlineLevel="1">
      <c r="AY218" s="271" t="str">
        <f>IF($AX218="","",_xll.ciqfunctions.udf.CIQ($AX218,"iq_offer_date"))</f>
        <v/>
      </c>
      <c r="AZ218" s="272" t="str">
        <f>IF($AX218="","",RANK(AY218,$AY$10:$AY$510)+COUNTIF($AY$10:AY218,AY218)-1)</f>
        <v/>
      </c>
      <c r="BE218" s="177">
        <f t="shared" si="16"/>
        <v>209</v>
      </c>
      <c r="BG218" s="273" t="str">
        <f>IF($BF218="","",_xll.ciqfunctions.udf.CIQ($BF218,"iq_security_level"))</f>
        <v/>
      </c>
      <c r="BH218" s="177" t="str">
        <f t="shared" si="17"/>
        <v/>
      </c>
      <c r="BJ218" s="177" t="str">
        <f t="shared" si="15"/>
        <v/>
      </c>
      <c r="BK218" s="274" t="str">
        <f>IF($BJ218="","",_xll.ciqfunctions.udf.CIQ($BJ218,"iq_bond_coupon")/100)</f>
        <v/>
      </c>
    </row>
    <row r="219" spans="51:63" ht="12" hidden="1" customHeight="1" outlineLevel="1">
      <c r="AY219" s="271" t="str">
        <f>IF($AX219="","",_xll.ciqfunctions.udf.CIQ($AX219,"iq_offer_date"))</f>
        <v/>
      </c>
      <c r="AZ219" s="272" t="str">
        <f>IF($AX219="","",RANK(AY219,$AY$10:$AY$510)+COUNTIF($AY$10:AY219,AY219)-1)</f>
        <v/>
      </c>
      <c r="BE219" s="177">
        <f t="shared" si="16"/>
        <v>210</v>
      </c>
      <c r="BG219" s="273" t="str">
        <f>IF($BF219="","",_xll.ciqfunctions.udf.CIQ($BF219,"iq_security_level"))</f>
        <v/>
      </c>
      <c r="BH219" s="177" t="str">
        <f t="shared" si="17"/>
        <v/>
      </c>
      <c r="BJ219" s="177" t="str">
        <f t="shared" si="15"/>
        <v/>
      </c>
      <c r="BK219" s="274" t="str">
        <f>IF($BJ219="","",_xll.ciqfunctions.udf.CIQ($BJ219,"iq_bond_coupon")/100)</f>
        <v/>
      </c>
    </row>
    <row r="220" spans="51:63" ht="12" hidden="1" customHeight="1" outlineLevel="1">
      <c r="AY220" s="271" t="str">
        <f>IF($AX220="","",_xll.ciqfunctions.udf.CIQ($AX220,"iq_offer_date"))</f>
        <v/>
      </c>
      <c r="AZ220" s="272" t="str">
        <f>IF($AX220="","",RANK(AY220,$AY$10:$AY$510)+COUNTIF($AY$10:AY220,AY220)-1)</f>
        <v/>
      </c>
      <c r="BE220" s="177">
        <f t="shared" si="16"/>
        <v>211</v>
      </c>
      <c r="BG220" s="273" t="str">
        <f>IF($BF220="","",_xll.ciqfunctions.udf.CIQ($BF220,"iq_security_level"))</f>
        <v/>
      </c>
      <c r="BH220" s="177" t="str">
        <f t="shared" si="17"/>
        <v/>
      </c>
      <c r="BJ220" s="177" t="str">
        <f t="shared" si="15"/>
        <v/>
      </c>
      <c r="BK220" s="274" t="str">
        <f>IF($BJ220="","",_xll.ciqfunctions.udf.CIQ($BJ220,"iq_bond_coupon")/100)</f>
        <v/>
      </c>
    </row>
    <row r="221" spans="51:63" ht="12" hidden="1" customHeight="1" outlineLevel="1">
      <c r="AY221" s="271" t="str">
        <f>IF($AX221="","",_xll.ciqfunctions.udf.CIQ($AX221,"iq_offer_date"))</f>
        <v/>
      </c>
      <c r="AZ221" s="272" t="str">
        <f>IF($AX221="","",RANK(AY221,$AY$10:$AY$510)+COUNTIF($AY$10:AY221,AY221)-1)</f>
        <v/>
      </c>
      <c r="BE221" s="177">
        <f t="shared" si="16"/>
        <v>212</v>
      </c>
      <c r="BG221" s="273" t="str">
        <f>IF($BF221="","",_xll.ciqfunctions.udf.CIQ($BF221,"iq_security_level"))</f>
        <v/>
      </c>
      <c r="BH221" s="177" t="str">
        <f t="shared" si="17"/>
        <v/>
      </c>
      <c r="BJ221" s="177" t="str">
        <f t="shared" si="15"/>
        <v/>
      </c>
      <c r="BK221" s="274" t="str">
        <f>IF($BJ221="","",_xll.ciqfunctions.udf.CIQ($BJ221,"iq_bond_coupon")/100)</f>
        <v/>
      </c>
    </row>
    <row r="222" spans="51:63" ht="12" hidden="1" customHeight="1" outlineLevel="1">
      <c r="AY222" s="271" t="str">
        <f>IF($AX222="","",_xll.ciqfunctions.udf.CIQ($AX222,"iq_offer_date"))</f>
        <v/>
      </c>
      <c r="AZ222" s="272" t="str">
        <f>IF($AX222="","",RANK(AY222,$AY$10:$AY$510)+COUNTIF($AY$10:AY222,AY222)-1)</f>
        <v/>
      </c>
      <c r="BE222" s="177">
        <f t="shared" si="16"/>
        <v>213</v>
      </c>
      <c r="BG222" s="273" t="str">
        <f>IF($BF222="","",_xll.ciqfunctions.udf.CIQ($BF222,"iq_security_level"))</f>
        <v/>
      </c>
      <c r="BH222" s="177" t="str">
        <f t="shared" si="17"/>
        <v/>
      </c>
      <c r="BJ222" s="177" t="str">
        <f t="shared" si="15"/>
        <v/>
      </c>
      <c r="BK222" s="274" t="str">
        <f>IF($BJ222="","",_xll.ciqfunctions.udf.CIQ($BJ222,"iq_bond_coupon")/100)</f>
        <v/>
      </c>
    </row>
    <row r="223" spans="51:63" ht="12" hidden="1" customHeight="1" outlineLevel="1">
      <c r="AY223" s="271" t="str">
        <f>IF($AX223="","",_xll.ciqfunctions.udf.CIQ($AX223,"iq_offer_date"))</f>
        <v/>
      </c>
      <c r="AZ223" s="272" t="str">
        <f>IF($AX223="","",RANK(AY223,$AY$10:$AY$510)+COUNTIF($AY$10:AY223,AY223)-1)</f>
        <v/>
      </c>
      <c r="BE223" s="177">
        <f t="shared" si="16"/>
        <v>214</v>
      </c>
      <c r="BG223" s="273" t="str">
        <f>IF($BF223="","",_xll.ciqfunctions.udf.CIQ($BF223,"iq_security_level"))</f>
        <v/>
      </c>
      <c r="BH223" s="177" t="str">
        <f t="shared" si="17"/>
        <v/>
      </c>
      <c r="BJ223" s="177" t="str">
        <f t="shared" si="15"/>
        <v/>
      </c>
      <c r="BK223" s="274" t="str">
        <f>IF($BJ223="","",_xll.ciqfunctions.udf.CIQ($BJ223,"iq_bond_coupon")/100)</f>
        <v/>
      </c>
    </row>
    <row r="224" spans="51:63" ht="12" hidden="1" customHeight="1" outlineLevel="1">
      <c r="AY224" s="271" t="str">
        <f>IF($AX224="","",_xll.ciqfunctions.udf.CIQ($AX224,"iq_offer_date"))</f>
        <v/>
      </c>
      <c r="AZ224" s="272" t="str">
        <f>IF($AX224="","",RANK(AY224,$AY$10:$AY$510)+COUNTIF($AY$10:AY224,AY224)-1)</f>
        <v/>
      </c>
      <c r="BE224" s="177">
        <f t="shared" si="16"/>
        <v>215</v>
      </c>
      <c r="BG224" s="273" t="str">
        <f>IF($BF224="","",_xll.ciqfunctions.udf.CIQ($BF224,"iq_security_level"))</f>
        <v/>
      </c>
      <c r="BH224" s="177" t="str">
        <f t="shared" si="17"/>
        <v/>
      </c>
      <c r="BJ224" s="177" t="str">
        <f t="shared" si="15"/>
        <v/>
      </c>
      <c r="BK224" s="274" t="str">
        <f>IF($BJ224="","",_xll.ciqfunctions.udf.CIQ($BJ224,"iq_bond_coupon")/100)</f>
        <v/>
      </c>
    </row>
    <row r="225" spans="51:63" ht="12" hidden="1" customHeight="1" outlineLevel="1">
      <c r="AY225" s="271" t="str">
        <f>IF($AX225="","",_xll.ciqfunctions.udf.CIQ($AX225,"iq_offer_date"))</f>
        <v/>
      </c>
      <c r="AZ225" s="272" t="str">
        <f>IF($AX225="","",RANK(AY225,$AY$10:$AY$510)+COUNTIF($AY$10:AY225,AY225)-1)</f>
        <v/>
      </c>
      <c r="BE225" s="177">
        <f t="shared" si="16"/>
        <v>216</v>
      </c>
      <c r="BG225" s="273" t="str">
        <f>IF($BF225="","",_xll.ciqfunctions.udf.CIQ($BF225,"iq_security_level"))</f>
        <v/>
      </c>
      <c r="BH225" s="177" t="str">
        <f t="shared" si="17"/>
        <v/>
      </c>
      <c r="BJ225" s="177" t="str">
        <f t="shared" si="15"/>
        <v/>
      </c>
      <c r="BK225" s="274" t="str">
        <f>IF($BJ225="","",_xll.ciqfunctions.udf.CIQ($BJ225,"iq_bond_coupon")/100)</f>
        <v/>
      </c>
    </row>
    <row r="226" spans="51:63" ht="12" hidden="1" customHeight="1" outlineLevel="1">
      <c r="AY226" s="271" t="str">
        <f>IF($AX226="","",_xll.ciqfunctions.udf.CIQ($AX226,"iq_offer_date"))</f>
        <v/>
      </c>
      <c r="AZ226" s="272" t="str">
        <f>IF($AX226="","",RANK(AY226,$AY$10:$AY$510)+COUNTIF($AY$10:AY226,AY226)-1)</f>
        <v/>
      </c>
      <c r="BE226" s="177">
        <f t="shared" si="16"/>
        <v>217</v>
      </c>
      <c r="BG226" s="273" t="str">
        <f>IF($BF226="","",_xll.ciqfunctions.udf.CIQ($BF226,"iq_security_level"))</f>
        <v/>
      </c>
      <c r="BH226" s="177" t="str">
        <f t="shared" si="17"/>
        <v/>
      </c>
      <c r="BJ226" s="177" t="str">
        <f t="shared" si="15"/>
        <v/>
      </c>
      <c r="BK226" s="274" t="str">
        <f>IF($BJ226="","",_xll.ciqfunctions.udf.CIQ($BJ226,"iq_bond_coupon")/100)</f>
        <v/>
      </c>
    </row>
    <row r="227" spans="51:63" ht="12" hidden="1" customHeight="1" outlineLevel="1">
      <c r="AY227" s="271" t="str">
        <f>IF($AX227="","",_xll.ciqfunctions.udf.CIQ($AX227,"iq_offer_date"))</f>
        <v/>
      </c>
      <c r="AZ227" s="272" t="str">
        <f>IF($AX227="","",RANK(AY227,$AY$10:$AY$510)+COUNTIF($AY$10:AY227,AY227)-1)</f>
        <v/>
      </c>
      <c r="BE227" s="177">
        <f t="shared" si="16"/>
        <v>218</v>
      </c>
      <c r="BG227" s="273" t="str">
        <f>IF($BF227="","",_xll.ciqfunctions.udf.CIQ($BF227,"iq_security_level"))</f>
        <v/>
      </c>
      <c r="BH227" s="177" t="str">
        <f t="shared" si="17"/>
        <v/>
      </c>
      <c r="BJ227" s="177" t="str">
        <f t="shared" si="15"/>
        <v/>
      </c>
      <c r="BK227" s="274" t="str">
        <f>IF($BJ227="","",_xll.ciqfunctions.udf.CIQ($BJ227,"iq_bond_coupon")/100)</f>
        <v/>
      </c>
    </row>
    <row r="228" spans="51:63" ht="12" hidden="1" customHeight="1" outlineLevel="1">
      <c r="AY228" s="271" t="str">
        <f>IF($AX228="","",_xll.ciqfunctions.udf.CIQ($AX228,"iq_offer_date"))</f>
        <v/>
      </c>
      <c r="AZ228" s="272" t="str">
        <f>IF($AX228="","",RANK(AY228,$AY$10:$AY$510)+COUNTIF($AY$10:AY228,AY228)-1)</f>
        <v/>
      </c>
      <c r="BE228" s="177">
        <f t="shared" si="16"/>
        <v>219</v>
      </c>
      <c r="BG228" s="273" t="str">
        <f>IF($BF228="","",_xll.ciqfunctions.udf.CIQ($BF228,"iq_security_level"))</f>
        <v/>
      </c>
      <c r="BH228" s="177" t="str">
        <f t="shared" si="17"/>
        <v/>
      </c>
      <c r="BJ228" s="177" t="str">
        <f t="shared" si="15"/>
        <v/>
      </c>
      <c r="BK228" s="274" t="str">
        <f>IF($BJ228="","",_xll.ciqfunctions.udf.CIQ($BJ228,"iq_bond_coupon")/100)</f>
        <v/>
      </c>
    </row>
    <row r="229" spans="51:63" ht="12" hidden="1" customHeight="1" outlineLevel="1">
      <c r="AY229" s="271" t="str">
        <f>IF($AX229="","",_xll.ciqfunctions.udf.CIQ($AX229,"iq_offer_date"))</f>
        <v/>
      </c>
      <c r="AZ229" s="272" t="str">
        <f>IF($AX229="","",RANK(AY229,$AY$10:$AY$510)+COUNTIF($AY$10:AY229,AY229)-1)</f>
        <v/>
      </c>
      <c r="BE229" s="177">
        <f t="shared" si="16"/>
        <v>220</v>
      </c>
      <c r="BG229" s="273" t="str">
        <f>IF($BF229="","",_xll.ciqfunctions.udf.CIQ($BF229,"iq_security_level"))</f>
        <v/>
      </c>
      <c r="BH229" s="177" t="str">
        <f t="shared" si="17"/>
        <v/>
      </c>
      <c r="BJ229" s="177" t="str">
        <f t="shared" si="15"/>
        <v/>
      </c>
      <c r="BK229" s="274" t="str">
        <f>IF($BJ229="","",_xll.ciqfunctions.udf.CIQ($BJ229,"iq_bond_coupon")/100)</f>
        <v/>
      </c>
    </row>
    <row r="230" spans="51:63" ht="12" hidden="1" customHeight="1" outlineLevel="1">
      <c r="AY230" s="271" t="str">
        <f>IF($AX230="","",_xll.ciqfunctions.udf.CIQ($AX230,"iq_offer_date"))</f>
        <v/>
      </c>
      <c r="AZ230" s="272" t="str">
        <f>IF($AX230="","",RANK(AY230,$AY$10:$AY$510)+COUNTIF($AY$10:AY230,AY230)-1)</f>
        <v/>
      </c>
      <c r="BE230" s="177">
        <f t="shared" si="16"/>
        <v>221</v>
      </c>
      <c r="BG230" s="273" t="str">
        <f>IF($BF230="","",_xll.ciqfunctions.udf.CIQ($BF230,"iq_security_level"))</f>
        <v/>
      </c>
      <c r="BH230" s="177" t="str">
        <f t="shared" si="17"/>
        <v/>
      </c>
      <c r="BJ230" s="177" t="str">
        <f t="shared" si="15"/>
        <v/>
      </c>
      <c r="BK230" s="274" t="str">
        <f>IF($BJ230="","",_xll.ciqfunctions.udf.CIQ($BJ230,"iq_bond_coupon")/100)</f>
        <v/>
      </c>
    </row>
    <row r="231" spans="51:63" ht="12" hidden="1" customHeight="1" outlineLevel="1">
      <c r="AY231" s="271" t="str">
        <f>IF($AX231="","",_xll.ciqfunctions.udf.CIQ($AX231,"iq_offer_date"))</f>
        <v/>
      </c>
      <c r="AZ231" s="272" t="str">
        <f>IF($AX231="","",RANK(AY231,$AY$10:$AY$510)+COUNTIF($AY$10:AY231,AY231)-1)</f>
        <v/>
      </c>
      <c r="BE231" s="177">
        <f t="shared" si="16"/>
        <v>222</v>
      </c>
      <c r="BG231" s="273" t="str">
        <f>IF($BF231="","",_xll.ciqfunctions.udf.CIQ($BF231,"iq_security_level"))</f>
        <v/>
      </c>
      <c r="BH231" s="177" t="str">
        <f t="shared" si="17"/>
        <v/>
      </c>
      <c r="BJ231" s="177" t="str">
        <f t="shared" si="15"/>
        <v/>
      </c>
      <c r="BK231" s="274" t="str">
        <f>IF($BJ231="","",_xll.ciqfunctions.udf.CIQ($BJ231,"iq_bond_coupon")/100)</f>
        <v/>
      </c>
    </row>
    <row r="232" spans="51:63" ht="12" hidden="1" customHeight="1" outlineLevel="1">
      <c r="AY232" s="271" t="str">
        <f>IF($AX232="","",_xll.ciqfunctions.udf.CIQ($AX232,"iq_offer_date"))</f>
        <v/>
      </c>
      <c r="AZ232" s="272" t="str">
        <f>IF($AX232="","",RANK(AY232,$AY$10:$AY$510)+COUNTIF($AY$10:AY232,AY232)-1)</f>
        <v/>
      </c>
      <c r="BE232" s="177">
        <f t="shared" si="16"/>
        <v>223</v>
      </c>
      <c r="BG232" s="273" t="str">
        <f>IF($BF232="","",_xll.ciqfunctions.udf.CIQ($BF232,"iq_security_level"))</f>
        <v/>
      </c>
      <c r="BH232" s="177" t="str">
        <f t="shared" si="17"/>
        <v/>
      </c>
      <c r="BJ232" s="177" t="str">
        <f t="shared" si="15"/>
        <v/>
      </c>
      <c r="BK232" s="274" t="str">
        <f>IF($BJ232="","",_xll.ciqfunctions.udf.CIQ($BJ232,"iq_bond_coupon")/100)</f>
        <v/>
      </c>
    </row>
    <row r="233" spans="51:63" ht="12" hidden="1" customHeight="1" outlineLevel="1">
      <c r="AY233" s="271" t="str">
        <f>IF($AX233="","",_xll.ciqfunctions.udf.CIQ($AX233,"iq_offer_date"))</f>
        <v/>
      </c>
      <c r="AZ233" s="272" t="str">
        <f>IF($AX233="","",RANK(AY233,$AY$10:$AY$510)+COUNTIF($AY$10:AY233,AY233)-1)</f>
        <v/>
      </c>
      <c r="BE233" s="177">
        <f t="shared" si="16"/>
        <v>224</v>
      </c>
      <c r="BG233" s="273" t="str">
        <f>IF($BF233="","",_xll.ciqfunctions.udf.CIQ($BF233,"iq_security_level"))</f>
        <v/>
      </c>
      <c r="BH233" s="177" t="str">
        <f t="shared" si="17"/>
        <v/>
      </c>
      <c r="BJ233" s="177" t="str">
        <f t="shared" si="15"/>
        <v/>
      </c>
      <c r="BK233" s="274" t="str">
        <f>IF($BJ233="","",_xll.ciqfunctions.udf.CIQ($BJ233,"iq_bond_coupon")/100)</f>
        <v/>
      </c>
    </row>
    <row r="234" spans="51:63" hidden="1" outlineLevel="1">
      <c r="AY234" s="271" t="str">
        <f>IF($AX234="","",_xll.ciqfunctions.udf.CIQ($AX234,"iq_offer_date"))</f>
        <v/>
      </c>
      <c r="AZ234" s="272" t="str">
        <f>IF($AX234="","",RANK(AY234,$AY$10:$AY$510)+COUNTIF($AY$10:AY234,AY234)-1)</f>
        <v/>
      </c>
      <c r="BE234" s="177">
        <f t="shared" si="16"/>
        <v>225</v>
      </c>
      <c r="BG234" s="273" t="str">
        <f>IF($BF234="","",_xll.ciqfunctions.udf.CIQ($BF234,"iq_security_level"))</f>
        <v/>
      </c>
      <c r="BH234" s="177" t="str">
        <f t="shared" si="17"/>
        <v/>
      </c>
      <c r="BJ234" s="177" t="str">
        <f t="shared" si="15"/>
        <v/>
      </c>
      <c r="BK234" s="274" t="str">
        <f>IF($BJ234="","",_xll.ciqfunctions.udf.CIQ($BJ234,"iq_bond_coupon")/100)</f>
        <v/>
      </c>
    </row>
    <row r="235" spans="51:63" hidden="1" outlineLevel="1">
      <c r="AY235" s="271" t="str">
        <f>IF($AX235="","",_xll.ciqfunctions.udf.CIQ($AX235,"iq_offer_date"))</f>
        <v/>
      </c>
      <c r="AZ235" s="272" t="str">
        <f>IF($AX235="","",RANK(AY235,$AY$10:$AY$510)+COUNTIF($AY$10:AY235,AY235)-1)</f>
        <v/>
      </c>
      <c r="BE235" s="177">
        <f t="shared" si="16"/>
        <v>226</v>
      </c>
      <c r="BG235" s="273" t="str">
        <f>IF($BF235="","",_xll.ciqfunctions.udf.CIQ($BF235,"iq_security_level"))</f>
        <v/>
      </c>
      <c r="BH235" s="177" t="str">
        <f t="shared" si="17"/>
        <v/>
      </c>
      <c r="BJ235" s="177" t="str">
        <f t="shared" si="15"/>
        <v/>
      </c>
      <c r="BK235" s="274" t="str">
        <f>IF($BJ235="","",_xll.ciqfunctions.udf.CIQ($BJ235,"iq_bond_coupon")/100)</f>
        <v/>
      </c>
    </row>
    <row r="236" spans="51:63" hidden="1" outlineLevel="1">
      <c r="AY236" s="271" t="str">
        <f>IF($AX236="","",_xll.ciqfunctions.udf.CIQ($AX236,"iq_offer_date"))</f>
        <v/>
      </c>
      <c r="AZ236" s="272" t="str">
        <f>IF($AX236="","",RANK(AY236,$AY$10:$AY$510)+COUNTIF($AY$10:AY236,AY236)-1)</f>
        <v/>
      </c>
      <c r="BE236" s="177">
        <f t="shared" si="16"/>
        <v>227</v>
      </c>
      <c r="BG236" s="273" t="str">
        <f>IF($BF236="","",_xll.ciqfunctions.udf.CIQ($BF236,"iq_security_level"))</f>
        <v/>
      </c>
      <c r="BH236" s="177" t="str">
        <f t="shared" si="17"/>
        <v/>
      </c>
      <c r="BJ236" s="177" t="str">
        <f t="shared" si="15"/>
        <v/>
      </c>
      <c r="BK236" s="274" t="str">
        <f>IF($BJ236="","",_xll.ciqfunctions.udf.CIQ($BJ236,"iq_bond_coupon")/100)</f>
        <v/>
      </c>
    </row>
    <row r="237" spans="51:63" hidden="1" outlineLevel="1">
      <c r="AY237" s="271" t="str">
        <f>IF($AX237="","",_xll.ciqfunctions.udf.CIQ($AX237,"iq_offer_date"))</f>
        <v/>
      </c>
      <c r="AZ237" s="272" t="str">
        <f>IF($AX237="","",RANK(AY237,$AY$10:$AY$510)+COUNTIF($AY$10:AY237,AY237)-1)</f>
        <v/>
      </c>
      <c r="BE237" s="177">
        <f t="shared" si="16"/>
        <v>228</v>
      </c>
      <c r="BG237" s="273" t="str">
        <f>IF($BF237="","",_xll.ciqfunctions.udf.CIQ($BF237,"iq_security_level"))</f>
        <v/>
      </c>
      <c r="BH237" s="177" t="str">
        <f t="shared" si="17"/>
        <v/>
      </c>
      <c r="BJ237" s="177" t="str">
        <f t="shared" si="15"/>
        <v/>
      </c>
      <c r="BK237" s="274" t="str">
        <f>IF($BJ237="","",_xll.ciqfunctions.udf.CIQ($BJ237,"iq_bond_coupon")/100)</f>
        <v/>
      </c>
    </row>
    <row r="238" spans="51:63" hidden="1" outlineLevel="1">
      <c r="AY238" s="271" t="str">
        <f>IF($AX238="","",_xll.ciqfunctions.udf.CIQ($AX238,"iq_offer_date"))</f>
        <v/>
      </c>
      <c r="AZ238" s="272" t="str">
        <f>IF($AX238="","",RANK(AY238,$AY$10:$AY$510)+COUNTIF($AY$10:AY238,AY238)-1)</f>
        <v/>
      </c>
      <c r="BE238" s="177">
        <f t="shared" si="16"/>
        <v>229</v>
      </c>
      <c r="BG238" s="273" t="str">
        <f>IF($BF238="","",_xll.ciqfunctions.udf.CIQ($BF238,"iq_security_level"))</f>
        <v/>
      </c>
      <c r="BH238" s="177" t="str">
        <f t="shared" si="17"/>
        <v/>
      </c>
      <c r="BJ238" s="177" t="str">
        <f t="shared" si="15"/>
        <v/>
      </c>
      <c r="BK238" s="274" t="str">
        <f>IF($BJ238="","",_xll.ciqfunctions.udf.CIQ($BJ238,"iq_bond_coupon")/100)</f>
        <v/>
      </c>
    </row>
    <row r="239" spans="51:63" hidden="1" outlineLevel="1">
      <c r="AY239" s="271" t="str">
        <f>IF($AX239="","",_xll.ciqfunctions.udf.CIQ($AX239,"iq_offer_date"))</f>
        <v/>
      </c>
      <c r="AZ239" s="272" t="str">
        <f>IF($AX239="","",RANK(AY239,$AY$10:$AY$510)+COUNTIF($AY$10:AY239,AY239)-1)</f>
        <v/>
      </c>
      <c r="BE239" s="177">
        <f t="shared" si="16"/>
        <v>230</v>
      </c>
      <c r="BG239" s="273" t="str">
        <f>IF($BF239="","",_xll.ciqfunctions.udf.CIQ($BF239,"iq_security_level"))</f>
        <v/>
      </c>
      <c r="BH239" s="177" t="str">
        <f t="shared" si="17"/>
        <v/>
      </c>
      <c r="BJ239" s="177" t="str">
        <f t="shared" si="15"/>
        <v/>
      </c>
      <c r="BK239" s="274" t="str">
        <f>IF($BJ239="","",_xll.ciqfunctions.udf.CIQ($BJ239,"iq_bond_coupon")/100)</f>
        <v/>
      </c>
    </row>
    <row r="240" spans="51:63" hidden="1" outlineLevel="1">
      <c r="AY240" s="271" t="str">
        <f>IF($AX240="","",_xll.ciqfunctions.udf.CIQ($AX240,"iq_offer_date"))</f>
        <v/>
      </c>
      <c r="AZ240" s="272" t="str">
        <f>IF($AX240="","",RANK(AY240,$AY$10:$AY$510)+COUNTIF($AY$10:AY240,AY240)-1)</f>
        <v/>
      </c>
      <c r="BE240" s="177">
        <f t="shared" si="16"/>
        <v>231</v>
      </c>
      <c r="BG240" s="273" t="str">
        <f>IF($BF240="","",_xll.ciqfunctions.udf.CIQ($BF240,"iq_security_level"))</f>
        <v/>
      </c>
      <c r="BH240" s="177" t="str">
        <f t="shared" si="17"/>
        <v/>
      </c>
      <c r="BJ240" s="177" t="str">
        <f t="shared" si="15"/>
        <v/>
      </c>
      <c r="BK240" s="274" t="str">
        <f>IF($BJ240="","",_xll.ciqfunctions.udf.CIQ($BJ240,"iq_bond_coupon")/100)</f>
        <v/>
      </c>
    </row>
    <row r="241" spans="51:63" hidden="1" outlineLevel="1">
      <c r="AY241" s="271" t="str">
        <f>IF($AX241="","",_xll.ciqfunctions.udf.CIQ($AX241,"iq_offer_date"))</f>
        <v/>
      </c>
      <c r="AZ241" s="272" t="str">
        <f>IF($AX241="","",RANK(AY241,$AY$10:$AY$510)+COUNTIF($AY$10:AY241,AY241)-1)</f>
        <v/>
      </c>
      <c r="BE241" s="177">
        <f t="shared" si="16"/>
        <v>232</v>
      </c>
      <c r="BG241" s="273" t="str">
        <f>IF($BF241="","",_xll.ciqfunctions.udf.CIQ($BF241,"iq_security_level"))</f>
        <v/>
      </c>
      <c r="BH241" s="177" t="str">
        <f t="shared" si="17"/>
        <v/>
      </c>
      <c r="BJ241" s="177" t="str">
        <f t="shared" si="15"/>
        <v/>
      </c>
      <c r="BK241" s="274" t="str">
        <f>IF($BJ241="","",_xll.ciqfunctions.udf.CIQ($BJ241,"iq_bond_coupon")/100)</f>
        <v/>
      </c>
    </row>
    <row r="242" spans="51:63" hidden="1" outlineLevel="1">
      <c r="AY242" s="271" t="str">
        <f>IF($AX242="","",_xll.ciqfunctions.udf.CIQ($AX242,"iq_offer_date"))</f>
        <v/>
      </c>
      <c r="AZ242" s="272" t="str">
        <f>IF($AX242="","",RANK(AY242,$AY$10:$AY$510)+COUNTIF($AY$10:AY242,AY242)-1)</f>
        <v/>
      </c>
      <c r="BE242" s="177">
        <f t="shared" si="16"/>
        <v>233</v>
      </c>
      <c r="BG242" s="273" t="str">
        <f>IF($BF242="","",_xll.ciqfunctions.udf.CIQ($BF242,"iq_security_level"))</f>
        <v/>
      </c>
      <c r="BH242" s="177" t="str">
        <f t="shared" si="17"/>
        <v/>
      </c>
      <c r="BJ242" s="177" t="str">
        <f t="shared" si="15"/>
        <v/>
      </c>
      <c r="BK242" s="274" t="str">
        <f>IF($BJ242="","",_xll.ciqfunctions.udf.CIQ($BJ242,"iq_bond_coupon")/100)</f>
        <v/>
      </c>
    </row>
    <row r="243" spans="51:63" hidden="1" outlineLevel="1">
      <c r="AY243" s="271" t="str">
        <f>IF($AX243="","",_xll.ciqfunctions.udf.CIQ($AX243,"iq_offer_date"))</f>
        <v/>
      </c>
      <c r="AZ243" s="272" t="str">
        <f>IF($AX243="","",RANK(AY243,$AY$10:$AY$510)+COUNTIF($AY$10:AY243,AY243)-1)</f>
        <v/>
      </c>
      <c r="BE243" s="177">
        <f t="shared" si="16"/>
        <v>234</v>
      </c>
      <c r="BG243" s="273" t="str">
        <f>IF($BF243="","",_xll.ciqfunctions.udf.CIQ($BF243,"iq_security_level"))</f>
        <v/>
      </c>
      <c r="BH243" s="177" t="str">
        <f t="shared" si="17"/>
        <v/>
      </c>
      <c r="BJ243" s="177" t="str">
        <f t="shared" si="15"/>
        <v/>
      </c>
      <c r="BK243" s="274" t="str">
        <f>IF($BJ243="","",_xll.ciqfunctions.udf.CIQ($BJ243,"iq_bond_coupon")/100)</f>
        <v/>
      </c>
    </row>
    <row r="244" spans="51:63" hidden="1" outlineLevel="1">
      <c r="AY244" s="271" t="str">
        <f>IF($AX244="","",_xll.ciqfunctions.udf.CIQ($AX244,"iq_offer_date"))</f>
        <v/>
      </c>
      <c r="AZ244" s="272" t="str">
        <f>IF($AX244="","",RANK(AY244,$AY$10:$AY$510)+COUNTIF($AY$10:AY244,AY244)-1)</f>
        <v/>
      </c>
      <c r="BE244" s="177">
        <f t="shared" si="16"/>
        <v>235</v>
      </c>
      <c r="BG244" s="273" t="str">
        <f>IF($BF244="","",_xll.ciqfunctions.udf.CIQ($BF244,"iq_security_level"))</f>
        <v/>
      </c>
      <c r="BH244" s="177" t="str">
        <f t="shared" si="17"/>
        <v/>
      </c>
      <c r="BJ244" s="177" t="str">
        <f t="shared" si="15"/>
        <v/>
      </c>
      <c r="BK244" s="274" t="str">
        <f>IF($BJ244="","",_xll.ciqfunctions.udf.CIQ($BJ244,"iq_bond_coupon")/100)</f>
        <v/>
      </c>
    </row>
    <row r="245" spans="51:63" hidden="1" outlineLevel="1">
      <c r="AY245" s="271" t="str">
        <f>IF($AX245="","",_xll.ciqfunctions.udf.CIQ($AX245,"iq_offer_date"))</f>
        <v/>
      </c>
      <c r="AZ245" s="272" t="str">
        <f>IF($AX245="","",RANK(AY245,$AY$10:$AY$510)+COUNTIF($AY$10:AY245,AY245)-1)</f>
        <v/>
      </c>
      <c r="BE245" s="177">
        <f t="shared" si="16"/>
        <v>236</v>
      </c>
      <c r="BG245" s="273" t="str">
        <f>IF($BF245="","",_xll.ciqfunctions.udf.CIQ($BF245,"iq_security_level"))</f>
        <v/>
      </c>
      <c r="BH245" s="177" t="str">
        <f t="shared" si="17"/>
        <v/>
      </c>
      <c r="BJ245" s="177" t="str">
        <f t="shared" ref="BJ245:BJ308" si="18">IF($BF244="","",IF(ISERROR(INDEX($BF$10:$BF$509,MATCH(BE244,$BH$10:$BH$509,0))),"",INDEX($BF$10:$BF$509,MATCH(BE244,$BH$10:$BH$509,0))))</f>
        <v/>
      </c>
      <c r="BK245" s="274" t="str">
        <f>IF($BJ245="","",_xll.ciqfunctions.udf.CIQ($BJ245,"iq_bond_coupon")/100)</f>
        <v/>
      </c>
    </row>
    <row r="246" spans="51:63" hidden="1" outlineLevel="1">
      <c r="AY246" s="271" t="str">
        <f>IF($AX246="","",_xll.ciqfunctions.udf.CIQ($AX246,"iq_offer_date"))</f>
        <v/>
      </c>
      <c r="AZ246" s="272" t="str">
        <f>IF($AX246="","",RANK(AY246,$AY$10:$AY$510)+COUNTIF($AY$10:AY246,AY246)-1)</f>
        <v/>
      </c>
      <c r="BE246" s="177">
        <f t="shared" si="16"/>
        <v>237</v>
      </c>
      <c r="BG246" s="273" t="str">
        <f>IF($BF246="","",_xll.ciqfunctions.udf.CIQ($BF246,"iq_security_level"))</f>
        <v/>
      </c>
      <c r="BH246" s="177" t="str">
        <f t="shared" si="17"/>
        <v/>
      </c>
      <c r="BJ246" s="177" t="str">
        <f t="shared" si="18"/>
        <v/>
      </c>
      <c r="BK246" s="274" t="str">
        <f>IF($BJ246="","",_xll.ciqfunctions.udf.CIQ($BJ246,"iq_bond_coupon")/100)</f>
        <v/>
      </c>
    </row>
    <row r="247" spans="51:63" hidden="1" outlineLevel="1">
      <c r="AY247" s="271" t="str">
        <f>IF($AX247="","",_xll.ciqfunctions.udf.CIQ($AX247,"iq_offer_date"))</f>
        <v/>
      </c>
      <c r="AZ247" s="272" t="str">
        <f>IF($AX247="","",RANK(AY247,$AY$10:$AY$510)+COUNTIF($AY$10:AY247,AY247)-1)</f>
        <v/>
      </c>
      <c r="BE247" s="177">
        <f t="shared" si="16"/>
        <v>238</v>
      </c>
      <c r="BG247" s="273" t="str">
        <f>IF($BF247="","",_xll.ciqfunctions.udf.CIQ($BF247,"iq_security_level"))</f>
        <v/>
      </c>
      <c r="BH247" s="177" t="str">
        <f t="shared" si="17"/>
        <v/>
      </c>
      <c r="BJ247" s="177" t="str">
        <f t="shared" si="18"/>
        <v/>
      </c>
      <c r="BK247" s="274" t="str">
        <f>IF($BJ247="","",_xll.ciqfunctions.udf.CIQ($BJ247,"iq_bond_coupon")/100)</f>
        <v/>
      </c>
    </row>
    <row r="248" spans="51:63" hidden="1" outlineLevel="1">
      <c r="AY248" s="271" t="str">
        <f>IF($AX248="","",_xll.ciqfunctions.udf.CIQ($AX248,"iq_offer_date"))</f>
        <v/>
      </c>
      <c r="AZ248" s="272" t="str">
        <f>IF($AX248="","",RANK(AY248,$AY$10:$AY$510)+COUNTIF($AY$10:AY248,AY248)-1)</f>
        <v/>
      </c>
      <c r="BE248" s="177">
        <f t="shared" si="16"/>
        <v>239</v>
      </c>
      <c r="BG248" s="273" t="str">
        <f>IF($BF248="","",_xll.ciqfunctions.udf.CIQ($BF248,"iq_security_level"))</f>
        <v/>
      </c>
      <c r="BH248" s="177" t="str">
        <f t="shared" si="17"/>
        <v/>
      </c>
      <c r="BJ248" s="177" t="str">
        <f t="shared" si="18"/>
        <v/>
      </c>
      <c r="BK248" s="274" t="str">
        <f>IF($BJ248="","",_xll.ciqfunctions.udf.CIQ($BJ248,"iq_bond_coupon")/100)</f>
        <v/>
      </c>
    </row>
    <row r="249" spans="51:63" hidden="1" outlineLevel="1">
      <c r="AY249" s="271" t="str">
        <f>IF($AX249="","",_xll.ciqfunctions.udf.CIQ($AX249,"iq_offer_date"))</f>
        <v/>
      </c>
      <c r="AZ249" s="272" t="str">
        <f>IF($AX249="","",RANK(AY249,$AY$10:$AY$510)+COUNTIF($AY$10:AY249,AY249)-1)</f>
        <v/>
      </c>
      <c r="BE249" s="177">
        <f t="shared" si="16"/>
        <v>240</v>
      </c>
      <c r="BG249" s="273" t="str">
        <f>IF($BF249="","",_xll.ciqfunctions.udf.CIQ($BF249,"iq_security_level"))</f>
        <v/>
      </c>
      <c r="BH249" s="177" t="str">
        <f t="shared" si="17"/>
        <v/>
      </c>
      <c r="BJ249" s="177" t="str">
        <f t="shared" si="18"/>
        <v/>
      </c>
      <c r="BK249" s="274" t="str">
        <f>IF($BJ249="","",_xll.ciqfunctions.udf.CIQ($BJ249,"iq_bond_coupon")/100)</f>
        <v/>
      </c>
    </row>
    <row r="250" spans="51:63" hidden="1" outlineLevel="1">
      <c r="AY250" s="271" t="str">
        <f>IF($AX250="","",_xll.ciqfunctions.udf.CIQ($AX250,"iq_offer_date"))</f>
        <v/>
      </c>
      <c r="AZ250" s="272" t="str">
        <f>IF($AX250="","",RANK(AY250,$AY$10:$AY$510)+COUNTIF($AY$10:AY250,AY250)-1)</f>
        <v/>
      </c>
      <c r="BE250" s="177">
        <f t="shared" si="16"/>
        <v>241</v>
      </c>
      <c r="BG250" s="273" t="str">
        <f>IF($BF250="","",_xll.ciqfunctions.udf.CIQ($BF250,"iq_security_level"))</f>
        <v/>
      </c>
      <c r="BH250" s="177" t="str">
        <f t="shared" si="17"/>
        <v/>
      </c>
      <c r="BJ250" s="177" t="str">
        <f t="shared" si="18"/>
        <v/>
      </c>
      <c r="BK250" s="274" t="str">
        <f>IF($BJ250="","",_xll.ciqfunctions.udf.CIQ($BJ250,"iq_bond_coupon")/100)</f>
        <v/>
      </c>
    </row>
    <row r="251" spans="51:63" hidden="1" outlineLevel="1">
      <c r="AY251" s="271" t="str">
        <f>IF($AX251="","",_xll.ciqfunctions.udf.CIQ($AX251,"iq_offer_date"))</f>
        <v/>
      </c>
      <c r="AZ251" s="272" t="str">
        <f>IF($AX251="","",RANK(AY251,$AY$10:$AY$510)+COUNTIF($AY$10:AY251,AY251)-1)</f>
        <v/>
      </c>
      <c r="BE251" s="177">
        <f t="shared" si="16"/>
        <v>242</v>
      </c>
      <c r="BG251" s="273" t="str">
        <f>IF($BF251="","",_xll.ciqfunctions.udf.CIQ($BF251,"iq_security_level"))</f>
        <v/>
      </c>
      <c r="BH251" s="177" t="str">
        <f t="shared" si="17"/>
        <v/>
      </c>
      <c r="BJ251" s="177" t="str">
        <f t="shared" si="18"/>
        <v/>
      </c>
      <c r="BK251" s="274" t="str">
        <f>IF($BJ251="","",_xll.ciqfunctions.udf.CIQ($BJ251,"iq_bond_coupon")/100)</f>
        <v/>
      </c>
    </row>
    <row r="252" spans="51:63" hidden="1" outlineLevel="1">
      <c r="AY252" s="271" t="str">
        <f>IF($AX252="","",_xll.ciqfunctions.udf.CIQ($AX252,"iq_offer_date"))</f>
        <v/>
      </c>
      <c r="AZ252" s="272" t="str">
        <f>IF($AX252="","",RANK(AY252,$AY$10:$AY$510)+COUNTIF($AY$10:AY252,AY252)-1)</f>
        <v/>
      </c>
      <c r="BE252" s="177">
        <f t="shared" si="16"/>
        <v>243</v>
      </c>
      <c r="BG252" s="273" t="str">
        <f>IF($BF252="","",_xll.ciqfunctions.udf.CIQ($BF252,"iq_security_level"))</f>
        <v/>
      </c>
      <c r="BH252" s="177" t="str">
        <f t="shared" si="17"/>
        <v/>
      </c>
      <c r="BJ252" s="177" t="str">
        <f t="shared" si="18"/>
        <v/>
      </c>
      <c r="BK252" s="274" t="str">
        <f>IF($BJ252="","",_xll.ciqfunctions.udf.CIQ($BJ252,"iq_bond_coupon")/100)</f>
        <v/>
      </c>
    </row>
    <row r="253" spans="51:63" hidden="1" outlineLevel="1">
      <c r="AY253" s="271" t="str">
        <f>IF($AX253="","",_xll.ciqfunctions.udf.CIQ($AX253,"iq_offer_date"))</f>
        <v/>
      </c>
      <c r="AZ253" s="272" t="str">
        <f>IF($AX253="","",RANK(AY253,$AY$10:$AY$510)+COUNTIF($AY$10:AY253,AY253)-1)</f>
        <v/>
      </c>
      <c r="BE253" s="177">
        <f t="shared" si="16"/>
        <v>244</v>
      </c>
      <c r="BG253" s="273" t="str">
        <f>IF($BF253="","",_xll.ciqfunctions.udf.CIQ($BF253,"iq_security_level"))</f>
        <v/>
      </c>
      <c r="BH253" s="177" t="str">
        <f t="shared" si="17"/>
        <v/>
      </c>
      <c r="BJ253" s="177" t="str">
        <f t="shared" si="18"/>
        <v/>
      </c>
      <c r="BK253" s="274" t="str">
        <f>IF($BJ253="","",_xll.ciqfunctions.udf.CIQ($BJ253,"iq_bond_coupon")/100)</f>
        <v/>
      </c>
    </row>
    <row r="254" spans="51:63" hidden="1" outlineLevel="1">
      <c r="AY254" s="271" t="str">
        <f>IF($AX254="","",_xll.ciqfunctions.udf.CIQ($AX254,"iq_offer_date"))</f>
        <v/>
      </c>
      <c r="AZ254" s="272" t="str">
        <f>IF($AX254="","",RANK(AY254,$AY$10:$AY$510)+COUNTIF($AY$10:AY254,AY254)-1)</f>
        <v/>
      </c>
      <c r="BE254" s="177">
        <f t="shared" si="16"/>
        <v>245</v>
      </c>
      <c r="BG254" s="273" t="str">
        <f>IF($BF254="","",_xll.ciqfunctions.udf.CIQ($BF254,"iq_security_level"))</f>
        <v/>
      </c>
      <c r="BH254" s="177" t="str">
        <f t="shared" si="17"/>
        <v/>
      </c>
      <c r="BJ254" s="177" t="str">
        <f t="shared" si="18"/>
        <v/>
      </c>
      <c r="BK254" s="274" t="str">
        <f>IF($BJ254="","",_xll.ciqfunctions.udf.CIQ($BJ254,"iq_bond_coupon")/100)</f>
        <v/>
      </c>
    </row>
    <row r="255" spans="51:63" hidden="1" outlineLevel="1">
      <c r="AY255" s="271" t="str">
        <f>IF($AX255="","",_xll.ciqfunctions.udf.CIQ($AX255,"iq_offer_date"))</f>
        <v/>
      </c>
      <c r="AZ255" s="272" t="str">
        <f>IF($AX255="","",RANK(AY255,$AY$10:$AY$510)+COUNTIF($AY$10:AY255,AY255)-1)</f>
        <v/>
      </c>
      <c r="BE255" s="177">
        <f t="shared" si="16"/>
        <v>246</v>
      </c>
      <c r="BG255" s="273" t="str">
        <f>IF($BF255="","",_xll.ciqfunctions.udf.CIQ($BF255,"iq_security_level"))</f>
        <v/>
      </c>
      <c r="BH255" s="177" t="str">
        <f t="shared" si="17"/>
        <v/>
      </c>
      <c r="BJ255" s="177" t="str">
        <f t="shared" si="18"/>
        <v/>
      </c>
      <c r="BK255" s="274" t="str">
        <f>IF($BJ255="","",_xll.ciqfunctions.udf.CIQ($BJ255,"iq_bond_coupon")/100)</f>
        <v/>
      </c>
    </row>
    <row r="256" spans="51:63" hidden="1" outlineLevel="1">
      <c r="AY256" s="271" t="str">
        <f>IF($AX256="","",_xll.ciqfunctions.udf.CIQ($AX256,"iq_offer_date"))</f>
        <v/>
      </c>
      <c r="AZ256" s="272" t="str">
        <f>IF($AX256="","",RANK(AY256,$AY$10:$AY$510)+COUNTIF($AY$10:AY256,AY256)-1)</f>
        <v/>
      </c>
      <c r="BE256" s="177">
        <f t="shared" si="16"/>
        <v>247</v>
      </c>
      <c r="BG256" s="273" t="str">
        <f>IF($BF256="","",_xll.ciqfunctions.udf.CIQ($BF256,"iq_security_level"))</f>
        <v/>
      </c>
      <c r="BH256" s="177" t="str">
        <f t="shared" si="17"/>
        <v/>
      </c>
      <c r="BJ256" s="177" t="str">
        <f t="shared" si="18"/>
        <v/>
      </c>
      <c r="BK256" s="274" t="str">
        <f>IF($BJ256="","",_xll.ciqfunctions.udf.CIQ($BJ256,"iq_bond_coupon")/100)</f>
        <v/>
      </c>
    </row>
    <row r="257" spans="51:63" hidden="1" outlineLevel="1">
      <c r="AY257" s="271" t="str">
        <f>IF($AX257="","",_xll.ciqfunctions.udf.CIQ($AX257,"iq_offer_date"))</f>
        <v/>
      </c>
      <c r="AZ257" s="272" t="str">
        <f>IF($AX257="","",RANK(AY257,$AY$10:$AY$510)+COUNTIF($AY$10:AY257,AY257)-1)</f>
        <v/>
      </c>
      <c r="BE257" s="177">
        <f t="shared" si="16"/>
        <v>248</v>
      </c>
      <c r="BG257" s="273" t="str">
        <f>IF($BF257="","",_xll.ciqfunctions.udf.CIQ($BF257,"iq_security_level"))</f>
        <v/>
      </c>
      <c r="BH257" s="177" t="str">
        <f t="shared" si="17"/>
        <v/>
      </c>
      <c r="BJ257" s="177" t="str">
        <f t="shared" si="18"/>
        <v/>
      </c>
      <c r="BK257" s="274" t="str">
        <f>IF($BJ257="","",_xll.ciqfunctions.udf.CIQ($BJ257,"iq_bond_coupon")/100)</f>
        <v/>
      </c>
    </row>
    <row r="258" spans="51:63" hidden="1" outlineLevel="1">
      <c r="AY258" s="271" t="str">
        <f>IF($AX258="","",_xll.ciqfunctions.udf.CIQ($AX258,"iq_offer_date"))</f>
        <v/>
      </c>
      <c r="AZ258" s="272" t="str">
        <f>IF($AX258="","",RANK(AY258,$AY$10:$AY$510)+COUNTIF($AY$10:AY258,AY258)-1)</f>
        <v/>
      </c>
      <c r="BE258" s="177">
        <f t="shared" si="16"/>
        <v>249</v>
      </c>
      <c r="BG258" s="273" t="str">
        <f>IF($BF258="","",_xll.ciqfunctions.udf.CIQ($BF258,"iq_security_level"))</f>
        <v/>
      </c>
      <c r="BH258" s="177" t="str">
        <f t="shared" si="17"/>
        <v/>
      </c>
      <c r="BJ258" s="177" t="str">
        <f t="shared" si="18"/>
        <v/>
      </c>
      <c r="BK258" s="274" t="str">
        <f>IF($BJ258="","",_xll.ciqfunctions.udf.CIQ($BJ258,"iq_bond_coupon")/100)</f>
        <v/>
      </c>
    </row>
    <row r="259" spans="51:63" hidden="1" outlineLevel="1">
      <c r="AY259" s="271" t="str">
        <f>IF($AX259="","",_xll.ciqfunctions.udf.CIQ($AX259,"iq_offer_date"))</f>
        <v/>
      </c>
      <c r="AZ259" s="272" t="str">
        <f>IF($AX259="","",RANK(AY259,$AY$10:$AY$510)+COUNTIF($AY$10:AY259,AY259)-1)</f>
        <v/>
      </c>
      <c r="BE259" s="177">
        <f t="shared" si="16"/>
        <v>250</v>
      </c>
      <c r="BG259" s="273" t="str">
        <f>IF($BF259="","",_xll.ciqfunctions.udf.CIQ($BF259,"iq_security_level"))</f>
        <v/>
      </c>
      <c r="BH259" s="177" t="str">
        <f t="shared" si="17"/>
        <v/>
      </c>
      <c r="BJ259" s="177" t="str">
        <f t="shared" si="18"/>
        <v/>
      </c>
      <c r="BK259" s="274" t="str">
        <f>IF($BJ259="","",_xll.ciqfunctions.udf.CIQ($BJ259,"iq_bond_coupon")/100)</f>
        <v/>
      </c>
    </row>
    <row r="260" spans="51:63" hidden="1" outlineLevel="1">
      <c r="AY260" s="271" t="str">
        <f>IF($AX260="","",_xll.ciqfunctions.udf.CIQ($AX260,"iq_offer_date"))</f>
        <v/>
      </c>
      <c r="AZ260" s="272" t="str">
        <f>IF($AX260="","",RANK(AY260,$AY$10:$AY$510)+COUNTIF($AY$10:AY260,AY260)-1)</f>
        <v/>
      </c>
      <c r="BE260" s="177">
        <f t="shared" si="16"/>
        <v>251</v>
      </c>
      <c r="BG260" s="273" t="str">
        <f>IF($BF260="","",_xll.ciqfunctions.udf.CIQ($BF260,"iq_security_level"))</f>
        <v/>
      </c>
      <c r="BH260" s="177" t="str">
        <f t="shared" si="17"/>
        <v/>
      </c>
      <c r="BJ260" s="177" t="str">
        <f t="shared" si="18"/>
        <v/>
      </c>
      <c r="BK260" s="274" t="str">
        <f>IF($BJ260="","",_xll.ciqfunctions.udf.CIQ($BJ260,"iq_bond_coupon")/100)</f>
        <v/>
      </c>
    </row>
    <row r="261" spans="51:63" hidden="1" outlineLevel="1">
      <c r="AY261" s="271" t="str">
        <f>IF($AX261="","",_xll.ciqfunctions.udf.CIQ($AX261,"iq_offer_date"))</f>
        <v/>
      </c>
      <c r="AZ261" s="272" t="str">
        <f>IF($AX261="","",RANK(AY261,$AY$10:$AY$510)+COUNTIF($AY$10:AY261,AY261)-1)</f>
        <v/>
      </c>
      <c r="BE261" s="177">
        <f t="shared" si="16"/>
        <v>252</v>
      </c>
      <c r="BG261" s="273" t="str">
        <f>IF($BF261="","",_xll.ciqfunctions.udf.CIQ($BF261,"iq_security_level"))</f>
        <v/>
      </c>
      <c r="BH261" s="177" t="str">
        <f t="shared" si="17"/>
        <v/>
      </c>
      <c r="BJ261" s="177" t="str">
        <f t="shared" si="18"/>
        <v/>
      </c>
      <c r="BK261" s="274" t="str">
        <f>IF($BJ261="","",_xll.ciqfunctions.udf.CIQ($BJ261,"iq_bond_coupon")/100)</f>
        <v/>
      </c>
    </row>
    <row r="262" spans="51:63" hidden="1" outlineLevel="1">
      <c r="AY262" s="271" t="str">
        <f>IF($AX262="","",_xll.ciqfunctions.udf.CIQ($AX262,"iq_offer_date"))</f>
        <v/>
      </c>
      <c r="AZ262" s="272" t="str">
        <f>IF($AX262="","",RANK(AY262,$AY$10:$AY$510)+COUNTIF($AY$10:AY262,AY262)-1)</f>
        <v/>
      </c>
      <c r="BE262" s="177">
        <f t="shared" si="16"/>
        <v>253</v>
      </c>
      <c r="BG262" s="273" t="str">
        <f>IF($BF262="","",_xll.ciqfunctions.udf.CIQ($BF262,"iq_security_level"))</f>
        <v/>
      </c>
      <c r="BH262" s="177" t="str">
        <f t="shared" si="17"/>
        <v/>
      </c>
      <c r="BJ262" s="177" t="str">
        <f t="shared" si="18"/>
        <v/>
      </c>
      <c r="BK262" s="274" t="str">
        <f>IF($BJ262="","",_xll.ciqfunctions.udf.CIQ($BJ262,"iq_bond_coupon")/100)</f>
        <v/>
      </c>
    </row>
    <row r="263" spans="51:63" hidden="1" outlineLevel="1">
      <c r="AY263" s="271" t="str">
        <f>IF($AX263="","",_xll.ciqfunctions.udf.CIQ($AX263,"iq_offer_date"))</f>
        <v/>
      </c>
      <c r="AZ263" s="272" t="str">
        <f>IF($AX263="","",RANK(AY263,$AY$10:$AY$510)+COUNTIF($AY$10:AY263,AY263)-1)</f>
        <v/>
      </c>
      <c r="BE263" s="177">
        <f t="shared" si="16"/>
        <v>254</v>
      </c>
      <c r="BG263" s="273" t="str">
        <f>IF($BF263="","",_xll.ciqfunctions.udf.CIQ($BF263,"iq_security_level"))</f>
        <v/>
      </c>
      <c r="BH263" s="177" t="str">
        <f t="shared" si="17"/>
        <v/>
      </c>
      <c r="BJ263" s="177" t="str">
        <f t="shared" si="18"/>
        <v/>
      </c>
      <c r="BK263" s="274" t="str">
        <f>IF($BJ263="","",_xll.ciqfunctions.udf.CIQ($BJ263,"iq_bond_coupon")/100)</f>
        <v/>
      </c>
    </row>
    <row r="264" spans="51:63" hidden="1" outlineLevel="1">
      <c r="AY264" s="271" t="str">
        <f>IF($AX264="","",_xll.ciqfunctions.udf.CIQ($AX264,"iq_offer_date"))</f>
        <v/>
      </c>
      <c r="AZ264" s="272" t="str">
        <f>IF($AX264="","",RANK(AY264,$AY$10:$AY$510)+COUNTIF($AY$10:AY264,AY264)-1)</f>
        <v/>
      </c>
      <c r="BE264" s="177">
        <f t="shared" si="16"/>
        <v>255</v>
      </c>
      <c r="BG264" s="273" t="str">
        <f>IF($BF264="","",_xll.ciqfunctions.udf.CIQ($BF264,"iq_security_level"))</f>
        <v/>
      </c>
      <c r="BH264" s="177" t="str">
        <f t="shared" si="17"/>
        <v/>
      </c>
      <c r="BJ264" s="177" t="str">
        <f t="shared" si="18"/>
        <v/>
      </c>
      <c r="BK264" s="274" t="str">
        <f>IF($BJ264="","",_xll.ciqfunctions.udf.CIQ($BJ264,"iq_bond_coupon")/100)</f>
        <v/>
      </c>
    </row>
    <row r="265" spans="51:63" hidden="1" outlineLevel="1">
      <c r="AY265" s="271" t="str">
        <f>IF($AX265="","",_xll.ciqfunctions.udf.CIQ($AX265,"iq_offer_date"))</f>
        <v/>
      </c>
      <c r="AZ265" s="272" t="str">
        <f>IF($AX265="","",RANK(AY265,$AY$10:$AY$510)+COUNTIF($AY$10:AY265,AY265)-1)</f>
        <v/>
      </c>
      <c r="BE265" s="177">
        <f t="shared" si="16"/>
        <v>256</v>
      </c>
      <c r="BG265" s="273" t="str">
        <f>IF($BF265="","",_xll.ciqfunctions.udf.CIQ($BF265,"iq_security_level"))</f>
        <v/>
      </c>
      <c r="BH265" s="177" t="str">
        <f t="shared" si="17"/>
        <v/>
      </c>
      <c r="BJ265" s="177" t="str">
        <f t="shared" si="18"/>
        <v/>
      </c>
      <c r="BK265" s="274" t="str">
        <f>IF($BJ265="","",_xll.ciqfunctions.udf.CIQ($BJ265,"iq_bond_coupon")/100)</f>
        <v/>
      </c>
    </row>
    <row r="266" spans="51:63" hidden="1" outlineLevel="1">
      <c r="AY266" s="271" t="str">
        <f>IF($AX266="","",_xll.ciqfunctions.udf.CIQ($AX266,"iq_offer_date"))</f>
        <v/>
      </c>
      <c r="AZ266" s="272" t="str">
        <f>IF($AX266="","",RANK(AY266,$AY$10:$AY$510)+COUNTIF($AY$10:AY266,AY266)-1)</f>
        <v/>
      </c>
      <c r="BE266" s="177">
        <f t="shared" si="16"/>
        <v>257</v>
      </c>
      <c r="BG266" s="273" t="str">
        <f>IF($BF266="","",_xll.ciqfunctions.udf.CIQ($BF266,"iq_security_level"))</f>
        <v/>
      </c>
      <c r="BH266" s="177" t="str">
        <f t="shared" si="17"/>
        <v/>
      </c>
      <c r="BJ266" s="177" t="str">
        <f t="shared" si="18"/>
        <v/>
      </c>
      <c r="BK266" s="274" t="str">
        <f>IF($BJ266="","",_xll.ciqfunctions.udf.CIQ($BJ266,"iq_bond_coupon")/100)</f>
        <v/>
      </c>
    </row>
    <row r="267" spans="51:63" hidden="1" outlineLevel="1">
      <c r="AY267" s="271" t="str">
        <f>IF($AX267="","",_xll.ciqfunctions.udf.CIQ($AX267,"iq_offer_date"))</f>
        <v/>
      </c>
      <c r="AZ267" s="272" t="str">
        <f>IF($AX267="","",RANK(AY267,$AY$10:$AY$510)+COUNTIF($AY$10:AY267,AY267)-1)</f>
        <v/>
      </c>
      <c r="BE267" s="177">
        <f t="shared" si="16"/>
        <v>258</v>
      </c>
      <c r="BG267" s="273" t="str">
        <f>IF($BF267="","",_xll.ciqfunctions.udf.CIQ($BF267,"iq_security_level"))</f>
        <v/>
      </c>
      <c r="BH267" s="177" t="str">
        <f t="shared" si="17"/>
        <v/>
      </c>
      <c r="BJ267" s="177" t="str">
        <f t="shared" si="18"/>
        <v/>
      </c>
      <c r="BK267" s="274" t="str">
        <f>IF($BJ267="","",_xll.ciqfunctions.udf.CIQ($BJ267,"iq_bond_coupon")/100)</f>
        <v/>
      </c>
    </row>
    <row r="268" spans="51:63" hidden="1" outlineLevel="1">
      <c r="AY268" s="271" t="str">
        <f>IF($AX268="","",_xll.ciqfunctions.udf.CIQ($AX268,"iq_offer_date"))</f>
        <v/>
      </c>
      <c r="AZ268" s="272" t="str">
        <f>IF($AX268="","",RANK(AY268,$AY$10:$AY$510)+COUNTIF($AY$10:AY268,AY268)-1)</f>
        <v/>
      </c>
      <c r="BE268" s="177">
        <f t="shared" ref="BE268:BE331" si="19">BE267+1</f>
        <v>259</v>
      </c>
      <c r="BG268" s="273" t="str">
        <f>IF($BF268="","",_xll.ciqfunctions.udf.CIQ($BF268,"iq_security_level"))</f>
        <v/>
      </c>
      <c r="BH268" s="177" t="str">
        <f t="shared" ref="BH268:BH331" si="20">IF(BF268="","",IF(BG268="Preferred",BH267+1,BH267))</f>
        <v/>
      </c>
      <c r="BJ268" s="177" t="str">
        <f t="shared" si="18"/>
        <v/>
      </c>
      <c r="BK268" s="274" t="str">
        <f>IF($BJ268="","",_xll.ciqfunctions.udf.CIQ($BJ268,"iq_bond_coupon")/100)</f>
        <v/>
      </c>
    </row>
    <row r="269" spans="51:63" hidden="1" outlineLevel="1">
      <c r="AY269" s="271" t="str">
        <f>IF($AX269="","",_xll.ciqfunctions.udf.CIQ($AX269,"iq_offer_date"))</f>
        <v/>
      </c>
      <c r="AZ269" s="272" t="str">
        <f>IF($AX269="","",RANK(AY269,$AY$10:$AY$510)+COUNTIF($AY$10:AY269,AY269)-1)</f>
        <v/>
      </c>
      <c r="BE269" s="177">
        <f t="shared" si="19"/>
        <v>260</v>
      </c>
      <c r="BG269" s="273" t="str">
        <f>IF($BF269="","",_xll.ciqfunctions.udf.CIQ($BF269,"iq_security_level"))</f>
        <v/>
      </c>
      <c r="BH269" s="177" t="str">
        <f t="shared" si="20"/>
        <v/>
      </c>
      <c r="BJ269" s="177" t="str">
        <f t="shared" si="18"/>
        <v/>
      </c>
      <c r="BK269" s="274" t="str">
        <f>IF($BJ269="","",_xll.ciqfunctions.udf.CIQ($BJ269,"iq_bond_coupon")/100)</f>
        <v/>
      </c>
    </row>
    <row r="270" spans="51:63" hidden="1" outlineLevel="1">
      <c r="AY270" s="271" t="str">
        <f>IF($AX270="","",_xll.ciqfunctions.udf.CIQ($AX270,"iq_offer_date"))</f>
        <v/>
      </c>
      <c r="AZ270" s="272" t="str">
        <f>IF($AX270="","",RANK(AY270,$AY$10:$AY$510)+COUNTIF($AY$10:AY270,AY270)-1)</f>
        <v/>
      </c>
      <c r="BE270" s="177">
        <f t="shared" si="19"/>
        <v>261</v>
      </c>
      <c r="BG270" s="273" t="str">
        <f>IF($BF270="","",_xll.ciqfunctions.udf.CIQ($BF270,"iq_security_level"))</f>
        <v/>
      </c>
      <c r="BH270" s="177" t="str">
        <f t="shared" si="20"/>
        <v/>
      </c>
      <c r="BJ270" s="177" t="str">
        <f t="shared" si="18"/>
        <v/>
      </c>
      <c r="BK270" s="274" t="str">
        <f>IF($BJ270="","",_xll.ciqfunctions.udf.CIQ($BJ270,"iq_bond_coupon")/100)</f>
        <v/>
      </c>
    </row>
    <row r="271" spans="51:63" hidden="1" outlineLevel="1">
      <c r="AY271" s="271" t="str">
        <f>IF($AX271="","",_xll.ciqfunctions.udf.CIQ($AX271,"iq_offer_date"))</f>
        <v/>
      </c>
      <c r="AZ271" s="272" t="str">
        <f>IF($AX271="","",RANK(AY271,$AY$10:$AY$510)+COUNTIF($AY$10:AY271,AY271)-1)</f>
        <v/>
      </c>
      <c r="BE271" s="177">
        <f t="shared" si="19"/>
        <v>262</v>
      </c>
      <c r="BG271" s="273" t="str">
        <f>IF($BF271="","",_xll.ciqfunctions.udf.CIQ($BF271,"iq_security_level"))</f>
        <v/>
      </c>
      <c r="BH271" s="177" t="str">
        <f t="shared" si="20"/>
        <v/>
      </c>
      <c r="BJ271" s="177" t="str">
        <f t="shared" si="18"/>
        <v/>
      </c>
      <c r="BK271" s="274" t="str">
        <f>IF($BJ271="","",_xll.ciqfunctions.udf.CIQ($BJ271,"iq_bond_coupon")/100)</f>
        <v/>
      </c>
    </row>
    <row r="272" spans="51:63" hidden="1" outlineLevel="1">
      <c r="AY272" s="271" t="str">
        <f>IF($AX272="","",_xll.ciqfunctions.udf.CIQ($AX272,"iq_offer_date"))</f>
        <v/>
      </c>
      <c r="AZ272" s="272" t="str">
        <f>IF($AX272="","",RANK(AY272,$AY$10:$AY$510)+COUNTIF($AY$10:AY272,AY272)-1)</f>
        <v/>
      </c>
      <c r="BE272" s="177">
        <f t="shared" si="19"/>
        <v>263</v>
      </c>
      <c r="BG272" s="273" t="str">
        <f>IF($BF272="","",_xll.ciqfunctions.udf.CIQ($BF272,"iq_security_level"))</f>
        <v/>
      </c>
      <c r="BH272" s="177" t="str">
        <f t="shared" si="20"/>
        <v/>
      </c>
      <c r="BJ272" s="177" t="str">
        <f t="shared" si="18"/>
        <v/>
      </c>
      <c r="BK272" s="274" t="str">
        <f>IF($BJ272="","",_xll.ciqfunctions.udf.CIQ($BJ272,"iq_bond_coupon")/100)</f>
        <v/>
      </c>
    </row>
    <row r="273" spans="51:63" hidden="1" outlineLevel="1">
      <c r="AY273" s="271" t="str">
        <f>IF($AX273="","",_xll.ciqfunctions.udf.CIQ($AX273,"iq_offer_date"))</f>
        <v/>
      </c>
      <c r="AZ273" s="272" t="str">
        <f>IF($AX273="","",RANK(AY273,$AY$10:$AY$510)+COUNTIF($AY$10:AY273,AY273)-1)</f>
        <v/>
      </c>
      <c r="BE273" s="177">
        <f t="shared" si="19"/>
        <v>264</v>
      </c>
      <c r="BG273" s="273" t="str">
        <f>IF($BF273="","",_xll.ciqfunctions.udf.CIQ($BF273,"iq_security_level"))</f>
        <v/>
      </c>
      <c r="BH273" s="177" t="str">
        <f t="shared" si="20"/>
        <v/>
      </c>
      <c r="BJ273" s="177" t="str">
        <f t="shared" si="18"/>
        <v/>
      </c>
      <c r="BK273" s="274" t="str">
        <f>IF($BJ273="","",_xll.ciqfunctions.udf.CIQ($BJ273,"iq_bond_coupon")/100)</f>
        <v/>
      </c>
    </row>
    <row r="274" spans="51:63" hidden="1" outlineLevel="1">
      <c r="AY274" s="271" t="str">
        <f>IF($AX274="","",_xll.ciqfunctions.udf.CIQ($AX274,"iq_offer_date"))</f>
        <v/>
      </c>
      <c r="AZ274" s="272" t="str">
        <f>IF($AX274="","",RANK(AY274,$AY$10:$AY$510)+COUNTIF($AY$10:AY274,AY274)-1)</f>
        <v/>
      </c>
      <c r="BE274" s="177">
        <f t="shared" si="19"/>
        <v>265</v>
      </c>
      <c r="BG274" s="273" t="str">
        <f>IF($BF274="","",_xll.ciqfunctions.udf.CIQ($BF274,"iq_security_level"))</f>
        <v/>
      </c>
      <c r="BH274" s="177" t="str">
        <f t="shared" si="20"/>
        <v/>
      </c>
      <c r="BJ274" s="177" t="str">
        <f t="shared" si="18"/>
        <v/>
      </c>
      <c r="BK274" s="274" t="str">
        <f>IF($BJ274="","",_xll.ciqfunctions.udf.CIQ($BJ274,"iq_bond_coupon")/100)</f>
        <v/>
      </c>
    </row>
    <row r="275" spans="51:63" hidden="1" outlineLevel="1">
      <c r="AY275" s="271" t="str">
        <f>IF($AX275="","",_xll.ciqfunctions.udf.CIQ($AX275,"iq_offer_date"))</f>
        <v/>
      </c>
      <c r="AZ275" s="272" t="str">
        <f>IF($AX275="","",RANK(AY275,$AY$10:$AY$510)+COUNTIF($AY$10:AY275,AY275)-1)</f>
        <v/>
      </c>
      <c r="BE275" s="177">
        <f t="shared" si="19"/>
        <v>266</v>
      </c>
      <c r="BG275" s="273" t="str">
        <f>IF($BF275="","",_xll.ciqfunctions.udf.CIQ($BF275,"iq_security_level"))</f>
        <v/>
      </c>
      <c r="BH275" s="177" t="str">
        <f t="shared" si="20"/>
        <v/>
      </c>
      <c r="BJ275" s="177" t="str">
        <f t="shared" si="18"/>
        <v/>
      </c>
      <c r="BK275" s="274" t="str">
        <f>IF($BJ275="","",_xll.ciqfunctions.udf.CIQ($BJ275,"iq_bond_coupon")/100)</f>
        <v/>
      </c>
    </row>
    <row r="276" spans="51:63" hidden="1" outlineLevel="1">
      <c r="AY276" s="271" t="str">
        <f>IF($AX276="","",_xll.ciqfunctions.udf.CIQ($AX276,"iq_offer_date"))</f>
        <v/>
      </c>
      <c r="AZ276" s="272" t="str">
        <f>IF($AX276="","",RANK(AY276,$AY$10:$AY$510)+COUNTIF($AY$10:AY276,AY276)-1)</f>
        <v/>
      </c>
      <c r="BE276" s="177">
        <f t="shared" si="19"/>
        <v>267</v>
      </c>
      <c r="BG276" s="273" t="str">
        <f>IF($BF276="","",_xll.ciqfunctions.udf.CIQ($BF276,"iq_security_level"))</f>
        <v/>
      </c>
      <c r="BH276" s="177" t="str">
        <f t="shared" si="20"/>
        <v/>
      </c>
      <c r="BJ276" s="177" t="str">
        <f t="shared" si="18"/>
        <v/>
      </c>
      <c r="BK276" s="274" t="str">
        <f>IF($BJ276="","",_xll.ciqfunctions.udf.CIQ($BJ276,"iq_bond_coupon")/100)</f>
        <v/>
      </c>
    </row>
    <row r="277" spans="51:63" hidden="1" outlineLevel="1">
      <c r="AY277" s="271" t="str">
        <f>IF($AX277="","",_xll.ciqfunctions.udf.CIQ($AX277,"iq_offer_date"))</f>
        <v/>
      </c>
      <c r="AZ277" s="272" t="str">
        <f>IF($AX277="","",RANK(AY277,$AY$10:$AY$510)+COUNTIF($AY$10:AY277,AY277)-1)</f>
        <v/>
      </c>
      <c r="BE277" s="177">
        <f t="shared" si="19"/>
        <v>268</v>
      </c>
      <c r="BG277" s="273" t="str">
        <f>IF($BF277="","",_xll.ciqfunctions.udf.CIQ($BF277,"iq_security_level"))</f>
        <v/>
      </c>
      <c r="BH277" s="177" t="str">
        <f t="shared" si="20"/>
        <v/>
      </c>
      <c r="BJ277" s="177" t="str">
        <f t="shared" si="18"/>
        <v/>
      </c>
      <c r="BK277" s="274" t="str">
        <f>IF($BJ277="","",_xll.ciqfunctions.udf.CIQ($BJ277,"iq_bond_coupon")/100)</f>
        <v/>
      </c>
    </row>
    <row r="278" spans="51:63" hidden="1" outlineLevel="1">
      <c r="AY278" s="271" t="str">
        <f>IF($AX278="","",_xll.ciqfunctions.udf.CIQ($AX278,"iq_offer_date"))</f>
        <v/>
      </c>
      <c r="AZ278" s="272" t="str">
        <f>IF($AX278="","",RANK(AY278,$AY$10:$AY$510)+COUNTIF($AY$10:AY278,AY278)-1)</f>
        <v/>
      </c>
      <c r="BE278" s="177">
        <f t="shared" si="19"/>
        <v>269</v>
      </c>
      <c r="BG278" s="273" t="str">
        <f>IF($BF278="","",_xll.ciqfunctions.udf.CIQ($BF278,"iq_security_level"))</f>
        <v/>
      </c>
      <c r="BH278" s="177" t="str">
        <f t="shared" si="20"/>
        <v/>
      </c>
      <c r="BJ278" s="177" t="str">
        <f t="shared" si="18"/>
        <v/>
      </c>
      <c r="BK278" s="274" t="str">
        <f>IF($BJ278="","",_xll.ciqfunctions.udf.CIQ($BJ278,"iq_bond_coupon")/100)</f>
        <v/>
      </c>
    </row>
    <row r="279" spans="51:63" hidden="1" outlineLevel="1">
      <c r="AY279" s="271" t="str">
        <f>IF($AX279="","",_xll.ciqfunctions.udf.CIQ($AX279,"iq_offer_date"))</f>
        <v/>
      </c>
      <c r="AZ279" s="272" t="str">
        <f>IF($AX279="","",RANK(AY279,$AY$10:$AY$510)+COUNTIF($AY$10:AY279,AY279)-1)</f>
        <v/>
      </c>
      <c r="BE279" s="177">
        <f t="shared" si="19"/>
        <v>270</v>
      </c>
      <c r="BG279" s="273" t="str">
        <f>IF($BF279="","",_xll.ciqfunctions.udf.CIQ($BF279,"iq_security_level"))</f>
        <v/>
      </c>
      <c r="BH279" s="177" t="str">
        <f t="shared" si="20"/>
        <v/>
      </c>
      <c r="BJ279" s="177" t="str">
        <f t="shared" si="18"/>
        <v/>
      </c>
      <c r="BK279" s="274" t="str">
        <f>IF($BJ279="","",_xll.ciqfunctions.udf.CIQ($BJ279,"iq_bond_coupon")/100)</f>
        <v/>
      </c>
    </row>
    <row r="280" spans="51:63" hidden="1" outlineLevel="1">
      <c r="AY280" s="271" t="str">
        <f>IF($AX280="","",_xll.ciqfunctions.udf.CIQ($AX280,"iq_offer_date"))</f>
        <v/>
      </c>
      <c r="AZ280" s="272" t="str">
        <f>IF($AX280="","",RANK(AY280,$AY$10:$AY$510)+COUNTIF($AY$10:AY280,AY280)-1)</f>
        <v/>
      </c>
      <c r="BE280" s="177">
        <f t="shared" si="19"/>
        <v>271</v>
      </c>
      <c r="BG280" s="273" t="str">
        <f>IF($BF280="","",_xll.ciqfunctions.udf.CIQ($BF280,"iq_security_level"))</f>
        <v/>
      </c>
      <c r="BH280" s="177" t="str">
        <f t="shared" si="20"/>
        <v/>
      </c>
      <c r="BJ280" s="177" t="str">
        <f t="shared" si="18"/>
        <v/>
      </c>
      <c r="BK280" s="274" t="str">
        <f>IF($BJ280="","",_xll.ciqfunctions.udf.CIQ($BJ280,"iq_bond_coupon")/100)</f>
        <v/>
      </c>
    </row>
    <row r="281" spans="51:63" hidden="1" outlineLevel="1">
      <c r="AY281" s="271" t="str">
        <f>IF($AX281="","",_xll.ciqfunctions.udf.CIQ($AX281,"iq_offer_date"))</f>
        <v/>
      </c>
      <c r="AZ281" s="272" t="str">
        <f>IF($AX281="","",RANK(AY281,$AY$10:$AY$510)+COUNTIF($AY$10:AY281,AY281)-1)</f>
        <v/>
      </c>
      <c r="BE281" s="177">
        <f t="shared" si="19"/>
        <v>272</v>
      </c>
      <c r="BG281" s="273" t="str">
        <f>IF($BF281="","",_xll.ciqfunctions.udf.CIQ($BF281,"iq_security_level"))</f>
        <v/>
      </c>
      <c r="BH281" s="177" t="str">
        <f t="shared" si="20"/>
        <v/>
      </c>
      <c r="BJ281" s="177" t="str">
        <f t="shared" si="18"/>
        <v/>
      </c>
      <c r="BK281" s="274" t="str">
        <f>IF($BJ281="","",_xll.ciqfunctions.udf.CIQ($BJ281,"iq_bond_coupon")/100)</f>
        <v/>
      </c>
    </row>
    <row r="282" spans="51:63" hidden="1" outlineLevel="1">
      <c r="AY282" s="271" t="str">
        <f>IF($AX282="","",_xll.ciqfunctions.udf.CIQ($AX282,"iq_offer_date"))</f>
        <v/>
      </c>
      <c r="AZ282" s="272" t="str">
        <f>IF($AX282="","",RANK(AY282,$AY$10:$AY$510)+COUNTIF($AY$10:AY282,AY282)-1)</f>
        <v/>
      </c>
      <c r="BE282" s="177">
        <f t="shared" si="19"/>
        <v>273</v>
      </c>
      <c r="BG282" s="273" t="str">
        <f>IF($BF282="","",_xll.ciqfunctions.udf.CIQ($BF282,"iq_security_level"))</f>
        <v/>
      </c>
      <c r="BH282" s="177" t="str">
        <f t="shared" si="20"/>
        <v/>
      </c>
      <c r="BJ282" s="177" t="str">
        <f t="shared" si="18"/>
        <v/>
      </c>
      <c r="BK282" s="274" t="str">
        <f>IF($BJ282="","",_xll.ciqfunctions.udf.CIQ($BJ282,"iq_bond_coupon")/100)</f>
        <v/>
      </c>
    </row>
    <row r="283" spans="51:63" hidden="1" outlineLevel="1">
      <c r="AY283" s="271" t="str">
        <f>IF($AX283="","",_xll.ciqfunctions.udf.CIQ($AX283,"iq_offer_date"))</f>
        <v/>
      </c>
      <c r="AZ283" s="272" t="str">
        <f>IF($AX283="","",RANK(AY283,$AY$10:$AY$510)+COUNTIF($AY$10:AY283,AY283)-1)</f>
        <v/>
      </c>
      <c r="BE283" s="177">
        <f t="shared" si="19"/>
        <v>274</v>
      </c>
      <c r="BG283" s="273" t="str">
        <f>IF($BF283="","",_xll.ciqfunctions.udf.CIQ($BF283,"iq_security_level"))</f>
        <v/>
      </c>
      <c r="BH283" s="177" t="str">
        <f t="shared" si="20"/>
        <v/>
      </c>
      <c r="BJ283" s="177" t="str">
        <f t="shared" si="18"/>
        <v/>
      </c>
      <c r="BK283" s="274" t="str">
        <f>IF($BJ283="","",_xll.ciqfunctions.udf.CIQ($BJ283,"iq_bond_coupon")/100)</f>
        <v/>
      </c>
    </row>
    <row r="284" spans="51:63" hidden="1" outlineLevel="1">
      <c r="AY284" s="271" t="str">
        <f>IF($AX284="","",_xll.ciqfunctions.udf.CIQ($AX284,"iq_offer_date"))</f>
        <v/>
      </c>
      <c r="AZ284" s="272" t="str">
        <f>IF($AX284="","",RANK(AY284,$AY$10:$AY$510)+COUNTIF($AY$10:AY284,AY284)-1)</f>
        <v/>
      </c>
      <c r="BE284" s="177">
        <f t="shared" si="19"/>
        <v>275</v>
      </c>
      <c r="BG284" s="273" t="str">
        <f>IF($BF284="","",_xll.ciqfunctions.udf.CIQ($BF284,"iq_security_level"))</f>
        <v/>
      </c>
      <c r="BH284" s="177" t="str">
        <f t="shared" si="20"/>
        <v/>
      </c>
      <c r="BJ284" s="177" t="str">
        <f t="shared" si="18"/>
        <v/>
      </c>
      <c r="BK284" s="274" t="str">
        <f>IF($BJ284="","",_xll.ciqfunctions.udf.CIQ($BJ284,"iq_bond_coupon")/100)</f>
        <v/>
      </c>
    </row>
    <row r="285" spans="51:63" hidden="1" outlineLevel="1">
      <c r="AY285" s="271" t="str">
        <f>IF($AX285="","",_xll.ciqfunctions.udf.CIQ($AX285,"iq_offer_date"))</f>
        <v/>
      </c>
      <c r="AZ285" s="272" t="str">
        <f>IF($AX285="","",RANK(AY285,$AY$10:$AY$510)+COUNTIF($AY$10:AY285,AY285)-1)</f>
        <v/>
      </c>
      <c r="BE285" s="177">
        <f t="shared" si="19"/>
        <v>276</v>
      </c>
      <c r="BG285" s="273" t="str">
        <f>IF($BF285="","",_xll.ciqfunctions.udf.CIQ($BF285,"iq_security_level"))</f>
        <v/>
      </c>
      <c r="BH285" s="177" t="str">
        <f t="shared" si="20"/>
        <v/>
      </c>
      <c r="BJ285" s="177" t="str">
        <f t="shared" si="18"/>
        <v/>
      </c>
      <c r="BK285" s="274" t="str">
        <f>IF($BJ285="","",_xll.ciqfunctions.udf.CIQ($BJ285,"iq_bond_coupon")/100)</f>
        <v/>
      </c>
    </row>
    <row r="286" spans="51:63" hidden="1" outlineLevel="1">
      <c r="AY286" s="271" t="str">
        <f>IF($AX286="","",_xll.ciqfunctions.udf.CIQ($AX286,"iq_offer_date"))</f>
        <v/>
      </c>
      <c r="AZ286" s="272" t="str">
        <f>IF($AX286="","",RANK(AY286,$AY$10:$AY$510)+COUNTIF($AY$10:AY286,AY286)-1)</f>
        <v/>
      </c>
      <c r="BE286" s="177">
        <f t="shared" si="19"/>
        <v>277</v>
      </c>
      <c r="BG286" s="273" t="str">
        <f>IF($BF286="","",_xll.ciqfunctions.udf.CIQ($BF286,"iq_security_level"))</f>
        <v/>
      </c>
      <c r="BH286" s="177" t="str">
        <f t="shared" si="20"/>
        <v/>
      </c>
      <c r="BJ286" s="177" t="str">
        <f t="shared" si="18"/>
        <v/>
      </c>
      <c r="BK286" s="274" t="str">
        <f>IF($BJ286="","",_xll.ciqfunctions.udf.CIQ($BJ286,"iq_bond_coupon")/100)</f>
        <v/>
      </c>
    </row>
    <row r="287" spans="51:63" hidden="1" outlineLevel="1">
      <c r="AY287" s="271" t="str">
        <f>IF($AX287="","",_xll.ciqfunctions.udf.CIQ($AX287,"iq_offer_date"))</f>
        <v/>
      </c>
      <c r="AZ287" s="272" t="str">
        <f>IF($AX287="","",RANK(AY287,$AY$10:$AY$510)+COUNTIF($AY$10:AY287,AY287)-1)</f>
        <v/>
      </c>
      <c r="BE287" s="177">
        <f t="shared" si="19"/>
        <v>278</v>
      </c>
      <c r="BG287" s="273" t="str">
        <f>IF($BF287="","",_xll.ciqfunctions.udf.CIQ($BF287,"iq_security_level"))</f>
        <v/>
      </c>
      <c r="BH287" s="177" t="str">
        <f t="shared" si="20"/>
        <v/>
      </c>
      <c r="BJ287" s="177" t="str">
        <f t="shared" si="18"/>
        <v/>
      </c>
      <c r="BK287" s="274" t="str">
        <f>IF($BJ287="","",_xll.ciqfunctions.udf.CIQ($BJ287,"iq_bond_coupon")/100)</f>
        <v/>
      </c>
    </row>
    <row r="288" spans="51:63" hidden="1" outlineLevel="1">
      <c r="AY288" s="271" t="str">
        <f>IF($AX288="","",_xll.ciqfunctions.udf.CIQ($AX288,"iq_offer_date"))</f>
        <v/>
      </c>
      <c r="AZ288" s="272" t="str">
        <f>IF($AX288="","",RANK(AY288,$AY$10:$AY$510)+COUNTIF($AY$10:AY288,AY288)-1)</f>
        <v/>
      </c>
      <c r="BE288" s="177">
        <f t="shared" si="19"/>
        <v>279</v>
      </c>
      <c r="BG288" s="273" t="str">
        <f>IF($BF288="","",_xll.ciqfunctions.udf.CIQ($BF288,"iq_security_level"))</f>
        <v/>
      </c>
      <c r="BH288" s="177" t="str">
        <f t="shared" si="20"/>
        <v/>
      </c>
      <c r="BJ288" s="177" t="str">
        <f t="shared" si="18"/>
        <v/>
      </c>
      <c r="BK288" s="274" t="str">
        <f>IF($BJ288="","",_xll.ciqfunctions.udf.CIQ($BJ288,"iq_bond_coupon")/100)</f>
        <v/>
      </c>
    </row>
    <row r="289" spans="51:63" hidden="1" outlineLevel="1">
      <c r="AY289" s="271" t="str">
        <f>IF($AX289="","",_xll.ciqfunctions.udf.CIQ($AX289,"iq_offer_date"))</f>
        <v/>
      </c>
      <c r="AZ289" s="272" t="str">
        <f>IF($AX289="","",RANK(AY289,$AY$10:$AY$510)+COUNTIF($AY$10:AY289,AY289)-1)</f>
        <v/>
      </c>
      <c r="BE289" s="177">
        <f t="shared" si="19"/>
        <v>280</v>
      </c>
      <c r="BG289" s="273" t="str">
        <f>IF($BF289="","",_xll.ciqfunctions.udf.CIQ($BF289,"iq_security_level"))</f>
        <v/>
      </c>
      <c r="BH289" s="177" t="str">
        <f t="shared" si="20"/>
        <v/>
      </c>
      <c r="BJ289" s="177" t="str">
        <f t="shared" si="18"/>
        <v/>
      </c>
      <c r="BK289" s="274" t="str">
        <f>IF($BJ289="","",_xll.ciqfunctions.udf.CIQ($BJ289,"iq_bond_coupon")/100)</f>
        <v/>
      </c>
    </row>
    <row r="290" spans="51:63" hidden="1" outlineLevel="1">
      <c r="AY290" s="271" t="str">
        <f>IF($AX290="","",_xll.ciqfunctions.udf.CIQ($AX290,"iq_offer_date"))</f>
        <v/>
      </c>
      <c r="AZ290" s="272" t="str">
        <f>IF($AX290="","",RANK(AY290,$AY$10:$AY$510)+COUNTIF($AY$10:AY290,AY290)-1)</f>
        <v/>
      </c>
      <c r="BE290" s="177">
        <f t="shared" si="19"/>
        <v>281</v>
      </c>
      <c r="BG290" s="273" t="str">
        <f>IF($BF290="","",_xll.ciqfunctions.udf.CIQ($BF290,"iq_security_level"))</f>
        <v/>
      </c>
      <c r="BH290" s="177" t="str">
        <f t="shared" si="20"/>
        <v/>
      </c>
      <c r="BJ290" s="177" t="str">
        <f t="shared" si="18"/>
        <v/>
      </c>
      <c r="BK290" s="274" t="str">
        <f>IF($BJ290="","",_xll.ciqfunctions.udf.CIQ($BJ290,"iq_bond_coupon")/100)</f>
        <v/>
      </c>
    </row>
    <row r="291" spans="51:63" hidden="1" outlineLevel="1">
      <c r="AY291" s="271" t="str">
        <f>IF($AX291="","",_xll.ciqfunctions.udf.CIQ($AX291,"iq_offer_date"))</f>
        <v/>
      </c>
      <c r="AZ291" s="272" t="str">
        <f>IF($AX291="","",RANK(AY291,$AY$10:$AY$510)+COUNTIF($AY$10:AY291,AY291)-1)</f>
        <v/>
      </c>
      <c r="BE291" s="177">
        <f t="shared" si="19"/>
        <v>282</v>
      </c>
      <c r="BG291" s="273" t="str">
        <f>IF($BF291="","",_xll.ciqfunctions.udf.CIQ($BF291,"iq_security_level"))</f>
        <v/>
      </c>
      <c r="BH291" s="177" t="str">
        <f t="shared" si="20"/>
        <v/>
      </c>
      <c r="BJ291" s="177" t="str">
        <f t="shared" si="18"/>
        <v/>
      </c>
      <c r="BK291" s="274" t="str">
        <f>IF($BJ291="","",_xll.ciqfunctions.udf.CIQ($BJ291,"iq_bond_coupon")/100)</f>
        <v/>
      </c>
    </row>
    <row r="292" spans="51:63" hidden="1" outlineLevel="1">
      <c r="AY292" s="271" t="str">
        <f>IF($AX292="","",_xll.ciqfunctions.udf.CIQ($AX292,"iq_offer_date"))</f>
        <v/>
      </c>
      <c r="AZ292" s="272" t="str">
        <f>IF($AX292="","",RANK(AY292,$AY$10:$AY$510)+COUNTIF($AY$10:AY292,AY292)-1)</f>
        <v/>
      </c>
      <c r="BE292" s="177">
        <f t="shared" si="19"/>
        <v>283</v>
      </c>
      <c r="BG292" s="273" t="str">
        <f>IF($BF292="","",_xll.ciqfunctions.udf.CIQ($BF292,"iq_security_level"))</f>
        <v/>
      </c>
      <c r="BH292" s="177" t="str">
        <f t="shared" si="20"/>
        <v/>
      </c>
      <c r="BJ292" s="177" t="str">
        <f t="shared" si="18"/>
        <v/>
      </c>
      <c r="BK292" s="274" t="str">
        <f>IF($BJ292="","",_xll.ciqfunctions.udf.CIQ($BJ292,"iq_bond_coupon")/100)</f>
        <v/>
      </c>
    </row>
    <row r="293" spans="51:63" hidden="1" outlineLevel="1">
      <c r="AY293" s="271" t="str">
        <f>IF($AX293="","",_xll.ciqfunctions.udf.CIQ($AX293,"iq_offer_date"))</f>
        <v/>
      </c>
      <c r="AZ293" s="272" t="str">
        <f>IF($AX293="","",RANK(AY293,$AY$10:$AY$510)+COUNTIF($AY$10:AY293,AY293)-1)</f>
        <v/>
      </c>
      <c r="BE293" s="177">
        <f t="shared" si="19"/>
        <v>284</v>
      </c>
      <c r="BG293" s="273" t="str">
        <f>IF($BF293="","",_xll.ciqfunctions.udf.CIQ($BF293,"iq_security_level"))</f>
        <v/>
      </c>
      <c r="BH293" s="177" t="str">
        <f t="shared" si="20"/>
        <v/>
      </c>
      <c r="BJ293" s="177" t="str">
        <f t="shared" si="18"/>
        <v/>
      </c>
      <c r="BK293" s="274" t="str">
        <f>IF($BJ293="","",_xll.ciqfunctions.udf.CIQ($BJ293,"iq_bond_coupon")/100)</f>
        <v/>
      </c>
    </row>
    <row r="294" spans="51:63" hidden="1" outlineLevel="1">
      <c r="AY294" s="271" t="str">
        <f>IF($AX294="","",_xll.ciqfunctions.udf.CIQ($AX294,"iq_offer_date"))</f>
        <v/>
      </c>
      <c r="AZ294" s="272" t="str">
        <f>IF($AX294="","",RANK(AY294,$AY$10:$AY$510)+COUNTIF($AY$10:AY294,AY294)-1)</f>
        <v/>
      </c>
      <c r="BE294" s="177">
        <f t="shared" si="19"/>
        <v>285</v>
      </c>
      <c r="BG294" s="273" t="str">
        <f>IF($BF294="","",_xll.ciqfunctions.udf.CIQ($BF294,"iq_security_level"))</f>
        <v/>
      </c>
      <c r="BH294" s="177" t="str">
        <f t="shared" si="20"/>
        <v/>
      </c>
      <c r="BJ294" s="177" t="str">
        <f t="shared" si="18"/>
        <v/>
      </c>
      <c r="BK294" s="274" t="str">
        <f>IF($BJ294="","",_xll.ciqfunctions.udf.CIQ($BJ294,"iq_bond_coupon")/100)</f>
        <v/>
      </c>
    </row>
    <row r="295" spans="51:63" hidden="1" outlineLevel="1">
      <c r="AY295" s="271" t="str">
        <f>IF($AX295="","",_xll.ciqfunctions.udf.CIQ($AX295,"iq_offer_date"))</f>
        <v/>
      </c>
      <c r="AZ295" s="272" t="str">
        <f>IF($AX295="","",RANK(AY295,$AY$10:$AY$510)+COUNTIF($AY$10:AY295,AY295)-1)</f>
        <v/>
      </c>
      <c r="BE295" s="177">
        <f t="shared" si="19"/>
        <v>286</v>
      </c>
      <c r="BG295" s="273" t="str">
        <f>IF($BF295="","",_xll.ciqfunctions.udf.CIQ($BF295,"iq_security_level"))</f>
        <v/>
      </c>
      <c r="BH295" s="177" t="str">
        <f t="shared" si="20"/>
        <v/>
      </c>
      <c r="BJ295" s="177" t="str">
        <f t="shared" si="18"/>
        <v/>
      </c>
      <c r="BK295" s="274" t="str">
        <f>IF($BJ295="","",_xll.ciqfunctions.udf.CIQ($BJ295,"iq_bond_coupon")/100)</f>
        <v/>
      </c>
    </row>
    <row r="296" spans="51:63" hidden="1" outlineLevel="1">
      <c r="AY296" s="271" t="str">
        <f>IF($AX296="","",_xll.ciqfunctions.udf.CIQ($AX296,"iq_offer_date"))</f>
        <v/>
      </c>
      <c r="AZ296" s="272" t="str">
        <f>IF($AX296="","",RANK(AY296,$AY$10:$AY$510)+COUNTIF($AY$10:AY296,AY296)-1)</f>
        <v/>
      </c>
      <c r="BE296" s="177">
        <f t="shared" si="19"/>
        <v>287</v>
      </c>
      <c r="BG296" s="273" t="str">
        <f>IF($BF296="","",_xll.ciqfunctions.udf.CIQ($BF296,"iq_security_level"))</f>
        <v/>
      </c>
      <c r="BH296" s="177" t="str">
        <f t="shared" si="20"/>
        <v/>
      </c>
      <c r="BJ296" s="177" t="str">
        <f t="shared" si="18"/>
        <v/>
      </c>
      <c r="BK296" s="274" t="str">
        <f>IF($BJ296="","",_xll.ciqfunctions.udf.CIQ($BJ296,"iq_bond_coupon")/100)</f>
        <v/>
      </c>
    </row>
    <row r="297" spans="51:63" hidden="1" outlineLevel="1">
      <c r="AY297" s="271" t="str">
        <f>IF($AX297="","",_xll.ciqfunctions.udf.CIQ($AX297,"iq_offer_date"))</f>
        <v/>
      </c>
      <c r="AZ297" s="272" t="str">
        <f>IF($AX297="","",RANK(AY297,$AY$10:$AY$510)+COUNTIF($AY$10:AY297,AY297)-1)</f>
        <v/>
      </c>
      <c r="BE297" s="177">
        <f t="shared" si="19"/>
        <v>288</v>
      </c>
      <c r="BG297" s="273" t="str">
        <f>IF($BF297="","",_xll.ciqfunctions.udf.CIQ($BF297,"iq_security_level"))</f>
        <v/>
      </c>
      <c r="BH297" s="177" t="str">
        <f t="shared" si="20"/>
        <v/>
      </c>
      <c r="BJ297" s="177" t="str">
        <f t="shared" si="18"/>
        <v/>
      </c>
      <c r="BK297" s="274" t="str">
        <f>IF($BJ297="","",_xll.ciqfunctions.udf.CIQ($BJ297,"iq_bond_coupon")/100)</f>
        <v/>
      </c>
    </row>
    <row r="298" spans="51:63" hidden="1" outlineLevel="1">
      <c r="AY298" s="271" t="str">
        <f>IF($AX298="","",_xll.ciqfunctions.udf.CIQ($AX298,"iq_offer_date"))</f>
        <v/>
      </c>
      <c r="AZ298" s="272" t="str">
        <f>IF($AX298="","",RANK(AY298,$AY$10:$AY$510)+COUNTIF($AY$10:AY298,AY298)-1)</f>
        <v/>
      </c>
      <c r="BE298" s="177">
        <f t="shared" si="19"/>
        <v>289</v>
      </c>
      <c r="BG298" s="273" t="str">
        <f>IF($BF298="","",_xll.ciqfunctions.udf.CIQ($BF298,"iq_security_level"))</f>
        <v/>
      </c>
      <c r="BH298" s="177" t="str">
        <f t="shared" si="20"/>
        <v/>
      </c>
      <c r="BJ298" s="177" t="str">
        <f t="shared" si="18"/>
        <v/>
      </c>
      <c r="BK298" s="274" t="str">
        <f>IF($BJ298="","",_xll.ciqfunctions.udf.CIQ($BJ298,"iq_bond_coupon")/100)</f>
        <v/>
      </c>
    </row>
    <row r="299" spans="51:63" hidden="1" outlineLevel="1">
      <c r="AY299" s="271" t="str">
        <f>IF($AX299="","",_xll.ciqfunctions.udf.CIQ($AX299,"iq_offer_date"))</f>
        <v/>
      </c>
      <c r="AZ299" s="272" t="str">
        <f>IF($AX299="","",RANK(AY299,$AY$10:$AY$510)+COUNTIF($AY$10:AY299,AY299)-1)</f>
        <v/>
      </c>
      <c r="BE299" s="177">
        <f t="shared" si="19"/>
        <v>290</v>
      </c>
      <c r="BG299" s="273" t="str">
        <f>IF($BF299="","",_xll.ciqfunctions.udf.CIQ($BF299,"iq_security_level"))</f>
        <v/>
      </c>
      <c r="BH299" s="177" t="str">
        <f t="shared" si="20"/>
        <v/>
      </c>
      <c r="BJ299" s="177" t="str">
        <f t="shared" si="18"/>
        <v/>
      </c>
      <c r="BK299" s="274" t="str">
        <f>IF($BJ299="","",_xll.ciqfunctions.udf.CIQ($BJ299,"iq_bond_coupon")/100)</f>
        <v/>
      </c>
    </row>
    <row r="300" spans="51:63" hidden="1" outlineLevel="1">
      <c r="AY300" s="271" t="str">
        <f>IF($AX300="","",_xll.ciqfunctions.udf.CIQ($AX300,"iq_offer_date"))</f>
        <v/>
      </c>
      <c r="AZ300" s="272" t="str">
        <f>IF($AX300="","",RANK(AY300,$AY$10:$AY$510)+COUNTIF($AY$10:AY300,AY300)-1)</f>
        <v/>
      </c>
      <c r="BE300" s="177">
        <f t="shared" si="19"/>
        <v>291</v>
      </c>
      <c r="BG300" s="273" t="str">
        <f>IF($BF300="","",_xll.ciqfunctions.udf.CIQ($BF300,"iq_security_level"))</f>
        <v/>
      </c>
      <c r="BH300" s="177" t="str">
        <f t="shared" si="20"/>
        <v/>
      </c>
      <c r="BJ300" s="177" t="str">
        <f t="shared" si="18"/>
        <v/>
      </c>
      <c r="BK300" s="274" t="str">
        <f>IF($BJ300="","",_xll.ciqfunctions.udf.CIQ($BJ300,"iq_bond_coupon")/100)</f>
        <v/>
      </c>
    </row>
    <row r="301" spans="51:63" hidden="1" outlineLevel="1">
      <c r="AY301" s="271" t="str">
        <f>IF($AX301="","",_xll.ciqfunctions.udf.CIQ($AX301,"iq_offer_date"))</f>
        <v/>
      </c>
      <c r="AZ301" s="272" t="str">
        <f>IF($AX301="","",RANK(AY301,$AY$10:$AY$510)+COUNTIF($AY$10:AY301,AY301)-1)</f>
        <v/>
      </c>
      <c r="BE301" s="177">
        <f t="shared" si="19"/>
        <v>292</v>
      </c>
      <c r="BG301" s="273" t="str">
        <f>IF($BF301="","",_xll.ciqfunctions.udf.CIQ($BF301,"iq_security_level"))</f>
        <v/>
      </c>
      <c r="BH301" s="177" t="str">
        <f t="shared" si="20"/>
        <v/>
      </c>
      <c r="BJ301" s="177" t="str">
        <f t="shared" si="18"/>
        <v/>
      </c>
      <c r="BK301" s="274" t="str">
        <f>IF($BJ301="","",_xll.ciqfunctions.udf.CIQ($BJ301,"iq_bond_coupon")/100)</f>
        <v/>
      </c>
    </row>
    <row r="302" spans="51:63" hidden="1" outlineLevel="1">
      <c r="AY302" s="271" t="str">
        <f>IF($AX302="","",_xll.ciqfunctions.udf.CIQ($AX302,"iq_offer_date"))</f>
        <v/>
      </c>
      <c r="AZ302" s="272" t="str">
        <f>IF($AX302="","",RANK(AY302,$AY$10:$AY$510)+COUNTIF($AY$10:AY302,AY302)-1)</f>
        <v/>
      </c>
      <c r="BE302" s="177">
        <f t="shared" si="19"/>
        <v>293</v>
      </c>
      <c r="BG302" s="273" t="str">
        <f>IF($BF302="","",_xll.ciqfunctions.udf.CIQ($BF302,"iq_security_level"))</f>
        <v/>
      </c>
      <c r="BH302" s="177" t="str">
        <f t="shared" si="20"/>
        <v/>
      </c>
      <c r="BJ302" s="177" t="str">
        <f t="shared" si="18"/>
        <v/>
      </c>
      <c r="BK302" s="274" t="str">
        <f>IF($BJ302="","",_xll.ciqfunctions.udf.CIQ($BJ302,"iq_bond_coupon")/100)</f>
        <v/>
      </c>
    </row>
    <row r="303" spans="51:63" hidden="1" outlineLevel="1">
      <c r="AY303" s="271" t="str">
        <f>IF($AX303="","",_xll.ciqfunctions.udf.CIQ($AX303,"iq_offer_date"))</f>
        <v/>
      </c>
      <c r="AZ303" s="272" t="str">
        <f>IF($AX303="","",RANK(AY303,$AY$10:$AY$510)+COUNTIF($AY$10:AY303,AY303)-1)</f>
        <v/>
      </c>
      <c r="BE303" s="177">
        <f t="shared" si="19"/>
        <v>294</v>
      </c>
      <c r="BG303" s="273" t="str">
        <f>IF($BF303="","",_xll.ciqfunctions.udf.CIQ($BF303,"iq_security_level"))</f>
        <v/>
      </c>
      <c r="BH303" s="177" t="str">
        <f t="shared" si="20"/>
        <v/>
      </c>
      <c r="BJ303" s="177" t="str">
        <f t="shared" si="18"/>
        <v/>
      </c>
      <c r="BK303" s="274" t="str">
        <f>IF($BJ303="","",_xll.ciqfunctions.udf.CIQ($BJ303,"iq_bond_coupon")/100)</f>
        <v/>
      </c>
    </row>
    <row r="304" spans="51:63" hidden="1" outlineLevel="1">
      <c r="AY304" s="271" t="str">
        <f>IF($AX304="","",_xll.ciqfunctions.udf.CIQ($AX304,"iq_offer_date"))</f>
        <v/>
      </c>
      <c r="AZ304" s="272" t="str">
        <f>IF($AX304="","",RANK(AY304,$AY$10:$AY$510)+COUNTIF($AY$10:AY304,AY304)-1)</f>
        <v/>
      </c>
      <c r="BE304" s="177">
        <f t="shared" si="19"/>
        <v>295</v>
      </c>
      <c r="BG304" s="273" t="str">
        <f>IF($BF304="","",_xll.ciqfunctions.udf.CIQ($BF304,"iq_security_level"))</f>
        <v/>
      </c>
      <c r="BH304" s="177" t="str">
        <f t="shared" si="20"/>
        <v/>
      </c>
      <c r="BJ304" s="177" t="str">
        <f t="shared" si="18"/>
        <v/>
      </c>
      <c r="BK304" s="274" t="str">
        <f>IF($BJ304="","",_xll.ciqfunctions.udf.CIQ($BJ304,"iq_bond_coupon")/100)</f>
        <v/>
      </c>
    </row>
    <row r="305" spans="51:63" hidden="1" outlineLevel="1">
      <c r="AY305" s="271" t="str">
        <f>IF($AX305="","",_xll.ciqfunctions.udf.CIQ($AX305,"iq_offer_date"))</f>
        <v/>
      </c>
      <c r="AZ305" s="272" t="str">
        <f>IF($AX305="","",RANK(AY305,$AY$10:$AY$510)+COUNTIF($AY$10:AY305,AY305)-1)</f>
        <v/>
      </c>
      <c r="BE305" s="177">
        <f t="shared" si="19"/>
        <v>296</v>
      </c>
      <c r="BG305" s="273" t="str">
        <f>IF($BF305="","",_xll.ciqfunctions.udf.CIQ($BF305,"iq_security_level"))</f>
        <v/>
      </c>
      <c r="BH305" s="177" t="str">
        <f t="shared" si="20"/>
        <v/>
      </c>
      <c r="BJ305" s="177" t="str">
        <f t="shared" si="18"/>
        <v/>
      </c>
      <c r="BK305" s="274" t="str">
        <f>IF($BJ305="","",_xll.ciqfunctions.udf.CIQ($BJ305,"iq_bond_coupon")/100)</f>
        <v/>
      </c>
    </row>
    <row r="306" spans="51:63" hidden="1" outlineLevel="1">
      <c r="AY306" s="271" t="str">
        <f>IF($AX306="","",_xll.ciqfunctions.udf.CIQ($AX306,"iq_offer_date"))</f>
        <v/>
      </c>
      <c r="AZ306" s="272" t="str">
        <f>IF($AX306="","",RANK(AY306,$AY$10:$AY$510)+COUNTIF($AY$10:AY306,AY306)-1)</f>
        <v/>
      </c>
      <c r="BE306" s="177">
        <f t="shared" si="19"/>
        <v>297</v>
      </c>
      <c r="BG306" s="273" t="str">
        <f>IF($BF306="","",_xll.ciqfunctions.udf.CIQ($BF306,"iq_security_level"))</f>
        <v/>
      </c>
      <c r="BH306" s="177" t="str">
        <f t="shared" si="20"/>
        <v/>
      </c>
      <c r="BJ306" s="177" t="str">
        <f t="shared" si="18"/>
        <v/>
      </c>
      <c r="BK306" s="274" t="str">
        <f>IF($BJ306="","",_xll.ciqfunctions.udf.CIQ($BJ306,"iq_bond_coupon")/100)</f>
        <v/>
      </c>
    </row>
    <row r="307" spans="51:63" hidden="1" outlineLevel="1">
      <c r="AY307" s="271" t="str">
        <f>IF($AX307="","",_xll.ciqfunctions.udf.CIQ($AX307,"iq_offer_date"))</f>
        <v/>
      </c>
      <c r="AZ307" s="272" t="str">
        <f>IF($AX307="","",RANK(AY307,$AY$10:$AY$510)+COUNTIF($AY$10:AY307,AY307)-1)</f>
        <v/>
      </c>
      <c r="BE307" s="177">
        <f t="shared" si="19"/>
        <v>298</v>
      </c>
      <c r="BG307" s="273" t="str">
        <f>IF($BF307="","",_xll.ciqfunctions.udf.CIQ($BF307,"iq_security_level"))</f>
        <v/>
      </c>
      <c r="BH307" s="177" t="str">
        <f t="shared" si="20"/>
        <v/>
      </c>
      <c r="BJ307" s="177" t="str">
        <f t="shared" si="18"/>
        <v/>
      </c>
      <c r="BK307" s="274" t="str">
        <f>IF($BJ307="","",_xll.ciqfunctions.udf.CIQ($BJ307,"iq_bond_coupon")/100)</f>
        <v/>
      </c>
    </row>
    <row r="308" spans="51:63" hidden="1" outlineLevel="1">
      <c r="AY308" s="271" t="str">
        <f>IF($AX308="","",_xll.ciqfunctions.udf.CIQ($AX308,"iq_offer_date"))</f>
        <v/>
      </c>
      <c r="AZ308" s="272" t="str">
        <f>IF($AX308="","",RANK(AY308,$AY$10:$AY$510)+COUNTIF($AY$10:AY308,AY308)-1)</f>
        <v/>
      </c>
      <c r="BE308" s="177">
        <f t="shared" si="19"/>
        <v>299</v>
      </c>
      <c r="BG308" s="273" t="str">
        <f>IF($BF308="","",_xll.ciqfunctions.udf.CIQ($BF308,"iq_security_level"))</f>
        <v/>
      </c>
      <c r="BH308" s="177" t="str">
        <f t="shared" si="20"/>
        <v/>
      </c>
      <c r="BJ308" s="177" t="str">
        <f t="shared" si="18"/>
        <v/>
      </c>
      <c r="BK308" s="274" t="str">
        <f>IF($BJ308="","",_xll.ciqfunctions.udf.CIQ($BJ308,"iq_bond_coupon")/100)</f>
        <v/>
      </c>
    </row>
    <row r="309" spans="51:63" hidden="1" outlineLevel="1">
      <c r="AY309" s="271" t="str">
        <f>IF($AX309="","",_xll.ciqfunctions.udf.CIQ($AX309,"iq_offer_date"))</f>
        <v/>
      </c>
      <c r="AZ309" s="272" t="str">
        <f>IF($AX309="","",RANK(AY309,$AY$10:$AY$510)+COUNTIF($AY$10:AY309,AY309)-1)</f>
        <v/>
      </c>
      <c r="BE309" s="177">
        <f t="shared" si="19"/>
        <v>300</v>
      </c>
      <c r="BG309" s="273" t="str">
        <f>IF($BF309="","",_xll.ciqfunctions.udf.CIQ($BF309,"iq_security_level"))</f>
        <v/>
      </c>
      <c r="BH309" s="177" t="str">
        <f t="shared" si="20"/>
        <v/>
      </c>
      <c r="BJ309" s="177" t="str">
        <f t="shared" ref="BJ309:BJ372" si="21">IF($BF308="","",IF(ISERROR(INDEX($BF$10:$BF$509,MATCH(BE308,$BH$10:$BH$509,0))),"",INDEX($BF$10:$BF$509,MATCH(BE308,$BH$10:$BH$509,0))))</f>
        <v/>
      </c>
      <c r="BK309" s="274" t="str">
        <f>IF($BJ309="","",_xll.ciqfunctions.udf.CIQ($BJ309,"iq_bond_coupon")/100)</f>
        <v/>
      </c>
    </row>
    <row r="310" spans="51:63" hidden="1" outlineLevel="1">
      <c r="AY310" s="271" t="str">
        <f>IF($AX310="","",_xll.ciqfunctions.udf.CIQ($AX310,"iq_offer_date"))</f>
        <v/>
      </c>
      <c r="AZ310" s="272" t="str">
        <f>IF($AX310="","",RANK(AY310,$AY$10:$AY$510)+COUNTIF($AY$10:AY310,AY310)-1)</f>
        <v/>
      </c>
      <c r="BE310" s="177">
        <f t="shared" si="19"/>
        <v>301</v>
      </c>
      <c r="BG310" s="273" t="str">
        <f>IF($BF310="","",_xll.ciqfunctions.udf.CIQ($BF310,"iq_security_level"))</f>
        <v/>
      </c>
      <c r="BH310" s="177" t="str">
        <f t="shared" si="20"/>
        <v/>
      </c>
      <c r="BJ310" s="177" t="str">
        <f t="shared" si="21"/>
        <v/>
      </c>
      <c r="BK310" s="274" t="str">
        <f>IF($BJ310="","",_xll.ciqfunctions.udf.CIQ($BJ310,"iq_bond_coupon")/100)</f>
        <v/>
      </c>
    </row>
    <row r="311" spans="51:63" hidden="1" outlineLevel="1">
      <c r="AY311" s="271" t="str">
        <f>IF($AX311="","",_xll.ciqfunctions.udf.CIQ($AX311,"iq_offer_date"))</f>
        <v/>
      </c>
      <c r="AZ311" s="272" t="str">
        <f>IF($AX311="","",RANK(AY311,$AY$10:$AY$510)+COUNTIF($AY$10:AY311,AY311)-1)</f>
        <v/>
      </c>
      <c r="BE311" s="177">
        <f t="shared" si="19"/>
        <v>302</v>
      </c>
      <c r="BG311" s="273" t="str">
        <f>IF($BF311="","",_xll.ciqfunctions.udf.CIQ($BF311,"iq_security_level"))</f>
        <v/>
      </c>
      <c r="BH311" s="177" t="str">
        <f t="shared" si="20"/>
        <v/>
      </c>
      <c r="BJ311" s="177" t="str">
        <f t="shared" si="21"/>
        <v/>
      </c>
      <c r="BK311" s="274" t="str">
        <f>IF($BJ311="","",_xll.ciqfunctions.udf.CIQ($BJ311,"iq_bond_coupon")/100)</f>
        <v/>
      </c>
    </row>
    <row r="312" spans="51:63" hidden="1" outlineLevel="1">
      <c r="AY312" s="271" t="str">
        <f>IF($AX312="","",_xll.ciqfunctions.udf.CIQ($AX312,"iq_offer_date"))</f>
        <v/>
      </c>
      <c r="AZ312" s="272" t="str">
        <f>IF($AX312="","",RANK(AY312,$AY$10:$AY$510)+COUNTIF($AY$10:AY312,AY312)-1)</f>
        <v/>
      </c>
      <c r="BE312" s="177">
        <f t="shared" si="19"/>
        <v>303</v>
      </c>
      <c r="BG312" s="273" t="str">
        <f>IF($BF312="","",_xll.ciqfunctions.udf.CIQ($BF312,"iq_security_level"))</f>
        <v/>
      </c>
      <c r="BH312" s="177" t="str">
        <f t="shared" si="20"/>
        <v/>
      </c>
      <c r="BJ312" s="177" t="str">
        <f t="shared" si="21"/>
        <v/>
      </c>
      <c r="BK312" s="274" t="str">
        <f>IF($BJ312="","",_xll.ciqfunctions.udf.CIQ($BJ312,"iq_bond_coupon")/100)</f>
        <v/>
      </c>
    </row>
    <row r="313" spans="51:63" hidden="1" outlineLevel="1">
      <c r="AY313" s="271" t="str">
        <f>IF($AX313="","",_xll.ciqfunctions.udf.CIQ($AX313,"iq_offer_date"))</f>
        <v/>
      </c>
      <c r="AZ313" s="272" t="str">
        <f>IF($AX313="","",RANK(AY313,$AY$10:$AY$510)+COUNTIF($AY$10:AY313,AY313)-1)</f>
        <v/>
      </c>
      <c r="BE313" s="177">
        <f t="shared" si="19"/>
        <v>304</v>
      </c>
      <c r="BG313" s="273" t="str">
        <f>IF($BF313="","",_xll.ciqfunctions.udf.CIQ($BF313,"iq_security_level"))</f>
        <v/>
      </c>
      <c r="BH313" s="177" t="str">
        <f t="shared" si="20"/>
        <v/>
      </c>
      <c r="BJ313" s="177" t="str">
        <f t="shared" si="21"/>
        <v/>
      </c>
      <c r="BK313" s="274" t="str">
        <f>IF($BJ313="","",_xll.ciqfunctions.udf.CIQ($BJ313,"iq_bond_coupon")/100)</f>
        <v/>
      </c>
    </row>
    <row r="314" spans="51:63" hidden="1" outlineLevel="1">
      <c r="AY314" s="271" t="str">
        <f>IF($AX314="","",_xll.ciqfunctions.udf.CIQ($AX314,"iq_offer_date"))</f>
        <v/>
      </c>
      <c r="AZ314" s="272" t="str">
        <f>IF($AX314="","",RANK(AY314,$AY$10:$AY$510)+COUNTIF($AY$10:AY314,AY314)-1)</f>
        <v/>
      </c>
      <c r="BE314" s="177">
        <f t="shared" si="19"/>
        <v>305</v>
      </c>
      <c r="BG314" s="273" t="str">
        <f>IF($BF314="","",_xll.ciqfunctions.udf.CIQ($BF314,"iq_security_level"))</f>
        <v/>
      </c>
      <c r="BH314" s="177" t="str">
        <f t="shared" si="20"/>
        <v/>
      </c>
      <c r="BJ314" s="177" t="str">
        <f t="shared" si="21"/>
        <v/>
      </c>
      <c r="BK314" s="274" t="str">
        <f>IF($BJ314="","",_xll.ciqfunctions.udf.CIQ($BJ314,"iq_bond_coupon")/100)</f>
        <v/>
      </c>
    </row>
    <row r="315" spans="51:63" hidden="1" outlineLevel="1">
      <c r="AY315" s="271" t="str">
        <f>IF($AX315="","",_xll.ciqfunctions.udf.CIQ($AX315,"iq_offer_date"))</f>
        <v/>
      </c>
      <c r="AZ315" s="272" t="str">
        <f>IF($AX315="","",RANK(AY315,$AY$10:$AY$510)+COUNTIF($AY$10:AY315,AY315)-1)</f>
        <v/>
      </c>
      <c r="BE315" s="177">
        <f t="shared" si="19"/>
        <v>306</v>
      </c>
      <c r="BG315" s="273" t="str">
        <f>IF($BF315="","",_xll.ciqfunctions.udf.CIQ($BF315,"iq_security_level"))</f>
        <v/>
      </c>
      <c r="BH315" s="177" t="str">
        <f t="shared" si="20"/>
        <v/>
      </c>
      <c r="BJ315" s="177" t="str">
        <f t="shared" si="21"/>
        <v/>
      </c>
      <c r="BK315" s="274" t="str">
        <f>IF($BJ315="","",_xll.ciqfunctions.udf.CIQ($BJ315,"iq_bond_coupon")/100)</f>
        <v/>
      </c>
    </row>
    <row r="316" spans="51:63" hidden="1" outlineLevel="1">
      <c r="AY316" s="271" t="str">
        <f>IF($AX316="","",_xll.ciqfunctions.udf.CIQ($AX316,"iq_offer_date"))</f>
        <v/>
      </c>
      <c r="AZ316" s="272" t="str">
        <f>IF($AX316="","",RANK(AY316,$AY$10:$AY$510)+COUNTIF($AY$10:AY316,AY316)-1)</f>
        <v/>
      </c>
      <c r="BE316" s="177">
        <f t="shared" si="19"/>
        <v>307</v>
      </c>
      <c r="BG316" s="273" t="str">
        <f>IF($BF316="","",_xll.ciqfunctions.udf.CIQ($BF316,"iq_security_level"))</f>
        <v/>
      </c>
      <c r="BH316" s="177" t="str">
        <f t="shared" si="20"/>
        <v/>
      </c>
      <c r="BJ316" s="177" t="str">
        <f t="shared" si="21"/>
        <v/>
      </c>
      <c r="BK316" s="274" t="str">
        <f>IF($BJ316="","",_xll.ciqfunctions.udf.CIQ($BJ316,"iq_bond_coupon")/100)</f>
        <v/>
      </c>
    </row>
    <row r="317" spans="51:63" hidden="1" outlineLevel="1">
      <c r="AY317" s="271" t="str">
        <f>IF($AX317="","",_xll.ciqfunctions.udf.CIQ($AX317,"iq_offer_date"))</f>
        <v/>
      </c>
      <c r="AZ317" s="272" t="str">
        <f>IF($AX317="","",RANK(AY317,$AY$10:$AY$510)+COUNTIF($AY$10:AY317,AY317)-1)</f>
        <v/>
      </c>
      <c r="BE317" s="177">
        <f t="shared" si="19"/>
        <v>308</v>
      </c>
      <c r="BG317" s="273" t="str">
        <f>IF($BF317="","",_xll.ciqfunctions.udf.CIQ($BF317,"iq_security_level"))</f>
        <v/>
      </c>
      <c r="BH317" s="177" t="str">
        <f t="shared" si="20"/>
        <v/>
      </c>
      <c r="BJ317" s="177" t="str">
        <f t="shared" si="21"/>
        <v/>
      </c>
      <c r="BK317" s="274" t="str">
        <f>IF($BJ317="","",_xll.ciqfunctions.udf.CIQ($BJ317,"iq_bond_coupon")/100)</f>
        <v/>
      </c>
    </row>
    <row r="318" spans="51:63" hidden="1" outlineLevel="1">
      <c r="AY318" s="271" t="str">
        <f>IF($AX318="","",_xll.ciqfunctions.udf.CIQ($AX318,"iq_offer_date"))</f>
        <v/>
      </c>
      <c r="AZ318" s="272" t="str">
        <f>IF($AX318="","",RANK(AY318,$AY$10:$AY$510)+COUNTIF($AY$10:AY318,AY318)-1)</f>
        <v/>
      </c>
      <c r="BE318" s="177">
        <f t="shared" si="19"/>
        <v>309</v>
      </c>
      <c r="BG318" s="273" t="str">
        <f>IF($BF318="","",_xll.ciqfunctions.udf.CIQ($BF318,"iq_security_level"))</f>
        <v/>
      </c>
      <c r="BH318" s="177" t="str">
        <f t="shared" si="20"/>
        <v/>
      </c>
      <c r="BJ318" s="177" t="str">
        <f t="shared" si="21"/>
        <v/>
      </c>
      <c r="BK318" s="274" t="str">
        <f>IF($BJ318="","",_xll.ciqfunctions.udf.CIQ($BJ318,"iq_bond_coupon")/100)</f>
        <v/>
      </c>
    </row>
    <row r="319" spans="51:63" hidden="1" outlineLevel="1">
      <c r="AY319" s="271" t="str">
        <f>IF($AX319="","",_xll.ciqfunctions.udf.CIQ($AX319,"iq_offer_date"))</f>
        <v/>
      </c>
      <c r="AZ319" s="272" t="str">
        <f>IF($AX319="","",RANK(AY319,$AY$10:$AY$510)+COUNTIF($AY$10:AY319,AY319)-1)</f>
        <v/>
      </c>
      <c r="BE319" s="177">
        <f t="shared" si="19"/>
        <v>310</v>
      </c>
      <c r="BG319" s="273" t="str">
        <f>IF($BF319="","",_xll.ciqfunctions.udf.CIQ($BF319,"iq_security_level"))</f>
        <v/>
      </c>
      <c r="BH319" s="177" t="str">
        <f t="shared" si="20"/>
        <v/>
      </c>
      <c r="BJ319" s="177" t="str">
        <f t="shared" si="21"/>
        <v/>
      </c>
      <c r="BK319" s="274" t="str">
        <f>IF($BJ319="","",_xll.ciqfunctions.udf.CIQ($BJ319,"iq_bond_coupon")/100)</f>
        <v/>
      </c>
    </row>
    <row r="320" spans="51:63" hidden="1" outlineLevel="1">
      <c r="AY320" s="271" t="str">
        <f>IF($AX320="","",_xll.ciqfunctions.udf.CIQ($AX320,"iq_offer_date"))</f>
        <v/>
      </c>
      <c r="AZ320" s="272" t="str">
        <f>IF($AX320="","",RANK(AY320,$AY$10:$AY$510)+COUNTIF($AY$10:AY320,AY320)-1)</f>
        <v/>
      </c>
      <c r="BE320" s="177">
        <f t="shared" si="19"/>
        <v>311</v>
      </c>
      <c r="BG320" s="273" t="str">
        <f>IF($BF320="","",_xll.ciqfunctions.udf.CIQ($BF320,"iq_security_level"))</f>
        <v/>
      </c>
      <c r="BH320" s="177" t="str">
        <f t="shared" si="20"/>
        <v/>
      </c>
      <c r="BJ320" s="177" t="str">
        <f t="shared" si="21"/>
        <v/>
      </c>
      <c r="BK320" s="274" t="str">
        <f>IF($BJ320="","",_xll.ciqfunctions.udf.CIQ($BJ320,"iq_bond_coupon")/100)</f>
        <v/>
      </c>
    </row>
    <row r="321" spans="51:63" hidden="1" outlineLevel="1">
      <c r="AY321" s="271" t="str">
        <f>IF($AX321="","",_xll.ciqfunctions.udf.CIQ($AX321,"iq_offer_date"))</f>
        <v/>
      </c>
      <c r="AZ321" s="272" t="str">
        <f>IF($AX321="","",RANK(AY321,$AY$10:$AY$510)+COUNTIF($AY$10:AY321,AY321)-1)</f>
        <v/>
      </c>
      <c r="BE321" s="177">
        <f t="shared" si="19"/>
        <v>312</v>
      </c>
      <c r="BG321" s="273" t="str">
        <f>IF($BF321="","",_xll.ciqfunctions.udf.CIQ($BF321,"iq_security_level"))</f>
        <v/>
      </c>
      <c r="BH321" s="177" t="str">
        <f t="shared" si="20"/>
        <v/>
      </c>
      <c r="BJ321" s="177" t="str">
        <f t="shared" si="21"/>
        <v/>
      </c>
      <c r="BK321" s="274" t="str">
        <f>IF($BJ321="","",_xll.ciqfunctions.udf.CIQ($BJ321,"iq_bond_coupon")/100)</f>
        <v/>
      </c>
    </row>
    <row r="322" spans="51:63" hidden="1" outlineLevel="1">
      <c r="AY322" s="271" t="str">
        <f>IF($AX322="","",_xll.ciqfunctions.udf.CIQ($AX322,"iq_offer_date"))</f>
        <v/>
      </c>
      <c r="AZ322" s="272" t="str">
        <f>IF($AX322="","",RANK(AY322,$AY$10:$AY$510)+COUNTIF($AY$10:AY322,AY322)-1)</f>
        <v/>
      </c>
      <c r="BE322" s="177">
        <f t="shared" si="19"/>
        <v>313</v>
      </c>
      <c r="BG322" s="273" t="str">
        <f>IF($BF322="","",_xll.ciqfunctions.udf.CIQ($BF322,"iq_security_level"))</f>
        <v/>
      </c>
      <c r="BH322" s="177" t="str">
        <f t="shared" si="20"/>
        <v/>
      </c>
      <c r="BJ322" s="177" t="str">
        <f t="shared" si="21"/>
        <v/>
      </c>
      <c r="BK322" s="274" t="str">
        <f>IF($BJ322="","",_xll.ciqfunctions.udf.CIQ($BJ322,"iq_bond_coupon")/100)</f>
        <v/>
      </c>
    </row>
    <row r="323" spans="51:63" hidden="1" outlineLevel="1">
      <c r="AY323" s="271" t="str">
        <f>IF($AX323="","",_xll.ciqfunctions.udf.CIQ($AX323,"iq_offer_date"))</f>
        <v/>
      </c>
      <c r="AZ323" s="272" t="str">
        <f>IF($AX323="","",RANK(AY323,$AY$10:$AY$510)+COUNTIF($AY$10:AY323,AY323)-1)</f>
        <v/>
      </c>
      <c r="BE323" s="177">
        <f t="shared" si="19"/>
        <v>314</v>
      </c>
      <c r="BG323" s="273" t="str">
        <f>IF($BF323="","",_xll.ciqfunctions.udf.CIQ($BF323,"iq_security_level"))</f>
        <v/>
      </c>
      <c r="BH323" s="177" t="str">
        <f t="shared" si="20"/>
        <v/>
      </c>
      <c r="BJ323" s="177" t="str">
        <f t="shared" si="21"/>
        <v/>
      </c>
      <c r="BK323" s="274" t="str">
        <f>IF($BJ323="","",_xll.ciqfunctions.udf.CIQ($BJ323,"iq_bond_coupon")/100)</f>
        <v/>
      </c>
    </row>
    <row r="324" spans="51:63" hidden="1" outlineLevel="1">
      <c r="AY324" s="271" t="str">
        <f>IF($AX324="","",_xll.ciqfunctions.udf.CIQ($AX324,"iq_offer_date"))</f>
        <v/>
      </c>
      <c r="AZ324" s="272" t="str">
        <f>IF($AX324="","",RANK(AY324,$AY$10:$AY$510)+COUNTIF($AY$10:AY324,AY324)-1)</f>
        <v/>
      </c>
      <c r="BE324" s="177">
        <f t="shared" si="19"/>
        <v>315</v>
      </c>
      <c r="BG324" s="273" t="str">
        <f>IF($BF324="","",_xll.ciqfunctions.udf.CIQ($BF324,"iq_security_level"))</f>
        <v/>
      </c>
      <c r="BH324" s="177" t="str">
        <f t="shared" si="20"/>
        <v/>
      </c>
      <c r="BJ324" s="177" t="str">
        <f t="shared" si="21"/>
        <v/>
      </c>
      <c r="BK324" s="274" t="str">
        <f>IF($BJ324="","",_xll.ciqfunctions.udf.CIQ($BJ324,"iq_bond_coupon")/100)</f>
        <v/>
      </c>
    </row>
    <row r="325" spans="51:63" hidden="1" outlineLevel="1">
      <c r="AY325" s="271" t="str">
        <f>IF($AX325="","",_xll.ciqfunctions.udf.CIQ($AX325,"iq_offer_date"))</f>
        <v/>
      </c>
      <c r="AZ325" s="272" t="str">
        <f>IF($AX325="","",RANK(AY325,$AY$10:$AY$510)+COUNTIF($AY$10:AY325,AY325)-1)</f>
        <v/>
      </c>
      <c r="BE325" s="177">
        <f t="shared" si="19"/>
        <v>316</v>
      </c>
      <c r="BG325" s="273" t="str">
        <f>IF($BF325="","",_xll.ciqfunctions.udf.CIQ($BF325,"iq_security_level"))</f>
        <v/>
      </c>
      <c r="BH325" s="177" t="str">
        <f t="shared" si="20"/>
        <v/>
      </c>
      <c r="BJ325" s="177" t="str">
        <f t="shared" si="21"/>
        <v/>
      </c>
      <c r="BK325" s="274" t="str">
        <f>IF($BJ325="","",_xll.ciqfunctions.udf.CIQ($BJ325,"iq_bond_coupon")/100)</f>
        <v/>
      </c>
    </row>
    <row r="326" spans="51:63" hidden="1" outlineLevel="1">
      <c r="AY326" s="271" t="str">
        <f>IF($AX326="","",_xll.ciqfunctions.udf.CIQ($AX326,"iq_offer_date"))</f>
        <v/>
      </c>
      <c r="AZ326" s="272" t="str">
        <f>IF($AX326="","",RANK(AY326,$AY$10:$AY$510)+COUNTIF($AY$10:AY326,AY326)-1)</f>
        <v/>
      </c>
      <c r="BE326" s="177">
        <f t="shared" si="19"/>
        <v>317</v>
      </c>
      <c r="BG326" s="273" t="str">
        <f>IF($BF326="","",_xll.ciqfunctions.udf.CIQ($BF326,"iq_security_level"))</f>
        <v/>
      </c>
      <c r="BH326" s="177" t="str">
        <f t="shared" si="20"/>
        <v/>
      </c>
      <c r="BJ326" s="177" t="str">
        <f t="shared" si="21"/>
        <v/>
      </c>
      <c r="BK326" s="274" t="str">
        <f>IF($BJ326="","",_xll.ciqfunctions.udf.CIQ($BJ326,"iq_bond_coupon")/100)</f>
        <v/>
      </c>
    </row>
    <row r="327" spans="51:63" hidden="1" outlineLevel="1">
      <c r="AY327" s="271" t="str">
        <f>IF($AX327="","",_xll.ciqfunctions.udf.CIQ($AX327,"iq_offer_date"))</f>
        <v/>
      </c>
      <c r="AZ327" s="272" t="str">
        <f>IF($AX327="","",RANK(AY327,$AY$10:$AY$510)+COUNTIF($AY$10:AY327,AY327)-1)</f>
        <v/>
      </c>
      <c r="BE327" s="177">
        <f t="shared" si="19"/>
        <v>318</v>
      </c>
      <c r="BG327" s="273" t="str">
        <f>IF($BF327="","",_xll.ciqfunctions.udf.CIQ($BF327,"iq_security_level"))</f>
        <v/>
      </c>
      <c r="BH327" s="177" t="str">
        <f t="shared" si="20"/>
        <v/>
      </c>
      <c r="BJ327" s="177" t="str">
        <f t="shared" si="21"/>
        <v/>
      </c>
      <c r="BK327" s="274" t="str">
        <f>IF($BJ327="","",_xll.ciqfunctions.udf.CIQ($BJ327,"iq_bond_coupon")/100)</f>
        <v/>
      </c>
    </row>
    <row r="328" spans="51:63" hidden="1" outlineLevel="1">
      <c r="AY328" s="271" t="str">
        <f>IF($AX328="","",_xll.ciqfunctions.udf.CIQ($AX328,"iq_offer_date"))</f>
        <v/>
      </c>
      <c r="AZ328" s="272" t="str">
        <f>IF($AX328="","",RANK(AY328,$AY$10:$AY$510)+COUNTIF($AY$10:AY328,AY328)-1)</f>
        <v/>
      </c>
      <c r="BE328" s="177">
        <f t="shared" si="19"/>
        <v>319</v>
      </c>
      <c r="BG328" s="273" t="str">
        <f>IF($BF328="","",_xll.ciqfunctions.udf.CIQ($BF328,"iq_security_level"))</f>
        <v/>
      </c>
      <c r="BH328" s="177" t="str">
        <f t="shared" si="20"/>
        <v/>
      </c>
      <c r="BJ328" s="177" t="str">
        <f t="shared" si="21"/>
        <v/>
      </c>
      <c r="BK328" s="274" t="str">
        <f>IF($BJ328="","",_xll.ciqfunctions.udf.CIQ($BJ328,"iq_bond_coupon")/100)</f>
        <v/>
      </c>
    </row>
    <row r="329" spans="51:63" hidden="1" outlineLevel="1">
      <c r="AY329" s="271" t="str">
        <f>IF($AX329="","",_xll.ciqfunctions.udf.CIQ($AX329,"iq_offer_date"))</f>
        <v/>
      </c>
      <c r="AZ329" s="272" t="str">
        <f>IF($AX329="","",RANK(AY329,$AY$10:$AY$510)+COUNTIF($AY$10:AY329,AY329)-1)</f>
        <v/>
      </c>
      <c r="BE329" s="177">
        <f t="shared" si="19"/>
        <v>320</v>
      </c>
      <c r="BG329" s="273" t="str">
        <f>IF($BF329="","",_xll.ciqfunctions.udf.CIQ($BF329,"iq_security_level"))</f>
        <v/>
      </c>
      <c r="BH329" s="177" t="str">
        <f t="shared" si="20"/>
        <v/>
      </c>
      <c r="BJ329" s="177" t="str">
        <f t="shared" si="21"/>
        <v/>
      </c>
      <c r="BK329" s="274" t="str">
        <f>IF($BJ329="","",_xll.ciqfunctions.udf.CIQ($BJ329,"iq_bond_coupon")/100)</f>
        <v/>
      </c>
    </row>
    <row r="330" spans="51:63" hidden="1" outlineLevel="1">
      <c r="AY330" s="271" t="str">
        <f>IF($AX330="","",_xll.ciqfunctions.udf.CIQ($AX330,"iq_offer_date"))</f>
        <v/>
      </c>
      <c r="AZ330" s="272" t="str">
        <f>IF($AX330="","",RANK(AY330,$AY$10:$AY$510)+COUNTIF($AY$10:AY330,AY330)-1)</f>
        <v/>
      </c>
      <c r="BE330" s="177">
        <f t="shared" si="19"/>
        <v>321</v>
      </c>
      <c r="BG330" s="273" t="str">
        <f>IF($BF330="","",_xll.ciqfunctions.udf.CIQ($BF330,"iq_security_level"))</f>
        <v/>
      </c>
      <c r="BH330" s="177" t="str">
        <f t="shared" si="20"/>
        <v/>
      </c>
      <c r="BJ330" s="177" t="str">
        <f t="shared" si="21"/>
        <v/>
      </c>
      <c r="BK330" s="274" t="str">
        <f>IF($BJ330="","",_xll.ciqfunctions.udf.CIQ($BJ330,"iq_bond_coupon")/100)</f>
        <v/>
      </c>
    </row>
    <row r="331" spans="51:63" hidden="1" outlineLevel="1">
      <c r="AY331" s="271" t="str">
        <f>IF($AX331="","",_xll.ciqfunctions.udf.CIQ($AX331,"iq_offer_date"))</f>
        <v/>
      </c>
      <c r="AZ331" s="272" t="str">
        <f>IF($AX331="","",RANK(AY331,$AY$10:$AY$510)+COUNTIF($AY$10:AY331,AY331)-1)</f>
        <v/>
      </c>
      <c r="BE331" s="177">
        <f t="shared" si="19"/>
        <v>322</v>
      </c>
      <c r="BG331" s="273" t="str">
        <f>IF($BF331="","",_xll.ciqfunctions.udf.CIQ($BF331,"iq_security_level"))</f>
        <v/>
      </c>
      <c r="BH331" s="177" t="str">
        <f t="shared" si="20"/>
        <v/>
      </c>
      <c r="BJ331" s="177" t="str">
        <f t="shared" si="21"/>
        <v/>
      </c>
      <c r="BK331" s="274" t="str">
        <f>IF($BJ331="","",_xll.ciqfunctions.udf.CIQ($BJ331,"iq_bond_coupon")/100)</f>
        <v/>
      </c>
    </row>
    <row r="332" spans="51:63" hidden="1" outlineLevel="1">
      <c r="AY332" s="271" t="str">
        <f>IF($AX332="","",_xll.ciqfunctions.udf.CIQ($AX332,"iq_offer_date"))</f>
        <v/>
      </c>
      <c r="AZ332" s="272" t="str">
        <f>IF($AX332="","",RANK(AY332,$AY$10:$AY$510)+COUNTIF($AY$10:AY332,AY332)-1)</f>
        <v/>
      </c>
      <c r="BE332" s="177">
        <f t="shared" ref="BE332:BE395" si="22">BE331+1</f>
        <v>323</v>
      </c>
      <c r="BG332" s="273" t="str">
        <f>IF($BF332="","",_xll.ciqfunctions.udf.CIQ($BF332,"iq_security_level"))</f>
        <v/>
      </c>
      <c r="BH332" s="177" t="str">
        <f t="shared" ref="BH332:BH395" si="23">IF(BF332="","",IF(BG332="Preferred",BH331+1,BH331))</f>
        <v/>
      </c>
      <c r="BJ332" s="177" t="str">
        <f t="shared" si="21"/>
        <v/>
      </c>
      <c r="BK332" s="274" t="str">
        <f>IF($BJ332="","",_xll.ciqfunctions.udf.CIQ($BJ332,"iq_bond_coupon")/100)</f>
        <v/>
      </c>
    </row>
    <row r="333" spans="51:63" hidden="1" outlineLevel="1">
      <c r="AY333" s="271" t="str">
        <f>IF($AX333="","",_xll.ciqfunctions.udf.CIQ($AX333,"iq_offer_date"))</f>
        <v/>
      </c>
      <c r="AZ333" s="272" t="str">
        <f>IF($AX333="","",RANK(AY333,$AY$10:$AY$510)+COUNTIF($AY$10:AY333,AY333)-1)</f>
        <v/>
      </c>
      <c r="BE333" s="177">
        <f t="shared" si="22"/>
        <v>324</v>
      </c>
      <c r="BG333" s="273" t="str">
        <f>IF($BF333="","",_xll.ciqfunctions.udf.CIQ($BF333,"iq_security_level"))</f>
        <v/>
      </c>
      <c r="BH333" s="177" t="str">
        <f t="shared" si="23"/>
        <v/>
      </c>
      <c r="BJ333" s="177" t="str">
        <f t="shared" si="21"/>
        <v/>
      </c>
      <c r="BK333" s="274" t="str">
        <f>IF($BJ333="","",_xll.ciqfunctions.udf.CIQ($BJ333,"iq_bond_coupon")/100)</f>
        <v/>
      </c>
    </row>
    <row r="334" spans="51:63" hidden="1" outlineLevel="1">
      <c r="AY334" s="271" t="str">
        <f>IF($AX334="","",_xll.ciqfunctions.udf.CIQ($AX334,"iq_offer_date"))</f>
        <v/>
      </c>
      <c r="AZ334" s="272" t="str">
        <f>IF($AX334="","",RANK(AY334,$AY$10:$AY$510)+COUNTIF($AY$10:AY334,AY334)-1)</f>
        <v/>
      </c>
      <c r="BE334" s="177">
        <f t="shared" si="22"/>
        <v>325</v>
      </c>
      <c r="BG334" s="273" t="str">
        <f>IF($BF334="","",_xll.ciqfunctions.udf.CIQ($BF334,"iq_security_level"))</f>
        <v/>
      </c>
      <c r="BH334" s="177" t="str">
        <f t="shared" si="23"/>
        <v/>
      </c>
      <c r="BJ334" s="177" t="str">
        <f t="shared" si="21"/>
        <v/>
      </c>
      <c r="BK334" s="274" t="str">
        <f>IF($BJ334="","",_xll.ciqfunctions.udf.CIQ($BJ334,"iq_bond_coupon")/100)</f>
        <v/>
      </c>
    </row>
    <row r="335" spans="51:63" hidden="1" outlineLevel="1">
      <c r="AY335" s="271" t="str">
        <f>IF($AX335="","",_xll.ciqfunctions.udf.CIQ($AX335,"iq_offer_date"))</f>
        <v/>
      </c>
      <c r="AZ335" s="272" t="str">
        <f>IF($AX335="","",RANK(AY335,$AY$10:$AY$510)+COUNTIF($AY$10:AY335,AY335)-1)</f>
        <v/>
      </c>
      <c r="BE335" s="177">
        <f t="shared" si="22"/>
        <v>326</v>
      </c>
      <c r="BG335" s="273" t="str">
        <f>IF($BF335="","",_xll.ciqfunctions.udf.CIQ($BF335,"iq_security_level"))</f>
        <v/>
      </c>
      <c r="BH335" s="177" t="str">
        <f t="shared" si="23"/>
        <v/>
      </c>
      <c r="BJ335" s="177" t="str">
        <f t="shared" si="21"/>
        <v/>
      </c>
      <c r="BK335" s="274" t="str">
        <f>IF($BJ335="","",_xll.ciqfunctions.udf.CIQ($BJ335,"iq_bond_coupon")/100)</f>
        <v/>
      </c>
    </row>
    <row r="336" spans="51:63" hidden="1" outlineLevel="1">
      <c r="AY336" s="271" t="str">
        <f>IF($AX336="","",_xll.ciqfunctions.udf.CIQ($AX336,"iq_offer_date"))</f>
        <v/>
      </c>
      <c r="AZ336" s="272" t="str">
        <f>IF($AX336="","",RANK(AY336,$AY$10:$AY$510)+COUNTIF($AY$10:AY336,AY336)-1)</f>
        <v/>
      </c>
      <c r="BE336" s="177">
        <f t="shared" si="22"/>
        <v>327</v>
      </c>
      <c r="BG336" s="273" t="str">
        <f>IF($BF336="","",_xll.ciqfunctions.udf.CIQ($BF336,"iq_security_level"))</f>
        <v/>
      </c>
      <c r="BH336" s="177" t="str">
        <f t="shared" si="23"/>
        <v/>
      </c>
      <c r="BJ336" s="177" t="str">
        <f t="shared" si="21"/>
        <v/>
      </c>
      <c r="BK336" s="274" t="str">
        <f>IF($BJ336="","",_xll.ciqfunctions.udf.CIQ($BJ336,"iq_bond_coupon")/100)</f>
        <v/>
      </c>
    </row>
    <row r="337" spans="51:63" hidden="1" outlineLevel="1">
      <c r="AY337" s="271" t="str">
        <f>IF($AX337="","",_xll.ciqfunctions.udf.CIQ($AX337,"iq_offer_date"))</f>
        <v/>
      </c>
      <c r="AZ337" s="272" t="str">
        <f>IF($AX337="","",RANK(AY337,$AY$10:$AY$510)+COUNTIF($AY$10:AY337,AY337)-1)</f>
        <v/>
      </c>
      <c r="BE337" s="177">
        <f t="shared" si="22"/>
        <v>328</v>
      </c>
      <c r="BG337" s="273" t="str">
        <f>IF($BF337="","",_xll.ciqfunctions.udf.CIQ($BF337,"iq_security_level"))</f>
        <v/>
      </c>
      <c r="BH337" s="177" t="str">
        <f t="shared" si="23"/>
        <v/>
      </c>
      <c r="BJ337" s="177" t="str">
        <f t="shared" si="21"/>
        <v/>
      </c>
      <c r="BK337" s="274" t="str">
        <f>IF($BJ337="","",_xll.ciqfunctions.udf.CIQ($BJ337,"iq_bond_coupon")/100)</f>
        <v/>
      </c>
    </row>
    <row r="338" spans="51:63" hidden="1" outlineLevel="1">
      <c r="AY338" s="271" t="str">
        <f>IF($AX338="","",_xll.ciqfunctions.udf.CIQ($AX338,"iq_offer_date"))</f>
        <v/>
      </c>
      <c r="AZ338" s="272" t="str">
        <f>IF($AX338="","",RANK(AY338,$AY$10:$AY$510)+COUNTIF($AY$10:AY338,AY338)-1)</f>
        <v/>
      </c>
      <c r="BE338" s="177">
        <f t="shared" si="22"/>
        <v>329</v>
      </c>
      <c r="BG338" s="273" t="str">
        <f>IF($BF338="","",_xll.ciqfunctions.udf.CIQ($BF338,"iq_security_level"))</f>
        <v/>
      </c>
      <c r="BH338" s="177" t="str">
        <f t="shared" si="23"/>
        <v/>
      </c>
      <c r="BJ338" s="177" t="str">
        <f t="shared" si="21"/>
        <v/>
      </c>
      <c r="BK338" s="274" t="str">
        <f>IF($BJ338="","",_xll.ciqfunctions.udf.CIQ($BJ338,"iq_bond_coupon")/100)</f>
        <v/>
      </c>
    </row>
    <row r="339" spans="51:63" hidden="1" outlineLevel="1">
      <c r="AY339" s="271" t="str">
        <f>IF($AX339="","",_xll.ciqfunctions.udf.CIQ($AX339,"iq_offer_date"))</f>
        <v/>
      </c>
      <c r="AZ339" s="272" t="str">
        <f>IF($AX339="","",RANK(AY339,$AY$10:$AY$510)+COUNTIF($AY$10:AY339,AY339)-1)</f>
        <v/>
      </c>
      <c r="BE339" s="177">
        <f t="shared" si="22"/>
        <v>330</v>
      </c>
      <c r="BG339" s="273" t="str">
        <f>IF($BF339="","",_xll.ciqfunctions.udf.CIQ($BF339,"iq_security_level"))</f>
        <v/>
      </c>
      <c r="BH339" s="177" t="str">
        <f t="shared" si="23"/>
        <v/>
      </c>
      <c r="BJ339" s="177" t="str">
        <f t="shared" si="21"/>
        <v/>
      </c>
      <c r="BK339" s="274" t="str">
        <f>IF($BJ339="","",_xll.ciqfunctions.udf.CIQ($BJ339,"iq_bond_coupon")/100)</f>
        <v/>
      </c>
    </row>
    <row r="340" spans="51:63" hidden="1" outlineLevel="1">
      <c r="AY340" s="271" t="str">
        <f>IF($AX340="","",_xll.ciqfunctions.udf.CIQ($AX340,"iq_offer_date"))</f>
        <v/>
      </c>
      <c r="AZ340" s="272" t="str">
        <f>IF($AX340="","",RANK(AY340,$AY$10:$AY$510)+COUNTIF($AY$10:AY340,AY340)-1)</f>
        <v/>
      </c>
      <c r="BE340" s="177">
        <f t="shared" si="22"/>
        <v>331</v>
      </c>
      <c r="BG340" s="273" t="str">
        <f>IF($BF340="","",_xll.ciqfunctions.udf.CIQ($BF340,"iq_security_level"))</f>
        <v/>
      </c>
      <c r="BH340" s="177" t="str">
        <f t="shared" si="23"/>
        <v/>
      </c>
      <c r="BJ340" s="177" t="str">
        <f t="shared" si="21"/>
        <v/>
      </c>
      <c r="BK340" s="274" t="str">
        <f>IF($BJ340="","",_xll.ciqfunctions.udf.CIQ($BJ340,"iq_bond_coupon")/100)</f>
        <v/>
      </c>
    </row>
    <row r="341" spans="51:63" hidden="1" outlineLevel="1">
      <c r="AY341" s="271" t="str">
        <f>IF($AX341="","",_xll.ciqfunctions.udf.CIQ($AX341,"iq_offer_date"))</f>
        <v/>
      </c>
      <c r="AZ341" s="272" t="str">
        <f>IF($AX341="","",RANK(AY341,$AY$10:$AY$510)+COUNTIF($AY$10:AY341,AY341)-1)</f>
        <v/>
      </c>
      <c r="BE341" s="177">
        <f t="shared" si="22"/>
        <v>332</v>
      </c>
      <c r="BG341" s="273" t="str">
        <f>IF($BF341="","",_xll.ciqfunctions.udf.CIQ($BF341,"iq_security_level"))</f>
        <v/>
      </c>
      <c r="BH341" s="177" t="str">
        <f t="shared" si="23"/>
        <v/>
      </c>
      <c r="BJ341" s="177" t="str">
        <f t="shared" si="21"/>
        <v/>
      </c>
      <c r="BK341" s="274" t="str">
        <f>IF($BJ341="","",_xll.ciqfunctions.udf.CIQ($BJ341,"iq_bond_coupon")/100)</f>
        <v/>
      </c>
    </row>
    <row r="342" spans="51:63" hidden="1" outlineLevel="1">
      <c r="AY342" s="271" t="str">
        <f>IF($AX342="","",_xll.ciqfunctions.udf.CIQ($AX342,"iq_offer_date"))</f>
        <v/>
      </c>
      <c r="AZ342" s="272" t="str">
        <f>IF($AX342="","",RANK(AY342,$AY$10:$AY$510)+COUNTIF($AY$10:AY342,AY342)-1)</f>
        <v/>
      </c>
      <c r="BE342" s="177">
        <f t="shared" si="22"/>
        <v>333</v>
      </c>
      <c r="BG342" s="273" t="str">
        <f>IF($BF342="","",_xll.ciqfunctions.udf.CIQ($BF342,"iq_security_level"))</f>
        <v/>
      </c>
      <c r="BH342" s="177" t="str">
        <f t="shared" si="23"/>
        <v/>
      </c>
      <c r="BJ342" s="177" t="str">
        <f t="shared" si="21"/>
        <v/>
      </c>
      <c r="BK342" s="274" t="str">
        <f>IF($BJ342="","",_xll.ciqfunctions.udf.CIQ($BJ342,"iq_bond_coupon")/100)</f>
        <v/>
      </c>
    </row>
    <row r="343" spans="51:63" hidden="1" outlineLevel="1">
      <c r="AY343" s="271" t="str">
        <f>IF($AX343="","",_xll.ciqfunctions.udf.CIQ($AX343,"iq_offer_date"))</f>
        <v/>
      </c>
      <c r="AZ343" s="272" t="str">
        <f>IF($AX343="","",RANK(AY343,$AY$10:$AY$510)+COUNTIF($AY$10:AY343,AY343)-1)</f>
        <v/>
      </c>
      <c r="BE343" s="177">
        <f t="shared" si="22"/>
        <v>334</v>
      </c>
      <c r="BG343" s="273" t="str">
        <f>IF($BF343="","",_xll.ciqfunctions.udf.CIQ($BF343,"iq_security_level"))</f>
        <v/>
      </c>
      <c r="BH343" s="177" t="str">
        <f t="shared" si="23"/>
        <v/>
      </c>
      <c r="BJ343" s="177" t="str">
        <f t="shared" si="21"/>
        <v/>
      </c>
      <c r="BK343" s="274" t="str">
        <f>IF($BJ343="","",_xll.ciqfunctions.udf.CIQ($BJ343,"iq_bond_coupon")/100)</f>
        <v/>
      </c>
    </row>
    <row r="344" spans="51:63" hidden="1" outlineLevel="1">
      <c r="AY344" s="271" t="str">
        <f>IF($AX344="","",_xll.ciqfunctions.udf.CIQ($AX344,"iq_offer_date"))</f>
        <v/>
      </c>
      <c r="AZ344" s="272" t="str">
        <f>IF($AX344="","",RANK(AY344,$AY$10:$AY$510)+COUNTIF($AY$10:AY344,AY344)-1)</f>
        <v/>
      </c>
      <c r="BE344" s="177">
        <f t="shared" si="22"/>
        <v>335</v>
      </c>
      <c r="BG344" s="273" t="str">
        <f>IF($BF344="","",_xll.ciqfunctions.udf.CIQ($BF344,"iq_security_level"))</f>
        <v/>
      </c>
      <c r="BH344" s="177" t="str">
        <f t="shared" si="23"/>
        <v/>
      </c>
      <c r="BJ344" s="177" t="str">
        <f t="shared" si="21"/>
        <v/>
      </c>
      <c r="BK344" s="274" t="str">
        <f>IF($BJ344="","",_xll.ciqfunctions.udf.CIQ($BJ344,"iq_bond_coupon")/100)</f>
        <v/>
      </c>
    </row>
    <row r="345" spans="51:63" hidden="1" outlineLevel="1">
      <c r="AY345" s="271" t="str">
        <f>IF($AX345="","",_xll.ciqfunctions.udf.CIQ($AX345,"iq_offer_date"))</f>
        <v/>
      </c>
      <c r="AZ345" s="272" t="str">
        <f>IF($AX345="","",RANK(AY345,$AY$10:$AY$510)+COUNTIF($AY$10:AY345,AY345)-1)</f>
        <v/>
      </c>
      <c r="BE345" s="177">
        <f t="shared" si="22"/>
        <v>336</v>
      </c>
      <c r="BG345" s="273" t="str">
        <f>IF($BF345="","",_xll.ciqfunctions.udf.CIQ($BF345,"iq_security_level"))</f>
        <v/>
      </c>
      <c r="BH345" s="177" t="str">
        <f t="shared" si="23"/>
        <v/>
      </c>
      <c r="BJ345" s="177" t="str">
        <f t="shared" si="21"/>
        <v/>
      </c>
      <c r="BK345" s="274" t="str">
        <f>IF($BJ345="","",_xll.ciqfunctions.udf.CIQ($BJ345,"iq_bond_coupon")/100)</f>
        <v/>
      </c>
    </row>
    <row r="346" spans="51:63" hidden="1" outlineLevel="1">
      <c r="AY346" s="271" t="str">
        <f>IF($AX346="","",_xll.ciqfunctions.udf.CIQ($AX346,"iq_offer_date"))</f>
        <v/>
      </c>
      <c r="AZ346" s="272" t="str">
        <f>IF($AX346="","",RANK(AY346,$AY$10:$AY$510)+COUNTIF($AY$10:AY346,AY346)-1)</f>
        <v/>
      </c>
      <c r="BE346" s="177">
        <f t="shared" si="22"/>
        <v>337</v>
      </c>
      <c r="BG346" s="273" t="str">
        <f>IF($BF346="","",_xll.ciqfunctions.udf.CIQ($BF346,"iq_security_level"))</f>
        <v/>
      </c>
      <c r="BH346" s="177" t="str">
        <f t="shared" si="23"/>
        <v/>
      </c>
      <c r="BJ346" s="177" t="str">
        <f t="shared" si="21"/>
        <v/>
      </c>
      <c r="BK346" s="274" t="str">
        <f>IF($BJ346="","",_xll.ciqfunctions.udf.CIQ($BJ346,"iq_bond_coupon")/100)</f>
        <v/>
      </c>
    </row>
    <row r="347" spans="51:63" hidden="1" outlineLevel="1">
      <c r="AY347" s="271" t="str">
        <f>IF($AX347="","",_xll.ciqfunctions.udf.CIQ($AX347,"iq_offer_date"))</f>
        <v/>
      </c>
      <c r="AZ347" s="272" t="str">
        <f>IF($AX347="","",RANK(AY347,$AY$10:$AY$510)+COUNTIF($AY$10:AY347,AY347)-1)</f>
        <v/>
      </c>
      <c r="BE347" s="177">
        <f t="shared" si="22"/>
        <v>338</v>
      </c>
      <c r="BG347" s="273" t="str">
        <f>IF($BF347="","",_xll.ciqfunctions.udf.CIQ($BF347,"iq_security_level"))</f>
        <v/>
      </c>
      <c r="BH347" s="177" t="str">
        <f t="shared" si="23"/>
        <v/>
      </c>
      <c r="BJ347" s="177" t="str">
        <f t="shared" si="21"/>
        <v/>
      </c>
      <c r="BK347" s="274" t="str">
        <f>IF($BJ347="","",_xll.ciqfunctions.udf.CIQ($BJ347,"iq_bond_coupon")/100)</f>
        <v/>
      </c>
    </row>
    <row r="348" spans="51:63" hidden="1" outlineLevel="1">
      <c r="AY348" s="271" t="str">
        <f>IF($AX348="","",_xll.ciqfunctions.udf.CIQ($AX348,"iq_offer_date"))</f>
        <v/>
      </c>
      <c r="AZ348" s="272" t="str">
        <f>IF($AX348="","",RANK(AY348,$AY$10:$AY$510)+COUNTIF($AY$10:AY348,AY348)-1)</f>
        <v/>
      </c>
      <c r="BE348" s="177">
        <f t="shared" si="22"/>
        <v>339</v>
      </c>
      <c r="BG348" s="273" t="str">
        <f>IF($BF348="","",_xll.ciqfunctions.udf.CIQ($BF348,"iq_security_level"))</f>
        <v/>
      </c>
      <c r="BH348" s="177" t="str">
        <f t="shared" si="23"/>
        <v/>
      </c>
      <c r="BJ348" s="177" t="str">
        <f t="shared" si="21"/>
        <v/>
      </c>
      <c r="BK348" s="274" t="str">
        <f>IF($BJ348="","",_xll.ciqfunctions.udf.CIQ($BJ348,"iq_bond_coupon")/100)</f>
        <v/>
      </c>
    </row>
    <row r="349" spans="51:63" hidden="1" outlineLevel="1">
      <c r="AY349" s="271" t="str">
        <f>IF($AX349="","",_xll.ciqfunctions.udf.CIQ($AX349,"iq_offer_date"))</f>
        <v/>
      </c>
      <c r="AZ349" s="272" t="str">
        <f>IF($AX349="","",RANK(AY349,$AY$10:$AY$510)+COUNTIF($AY$10:AY349,AY349)-1)</f>
        <v/>
      </c>
      <c r="BE349" s="177">
        <f t="shared" si="22"/>
        <v>340</v>
      </c>
      <c r="BG349" s="273" t="str">
        <f>IF($BF349="","",_xll.ciqfunctions.udf.CIQ($BF349,"iq_security_level"))</f>
        <v/>
      </c>
      <c r="BH349" s="177" t="str">
        <f t="shared" si="23"/>
        <v/>
      </c>
      <c r="BJ349" s="177" t="str">
        <f t="shared" si="21"/>
        <v/>
      </c>
      <c r="BK349" s="274" t="str">
        <f>IF($BJ349="","",_xll.ciqfunctions.udf.CIQ($BJ349,"iq_bond_coupon")/100)</f>
        <v/>
      </c>
    </row>
    <row r="350" spans="51:63" hidden="1" outlineLevel="1">
      <c r="AY350" s="271" t="str">
        <f>IF($AX350="","",_xll.ciqfunctions.udf.CIQ($AX350,"iq_offer_date"))</f>
        <v/>
      </c>
      <c r="AZ350" s="272" t="str">
        <f>IF($AX350="","",RANK(AY350,$AY$10:$AY$510)+COUNTIF($AY$10:AY350,AY350)-1)</f>
        <v/>
      </c>
      <c r="BE350" s="177">
        <f t="shared" si="22"/>
        <v>341</v>
      </c>
      <c r="BG350" s="273" t="str">
        <f>IF($BF350="","",_xll.ciqfunctions.udf.CIQ($BF350,"iq_security_level"))</f>
        <v/>
      </c>
      <c r="BH350" s="177" t="str">
        <f t="shared" si="23"/>
        <v/>
      </c>
      <c r="BJ350" s="177" t="str">
        <f t="shared" si="21"/>
        <v/>
      </c>
      <c r="BK350" s="274" t="str">
        <f>IF($BJ350="","",_xll.ciqfunctions.udf.CIQ($BJ350,"iq_bond_coupon")/100)</f>
        <v/>
      </c>
    </row>
    <row r="351" spans="51:63" hidden="1" outlineLevel="1">
      <c r="AY351" s="271" t="str">
        <f>IF($AX351="","",_xll.ciqfunctions.udf.CIQ($AX351,"iq_offer_date"))</f>
        <v/>
      </c>
      <c r="AZ351" s="272" t="str">
        <f>IF($AX351="","",RANK(AY351,$AY$10:$AY$510)+COUNTIF($AY$10:AY351,AY351)-1)</f>
        <v/>
      </c>
      <c r="BE351" s="177">
        <f t="shared" si="22"/>
        <v>342</v>
      </c>
      <c r="BG351" s="273" t="str">
        <f>IF($BF351="","",_xll.ciqfunctions.udf.CIQ($BF351,"iq_security_level"))</f>
        <v/>
      </c>
      <c r="BH351" s="177" t="str">
        <f t="shared" si="23"/>
        <v/>
      </c>
      <c r="BJ351" s="177" t="str">
        <f t="shared" si="21"/>
        <v/>
      </c>
      <c r="BK351" s="274" t="str">
        <f>IF($BJ351="","",_xll.ciqfunctions.udf.CIQ($BJ351,"iq_bond_coupon")/100)</f>
        <v/>
      </c>
    </row>
    <row r="352" spans="51:63" hidden="1" outlineLevel="1">
      <c r="AY352" s="271" t="str">
        <f>IF($AX352="","",_xll.ciqfunctions.udf.CIQ($AX352,"iq_offer_date"))</f>
        <v/>
      </c>
      <c r="AZ352" s="272" t="str">
        <f>IF($AX352="","",RANK(AY352,$AY$10:$AY$510)+COUNTIF($AY$10:AY352,AY352)-1)</f>
        <v/>
      </c>
      <c r="BE352" s="177">
        <f t="shared" si="22"/>
        <v>343</v>
      </c>
      <c r="BG352" s="273" t="str">
        <f>IF($BF352="","",_xll.ciqfunctions.udf.CIQ($BF352,"iq_security_level"))</f>
        <v/>
      </c>
      <c r="BH352" s="177" t="str">
        <f t="shared" si="23"/>
        <v/>
      </c>
      <c r="BJ352" s="177" t="str">
        <f t="shared" si="21"/>
        <v/>
      </c>
      <c r="BK352" s="274" t="str">
        <f>IF($BJ352="","",_xll.ciqfunctions.udf.CIQ($BJ352,"iq_bond_coupon")/100)</f>
        <v/>
      </c>
    </row>
    <row r="353" spans="51:63" hidden="1" outlineLevel="1">
      <c r="AY353" s="271" t="str">
        <f>IF($AX353="","",_xll.ciqfunctions.udf.CIQ($AX353,"iq_offer_date"))</f>
        <v/>
      </c>
      <c r="AZ353" s="272" t="str">
        <f>IF($AX353="","",RANK(AY353,$AY$10:$AY$510)+COUNTIF($AY$10:AY353,AY353)-1)</f>
        <v/>
      </c>
      <c r="BE353" s="177">
        <f t="shared" si="22"/>
        <v>344</v>
      </c>
      <c r="BG353" s="273" t="str">
        <f>IF($BF353="","",_xll.ciqfunctions.udf.CIQ($BF353,"iq_security_level"))</f>
        <v/>
      </c>
      <c r="BH353" s="177" t="str">
        <f t="shared" si="23"/>
        <v/>
      </c>
      <c r="BJ353" s="177" t="str">
        <f t="shared" si="21"/>
        <v/>
      </c>
      <c r="BK353" s="274" t="str">
        <f>IF($BJ353="","",_xll.ciqfunctions.udf.CIQ($BJ353,"iq_bond_coupon")/100)</f>
        <v/>
      </c>
    </row>
    <row r="354" spans="51:63" hidden="1" outlineLevel="1">
      <c r="AY354" s="271" t="str">
        <f>IF($AX354="","",_xll.ciqfunctions.udf.CIQ($AX354,"iq_offer_date"))</f>
        <v/>
      </c>
      <c r="AZ354" s="272" t="str">
        <f>IF($AX354="","",RANK(AY354,$AY$10:$AY$510)+COUNTIF($AY$10:AY354,AY354)-1)</f>
        <v/>
      </c>
      <c r="BE354" s="177">
        <f t="shared" si="22"/>
        <v>345</v>
      </c>
      <c r="BG354" s="273" t="str">
        <f>IF($BF354="","",_xll.ciqfunctions.udf.CIQ($BF354,"iq_security_level"))</f>
        <v/>
      </c>
      <c r="BH354" s="177" t="str">
        <f t="shared" si="23"/>
        <v/>
      </c>
      <c r="BJ354" s="177" t="str">
        <f t="shared" si="21"/>
        <v/>
      </c>
      <c r="BK354" s="274" t="str">
        <f>IF($BJ354="","",_xll.ciqfunctions.udf.CIQ($BJ354,"iq_bond_coupon")/100)</f>
        <v/>
      </c>
    </row>
    <row r="355" spans="51:63" hidden="1" outlineLevel="1">
      <c r="AY355" s="271" t="str">
        <f>IF($AX355="","",_xll.ciqfunctions.udf.CIQ($AX355,"iq_offer_date"))</f>
        <v/>
      </c>
      <c r="AZ355" s="272" t="str">
        <f>IF($AX355="","",RANK(AY355,$AY$10:$AY$510)+COUNTIF($AY$10:AY355,AY355)-1)</f>
        <v/>
      </c>
      <c r="BE355" s="177">
        <f t="shared" si="22"/>
        <v>346</v>
      </c>
      <c r="BG355" s="273" t="str">
        <f>IF($BF355="","",_xll.ciqfunctions.udf.CIQ($BF355,"iq_security_level"))</f>
        <v/>
      </c>
      <c r="BH355" s="177" t="str">
        <f t="shared" si="23"/>
        <v/>
      </c>
      <c r="BJ355" s="177" t="str">
        <f t="shared" si="21"/>
        <v/>
      </c>
      <c r="BK355" s="274" t="str">
        <f>IF($BJ355="","",_xll.ciqfunctions.udf.CIQ($BJ355,"iq_bond_coupon")/100)</f>
        <v/>
      </c>
    </row>
    <row r="356" spans="51:63" hidden="1" outlineLevel="1">
      <c r="AY356" s="271" t="str">
        <f>IF($AX356="","",_xll.ciqfunctions.udf.CIQ($AX356,"iq_offer_date"))</f>
        <v/>
      </c>
      <c r="AZ356" s="272" t="str">
        <f>IF($AX356="","",RANK(AY356,$AY$10:$AY$510)+COUNTIF($AY$10:AY356,AY356)-1)</f>
        <v/>
      </c>
      <c r="BE356" s="177">
        <f t="shared" si="22"/>
        <v>347</v>
      </c>
      <c r="BG356" s="273" t="str">
        <f>IF($BF356="","",_xll.ciqfunctions.udf.CIQ($BF356,"iq_security_level"))</f>
        <v/>
      </c>
      <c r="BH356" s="177" t="str">
        <f t="shared" si="23"/>
        <v/>
      </c>
      <c r="BJ356" s="177" t="str">
        <f t="shared" si="21"/>
        <v/>
      </c>
      <c r="BK356" s="274" t="str">
        <f>IF($BJ356="","",_xll.ciqfunctions.udf.CIQ($BJ356,"iq_bond_coupon")/100)</f>
        <v/>
      </c>
    </row>
    <row r="357" spans="51:63" hidden="1" outlineLevel="1">
      <c r="AY357" s="271" t="str">
        <f>IF($AX357="","",_xll.ciqfunctions.udf.CIQ($AX357,"iq_offer_date"))</f>
        <v/>
      </c>
      <c r="AZ357" s="272" t="str">
        <f>IF($AX357="","",RANK(AY357,$AY$10:$AY$510)+COUNTIF($AY$10:AY357,AY357)-1)</f>
        <v/>
      </c>
      <c r="BE357" s="177">
        <f t="shared" si="22"/>
        <v>348</v>
      </c>
      <c r="BG357" s="273" t="str">
        <f>IF($BF357="","",_xll.ciqfunctions.udf.CIQ($BF357,"iq_security_level"))</f>
        <v/>
      </c>
      <c r="BH357" s="177" t="str">
        <f t="shared" si="23"/>
        <v/>
      </c>
      <c r="BJ357" s="177" t="str">
        <f t="shared" si="21"/>
        <v/>
      </c>
      <c r="BK357" s="274" t="str">
        <f>IF($BJ357="","",_xll.ciqfunctions.udf.CIQ($BJ357,"iq_bond_coupon")/100)</f>
        <v/>
      </c>
    </row>
    <row r="358" spans="51:63" hidden="1" outlineLevel="1">
      <c r="AY358" s="271" t="str">
        <f>IF($AX358="","",_xll.ciqfunctions.udf.CIQ($AX358,"iq_offer_date"))</f>
        <v/>
      </c>
      <c r="AZ358" s="272" t="str">
        <f>IF($AX358="","",RANK(AY358,$AY$10:$AY$510)+COUNTIF($AY$10:AY358,AY358)-1)</f>
        <v/>
      </c>
      <c r="BE358" s="177">
        <f t="shared" si="22"/>
        <v>349</v>
      </c>
      <c r="BG358" s="273" t="str">
        <f>IF($BF358="","",_xll.ciqfunctions.udf.CIQ($BF358,"iq_security_level"))</f>
        <v/>
      </c>
      <c r="BH358" s="177" t="str">
        <f t="shared" si="23"/>
        <v/>
      </c>
      <c r="BJ358" s="177" t="str">
        <f t="shared" si="21"/>
        <v/>
      </c>
      <c r="BK358" s="274" t="str">
        <f>IF($BJ358="","",_xll.ciqfunctions.udf.CIQ($BJ358,"iq_bond_coupon")/100)</f>
        <v/>
      </c>
    </row>
    <row r="359" spans="51:63" hidden="1" outlineLevel="1">
      <c r="AY359" s="271" t="str">
        <f>IF($AX359="","",_xll.ciqfunctions.udf.CIQ($AX359,"iq_offer_date"))</f>
        <v/>
      </c>
      <c r="AZ359" s="272" t="str">
        <f>IF($AX359="","",RANK(AY359,$AY$10:$AY$510)+COUNTIF($AY$10:AY359,AY359)-1)</f>
        <v/>
      </c>
      <c r="BE359" s="177">
        <f t="shared" si="22"/>
        <v>350</v>
      </c>
      <c r="BG359" s="273" t="str">
        <f>IF($BF359="","",_xll.ciqfunctions.udf.CIQ($BF359,"iq_security_level"))</f>
        <v/>
      </c>
      <c r="BH359" s="177" t="str">
        <f t="shared" si="23"/>
        <v/>
      </c>
      <c r="BJ359" s="177" t="str">
        <f t="shared" si="21"/>
        <v/>
      </c>
      <c r="BK359" s="274" t="str">
        <f>IF($BJ359="","",_xll.ciqfunctions.udf.CIQ($BJ359,"iq_bond_coupon")/100)</f>
        <v/>
      </c>
    </row>
    <row r="360" spans="51:63" hidden="1" outlineLevel="1">
      <c r="AY360" s="271" t="str">
        <f>IF($AX360="","",_xll.ciqfunctions.udf.CIQ($AX360,"iq_offer_date"))</f>
        <v/>
      </c>
      <c r="AZ360" s="272" t="str">
        <f>IF($AX360="","",RANK(AY360,$AY$10:$AY$510)+COUNTIF($AY$10:AY360,AY360)-1)</f>
        <v/>
      </c>
      <c r="BE360" s="177">
        <f t="shared" si="22"/>
        <v>351</v>
      </c>
      <c r="BG360" s="273" t="str">
        <f>IF($BF360="","",_xll.ciqfunctions.udf.CIQ($BF360,"iq_security_level"))</f>
        <v/>
      </c>
      <c r="BH360" s="177" t="str">
        <f t="shared" si="23"/>
        <v/>
      </c>
      <c r="BJ360" s="177" t="str">
        <f t="shared" si="21"/>
        <v/>
      </c>
      <c r="BK360" s="274" t="str">
        <f>IF($BJ360="","",_xll.ciqfunctions.udf.CIQ($BJ360,"iq_bond_coupon")/100)</f>
        <v/>
      </c>
    </row>
    <row r="361" spans="51:63" hidden="1" outlineLevel="1">
      <c r="AY361" s="271" t="str">
        <f>IF($AX361="","",_xll.ciqfunctions.udf.CIQ($AX361,"iq_offer_date"))</f>
        <v/>
      </c>
      <c r="AZ361" s="272" t="str">
        <f>IF($AX361="","",RANK(AY361,$AY$10:$AY$510)+COUNTIF($AY$10:AY361,AY361)-1)</f>
        <v/>
      </c>
      <c r="BE361" s="177">
        <f t="shared" si="22"/>
        <v>352</v>
      </c>
      <c r="BG361" s="273" t="str">
        <f>IF($BF361="","",_xll.ciqfunctions.udf.CIQ($BF361,"iq_security_level"))</f>
        <v/>
      </c>
      <c r="BH361" s="177" t="str">
        <f t="shared" si="23"/>
        <v/>
      </c>
      <c r="BJ361" s="177" t="str">
        <f t="shared" si="21"/>
        <v/>
      </c>
      <c r="BK361" s="274" t="str">
        <f>IF($BJ361="","",_xll.ciqfunctions.udf.CIQ($BJ361,"iq_bond_coupon")/100)</f>
        <v/>
      </c>
    </row>
    <row r="362" spans="51:63" hidden="1" outlineLevel="1">
      <c r="AY362" s="271" t="str">
        <f>IF($AX362="","",_xll.ciqfunctions.udf.CIQ($AX362,"iq_offer_date"))</f>
        <v/>
      </c>
      <c r="AZ362" s="272" t="str">
        <f>IF($AX362="","",RANK(AY362,$AY$10:$AY$510)+COUNTIF($AY$10:AY362,AY362)-1)</f>
        <v/>
      </c>
      <c r="BE362" s="177">
        <f t="shared" si="22"/>
        <v>353</v>
      </c>
      <c r="BG362" s="273" t="str">
        <f>IF($BF362="","",_xll.ciqfunctions.udf.CIQ($BF362,"iq_security_level"))</f>
        <v/>
      </c>
      <c r="BH362" s="177" t="str">
        <f t="shared" si="23"/>
        <v/>
      </c>
      <c r="BJ362" s="177" t="str">
        <f t="shared" si="21"/>
        <v/>
      </c>
      <c r="BK362" s="274" t="str">
        <f>IF($BJ362="","",_xll.ciqfunctions.udf.CIQ($BJ362,"iq_bond_coupon")/100)</f>
        <v/>
      </c>
    </row>
    <row r="363" spans="51:63" hidden="1" outlineLevel="1">
      <c r="AY363" s="271" t="str">
        <f>IF($AX363="","",_xll.ciqfunctions.udf.CIQ($AX363,"iq_offer_date"))</f>
        <v/>
      </c>
      <c r="AZ363" s="272" t="str">
        <f>IF($AX363="","",RANK(AY363,$AY$10:$AY$510)+COUNTIF($AY$10:AY363,AY363)-1)</f>
        <v/>
      </c>
      <c r="BE363" s="177">
        <f t="shared" si="22"/>
        <v>354</v>
      </c>
      <c r="BG363" s="273" t="str">
        <f>IF($BF363="","",_xll.ciqfunctions.udf.CIQ($BF363,"iq_security_level"))</f>
        <v/>
      </c>
      <c r="BH363" s="177" t="str">
        <f t="shared" si="23"/>
        <v/>
      </c>
      <c r="BJ363" s="177" t="str">
        <f t="shared" si="21"/>
        <v/>
      </c>
      <c r="BK363" s="274" t="str">
        <f>IF($BJ363="","",_xll.ciqfunctions.udf.CIQ($BJ363,"iq_bond_coupon")/100)</f>
        <v/>
      </c>
    </row>
    <row r="364" spans="51:63" hidden="1" outlineLevel="1">
      <c r="AY364" s="271" t="str">
        <f>IF($AX364="","",_xll.ciqfunctions.udf.CIQ($AX364,"iq_offer_date"))</f>
        <v/>
      </c>
      <c r="AZ364" s="272" t="str">
        <f>IF($AX364="","",RANK(AY364,$AY$10:$AY$510)+COUNTIF($AY$10:AY364,AY364)-1)</f>
        <v/>
      </c>
      <c r="BE364" s="177">
        <f t="shared" si="22"/>
        <v>355</v>
      </c>
      <c r="BG364" s="273" t="str">
        <f>IF($BF364="","",_xll.ciqfunctions.udf.CIQ($BF364,"iq_security_level"))</f>
        <v/>
      </c>
      <c r="BH364" s="177" t="str">
        <f t="shared" si="23"/>
        <v/>
      </c>
      <c r="BJ364" s="177" t="str">
        <f t="shared" si="21"/>
        <v/>
      </c>
      <c r="BK364" s="274" t="str">
        <f>IF($BJ364="","",_xll.ciqfunctions.udf.CIQ($BJ364,"iq_bond_coupon")/100)</f>
        <v/>
      </c>
    </row>
    <row r="365" spans="51:63" hidden="1" outlineLevel="1">
      <c r="AY365" s="271" t="str">
        <f>IF($AX365="","",_xll.ciqfunctions.udf.CIQ($AX365,"iq_offer_date"))</f>
        <v/>
      </c>
      <c r="AZ365" s="272" t="str">
        <f>IF($AX365="","",RANK(AY365,$AY$10:$AY$510)+COUNTIF($AY$10:AY365,AY365)-1)</f>
        <v/>
      </c>
      <c r="BE365" s="177">
        <f t="shared" si="22"/>
        <v>356</v>
      </c>
      <c r="BG365" s="273" t="str">
        <f>IF($BF365="","",_xll.ciqfunctions.udf.CIQ($BF365,"iq_security_level"))</f>
        <v/>
      </c>
      <c r="BH365" s="177" t="str">
        <f t="shared" si="23"/>
        <v/>
      </c>
      <c r="BJ365" s="177" t="str">
        <f t="shared" si="21"/>
        <v/>
      </c>
      <c r="BK365" s="274" t="str">
        <f>IF($BJ365="","",_xll.ciqfunctions.udf.CIQ($BJ365,"iq_bond_coupon")/100)</f>
        <v/>
      </c>
    </row>
    <row r="366" spans="51:63" hidden="1" outlineLevel="1">
      <c r="AY366" s="271" t="str">
        <f>IF($AX366="","",_xll.ciqfunctions.udf.CIQ($AX366,"iq_offer_date"))</f>
        <v/>
      </c>
      <c r="AZ366" s="272" t="str">
        <f>IF($AX366="","",RANK(AY366,$AY$10:$AY$510)+COUNTIF($AY$10:AY366,AY366)-1)</f>
        <v/>
      </c>
      <c r="BE366" s="177">
        <f t="shared" si="22"/>
        <v>357</v>
      </c>
      <c r="BG366" s="273" t="str">
        <f>IF($BF366="","",_xll.ciqfunctions.udf.CIQ($BF366,"iq_security_level"))</f>
        <v/>
      </c>
      <c r="BH366" s="177" t="str">
        <f t="shared" si="23"/>
        <v/>
      </c>
      <c r="BJ366" s="177" t="str">
        <f t="shared" si="21"/>
        <v/>
      </c>
      <c r="BK366" s="274" t="str">
        <f>IF($BJ366="","",_xll.ciqfunctions.udf.CIQ($BJ366,"iq_bond_coupon")/100)</f>
        <v/>
      </c>
    </row>
    <row r="367" spans="51:63" hidden="1" outlineLevel="1">
      <c r="AY367" s="271" t="str">
        <f>IF($AX367="","",_xll.ciqfunctions.udf.CIQ($AX367,"iq_offer_date"))</f>
        <v/>
      </c>
      <c r="AZ367" s="272" t="str">
        <f>IF($AX367="","",RANK(AY367,$AY$10:$AY$510)+COUNTIF($AY$10:AY367,AY367)-1)</f>
        <v/>
      </c>
      <c r="BE367" s="177">
        <f t="shared" si="22"/>
        <v>358</v>
      </c>
      <c r="BG367" s="273" t="str">
        <f>IF($BF367="","",_xll.ciqfunctions.udf.CIQ($BF367,"iq_security_level"))</f>
        <v/>
      </c>
      <c r="BH367" s="177" t="str">
        <f t="shared" si="23"/>
        <v/>
      </c>
      <c r="BJ367" s="177" t="str">
        <f t="shared" si="21"/>
        <v/>
      </c>
      <c r="BK367" s="274" t="str">
        <f>IF($BJ367="","",_xll.ciqfunctions.udf.CIQ($BJ367,"iq_bond_coupon")/100)</f>
        <v/>
      </c>
    </row>
    <row r="368" spans="51:63" hidden="1" outlineLevel="1">
      <c r="AY368" s="271" t="str">
        <f>IF($AX368="","",_xll.ciqfunctions.udf.CIQ($AX368,"iq_offer_date"))</f>
        <v/>
      </c>
      <c r="AZ368" s="272" t="str">
        <f>IF($AX368="","",RANK(AY368,$AY$10:$AY$510)+COUNTIF($AY$10:AY368,AY368)-1)</f>
        <v/>
      </c>
      <c r="BE368" s="177">
        <f t="shared" si="22"/>
        <v>359</v>
      </c>
      <c r="BG368" s="273" t="str">
        <f>IF($BF368="","",_xll.ciqfunctions.udf.CIQ($BF368,"iq_security_level"))</f>
        <v/>
      </c>
      <c r="BH368" s="177" t="str">
        <f t="shared" si="23"/>
        <v/>
      </c>
      <c r="BJ368" s="177" t="str">
        <f t="shared" si="21"/>
        <v/>
      </c>
      <c r="BK368" s="274" t="str">
        <f>IF($BJ368="","",_xll.ciqfunctions.udf.CIQ($BJ368,"iq_bond_coupon")/100)</f>
        <v/>
      </c>
    </row>
    <row r="369" spans="51:63" hidden="1" outlineLevel="1">
      <c r="AY369" s="271" t="str">
        <f>IF($AX369="","",_xll.ciqfunctions.udf.CIQ($AX369,"iq_offer_date"))</f>
        <v/>
      </c>
      <c r="AZ369" s="272" t="str">
        <f>IF($AX369="","",RANK(AY369,$AY$10:$AY$510)+COUNTIF($AY$10:AY369,AY369)-1)</f>
        <v/>
      </c>
      <c r="BE369" s="177">
        <f t="shared" si="22"/>
        <v>360</v>
      </c>
      <c r="BG369" s="273" t="str">
        <f>IF($BF369="","",_xll.ciqfunctions.udf.CIQ($BF369,"iq_security_level"))</f>
        <v/>
      </c>
      <c r="BH369" s="177" t="str">
        <f t="shared" si="23"/>
        <v/>
      </c>
      <c r="BJ369" s="177" t="str">
        <f t="shared" si="21"/>
        <v/>
      </c>
      <c r="BK369" s="274" t="str">
        <f>IF($BJ369="","",_xll.ciqfunctions.udf.CIQ($BJ369,"iq_bond_coupon")/100)</f>
        <v/>
      </c>
    </row>
    <row r="370" spans="51:63" hidden="1" outlineLevel="1">
      <c r="AY370" s="271" t="str">
        <f>IF($AX370="","",_xll.ciqfunctions.udf.CIQ($AX370,"iq_offer_date"))</f>
        <v/>
      </c>
      <c r="AZ370" s="272" t="str">
        <f>IF($AX370="","",RANK(AY370,$AY$10:$AY$510)+COUNTIF($AY$10:AY370,AY370)-1)</f>
        <v/>
      </c>
      <c r="BE370" s="177">
        <f t="shared" si="22"/>
        <v>361</v>
      </c>
      <c r="BG370" s="273" t="str">
        <f>IF($BF370="","",_xll.ciqfunctions.udf.CIQ($BF370,"iq_security_level"))</f>
        <v/>
      </c>
      <c r="BH370" s="177" t="str">
        <f t="shared" si="23"/>
        <v/>
      </c>
      <c r="BJ370" s="177" t="str">
        <f t="shared" si="21"/>
        <v/>
      </c>
      <c r="BK370" s="274" t="str">
        <f>IF($BJ370="","",_xll.ciqfunctions.udf.CIQ($BJ370,"iq_bond_coupon")/100)</f>
        <v/>
      </c>
    </row>
    <row r="371" spans="51:63" hidden="1" outlineLevel="1">
      <c r="AY371" s="271" t="str">
        <f>IF($AX371="","",_xll.ciqfunctions.udf.CIQ($AX371,"iq_offer_date"))</f>
        <v/>
      </c>
      <c r="AZ371" s="272" t="str">
        <f>IF($AX371="","",RANK(AY371,$AY$10:$AY$510)+COUNTIF($AY$10:AY371,AY371)-1)</f>
        <v/>
      </c>
      <c r="BE371" s="177">
        <f t="shared" si="22"/>
        <v>362</v>
      </c>
      <c r="BG371" s="273" t="str">
        <f>IF($BF371="","",_xll.ciqfunctions.udf.CIQ($BF371,"iq_security_level"))</f>
        <v/>
      </c>
      <c r="BH371" s="177" t="str">
        <f t="shared" si="23"/>
        <v/>
      </c>
      <c r="BJ371" s="177" t="str">
        <f t="shared" si="21"/>
        <v/>
      </c>
      <c r="BK371" s="274" t="str">
        <f>IF($BJ371="","",_xll.ciqfunctions.udf.CIQ($BJ371,"iq_bond_coupon")/100)</f>
        <v/>
      </c>
    </row>
    <row r="372" spans="51:63" hidden="1" outlineLevel="1">
      <c r="AY372" s="271" t="str">
        <f>IF($AX372="","",_xll.ciqfunctions.udf.CIQ($AX372,"iq_offer_date"))</f>
        <v/>
      </c>
      <c r="AZ372" s="272" t="str">
        <f>IF($AX372="","",RANK(AY372,$AY$10:$AY$510)+COUNTIF($AY$10:AY372,AY372)-1)</f>
        <v/>
      </c>
      <c r="BE372" s="177">
        <f t="shared" si="22"/>
        <v>363</v>
      </c>
      <c r="BG372" s="273" t="str">
        <f>IF($BF372="","",_xll.ciqfunctions.udf.CIQ($BF372,"iq_security_level"))</f>
        <v/>
      </c>
      <c r="BH372" s="177" t="str">
        <f t="shared" si="23"/>
        <v/>
      </c>
      <c r="BJ372" s="177" t="str">
        <f t="shared" si="21"/>
        <v/>
      </c>
      <c r="BK372" s="274" t="str">
        <f>IF($BJ372="","",_xll.ciqfunctions.udf.CIQ($BJ372,"iq_bond_coupon")/100)</f>
        <v/>
      </c>
    </row>
    <row r="373" spans="51:63" hidden="1" outlineLevel="1">
      <c r="AY373" s="271" t="str">
        <f>IF($AX373="","",_xll.ciqfunctions.udf.CIQ($AX373,"iq_offer_date"))</f>
        <v/>
      </c>
      <c r="AZ373" s="272" t="str">
        <f>IF($AX373="","",RANK(AY373,$AY$10:$AY$510)+COUNTIF($AY$10:AY373,AY373)-1)</f>
        <v/>
      </c>
      <c r="BE373" s="177">
        <f t="shared" si="22"/>
        <v>364</v>
      </c>
      <c r="BG373" s="273" t="str">
        <f>IF($BF373="","",_xll.ciqfunctions.udf.CIQ($BF373,"iq_security_level"))</f>
        <v/>
      </c>
      <c r="BH373" s="177" t="str">
        <f t="shared" si="23"/>
        <v/>
      </c>
      <c r="BJ373" s="177" t="str">
        <f t="shared" ref="BJ373:BJ436" si="24">IF($BF372="","",IF(ISERROR(INDEX($BF$10:$BF$509,MATCH(BE372,$BH$10:$BH$509,0))),"",INDEX($BF$10:$BF$509,MATCH(BE372,$BH$10:$BH$509,0))))</f>
        <v/>
      </c>
      <c r="BK373" s="274" t="str">
        <f>IF($BJ373="","",_xll.ciqfunctions.udf.CIQ($BJ373,"iq_bond_coupon")/100)</f>
        <v/>
      </c>
    </row>
    <row r="374" spans="51:63" hidden="1" outlineLevel="1">
      <c r="AY374" s="271" t="str">
        <f>IF($AX374="","",_xll.ciqfunctions.udf.CIQ($AX374,"iq_offer_date"))</f>
        <v/>
      </c>
      <c r="AZ374" s="272" t="str">
        <f>IF($AX374="","",RANK(AY374,$AY$10:$AY$510)+COUNTIF($AY$10:AY374,AY374)-1)</f>
        <v/>
      </c>
      <c r="BE374" s="177">
        <f t="shared" si="22"/>
        <v>365</v>
      </c>
      <c r="BG374" s="273" t="str">
        <f>IF($BF374="","",_xll.ciqfunctions.udf.CIQ($BF374,"iq_security_level"))</f>
        <v/>
      </c>
      <c r="BH374" s="177" t="str">
        <f t="shared" si="23"/>
        <v/>
      </c>
      <c r="BJ374" s="177" t="str">
        <f t="shared" si="24"/>
        <v/>
      </c>
      <c r="BK374" s="274" t="str">
        <f>IF($BJ374="","",_xll.ciqfunctions.udf.CIQ($BJ374,"iq_bond_coupon")/100)</f>
        <v/>
      </c>
    </row>
    <row r="375" spans="51:63" hidden="1" outlineLevel="1">
      <c r="AY375" s="271" t="str">
        <f>IF($AX375="","",_xll.ciqfunctions.udf.CIQ($AX375,"iq_offer_date"))</f>
        <v/>
      </c>
      <c r="AZ375" s="272" t="str">
        <f>IF($AX375="","",RANK(AY375,$AY$10:$AY$510)+COUNTIF($AY$10:AY375,AY375)-1)</f>
        <v/>
      </c>
      <c r="BE375" s="177">
        <f t="shared" si="22"/>
        <v>366</v>
      </c>
      <c r="BG375" s="273" t="str">
        <f>IF($BF375="","",_xll.ciqfunctions.udf.CIQ($BF375,"iq_security_level"))</f>
        <v/>
      </c>
      <c r="BH375" s="177" t="str">
        <f t="shared" si="23"/>
        <v/>
      </c>
      <c r="BJ375" s="177" t="str">
        <f t="shared" si="24"/>
        <v/>
      </c>
      <c r="BK375" s="274" t="str">
        <f>IF($BJ375="","",_xll.ciqfunctions.udf.CIQ($BJ375,"iq_bond_coupon")/100)</f>
        <v/>
      </c>
    </row>
    <row r="376" spans="51:63" hidden="1" outlineLevel="1">
      <c r="AY376" s="271" t="str">
        <f>IF($AX376="","",_xll.ciqfunctions.udf.CIQ($AX376,"iq_offer_date"))</f>
        <v/>
      </c>
      <c r="AZ376" s="272" t="str">
        <f>IF($AX376="","",RANK(AY376,$AY$10:$AY$510)+COUNTIF($AY$10:AY376,AY376)-1)</f>
        <v/>
      </c>
      <c r="BE376" s="177">
        <f t="shared" si="22"/>
        <v>367</v>
      </c>
      <c r="BG376" s="273" t="str">
        <f>IF($BF376="","",_xll.ciqfunctions.udf.CIQ($BF376,"iq_security_level"))</f>
        <v/>
      </c>
      <c r="BH376" s="177" t="str">
        <f t="shared" si="23"/>
        <v/>
      </c>
      <c r="BJ376" s="177" t="str">
        <f t="shared" si="24"/>
        <v/>
      </c>
      <c r="BK376" s="274" t="str">
        <f>IF($BJ376="","",_xll.ciqfunctions.udf.CIQ($BJ376,"iq_bond_coupon")/100)</f>
        <v/>
      </c>
    </row>
    <row r="377" spans="51:63" hidden="1" outlineLevel="1">
      <c r="AY377" s="271" t="str">
        <f>IF($AX377="","",_xll.ciqfunctions.udf.CIQ($AX377,"iq_offer_date"))</f>
        <v/>
      </c>
      <c r="AZ377" s="272" t="str">
        <f>IF($AX377="","",RANK(AY377,$AY$10:$AY$510)+COUNTIF($AY$10:AY377,AY377)-1)</f>
        <v/>
      </c>
      <c r="BE377" s="177">
        <f t="shared" si="22"/>
        <v>368</v>
      </c>
      <c r="BG377" s="273" t="str">
        <f>IF($BF377="","",_xll.ciqfunctions.udf.CIQ($BF377,"iq_security_level"))</f>
        <v/>
      </c>
      <c r="BH377" s="177" t="str">
        <f t="shared" si="23"/>
        <v/>
      </c>
      <c r="BJ377" s="177" t="str">
        <f t="shared" si="24"/>
        <v/>
      </c>
      <c r="BK377" s="274" t="str">
        <f>IF($BJ377="","",_xll.ciqfunctions.udf.CIQ($BJ377,"iq_bond_coupon")/100)</f>
        <v/>
      </c>
    </row>
    <row r="378" spans="51:63" hidden="1" outlineLevel="1">
      <c r="AY378" s="271" t="str">
        <f>IF($AX378="","",_xll.ciqfunctions.udf.CIQ($AX378,"iq_offer_date"))</f>
        <v/>
      </c>
      <c r="AZ378" s="272" t="str">
        <f>IF($AX378="","",RANK(AY378,$AY$10:$AY$510)+COUNTIF($AY$10:AY378,AY378)-1)</f>
        <v/>
      </c>
      <c r="BE378" s="177">
        <f t="shared" si="22"/>
        <v>369</v>
      </c>
      <c r="BG378" s="273" t="str">
        <f>IF($BF378="","",_xll.ciqfunctions.udf.CIQ($BF378,"iq_security_level"))</f>
        <v/>
      </c>
      <c r="BH378" s="177" t="str">
        <f t="shared" si="23"/>
        <v/>
      </c>
      <c r="BJ378" s="177" t="str">
        <f t="shared" si="24"/>
        <v/>
      </c>
      <c r="BK378" s="274" t="str">
        <f>IF($BJ378="","",_xll.ciqfunctions.udf.CIQ($BJ378,"iq_bond_coupon")/100)</f>
        <v/>
      </c>
    </row>
    <row r="379" spans="51:63" hidden="1" outlineLevel="1">
      <c r="AY379" s="271" t="str">
        <f>IF($AX379="","",_xll.ciqfunctions.udf.CIQ($AX379,"iq_offer_date"))</f>
        <v/>
      </c>
      <c r="AZ379" s="272" t="str">
        <f>IF($AX379="","",RANK(AY379,$AY$10:$AY$510)+COUNTIF($AY$10:AY379,AY379)-1)</f>
        <v/>
      </c>
      <c r="BE379" s="177">
        <f t="shared" si="22"/>
        <v>370</v>
      </c>
      <c r="BG379" s="273" t="str">
        <f>IF($BF379="","",_xll.ciqfunctions.udf.CIQ($BF379,"iq_security_level"))</f>
        <v/>
      </c>
      <c r="BH379" s="177" t="str">
        <f t="shared" si="23"/>
        <v/>
      </c>
      <c r="BJ379" s="177" t="str">
        <f t="shared" si="24"/>
        <v/>
      </c>
      <c r="BK379" s="274" t="str">
        <f>IF($BJ379="","",_xll.ciqfunctions.udf.CIQ($BJ379,"iq_bond_coupon")/100)</f>
        <v/>
      </c>
    </row>
    <row r="380" spans="51:63" hidden="1" outlineLevel="1">
      <c r="AY380" s="271" t="str">
        <f>IF($AX380="","",_xll.ciqfunctions.udf.CIQ($AX380,"iq_offer_date"))</f>
        <v/>
      </c>
      <c r="AZ380" s="272" t="str">
        <f>IF($AX380="","",RANK(AY380,$AY$10:$AY$510)+COUNTIF($AY$10:AY380,AY380)-1)</f>
        <v/>
      </c>
      <c r="BE380" s="177">
        <f t="shared" si="22"/>
        <v>371</v>
      </c>
      <c r="BG380" s="273" t="str">
        <f>IF($BF380="","",_xll.ciqfunctions.udf.CIQ($BF380,"iq_security_level"))</f>
        <v/>
      </c>
      <c r="BH380" s="177" t="str">
        <f t="shared" si="23"/>
        <v/>
      </c>
      <c r="BJ380" s="177" t="str">
        <f t="shared" si="24"/>
        <v/>
      </c>
      <c r="BK380" s="274" t="str">
        <f>IF($BJ380="","",_xll.ciqfunctions.udf.CIQ($BJ380,"iq_bond_coupon")/100)</f>
        <v/>
      </c>
    </row>
    <row r="381" spans="51:63" hidden="1" outlineLevel="1">
      <c r="AY381" s="271" t="str">
        <f>IF($AX381="","",_xll.ciqfunctions.udf.CIQ($AX381,"iq_offer_date"))</f>
        <v/>
      </c>
      <c r="AZ381" s="272" t="str">
        <f>IF($AX381="","",RANK(AY381,$AY$10:$AY$510)+COUNTIF($AY$10:AY381,AY381)-1)</f>
        <v/>
      </c>
      <c r="BE381" s="177">
        <f t="shared" si="22"/>
        <v>372</v>
      </c>
      <c r="BG381" s="273" t="str">
        <f>IF($BF381="","",_xll.ciqfunctions.udf.CIQ($BF381,"iq_security_level"))</f>
        <v/>
      </c>
      <c r="BH381" s="177" t="str">
        <f t="shared" si="23"/>
        <v/>
      </c>
      <c r="BJ381" s="177" t="str">
        <f t="shared" si="24"/>
        <v/>
      </c>
      <c r="BK381" s="274" t="str">
        <f>IF($BJ381="","",_xll.ciqfunctions.udf.CIQ($BJ381,"iq_bond_coupon")/100)</f>
        <v/>
      </c>
    </row>
    <row r="382" spans="51:63" hidden="1" outlineLevel="1">
      <c r="AY382" s="271" t="str">
        <f>IF($AX382="","",_xll.ciqfunctions.udf.CIQ($AX382,"iq_offer_date"))</f>
        <v/>
      </c>
      <c r="AZ382" s="272" t="str">
        <f>IF($AX382="","",RANK(AY382,$AY$10:$AY$510)+COUNTIF($AY$10:AY382,AY382)-1)</f>
        <v/>
      </c>
      <c r="BE382" s="177">
        <f t="shared" si="22"/>
        <v>373</v>
      </c>
      <c r="BG382" s="273" t="str">
        <f>IF($BF382="","",_xll.ciqfunctions.udf.CIQ($BF382,"iq_security_level"))</f>
        <v/>
      </c>
      <c r="BH382" s="177" t="str">
        <f t="shared" si="23"/>
        <v/>
      </c>
      <c r="BJ382" s="177" t="str">
        <f t="shared" si="24"/>
        <v/>
      </c>
      <c r="BK382" s="274" t="str">
        <f>IF($BJ382="","",_xll.ciqfunctions.udf.CIQ($BJ382,"iq_bond_coupon")/100)</f>
        <v/>
      </c>
    </row>
    <row r="383" spans="51:63" hidden="1" outlineLevel="1">
      <c r="AY383" s="271" t="str">
        <f>IF($AX383="","",_xll.ciqfunctions.udf.CIQ($AX383,"iq_offer_date"))</f>
        <v/>
      </c>
      <c r="AZ383" s="272" t="str">
        <f>IF($AX383="","",RANK(AY383,$AY$10:$AY$510)+COUNTIF($AY$10:AY383,AY383)-1)</f>
        <v/>
      </c>
      <c r="BE383" s="177">
        <f t="shared" si="22"/>
        <v>374</v>
      </c>
      <c r="BG383" s="273" t="str">
        <f>IF($BF383="","",_xll.ciqfunctions.udf.CIQ($BF383,"iq_security_level"))</f>
        <v/>
      </c>
      <c r="BH383" s="177" t="str">
        <f t="shared" si="23"/>
        <v/>
      </c>
      <c r="BJ383" s="177" t="str">
        <f t="shared" si="24"/>
        <v/>
      </c>
      <c r="BK383" s="274" t="str">
        <f>IF($BJ383="","",_xll.ciqfunctions.udf.CIQ($BJ383,"iq_bond_coupon")/100)</f>
        <v/>
      </c>
    </row>
    <row r="384" spans="51:63" hidden="1" outlineLevel="1">
      <c r="AY384" s="271" t="str">
        <f>IF($AX384="","",_xll.ciqfunctions.udf.CIQ($AX384,"iq_offer_date"))</f>
        <v/>
      </c>
      <c r="AZ384" s="272" t="str">
        <f>IF($AX384="","",RANK(AY384,$AY$10:$AY$510)+COUNTIF($AY$10:AY384,AY384)-1)</f>
        <v/>
      </c>
      <c r="BE384" s="177">
        <f t="shared" si="22"/>
        <v>375</v>
      </c>
      <c r="BG384" s="273" t="str">
        <f>IF($BF384="","",_xll.ciqfunctions.udf.CIQ($BF384,"iq_security_level"))</f>
        <v/>
      </c>
      <c r="BH384" s="177" t="str">
        <f t="shared" si="23"/>
        <v/>
      </c>
      <c r="BJ384" s="177" t="str">
        <f t="shared" si="24"/>
        <v/>
      </c>
      <c r="BK384" s="274" t="str">
        <f>IF($BJ384="","",_xll.ciqfunctions.udf.CIQ($BJ384,"iq_bond_coupon")/100)</f>
        <v/>
      </c>
    </row>
    <row r="385" spans="51:63" hidden="1" outlineLevel="1">
      <c r="AY385" s="271" t="str">
        <f>IF($AX385="","",_xll.ciqfunctions.udf.CIQ($AX385,"iq_offer_date"))</f>
        <v/>
      </c>
      <c r="AZ385" s="272" t="str">
        <f>IF($AX385="","",RANK(AY385,$AY$10:$AY$510)+COUNTIF($AY$10:AY385,AY385)-1)</f>
        <v/>
      </c>
      <c r="BE385" s="177">
        <f t="shared" si="22"/>
        <v>376</v>
      </c>
      <c r="BG385" s="273" t="str">
        <f>IF($BF385="","",_xll.ciqfunctions.udf.CIQ($BF385,"iq_security_level"))</f>
        <v/>
      </c>
      <c r="BH385" s="177" t="str">
        <f t="shared" si="23"/>
        <v/>
      </c>
      <c r="BJ385" s="177" t="str">
        <f t="shared" si="24"/>
        <v/>
      </c>
      <c r="BK385" s="274" t="str">
        <f>IF($BJ385="","",_xll.ciqfunctions.udf.CIQ($BJ385,"iq_bond_coupon")/100)</f>
        <v/>
      </c>
    </row>
    <row r="386" spans="51:63" hidden="1" outlineLevel="1">
      <c r="AY386" s="271" t="str">
        <f>IF($AX386="","",_xll.ciqfunctions.udf.CIQ($AX386,"iq_offer_date"))</f>
        <v/>
      </c>
      <c r="AZ386" s="272" t="str">
        <f>IF($AX386="","",RANK(AY386,$AY$10:$AY$510)+COUNTIF($AY$10:AY386,AY386)-1)</f>
        <v/>
      </c>
      <c r="BE386" s="177">
        <f t="shared" si="22"/>
        <v>377</v>
      </c>
      <c r="BG386" s="273" t="str">
        <f>IF($BF386="","",_xll.ciqfunctions.udf.CIQ($BF386,"iq_security_level"))</f>
        <v/>
      </c>
      <c r="BH386" s="177" t="str">
        <f t="shared" si="23"/>
        <v/>
      </c>
      <c r="BJ386" s="177" t="str">
        <f t="shared" si="24"/>
        <v/>
      </c>
      <c r="BK386" s="274" t="str">
        <f>IF($BJ386="","",_xll.ciqfunctions.udf.CIQ($BJ386,"iq_bond_coupon")/100)</f>
        <v/>
      </c>
    </row>
    <row r="387" spans="51:63" hidden="1" outlineLevel="1">
      <c r="AY387" s="271" t="str">
        <f>IF($AX387="","",_xll.ciqfunctions.udf.CIQ($AX387,"iq_offer_date"))</f>
        <v/>
      </c>
      <c r="AZ387" s="272" t="str">
        <f>IF($AX387="","",RANK(AY387,$AY$10:$AY$510)+COUNTIF($AY$10:AY387,AY387)-1)</f>
        <v/>
      </c>
      <c r="BE387" s="177">
        <f t="shared" si="22"/>
        <v>378</v>
      </c>
      <c r="BG387" s="273" t="str">
        <f>IF($BF387="","",_xll.ciqfunctions.udf.CIQ($BF387,"iq_security_level"))</f>
        <v/>
      </c>
      <c r="BH387" s="177" t="str">
        <f t="shared" si="23"/>
        <v/>
      </c>
      <c r="BJ387" s="177" t="str">
        <f t="shared" si="24"/>
        <v/>
      </c>
      <c r="BK387" s="274" t="str">
        <f>IF($BJ387="","",_xll.ciqfunctions.udf.CIQ($BJ387,"iq_bond_coupon")/100)</f>
        <v/>
      </c>
    </row>
    <row r="388" spans="51:63" hidden="1" outlineLevel="1">
      <c r="AY388" s="271" t="str">
        <f>IF($AX388="","",_xll.ciqfunctions.udf.CIQ($AX388,"iq_offer_date"))</f>
        <v/>
      </c>
      <c r="AZ388" s="272" t="str">
        <f>IF($AX388="","",RANK(AY388,$AY$10:$AY$510)+COUNTIF($AY$10:AY388,AY388)-1)</f>
        <v/>
      </c>
      <c r="BE388" s="177">
        <f t="shared" si="22"/>
        <v>379</v>
      </c>
      <c r="BG388" s="273" t="str">
        <f>IF($BF388="","",_xll.ciqfunctions.udf.CIQ($BF388,"iq_security_level"))</f>
        <v/>
      </c>
      <c r="BH388" s="177" t="str">
        <f t="shared" si="23"/>
        <v/>
      </c>
      <c r="BJ388" s="177" t="str">
        <f t="shared" si="24"/>
        <v/>
      </c>
      <c r="BK388" s="274" t="str">
        <f>IF($BJ388="","",_xll.ciqfunctions.udf.CIQ($BJ388,"iq_bond_coupon")/100)</f>
        <v/>
      </c>
    </row>
    <row r="389" spans="51:63" hidden="1" outlineLevel="1">
      <c r="AY389" s="271" t="str">
        <f>IF($AX389="","",_xll.ciqfunctions.udf.CIQ($AX389,"iq_offer_date"))</f>
        <v/>
      </c>
      <c r="AZ389" s="272" t="str">
        <f>IF($AX389="","",RANK(AY389,$AY$10:$AY$510)+COUNTIF($AY$10:AY389,AY389)-1)</f>
        <v/>
      </c>
      <c r="BE389" s="177">
        <f t="shared" si="22"/>
        <v>380</v>
      </c>
      <c r="BG389" s="273" t="str">
        <f>IF($BF389="","",_xll.ciqfunctions.udf.CIQ($BF389,"iq_security_level"))</f>
        <v/>
      </c>
      <c r="BH389" s="177" t="str">
        <f t="shared" si="23"/>
        <v/>
      </c>
      <c r="BJ389" s="177" t="str">
        <f t="shared" si="24"/>
        <v/>
      </c>
      <c r="BK389" s="274" t="str">
        <f>IF($BJ389="","",_xll.ciqfunctions.udf.CIQ($BJ389,"iq_bond_coupon")/100)</f>
        <v/>
      </c>
    </row>
    <row r="390" spans="51:63" hidden="1" outlineLevel="1">
      <c r="AY390" s="271" t="str">
        <f>IF($AX390="","",_xll.ciqfunctions.udf.CIQ($AX390,"iq_offer_date"))</f>
        <v/>
      </c>
      <c r="AZ390" s="272" t="str">
        <f>IF($AX390="","",RANK(AY390,$AY$10:$AY$510)+COUNTIF($AY$10:AY390,AY390)-1)</f>
        <v/>
      </c>
      <c r="BE390" s="177">
        <f t="shared" si="22"/>
        <v>381</v>
      </c>
      <c r="BG390" s="273" t="str">
        <f>IF($BF390="","",_xll.ciqfunctions.udf.CIQ($BF390,"iq_security_level"))</f>
        <v/>
      </c>
      <c r="BH390" s="177" t="str">
        <f t="shared" si="23"/>
        <v/>
      </c>
      <c r="BJ390" s="177" t="str">
        <f t="shared" si="24"/>
        <v/>
      </c>
      <c r="BK390" s="274" t="str">
        <f>IF($BJ390="","",_xll.ciqfunctions.udf.CIQ($BJ390,"iq_bond_coupon")/100)</f>
        <v/>
      </c>
    </row>
    <row r="391" spans="51:63" hidden="1" outlineLevel="1">
      <c r="AY391" s="271" t="str">
        <f>IF($AX391="","",_xll.ciqfunctions.udf.CIQ($AX391,"iq_offer_date"))</f>
        <v/>
      </c>
      <c r="AZ391" s="272" t="str">
        <f>IF($AX391="","",RANK(AY391,$AY$10:$AY$510)+COUNTIF($AY$10:AY391,AY391)-1)</f>
        <v/>
      </c>
      <c r="BE391" s="177">
        <f t="shared" si="22"/>
        <v>382</v>
      </c>
      <c r="BG391" s="273" t="str">
        <f>IF($BF391="","",_xll.ciqfunctions.udf.CIQ($BF391,"iq_security_level"))</f>
        <v/>
      </c>
      <c r="BH391" s="177" t="str">
        <f t="shared" si="23"/>
        <v/>
      </c>
      <c r="BJ391" s="177" t="str">
        <f t="shared" si="24"/>
        <v/>
      </c>
      <c r="BK391" s="274" t="str">
        <f>IF($BJ391="","",_xll.ciqfunctions.udf.CIQ($BJ391,"iq_bond_coupon")/100)</f>
        <v/>
      </c>
    </row>
    <row r="392" spans="51:63" hidden="1" outlineLevel="1">
      <c r="AY392" s="271" t="str">
        <f>IF($AX392="","",_xll.ciqfunctions.udf.CIQ($AX392,"iq_offer_date"))</f>
        <v/>
      </c>
      <c r="AZ392" s="272" t="str">
        <f>IF($AX392="","",RANK(AY392,$AY$10:$AY$510)+COUNTIF($AY$10:AY392,AY392)-1)</f>
        <v/>
      </c>
      <c r="BE392" s="177">
        <f t="shared" si="22"/>
        <v>383</v>
      </c>
      <c r="BG392" s="273" t="str">
        <f>IF($BF392="","",_xll.ciqfunctions.udf.CIQ($BF392,"iq_security_level"))</f>
        <v/>
      </c>
      <c r="BH392" s="177" t="str">
        <f t="shared" si="23"/>
        <v/>
      </c>
      <c r="BJ392" s="177" t="str">
        <f t="shared" si="24"/>
        <v/>
      </c>
      <c r="BK392" s="274" t="str">
        <f>IF($BJ392="","",_xll.ciqfunctions.udf.CIQ($BJ392,"iq_bond_coupon")/100)</f>
        <v/>
      </c>
    </row>
    <row r="393" spans="51:63" hidden="1" outlineLevel="1">
      <c r="AY393" s="271" t="str">
        <f>IF($AX393="","",_xll.ciqfunctions.udf.CIQ($AX393,"iq_offer_date"))</f>
        <v/>
      </c>
      <c r="AZ393" s="272" t="str">
        <f>IF($AX393="","",RANK(AY393,$AY$10:$AY$510)+COUNTIF($AY$10:AY393,AY393)-1)</f>
        <v/>
      </c>
      <c r="BE393" s="177">
        <f t="shared" si="22"/>
        <v>384</v>
      </c>
      <c r="BG393" s="273" t="str">
        <f>IF($BF393="","",_xll.ciqfunctions.udf.CIQ($BF393,"iq_security_level"))</f>
        <v/>
      </c>
      <c r="BH393" s="177" t="str">
        <f t="shared" si="23"/>
        <v/>
      </c>
      <c r="BJ393" s="177" t="str">
        <f t="shared" si="24"/>
        <v/>
      </c>
      <c r="BK393" s="274" t="str">
        <f>IF($BJ393="","",_xll.ciqfunctions.udf.CIQ($BJ393,"iq_bond_coupon")/100)</f>
        <v/>
      </c>
    </row>
    <row r="394" spans="51:63" hidden="1" outlineLevel="1">
      <c r="AY394" s="271" t="str">
        <f>IF($AX394="","",_xll.ciqfunctions.udf.CIQ($AX394,"iq_offer_date"))</f>
        <v/>
      </c>
      <c r="AZ394" s="272" t="str">
        <f>IF($AX394="","",RANK(AY394,$AY$10:$AY$510)+COUNTIF($AY$10:AY394,AY394)-1)</f>
        <v/>
      </c>
      <c r="BE394" s="177">
        <f t="shared" si="22"/>
        <v>385</v>
      </c>
      <c r="BG394" s="273" t="str">
        <f>IF($BF394="","",_xll.ciqfunctions.udf.CIQ($BF394,"iq_security_level"))</f>
        <v/>
      </c>
      <c r="BH394" s="177" t="str">
        <f t="shared" si="23"/>
        <v/>
      </c>
      <c r="BJ394" s="177" t="str">
        <f t="shared" si="24"/>
        <v/>
      </c>
      <c r="BK394" s="274" t="str">
        <f>IF($BJ394="","",_xll.ciqfunctions.udf.CIQ($BJ394,"iq_bond_coupon")/100)</f>
        <v/>
      </c>
    </row>
    <row r="395" spans="51:63" hidden="1" outlineLevel="1">
      <c r="AY395" s="271" t="str">
        <f>IF($AX395="","",_xll.ciqfunctions.udf.CIQ($AX395,"iq_offer_date"))</f>
        <v/>
      </c>
      <c r="AZ395" s="272" t="str">
        <f>IF($AX395="","",RANK(AY395,$AY$10:$AY$510)+COUNTIF($AY$10:AY395,AY395)-1)</f>
        <v/>
      </c>
      <c r="BE395" s="177">
        <f t="shared" si="22"/>
        <v>386</v>
      </c>
      <c r="BG395" s="273" t="str">
        <f>IF($BF395="","",_xll.ciqfunctions.udf.CIQ($BF395,"iq_security_level"))</f>
        <v/>
      </c>
      <c r="BH395" s="177" t="str">
        <f t="shared" si="23"/>
        <v/>
      </c>
      <c r="BJ395" s="177" t="str">
        <f t="shared" si="24"/>
        <v/>
      </c>
      <c r="BK395" s="274" t="str">
        <f>IF($BJ395="","",_xll.ciqfunctions.udf.CIQ($BJ395,"iq_bond_coupon")/100)</f>
        <v/>
      </c>
    </row>
    <row r="396" spans="51:63" hidden="1" outlineLevel="1">
      <c r="AY396" s="271" t="str">
        <f>IF($AX396="","",_xll.ciqfunctions.udf.CIQ($AX396,"iq_offer_date"))</f>
        <v/>
      </c>
      <c r="AZ396" s="272" t="str">
        <f>IF($AX396="","",RANK(AY396,$AY$10:$AY$510)+COUNTIF($AY$10:AY396,AY396)-1)</f>
        <v/>
      </c>
      <c r="BE396" s="177">
        <f t="shared" ref="BE396:BE459" si="25">BE395+1</f>
        <v>387</v>
      </c>
      <c r="BG396" s="273" t="str">
        <f>IF($BF396="","",_xll.ciqfunctions.udf.CIQ($BF396,"iq_security_level"))</f>
        <v/>
      </c>
      <c r="BH396" s="177" t="str">
        <f t="shared" ref="BH396:BH459" si="26">IF(BF396="","",IF(BG396="Preferred",BH395+1,BH395))</f>
        <v/>
      </c>
      <c r="BJ396" s="177" t="str">
        <f t="shared" si="24"/>
        <v/>
      </c>
      <c r="BK396" s="274" t="str">
        <f>IF($BJ396="","",_xll.ciqfunctions.udf.CIQ($BJ396,"iq_bond_coupon")/100)</f>
        <v/>
      </c>
    </row>
    <row r="397" spans="51:63" hidden="1" outlineLevel="1">
      <c r="AY397" s="271" t="str">
        <f>IF($AX397="","",_xll.ciqfunctions.udf.CIQ($AX397,"iq_offer_date"))</f>
        <v/>
      </c>
      <c r="AZ397" s="272" t="str">
        <f>IF($AX397="","",RANK(AY397,$AY$10:$AY$510)+COUNTIF($AY$10:AY397,AY397)-1)</f>
        <v/>
      </c>
      <c r="BE397" s="177">
        <f t="shared" si="25"/>
        <v>388</v>
      </c>
      <c r="BG397" s="273" t="str">
        <f>IF($BF397="","",_xll.ciqfunctions.udf.CIQ($BF397,"iq_security_level"))</f>
        <v/>
      </c>
      <c r="BH397" s="177" t="str">
        <f t="shared" si="26"/>
        <v/>
      </c>
      <c r="BJ397" s="177" t="str">
        <f t="shared" si="24"/>
        <v/>
      </c>
      <c r="BK397" s="274" t="str">
        <f>IF($BJ397="","",_xll.ciqfunctions.udf.CIQ($BJ397,"iq_bond_coupon")/100)</f>
        <v/>
      </c>
    </row>
    <row r="398" spans="51:63" hidden="1" outlineLevel="1">
      <c r="AY398" s="271" t="str">
        <f>IF($AX398="","",_xll.ciqfunctions.udf.CIQ($AX398,"iq_offer_date"))</f>
        <v/>
      </c>
      <c r="AZ398" s="272" t="str">
        <f>IF($AX398="","",RANK(AY398,$AY$10:$AY$510)+COUNTIF($AY$10:AY398,AY398)-1)</f>
        <v/>
      </c>
      <c r="BE398" s="177">
        <f t="shared" si="25"/>
        <v>389</v>
      </c>
      <c r="BG398" s="273" t="str">
        <f>IF($BF398="","",_xll.ciqfunctions.udf.CIQ($BF398,"iq_security_level"))</f>
        <v/>
      </c>
      <c r="BH398" s="177" t="str">
        <f t="shared" si="26"/>
        <v/>
      </c>
      <c r="BJ398" s="177" t="str">
        <f t="shared" si="24"/>
        <v/>
      </c>
      <c r="BK398" s="274" t="str">
        <f>IF($BJ398="","",_xll.ciqfunctions.udf.CIQ($BJ398,"iq_bond_coupon")/100)</f>
        <v/>
      </c>
    </row>
    <row r="399" spans="51:63" hidden="1" outlineLevel="1">
      <c r="AY399" s="271" t="str">
        <f>IF($AX399="","",_xll.ciqfunctions.udf.CIQ($AX399,"iq_offer_date"))</f>
        <v/>
      </c>
      <c r="AZ399" s="272" t="str">
        <f>IF($AX399="","",RANK(AY399,$AY$10:$AY$510)+COUNTIF($AY$10:AY399,AY399)-1)</f>
        <v/>
      </c>
      <c r="BE399" s="177">
        <f t="shared" si="25"/>
        <v>390</v>
      </c>
      <c r="BG399" s="273" t="str">
        <f>IF($BF399="","",_xll.ciqfunctions.udf.CIQ($BF399,"iq_security_level"))</f>
        <v/>
      </c>
      <c r="BH399" s="177" t="str">
        <f t="shared" si="26"/>
        <v/>
      </c>
      <c r="BJ399" s="177" t="str">
        <f t="shared" si="24"/>
        <v/>
      </c>
      <c r="BK399" s="274" t="str">
        <f>IF($BJ399="","",_xll.ciqfunctions.udf.CIQ($BJ399,"iq_bond_coupon")/100)</f>
        <v/>
      </c>
    </row>
    <row r="400" spans="51:63" hidden="1" outlineLevel="1">
      <c r="AY400" s="271" t="str">
        <f>IF($AX400="","",_xll.ciqfunctions.udf.CIQ($AX400,"iq_offer_date"))</f>
        <v/>
      </c>
      <c r="AZ400" s="272" t="str">
        <f>IF($AX400="","",RANK(AY400,$AY$10:$AY$510)+COUNTIF($AY$10:AY400,AY400)-1)</f>
        <v/>
      </c>
      <c r="BE400" s="177">
        <f t="shared" si="25"/>
        <v>391</v>
      </c>
      <c r="BG400" s="273" t="str">
        <f>IF($BF400="","",_xll.ciqfunctions.udf.CIQ($BF400,"iq_security_level"))</f>
        <v/>
      </c>
      <c r="BH400" s="177" t="str">
        <f t="shared" si="26"/>
        <v/>
      </c>
      <c r="BJ400" s="177" t="str">
        <f t="shared" si="24"/>
        <v/>
      </c>
      <c r="BK400" s="274" t="str">
        <f>IF($BJ400="","",_xll.ciqfunctions.udf.CIQ($BJ400,"iq_bond_coupon")/100)</f>
        <v/>
      </c>
    </row>
    <row r="401" spans="51:63" hidden="1" outlineLevel="1">
      <c r="AY401" s="271" t="str">
        <f>IF($AX401="","",_xll.ciqfunctions.udf.CIQ($AX401,"iq_offer_date"))</f>
        <v/>
      </c>
      <c r="AZ401" s="272" t="str">
        <f>IF($AX401="","",RANK(AY401,$AY$10:$AY$510)+COUNTIF($AY$10:AY401,AY401)-1)</f>
        <v/>
      </c>
      <c r="BE401" s="177">
        <f t="shared" si="25"/>
        <v>392</v>
      </c>
      <c r="BG401" s="273" t="str">
        <f>IF($BF401="","",_xll.ciqfunctions.udf.CIQ($BF401,"iq_security_level"))</f>
        <v/>
      </c>
      <c r="BH401" s="177" t="str">
        <f t="shared" si="26"/>
        <v/>
      </c>
      <c r="BJ401" s="177" t="str">
        <f t="shared" si="24"/>
        <v/>
      </c>
      <c r="BK401" s="274" t="str">
        <f>IF($BJ401="","",_xll.ciqfunctions.udf.CIQ($BJ401,"iq_bond_coupon")/100)</f>
        <v/>
      </c>
    </row>
    <row r="402" spans="51:63" hidden="1" outlineLevel="1">
      <c r="AY402" s="271" t="str">
        <f>IF($AX402="","",_xll.ciqfunctions.udf.CIQ($AX402,"iq_offer_date"))</f>
        <v/>
      </c>
      <c r="AZ402" s="272" t="str">
        <f>IF($AX402="","",RANK(AY402,$AY$10:$AY$510)+COUNTIF($AY$10:AY402,AY402)-1)</f>
        <v/>
      </c>
      <c r="BE402" s="177">
        <f t="shared" si="25"/>
        <v>393</v>
      </c>
      <c r="BG402" s="273" t="str">
        <f>IF($BF402="","",_xll.ciqfunctions.udf.CIQ($BF402,"iq_security_level"))</f>
        <v/>
      </c>
      <c r="BH402" s="177" t="str">
        <f t="shared" si="26"/>
        <v/>
      </c>
      <c r="BJ402" s="177" t="str">
        <f t="shared" si="24"/>
        <v/>
      </c>
      <c r="BK402" s="274" t="str">
        <f>IF($BJ402="","",_xll.ciqfunctions.udf.CIQ($BJ402,"iq_bond_coupon")/100)</f>
        <v/>
      </c>
    </row>
    <row r="403" spans="51:63" hidden="1" outlineLevel="1">
      <c r="AY403" s="271" t="str">
        <f>IF($AX403="","",_xll.ciqfunctions.udf.CIQ($AX403,"iq_offer_date"))</f>
        <v/>
      </c>
      <c r="AZ403" s="272" t="str">
        <f>IF($AX403="","",RANK(AY403,$AY$10:$AY$510)+COUNTIF($AY$10:AY403,AY403)-1)</f>
        <v/>
      </c>
      <c r="BE403" s="177">
        <f t="shared" si="25"/>
        <v>394</v>
      </c>
      <c r="BG403" s="273" t="str">
        <f>IF($BF403="","",_xll.ciqfunctions.udf.CIQ($BF403,"iq_security_level"))</f>
        <v/>
      </c>
      <c r="BH403" s="177" t="str">
        <f t="shared" si="26"/>
        <v/>
      </c>
      <c r="BJ403" s="177" t="str">
        <f t="shared" si="24"/>
        <v/>
      </c>
      <c r="BK403" s="274" t="str">
        <f>IF($BJ403="","",_xll.ciqfunctions.udf.CIQ($BJ403,"iq_bond_coupon")/100)</f>
        <v/>
      </c>
    </row>
    <row r="404" spans="51:63" hidden="1" outlineLevel="1">
      <c r="AY404" s="271" t="str">
        <f>IF($AX404="","",_xll.ciqfunctions.udf.CIQ($AX404,"iq_offer_date"))</f>
        <v/>
      </c>
      <c r="AZ404" s="272" t="str">
        <f>IF($AX404="","",RANK(AY404,$AY$10:$AY$510)+COUNTIF($AY$10:AY404,AY404)-1)</f>
        <v/>
      </c>
      <c r="BE404" s="177">
        <f t="shared" si="25"/>
        <v>395</v>
      </c>
      <c r="BG404" s="273" t="str">
        <f>IF($BF404="","",_xll.ciqfunctions.udf.CIQ($BF404,"iq_security_level"))</f>
        <v/>
      </c>
      <c r="BH404" s="177" t="str">
        <f t="shared" si="26"/>
        <v/>
      </c>
      <c r="BJ404" s="177" t="str">
        <f t="shared" si="24"/>
        <v/>
      </c>
      <c r="BK404" s="274" t="str">
        <f>IF($BJ404="","",_xll.ciqfunctions.udf.CIQ($BJ404,"iq_bond_coupon")/100)</f>
        <v/>
      </c>
    </row>
    <row r="405" spans="51:63" hidden="1" outlineLevel="1">
      <c r="AY405" s="271" t="str">
        <f>IF($AX405="","",_xll.ciqfunctions.udf.CIQ($AX405,"iq_offer_date"))</f>
        <v/>
      </c>
      <c r="AZ405" s="272" t="str">
        <f>IF($AX405="","",RANK(AY405,$AY$10:$AY$510)+COUNTIF($AY$10:AY405,AY405)-1)</f>
        <v/>
      </c>
      <c r="BE405" s="177">
        <f t="shared" si="25"/>
        <v>396</v>
      </c>
      <c r="BG405" s="273" t="str">
        <f>IF($BF405="","",_xll.ciqfunctions.udf.CIQ($BF405,"iq_security_level"))</f>
        <v/>
      </c>
      <c r="BH405" s="177" t="str">
        <f t="shared" si="26"/>
        <v/>
      </c>
      <c r="BJ405" s="177" t="str">
        <f t="shared" si="24"/>
        <v/>
      </c>
      <c r="BK405" s="274" t="str">
        <f>IF($BJ405="","",_xll.ciqfunctions.udf.CIQ($BJ405,"iq_bond_coupon")/100)</f>
        <v/>
      </c>
    </row>
    <row r="406" spans="51:63" hidden="1" outlineLevel="1">
      <c r="AY406" s="271" t="str">
        <f>IF($AX406="","",_xll.ciqfunctions.udf.CIQ($AX406,"iq_offer_date"))</f>
        <v/>
      </c>
      <c r="AZ406" s="272" t="str">
        <f>IF($AX406="","",RANK(AY406,$AY$10:$AY$510)+COUNTIF($AY$10:AY406,AY406)-1)</f>
        <v/>
      </c>
      <c r="BE406" s="177">
        <f t="shared" si="25"/>
        <v>397</v>
      </c>
      <c r="BG406" s="273" t="str">
        <f>IF($BF406="","",_xll.ciqfunctions.udf.CIQ($BF406,"iq_security_level"))</f>
        <v/>
      </c>
      <c r="BH406" s="177" t="str">
        <f t="shared" si="26"/>
        <v/>
      </c>
      <c r="BJ406" s="177" t="str">
        <f t="shared" si="24"/>
        <v/>
      </c>
      <c r="BK406" s="274" t="str">
        <f>IF($BJ406="","",_xll.ciqfunctions.udf.CIQ($BJ406,"iq_bond_coupon")/100)</f>
        <v/>
      </c>
    </row>
    <row r="407" spans="51:63" hidden="1" outlineLevel="1">
      <c r="AY407" s="271" t="str">
        <f>IF($AX407="","",_xll.ciqfunctions.udf.CIQ($AX407,"iq_offer_date"))</f>
        <v/>
      </c>
      <c r="AZ407" s="272" t="str">
        <f>IF($AX407="","",RANK(AY407,$AY$10:$AY$510)+COUNTIF($AY$10:AY407,AY407)-1)</f>
        <v/>
      </c>
      <c r="BE407" s="177">
        <f t="shared" si="25"/>
        <v>398</v>
      </c>
      <c r="BG407" s="273" t="str">
        <f>IF($BF407="","",_xll.ciqfunctions.udf.CIQ($BF407,"iq_security_level"))</f>
        <v/>
      </c>
      <c r="BH407" s="177" t="str">
        <f t="shared" si="26"/>
        <v/>
      </c>
      <c r="BJ407" s="177" t="str">
        <f t="shared" si="24"/>
        <v/>
      </c>
      <c r="BK407" s="274" t="str">
        <f>IF($BJ407="","",_xll.ciqfunctions.udf.CIQ($BJ407,"iq_bond_coupon")/100)</f>
        <v/>
      </c>
    </row>
    <row r="408" spans="51:63" hidden="1" outlineLevel="1">
      <c r="AY408" s="271" t="str">
        <f>IF($AX408="","",_xll.ciqfunctions.udf.CIQ($AX408,"iq_offer_date"))</f>
        <v/>
      </c>
      <c r="AZ408" s="272" t="str">
        <f>IF($AX408="","",RANK(AY408,$AY$10:$AY$510)+COUNTIF($AY$10:AY408,AY408)-1)</f>
        <v/>
      </c>
      <c r="BE408" s="177">
        <f t="shared" si="25"/>
        <v>399</v>
      </c>
      <c r="BG408" s="273" t="str">
        <f>IF($BF408="","",_xll.ciqfunctions.udf.CIQ($BF408,"iq_security_level"))</f>
        <v/>
      </c>
      <c r="BH408" s="177" t="str">
        <f t="shared" si="26"/>
        <v/>
      </c>
      <c r="BJ408" s="177" t="str">
        <f t="shared" si="24"/>
        <v/>
      </c>
      <c r="BK408" s="274" t="str">
        <f>IF($BJ408="","",_xll.ciqfunctions.udf.CIQ($BJ408,"iq_bond_coupon")/100)</f>
        <v/>
      </c>
    </row>
    <row r="409" spans="51:63" hidden="1" outlineLevel="1">
      <c r="AY409" s="271" t="str">
        <f>IF($AX409="","",_xll.ciqfunctions.udf.CIQ($AX409,"iq_offer_date"))</f>
        <v/>
      </c>
      <c r="AZ409" s="272" t="str">
        <f>IF($AX409="","",RANK(AY409,$AY$10:$AY$510)+COUNTIF($AY$10:AY409,AY409)-1)</f>
        <v/>
      </c>
      <c r="BE409" s="177">
        <f t="shared" si="25"/>
        <v>400</v>
      </c>
      <c r="BG409" s="273" t="str">
        <f>IF($BF409="","",_xll.ciqfunctions.udf.CIQ($BF409,"iq_security_level"))</f>
        <v/>
      </c>
      <c r="BH409" s="177" t="str">
        <f t="shared" si="26"/>
        <v/>
      </c>
      <c r="BJ409" s="177" t="str">
        <f t="shared" si="24"/>
        <v/>
      </c>
      <c r="BK409" s="274" t="str">
        <f>IF($BJ409="","",_xll.ciqfunctions.udf.CIQ($BJ409,"iq_bond_coupon")/100)</f>
        <v/>
      </c>
    </row>
    <row r="410" spans="51:63" hidden="1" outlineLevel="1">
      <c r="AY410" s="271" t="str">
        <f>IF($AX410="","",_xll.ciqfunctions.udf.CIQ($AX410,"iq_offer_date"))</f>
        <v/>
      </c>
      <c r="AZ410" s="272" t="str">
        <f>IF($AX410="","",RANK(AY410,$AY$10:$AY$510)+COUNTIF($AY$10:AY410,AY410)-1)</f>
        <v/>
      </c>
      <c r="BE410" s="177">
        <f t="shared" si="25"/>
        <v>401</v>
      </c>
      <c r="BG410" s="273" t="str">
        <f>IF($BF410="","",_xll.ciqfunctions.udf.CIQ($BF410,"iq_security_level"))</f>
        <v/>
      </c>
      <c r="BH410" s="177" t="str">
        <f t="shared" si="26"/>
        <v/>
      </c>
      <c r="BJ410" s="177" t="str">
        <f t="shared" si="24"/>
        <v/>
      </c>
      <c r="BK410" s="274" t="str">
        <f>IF($BJ410="","",_xll.ciqfunctions.udf.CIQ($BJ410,"iq_bond_coupon")/100)</f>
        <v/>
      </c>
    </row>
    <row r="411" spans="51:63" hidden="1" outlineLevel="1">
      <c r="AY411" s="271" t="str">
        <f>IF($AX411="","",_xll.ciqfunctions.udf.CIQ($AX411,"iq_offer_date"))</f>
        <v/>
      </c>
      <c r="AZ411" s="272" t="str">
        <f>IF($AX411="","",RANK(AY411,$AY$10:$AY$510)+COUNTIF($AY$10:AY411,AY411)-1)</f>
        <v/>
      </c>
      <c r="BE411" s="177">
        <f t="shared" si="25"/>
        <v>402</v>
      </c>
      <c r="BG411" s="273" t="str">
        <f>IF($BF411="","",_xll.ciqfunctions.udf.CIQ($BF411,"iq_security_level"))</f>
        <v/>
      </c>
      <c r="BH411" s="177" t="str">
        <f t="shared" si="26"/>
        <v/>
      </c>
      <c r="BJ411" s="177" t="str">
        <f t="shared" si="24"/>
        <v/>
      </c>
      <c r="BK411" s="274" t="str">
        <f>IF($BJ411="","",_xll.ciqfunctions.udf.CIQ($BJ411,"iq_bond_coupon")/100)</f>
        <v/>
      </c>
    </row>
    <row r="412" spans="51:63" hidden="1" outlineLevel="1">
      <c r="AY412" s="271" t="str">
        <f>IF($AX412="","",_xll.ciqfunctions.udf.CIQ($AX412,"iq_offer_date"))</f>
        <v/>
      </c>
      <c r="AZ412" s="272" t="str">
        <f>IF($AX412="","",RANK(AY412,$AY$10:$AY$510)+COUNTIF($AY$10:AY412,AY412)-1)</f>
        <v/>
      </c>
      <c r="BE412" s="177">
        <f t="shared" si="25"/>
        <v>403</v>
      </c>
      <c r="BG412" s="273" t="str">
        <f>IF($BF412="","",_xll.ciqfunctions.udf.CIQ($BF412,"iq_security_level"))</f>
        <v/>
      </c>
      <c r="BH412" s="177" t="str">
        <f t="shared" si="26"/>
        <v/>
      </c>
      <c r="BJ412" s="177" t="str">
        <f t="shared" si="24"/>
        <v/>
      </c>
      <c r="BK412" s="274" t="str">
        <f>IF($BJ412="","",_xll.ciqfunctions.udf.CIQ($BJ412,"iq_bond_coupon")/100)</f>
        <v/>
      </c>
    </row>
    <row r="413" spans="51:63" hidden="1" outlineLevel="1">
      <c r="AY413" s="271" t="str">
        <f>IF($AX413="","",_xll.ciqfunctions.udf.CIQ($AX413,"iq_offer_date"))</f>
        <v/>
      </c>
      <c r="AZ413" s="272" t="str">
        <f>IF($AX413="","",RANK(AY413,$AY$10:$AY$510)+COUNTIF($AY$10:AY413,AY413)-1)</f>
        <v/>
      </c>
      <c r="BE413" s="177">
        <f t="shared" si="25"/>
        <v>404</v>
      </c>
      <c r="BG413" s="273" t="str">
        <f>IF($BF413="","",_xll.ciqfunctions.udf.CIQ($BF413,"iq_security_level"))</f>
        <v/>
      </c>
      <c r="BH413" s="177" t="str">
        <f t="shared" si="26"/>
        <v/>
      </c>
      <c r="BJ413" s="177" t="str">
        <f t="shared" si="24"/>
        <v/>
      </c>
      <c r="BK413" s="274" t="str">
        <f>IF($BJ413="","",_xll.ciqfunctions.udf.CIQ($BJ413,"iq_bond_coupon")/100)</f>
        <v/>
      </c>
    </row>
    <row r="414" spans="51:63" hidden="1" outlineLevel="1">
      <c r="AY414" s="271" t="str">
        <f>IF($AX414="","",_xll.ciqfunctions.udf.CIQ($AX414,"iq_offer_date"))</f>
        <v/>
      </c>
      <c r="AZ414" s="272" t="str">
        <f>IF($AX414="","",RANK(AY414,$AY$10:$AY$510)+COUNTIF($AY$10:AY414,AY414)-1)</f>
        <v/>
      </c>
      <c r="BE414" s="177">
        <f t="shared" si="25"/>
        <v>405</v>
      </c>
      <c r="BG414" s="273" t="str">
        <f>IF($BF414="","",_xll.ciqfunctions.udf.CIQ($BF414,"iq_security_level"))</f>
        <v/>
      </c>
      <c r="BH414" s="177" t="str">
        <f t="shared" si="26"/>
        <v/>
      </c>
      <c r="BJ414" s="177" t="str">
        <f t="shared" si="24"/>
        <v/>
      </c>
      <c r="BK414" s="274" t="str">
        <f>IF($BJ414="","",_xll.ciqfunctions.udf.CIQ($BJ414,"iq_bond_coupon")/100)</f>
        <v/>
      </c>
    </row>
    <row r="415" spans="51:63" hidden="1" outlineLevel="1">
      <c r="AY415" s="271" t="str">
        <f>IF($AX415="","",_xll.ciqfunctions.udf.CIQ($AX415,"iq_offer_date"))</f>
        <v/>
      </c>
      <c r="AZ415" s="272" t="str">
        <f>IF($AX415="","",RANK(AY415,$AY$10:$AY$510)+COUNTIF($AY$10:AY415,AY415)-1)</f>
        <v/>
      </c>
      <c r="BE415" s="177">
        <f t="shared" si="25"/>
        <v>406</v>
      </c>
      <c r="BG415" s="273" t="str">
        <f>IF($BF415="","",_xll.ciqfunctions.udf.CIQ($BF415,"iq_security_level"))</f>
        <v/>
      </c>
      <c r="BH415" s="177" t="str">
        <f t="shared" si="26"/>
        <v/>
      </c>
      <c r="BJ415" s="177" t="str">
        <f t="shared" si="24"/>
        <v/>
      </c>
      <c r="BK415" s="274" t="str">
        <f>IF($BJ415="","",_xll.ciqfunctions.udf.CIQ($BJ415,"iq_bond_coupon")/100)</f>
        <v/>
      </c>
    </row>
    <row r="416" spans="51:63" hidden="1" outlineLevel="1">
      <c r="AY416" s="271" t="str">
        <f>IF($AX416="","",_xll.ciqfunctions.udf.CIQ($AX416,"iq_offer_date"))</f>
        <v/>
      </c>
      <c r="AZ416" s="272" t="str">
        <f>IF($AX416="","",RANK(AY416,$AY$10:$AY$510)+COUNTIF($AY$10:AY416,AY416)-1)</f>
        <v/>
      </c>
      <c r="BE416" s="177">
        <f t="shared" si="25"/>
        <v>407</v>
      </c>
      <c r="BG416" s="273" t="str">
        <f>IF($BF416="","",_xll.ciqfunctions.udf.CIQ($BF416,"iq_security_level"))</f>
        <v/>
      </c>
      <c r="BH416" s="177" t="str">
        <f t="shared" si="26"/>
        <v/>
      </c>
      <c r="BJ416" s="177" t="str">
        <f t="shared" si="24"/>
        <v/>
      </c>
      <c r="BK416" s="274" t="str">
        <f>IF($BJ416="","",_xll.ciqfunctions.udf.CIQ($BJ416,"iq_bond_coupon")/100)</f>
        <v/>
      </c>
    </row>
    <row r="417" spans="51:63" hidden="1" outlineLevel="1">
      <c r="AY417" s="271" t="str">
        <f>IF($AX417="","",_xll.ciqfunctions.udf.CIQ($AX417,"iq_offer_date"))</f>
        <v/>
      </c>
      <c r="AZ417" s="272" t="str">
        <f>IF($AX417="","",RANK(AY417,$AY$10:$AY$510)+COUNTIF($AY$10:AY417,AY417)-1)</f>
        <v/>
      </c>
      <c r="BE417" s="177">
        <f t="shared" si="25"/>
        <v>408</v>
      </c>
      <c r="BG417" s="273" t="str">
        <f>IF($BF417="","",_xll.ciqfunctions.udf.CIQ($BF417,"iq_security_level"))</f>
        <v/>
      </c>
      <c r="BH417" s="177" t="str">
        <f t="shared" si="26"/>
        <v/>
      </c>
      <c r="BJ417" s="177" t="str">
        <f t="shared" si="24"/>
        <v/>
      </c>
      <c r="BK417" s="274" t="str">
        <f>IF($BJ417="","",_xll.ciqfunctions.udf.CIQ($BJ417,"iq_bond_coupon")/100)</f>
        <v/>
      </c>
    </row>
    <row r="418" spans="51:63" hidden="1" outlineLevel="1">
      <c r="AY418" s="271" t="str">
        <f>IF($AX418="","",_xll.ciqfunctions.udf.CIQ($AX418,"iq_offer_date"))</f>
        <v/>
      </c>
      <c r="AZ418" s="272" t="str">
        <f>IF($AX418="","",RANK(AY418,$AY$10:$AY$510)+COUNTIF($AY$10:AY418,AY418)-1)</f>
        <v/>
      </c>
      <c r="BE418" s="177">
        <f t="shared" si="25"/>
        <v>409</v>
      </c>
      <c r="BG418" s="273" t="str">
        <f>IF($BF418="","",_xll.ciqfunctions.udf.CIQ($BF418,"iq_security_level"))</f>
        <v/>
      </c>
      <c r="BH418" s="177" t="str">
        <f t="shared" si="26"/>
        <v/>
      </c>
      <c r="BJ418" s="177" t="str">
        <f t="shared" si="24"/>
        <v/>
      </c>
      <c r="BK418" s="274" t="str">
        <f>IF($BJ418="","",_xll.ciqfunctions.udf.CIQ($BJ418,"iq_bond_coupon")/100)</f>
        <v/>
      </c>
    </row>
    <row r="419" spans="51:63" hidden="1" outlineLevel="1">
      <c r="AY419" s="271" t="str">
        <f>IF($AX419="","",_xll.ciqfunctions.udf.CIQ($AX419,"iq_offer_date"))</f>
        <v/>
      </c>
      <c r="AZ419" s="272" t="str">
        <f>IF($AX419="","",RANK(AY419,$AY$10:$AY$510)+COUNTIF($AY$10:AY419,AY419)-1)</f>
        <v/>
      </c>
      <c r="BE419" s="177">
        <f t="shared" si="25"/>
        <v>410</v>
      </c>
      <c r="BG419" s="273" t="str">
        <f>IF($BF419="","",_xll.ciqfunctions.udf.CIQ($BF419,"iq_security_level"))</f>
        <v/>
      </c>
      <c r="BH419" s="177" t="str">
        <f t="shared" si="26"/>
        <v/>
      </c>
      <c r="BJ419" s="177" t="str">
        <f t="shared" si="24"/>
        <v/>
      </c>
      <c r="BK419" s="274" t="str">
        <f>IF($BJ419="","",_xll.ciqfunctions.udf.CIQ($BJ419,"iq_bond_coupon")/100)</f>
        <v/>
      </c>
    </row>
    <row r="420" spans="51:63" hidden="1" outlineLevel="1">
      <c r="AY420" s="271" t="str">
        <f>IF($AX420="","",_xll.ciqfunctions.udf.CIQ($AX420,"iq_offer_date"))</f>
        <v/>
      </c>
      <c r="AZ420" s="272" t="str">
        <f>IF($AX420="","",RANK(AY420,$AY$10:$AY$510)+COUNTIF($AY$10:AY420,AY420)-1)</f>
        <v/>
      </c>
      <c r="BE420" s="177">
        <f t="shared" si="25"/>
        <v>411</v>
      </c>
      <c r="BG420" s="273" t="str">
        <f>IF($BF420="","",_xll.ciqfunctions.udf.CIQ($BF420,"iq_security_level"))</f>
        <v/>
      </c>
      <c r="BH420" s="177" t="str">
        <f t="shared" si="26"/>
        <v/>
      </c>
      <c r="BJ420" s="177" t="str">
        <f t="shared" si="24"/>
        <v/>
      </c>
      <c r="BK420" s="274" t="str">
        <f>IF($BJ420="","",_xll.ciqfunctions.udf.CIQ($BJ420,"iq_bond_coupon")/100)</f>
        <v/>
      </c>
    </row>
    <row r="421" spans="51:63" hidden="1" outlineLevel="1">
      <c r="AY421" s="271" t="str">
        <f>IF($AX421="","",_xll.ciqfunctions.udf.CIQ($AX421,"iq_offer_date"))</f>
        <v/>
      </c>
      <c r="AZ421" s="272" t="str">
        <f>IF($AX421="","",RANK(AY421,$AY$10:$AY$510)+COUNTIF($AY$10:AY421,AY421)-1)</f>
        <v/>
      </c>
      <c r="BE421" s="177">
        <f t="shared" si="25"/>
        <v>412</v>
      </c>
      <c r="BG421" s="273" t="str">
        <f>IF($BF421="","",_xll.ciqfunctions.udf.CIQ($BF421,"iq_security_level"))</f>
        <v/>
      </c>
      <c r="BH421" s="177" t="str">
        <f t="shared" si="26"/>
        <v/>
      </c>
      <c r="BJ421" s="177" t="str">
        <f t="shared" si="24"/>
        <v/>
      </c>
      <c r="BK421" s="274" t="str">
        <f>IF($BJ421="","",_xll.ciqfunctions.udf.CIQ($BJ421,"iq_bond_coupon")/100)</f>
        <v/>
      </c>
    </row>
    <row r="422" spans="51:63" hidden="1" outlineLevel="1">
      <c r="AY422" s="271" t="str">
        <f>IF($AX422="","",_xll.ciqfunctions.udf.CIQ($AX422,"iq_offer_date"))</f>
        <v/>
      </c>
      <c r="AZ422" s="272" t="str">
        <f>IF($AX422="","",RANK(AY422,$AY$10:$AY$510)+COUNTIF($AY$10:AY422,AY422)-1)</f>
        <v/>
      </c>
      <c r="BE422" s="177">
        <f t="shared" si="25"/>
        <v>413</v>
      </c>
      <c r="BG422" s="273" t="str">
        <f>IF($BF422="","",_xll.ciqfunctions.udf.CIQ($BF422,"iq_security_level"))</f>
        <v/>
      </c>
      <c r="BH422" s="177" t="str">
        <f t="shared" si="26"/>
        <v/>
      </c>
      <c r="BJ422" s="177" t="str">
        <f t="shared" si="24"/>
        <v/>
      </c>
      <c r="BK422" s="274" t="str">
        <f>IF($BJ422="","",_xll.ciqfunctions.udf.CIQ($BJ422,"iq_bond_coupon")/100)</f>
        <v/>
      </c>
    </row>
    <row r="423" spans="51:63" hidden="1" outlineLevel="1">
      <c r="AY423" s="271" t="str">
        <f>IF($AX423="","",_xll.ciqfunctions.udf.CIQ($AX423,"iq_offer_date"))</f>
        <v/>
      </c>
      <c r="AZ423" s="272" t="str">
        <f>IF($AX423="","",RANK(AY423,$AY$10:$AY$510)+COUNTIF($AY$10:AY423,AY423)-1)</f>
        <v/>
      </c>
      <c r="BE423" s="177">
        <f t="shared" si="25"/>
        <v>414</v>
      </c>
      <c r="BG423" s="273" t="str">
        <f>IF($BF423="","",_xll.ciqfunctions.udf.CIQ($BF423,"iq_security_level"))</f>
        <v/>
      </c>
      <c r="BH423" s="177" t="str">
        <f t="shared" si="26"/>
        <v/>
      </c>
      <c r="BJ423" s="177" t="str">
        <f t="shared" si="24"/>
        <v/>
      </c>
      <c r="BK423" s="274" t="str">
        <f>IF($BJ423="","",_xll.ciqfunctions.udf.CIQ($BJ423,"iq_bond_coupon")/100)</f>
        <v/>
      </c>
    </row>
    <row r="424" spans="51:63" hidden="1" outlineLevel="1">
      <c r="AY424" s="271" t="str">
        <f>IF($AX424="","",_xll.ciqfunctions.udf.CIQ($AX424,"iq_offer_date"))</f>
        <v/>
      </c>
      <c r="AZ424" s="272" t="str">
        <f>IF($AX424="","",RANK(AY424,$AY$10:$AY$510)+COUNTIF($AY$10:AY424,AY424)-1)</f>
        <v/>
      </c>
      <c r="BE424" s="177">
        <f t="shared" si="25"/>
        <v>415</v>
      </c>
      <c r="BG424" s="273" t="str">
        <f>IF($BF424="","",_xll.ciqfunctions.udf.CIQ($BF424,"iq_security_level"))</f>
        <v/>
      </c>
      <c r="BH424" s="177" t="str">
        <f t="shared" si="26"/>
        <v/>
      </c>
      <c r="BJ424" s="177" t="str">
        <f t="shared" si="24"/>
        <v/>
      </c>
      <c r="BK424" s="274" t="str">
        <f>IF($BJ424="","",_xll.ciqfunctions.udf.CIQ($BJ424,"iq_bond_coupon")/100)</f>
        <v/>
      </c>
    </row>
    <row r="425" spans="51:63" hidden="1" outlineLevel="1">
      <c r="AY425" s="271" t="str">
        <f>IF($AX425="","",_xll.ciqfunctions.udf.CIQ($AX425,"iq_offer_date"))</f>
        <v/>
      </c>
      <c r="AZ425" s="272" t="str">
        <f>IF($AX425="","",RANK(AY425,$AY$10:$AY$510)+COUNTIF($AY$10:AY425,AY425)-1)</f>
        <v/>
      </c>
      <c r="BE425" s="177">
        <f t="shared" si="25"/>
        <v>416</v>
      </c>
      <c r="BG425" s="273" t="str">
        <f>IF($BF425="","",_xll.ciqfunctions.udf.CIQ($BF425,"iq_security_level"))</f>
        <v/>
      </c>
      <c r="BH425" s="177" t="str">
        <f t="shared" si="26"/>
        <v/>
      </c>
      <c r="BJ425" s="177" t="str">
        <f t="shared" si="24"/>
        <v/>
      </c>
      <c r="BK425" s="274" t="str">
        <f>IF($BJ425="","",_xll.ciqfunctions.udf.CIQ($BJ425,"iq_bond_coupon")/100)</f>
        <v/>
      </c>
    </row>
    <row r="426" spans="51:63" hidden="1" outlineLevel="1">
      <c r="AY426" s="271" t="str">
        <f>IF($AX426="","",_xll.ciqfunctions.udf.CIQ($AX426,"iq_offer_date"))</f>
        <v/>
      </c>
      <c r="AZ426" s="272" t="str">
        <f>IF($AX426="","",RANK(AY426,$AY$10:$AY$510)+COUNTIF($AY$10:AY426,AY426)-1)</f>
        <v/>
      </c>
      <c r="BE426" s="177">
        <f t="shared" si="25"/>
        <v>417</v>
      </c>
      <c r="BG426" s="273" t="str">
        <f>IF($BF426="","",_xll.ciqfunctions.udf.CIQ($BF426,"iq_security_level"))</f>
        <v/>
      </c>
      <c r="BH426" s="177" t="str">
        <f t="shared" si="26"/>
        <v/>
      </c>
      <c r="BJ426" s="177" t="str">
        <f t="shared" si="24"/>
        <v/>
      </c>
      <c r="BK426" s="274" t="str">
        <f>IF($BJ426="","",_xll.ciqfunctions.udf.CIQ($BJ426,"iq_bond_coupon")/100)</f>
        <v/>
      </c>
    </row>
    <row r="427" spans="51:63" hidden="1" outlineLevel="1">
      <c r="AY427" s="271" t="str">
        <f>IF($AX427="","",_xll.ciqfunctions.udf.CIQ($AX427,"iq_offer_date"))</f>
        <v/>
      </c>
      <c r="AZ427" s="272" t="str">
        <f>IF($AX427="","",RANK(AY427,$AY$10:$AY$510)+COUNTIF($AY$10:AY427,AY427)-1)</f>
        <v/>
      </c>
      <c r="BE427" s="177">
        <f t="shared" si="25"/>
        <v>418</v>
      </c>
      <c r="BG427" s="273" t="str">
        <f>IF($BF427="","",_xll.ciqfunctions.udf.CIQ($BF427,"iq_security_level"))</f>
        <v/>
      </c>
      <c r="BH427" s="177" t="str">
        <f t="shared" si="26"/>
        <v/>
      </c>
      <c r="BJ427" s="177" t="str">
        <f t="shared" si="24"/>
        <v/>
      </c>
      <c r="BK427" s="274" t="str">
        <f>IF($BJ427="","",_xll.ciqfunctions.udf.CIQ($BJ427,"iq_bond_coupon")/100)</f>
        <v/>
      </c>
    </row>
    <row r="428" spans="51:63" hidden="1" outlineLevel="1">
      <c r="AY428" s="271" t="str">
        <f>IF($AX428="","",_xll.ciqfunctions.udf.CIQ($AX428,"iq_offer_date"))</f>
        <v/>
      </c>
      <c r="AZ428" s="272" t="str">
        <f>IF($AX428="","",RANK(AY428,$AY$10:$AY$510)+COUNTIF($AY$10:AY428,AY428)-1)</f>
        <v/>
      </c>
      <c r="BE428" s="177">
        <f t="shared" si="25"/>
        <v>419</v>
      </c>
      <c r="BG428" s="273" t="str">
        <f>IF($BF428="","",_xll.ciqfunctions.udf.CIQ($BF428,"iq_security_level"))</f>
        <v/>
      </c>
      <c r="BH428" s="177" t="str">
        <f t="shared" si="26"/>
        <v/>
      </c>
      <c r="BJ428" s="177" t="str">
        <f t="shared" si="24"/>
        <v/>
      </c>
      <c r="BK428" s="274" t="str">
        <f>IF($BJ428="","",_xll.ciqfunctions.udf.CIQ($BJ428,"iq_bond_coupon")/100)</f>
        <v/>
      </c>
    </row>
    <row r="429" spans="51:63" hidden="1" outlineLevel="1">
      <c r="AY429" s="271" t="str">
        <f>IF($AX429="","",_xll.ciqfunctions.udf.CIQ($AX429,"iq_offer_date"))</f>
        <v/>
      </c>
      <c r="AZ429" s="272" t="str">
        <f>IF($AX429="","",RANK(AY429,$AY$10:$AY$510)+COUNTIF($AY$10:AY429,AY429)-1)</f>
        <v/>
      </c>
      <c r="BE429" s="177">
        <f t="shared" si="25"/>
        <v>420</v>
      </c>
      <c r="BG429" s="273" t="str">
        <f>IF($BF429="","",_xll.ciqfunctions.udf.CIQ($BF429,"iq_security_level"))</f>
        <v/>
      </c>
      <c r="BH429" s="177" t="str">
        <f t="shared" si="26"/>
        <v/>
      </c>
      <c r="BJ429" s="177" t="str">
        <f t="shared" si="24"/>
        <v/>
      </c>
      <c r="BK429" s="274" t="str">
        <f>IF($BJ429="","",_xll.ciqfunctions.udf.CIQ($BJ429,"iq_bond_coupon")/100)</f>
        <v/>
      </c>
    </row>
    <row r="430" spans="51:63" hidden="1" outlineLevel="1">
      <c r="AY430" s="271" t="str">
        <f>IF($AX430="","",_xll.ciqfunctions.udf.CIQ($AX430,"iq_offer_date"))</f>
        <v/>
      </c>
      <c r="AZ430" s="272" t="str">
        <f>IF($AX430="","",RANK(AY430,$AY$10:$AY$510)+COUNTIF($AY$10:AY430,AY430)-1)</f>
        <v/>
      </c>
      <c r="BE430" s="177">
        <f t="shared" si="25"/>
        <v>421</v>
      </c>
      <c r="BG430" s="273" t="str">
        <f>IF($BF430="","",_xll.ciqfunctions.udf.CIQ($BF430,"iq_security_level"))</f>
        <v/>
      </c>
      <c r="BH430" s="177" t="str">
        <f t="shared" si="26"/>
        <v/>
      </c>
      <c r="BJ430" s="177" t="str">
        <f t="shared" si="24"/>
        <v/>
      </c>
      <c r="BK430" s="274" t="str">
        <f>IF($BJ430="","",_xll.ciqfunctions.udf.CIQ($BJ430,"iq_bond_coupon")/100)</f>
        <v/>
      </c>
    </row>
    <row r="431" spans="51:63" hidden="1" outlineLevel="1">
      <c r="AY431" s="271" t="str">
        <f>IF($AX431="","",_xll.ciqfunctions.udf.CIQ($AX431,"iq_offer_date"))</f>
        <v/>
      </c>
      <c r="AZ431" s="272" t="str">
        <f>IF($AX431="","",RANK(AY431,$AY$10:$AY$510)+COUNTIF($AY$10:AY431,AY431)-1)</f>
        <v/>
      </c>
      <c r="BE431" s="177">
        <f t="shared" si="25"/>
        <v>422</v>
      </c>
      <c r="BG431" s="273" t="str">
        <f>IF($BF431="","",_xll.ciqfunctions.udf.CIQ($BF431,"iq_security_level"))</f>
        <v/>
      </c>
      <c r="BH431" s="177" t="str">
        <f t="shared" si="26"/>
        <v/>
      </c>
      <c r="BJ431" s="177" t="str">
        <f t="shared" si="24"/>
        <v/>
      </c>
      <c r="BK431" s="274" t="str">
        <f>IF($BJ431="","",_xll.ciqfunctions.udf.CIQ($BJ431,"iq_bond_coupon")/100)</f>
        <v/>
      </c>
    </row>
    <row r="432" spans="51:63" hidden="1" outlineLevel="1">
      <c r="AY432" s="271" t="str">
        <f>IF($AX432="","",_xll.ciqfunctions.udf.CIQ($AX432,"iq_offer_date"))</f>
        <v/>
      </c>
      <c r="AZ432" s="272" t="str">
        <f>IF($AX432="","",RANK(AY432,$AY$10:$AY$510)+COUNTIF($AY$10:AY432,AY432)-1)</f>
        <v/>
      </c>
      <c r="BE432" s="177">
        <f t="shared" si="25"/>
        <v>423</v>
      </c>
      <c r="BG432" s="273" t="str">
        <f>IF($BF432="","",_xll.ciqfunctions.udf.CIQ($BF432,"iq_security_level"))</f>
        <v/>
      </c>
      <c r="BH432" s="177" t="str">
        <f t="shared" si="26"/>
        <v/>
      </c>
      <c r="BJ432" s="177" t="str">
        <f t="shared" si="24"/>
        <v/>
      </c>
      <c r="BK432" s="274" t="str">
        <f>IF($BJ432="","",_xll.ciqfunctions.udf.CIQ($BJ432,"iq_bond_coupon")/100)</f>
        <v/>
      </c>
    </row>
    <row r="433" spans="51:63" hidden="1" outlineLevel="1">
      <c r="AY433" s="271" t="str">
        <f>IF($AX433="","",_xll.ciqfunctions.udf.CIQ($AX433,"iq_offer_date"))</f>
        <v/>
      </c>
      <c r="AZ433" s="272" t="str">
        <f>IF($AX433="","",RANK(AY433,$AY$10:$AY$510)+COUNTIF($AY$10:AY433,AY433)-1)</f>
        <v/>
      </c>
      <c r="BE433" s="177">
        <f t="shared" si="25"/>
        <v>424</v>
      </c>
      <c r="BG433" s="273" t="str">
        <f>IF($BF433="","",_xll.ciqfunctions.udf.CIQ($BF433,"iq_security_level"))</f>
        <v/>
      </c>
      <c r="BH433" s="177" t="str">
        <f t="shared" si="26"/>
        <v/>
      </c>
      <c r="BJ433" s="177" t="str">
        <f t="shared" si="24"/>
        <v/>
      </c>
      <c r="BK433" s="274" t="str">
        <f>IF($BJ433="","",_xll.ciqfunctions.udf.CIQ($BJ433,"iq_bond_coupon")/100)</f>
        <v/>
      </c>
    </row>
    <row r="434" spans="51:63" hidden="1" outlineLevel="1">
      <c r="AY434" s="271" t="str">
        <f>IF($AX434="","",_xll.ciqfunctions.udf.CIQ($AX434,"iq_offer_date"))</f>
        <v/>
      </c>
      <c r="AZ434" s="272" t="str">
        <f>IF($AX434="","",RANK(AY434,$AY$10:$AY$510)+COUNTIF($AY$10:AY434,AY434)-1)</f>
        <v/>
      </c>
      <c r="BE434" s="177">
        <f t="shared" si="25"/>
        <v>425</v>
      </c>
      <c r="BG434" s="273" t="str">
        <f>IF($BF434="","",_xll.ciqfunctions.udf.CIQ($BF434,"iq_security_level"))</f>
        <v/>
      </c>
      <c r="BH434" s="177" t="str">
        <f t="shared" si="26"/>
        <v/>
      </c>
      <c r="BJ434" s="177" t="str">
        <f t="shared" si="24"/>
        <v/>
      </c>
      <c r="BK434" s="274" t="str">
        <f>IF($BJ434="","",_xll.ciqfunctions.udf.CIQ($BJ434,"iq_bond_coupon")/100)</f>
        <v/>
      </c>
    </row>
    <row r="435" spans="51:63" hidden="1" outlineLevel="1">
      <c r="AY435" s="271" t="str">
        <f>IF($AX435="","",_xll.ciqfunctions.udf.CIQ($AX435,"iq_offer_date"))</f>
        <v/>
      </c>
      <c r="AZ435" s="272" t="str">
        <f>IF($AX435="","",RANK(AY435,$AY$10:$AY$510)+COUNTIF($AY$10:AY435,AY435)-1)</f>
        <v/>
      </c>
      <c r="BE435" s="177">
        <f t="shared" si="25"/>
        <v>426</v>
      </c>
      <c r="BG435" s="273" t="str">
        <f>IF($BF435="","",_xll.ciqfunctions.udf.CIQ($BF435,"iq_security_level"))</f>
        <v/>
      </c>
      <c r="BH435" s="177" t="str">
        <f t="shared" si="26"/>
        <v/>
      </c>
      <c r="BJ435" s="177" t="str">
        <f t="shared" si="24"/>
        <v/>
      </c>
      <c r="BK435" s="274" t="str">
        <f>IF($BJ435="","",_xll.ciqfunctions.udf.CIQ($BJ435,"iq_bond_coupon")/100)</f>
        <v/>
      </c>
    </row>
    <row r="436" spans="51:63" hidden="1" outlineLevel="1">
      <c r="AY436" s="271" t="str">
        <f>IF($AX436="","",_xll.ciqfunctions.udf.CIQ($AX436,"iq_offer_date"))</f>
        <v/>
      </c>
      <c r="AZ436" s="272" t="str">
        <f>IF($AX436="","",RANK(AY436,$AY$10:$AY$510)+COUNTIF($AY$10:AY436,AY436)-1)</f>
        <v/>
      </c>
      <c r="BE436" s="177">
        <f t="shared" si="25"/>
        <v>427</v>
      </c>
      <c r="BG436" s="273" t="str">
        <f>IF($BF436="","",_xll.ciqfunctions.udf.CIQ($BF436,"iq_security_level"))</f>
        <v/>
      </c>
      <c r="BH436" s="177" t="str">
        <f t="shared" si="26"/>
        <v/>
      </c>
      <c r="BJ436" s="177" t="str">
        <f t="shared" si="24"/>
        <v/>
      </c>
      <c r="BK436" s="274" t="str">
        <f>IF($BJ436="","",_xll.ciqfunctions.udf.CIQ($BJ436,"iq_bond_coupon")/100)</f>
        <v/>
      </c>
    </row>
    <row r="437" spans="51:63" hidden="1" outlineLevel="1">
      <c r="AY437" s="271" t="str">
        <f>IF($AX437="","",_xll.ciqfunctions.udf.CIQ($AX437,"iq_offer_date"))</f>
        <v/>
      </c>
      <c r="AZ437" s="272" t="str">
        <f>IF($AX437="","",RANK(AY437,$AY$10:$AY$510)+COUNTIF($AY$10:AY437,AY437)-1)</f>
        <v/>
      </c>
      <c r="BE437" s="177">
        <f t="shared" si="25"/>
        <v>428</v>
      </c>
      <c r="BG437" s="273" t="str">
        <f>IF($BF437="","",_xll.ciqfunctions.udf.CIQ($BF437,"iq_security_level"))</f>
        <v/>
      </c>
      <c r="BH437" s="177" t="str">
        <f t="shared" si="26"/>
        <v/>
      </c>
      <c r="BJ437" s="177" t="str">
        <f t="shared" ref="BJ437:BJ500" si="27">IF($BF436="","",IF(ISERROR(INDEX($BF$10:$BF$509,MATCH(BE436,$BH$10:$BH$509,0))),"",INDEX($BF$10:$BF$509,MATCH(BE436,$BH$10:$BH$509,0))))</f>
        <v/>
      </c>
      <c r="BK437" s="274" t="str">
        <f>IF($BJ437="","",_xll.ciqfunctions.udf.CIQ($BJ437,"iq_bond_coupon")/100)</f>
        <v/>
      </c>
    </row>
    <row r="438" spans="51:63" hidden="1" outlineLevel="1">
      <c r="AY438" s="271" t="str">
        <f>IF($AX438="","",_xll.ciqfunctions.udf.CIQ($AX438,"iq_offer_date"))</f>
        <v/>
      </c>
      <c r="AZ438" s="272" t="str">
        <f>IF($AX438="","",RANK(AY438,$AY$10:$AY$510)+COUNTIF($AY$10:AY438,AY438)-1)</f>
        <v/>
      </c>
      <c r="BE438" s="177">
        <f t="shared" si="25"/>
        <v>429</v>
      </c>
      <c r="BG438" s="273" t="str">
        <f>IF($BF438="","",_xll.ciqfunctions.udf.CIQ($BF438,"iq_security_level"))</f>
        <v/>
      </c>
      <c r="BH438" s="177" t="str">
        <f t="shared" si="26"/>
        <v/>
      </c>
      <c r="BJ438" s="177" t="str">
        <f t="shared" si="27"/>
        <v/>
      </c>
      <c r="BK438" s="274" t="str">
        <f>IF($BJ438="","",_xll.ciqfunctions.udf.CIQ($BJ438,"iq_bond_coupon")/100)</f>
        <v/>
      </c>
    </row>
    <row r="439" spans="51:63" hidden="1" outlineLevel="1">
      <c r="AY439" s="271" t="str">
        <f>IF($AX439="","",_xll.ciqfunctions.udf.CIQ($AX439,"iq_offer_date"))</f>
        <v/>
      </c>
      <c r="AZ439" s="272" t="str">
        <f>IF($AX439="","",RANK(AY439,$AY$10:$AY$510)+COUNTIF($AY$10:AY439,AY439)-1)</f>
        <v/>
      </c>
      <c r="BE439" s="177">
        <f t="shared" si="25"/>
        <v>430</v>
      </c>
      <c r="BG439" s="273" t="str">
        <f>IF($BF439="","",_xll.ciqfunctions.udf.CIQ($BF439,"iq_security_level"))</f>
        <v/>
      </c>
      <c r="BH439" s="177" t="str">
        <f t="shared" si="26"/>
        <v/>
      </c>
      <c r="BJ439" s="177" t="str">
        <f t="shared" si="27"/>
        <v/>
      </c>
      <c r="BK439" s="274" t="str">
        <f>IF($BJ439="","",_xll.ciqfunctions.udf.CIQ($BJ439,"iq_bond_coupon")/100)</f>
        <v/>
      </c>
    </row>
    <row r="440" spans="51:63" hidden="1" outlineLevel="1">
      <c r="AY440" s="271" t="str">
        <f>IF($AX440="","",_xll.ciqfunctions.udf.CIQ($AX440,"iq_offer_date"))</f>
        <v/>
      </c>
      <c r="AZ440" s="272" t="str">
        <f>IF($AX440="","",RANK(AY440,$AY$10:$AY$510)+COUNTIF($AY$10:AY440,AY440)-1)</f>
        <v/>
      </c>
      <c r="BE440" s="177">
        <f t="shared" si="25"/>
        <v>431</v>
      </c>
      <c r="BG440" s="273" t="str">
        <f>IF($BF440="","",_xll.ciqfunctions.udf.CIQ($BF440,"iq_security_level"))</f>
        <v/>
      </c>
      <c r="BH440" s="177" t="str">
        <f t="shared" si="26"/>
        <v/>
      </c>
      <c r="BJ440" s="177" t="str">
        <f t="shared" si="27"/>
        <v/>
      </c>
      <c r="BK440" s="274" t="str">
        <f>IF($BJ440="","",_xll.ciqfunctions.udf.CIQ($BJ440,"iq_bond_coupon")/100)</f>
        <v/>
      </c>
    </row>
    <row r="441" spans="51:63" hidden="1" outlineLevel="1">
      <c r="AY441" s="271" t="str">
        <f>IF($AX441="","",_xll.ciqfunctions.udf.CIQ($AX441,"iq_offer_date"))</f>
        <v/>
      </c>
      <c r="AZ441" s="272" t="str">
        <f>IF($AX441="","",RANK(AY441,$AY$10:$AY$510)+COUNTIF($AY$10:AY441,AY441)-1)</f>
        <v/>
      </c>
      <c r="BE441" s="177">
        <f t="shared" si="25"/>
        <v>432</v>
      </c>
      <c r="BG441" s="273" t="str">
        <f>IF($BF441="","",_xll.ciqfunctions.udf.CIQ($BF441,"iq_security_level"))</f>
        <v/>
      </c>
      <c r="BH441" s="177" t="str">
        <f t="shared" si="26"/>
        <v/>
      </c>
      <c r="BJ441" s="177" t="str">
        <f t="shared" si="27"/>
        <v/>
      </c>
      <c r="BK441" s="274" t="str">
        <f>IF($BJ441="","",_xll.ciqfunctions.udf.CIQ($BJ441,"iq_bond_coupon")/100)</f>
        <v/>
      </c>
    </row>
    <row r="442" spans="51:63" hidden="1" outlineLevel="1">
      <c r="AY442" s="271" t="str">
        <f>IF($AX442="","",_xll.ciqfunctions.udf.CIQ($AX442,"iq_offer_date"))</f>
        <v/>
      </c>
      <c r="AZ442" s="272" t="str">
        <f>IF($AX442="","",RANK(AY442,$AY$10:$AY$510)+COUNTIF($AY$10:AY442,AY442)-1)</f>
        <v/>
      </c>
      <c r="BE442" s="177">
        <f t="shared" si="25"/>
        <v>433</v>
      </c>
      <c r="BG442" s="273" t="str">
        <f>IF($BF442="","",_xll.ciqfunctions.udf.CIQ($BF442,"iq_security_level"))</f>
        <v/>
      </c>
      <c r="BH442" s="177" t="str">
        <f t="shared" si="26"/>
        <v/>
      </c>
      <c r="BJ442" s="177" t="str">
        <f t="shared" si="27"/>
        <v/>
      </c>
      <c r="BK442" s="274" t="str">
        <f>IF($BJ442="","",_xll.ciqfunctions.udf.CIQ($BJ442,"iq_bond_coupon")/100)</f>
        <v/>
      </c>
    </row>
    <row r="443" spans="51:63" hidden="1" outlineLevel="1">
      <c r="AY443" s="271" t="str">
        <f>IF($AX443="","",_xll.ciqfunctions.udf.CIQ($AX443,"iq_offer_date"))</f>
        <v/>
      </c>
      <c r="AZ443" s="272" t="str">
        <f>IF($AX443="","",RANK(AY443,$AY$10:$AY$510)+COUNTIF($AY$10:AY443,AY443)-1)</f>
        <v/>
      </c>
      <c r="BE443" s="177">
        <f t="shared" si="25"/>
        <v>434</v>
      </c>
      <c r="BG443" s="273" t="str">
        <f>IF($BF443="","",_xll.ciqfunctions.udf.CIQ($BF443,"iq_security_level"))</f>
        <v/>
      </c>
      <c r="BH443" s="177" t="str">
        <f t="shared" si="26"/>
        <v/>
      </c>
      <c r="BJ443" s="177" t="str">
        <f t="shared" si="27"/>
        <v/>
      </c>
      <c r="BK443" s="274" t="str">
        <f>IF($BJ443="","",_xll.ciqfunctions.udf.CIQ($BJ443,"iq_bond_coupon")/100)</f>
        <v/>
      </c>
    </row>
    <row r="444" spans="51:63" hidden="1" outlineLevel="1">
      <c r="AY444" s="271" t="str">
        <f>IF($AX444="","",_xll.ciqfunctions.udf.CIQ($AX444,"iq_offer_date"))</f>
        <v/>
      </c>
      <c r="AZ444" s="272" t="str">
        <f>IF($AX444="","",RANK(AY444,$AY$10:$AY$510)+COUNTIF($AY$10:AY444,AY444)-1)</f>
        <v/>
      </c>
      <c r="BE444" s="177">
        <f t="shared" si="25"/>
        <v>435</v>
      </c>
      <c r="BG444" s="273" t="str">
        <f>IF($BF444="","",_xll.ciqfunctions.udf.CIQ($BF444,"iq_security_level"))</f>
        <v/>
      </c>
      <c r="BH444" s="177" t="str">
        <f t="shared" si="26"/>
        <v/>
      </c>
      <c r="BJ444" s="177" t="str">
        <f t="shared" si="27"/>
        <v/>
      </c>
      <c r="BK444" s="274" t="str">
        <f>IF($BJ444="","",_xll.ciqfunctions.udf.CIQ($BJ444,"iq_bond_coupon")/100)</f>
        <v/>
      </c>
    </row>
    <row r="445" spans="51:63" hidden="1" outlineLevel="1">
      <c r="AY445" s="271" t="str">
        <f>IF($AX445="","",_xll.ciqfunctions.udf.CIQ($AX445,"iq_offer_date"))</f>
        <v/>
      </c>
      <c r="AZ445" s="272" t="str">
        <f>IF($AX445="","",RANK(AY445,$AY$10:$AY$510)+COUNTIF($AY$10:AY445,AY445)-1)</f>
        <v/>
      </c>
      <c r="BE445" s="177">
        <f t="shared" si="25"/>
        <v>436</v>
      </c>
      <c r="BG445" s="273" t="str">
        <f>IF($BF445="","",_xll.ciqfunctions.udf.CIQ($BF445,"iq_security_level"))</f>
        <v/>
      </c>
      <c r="BH445" s="177" t="str">
        <f t="shared" si="26"/>
        <v/>
      </c>
      <c r="BJ445" s="177" t="str">
        <f t="shared" si="27"/>
        <v/>
      </c>
      <c r="BK445" s="274" t="str">
        <f>IF($BJ445="","",_xll.ciqfunctions.udf.CIQ($BJ445,"iq_bond_coupon")/100)</f>
        <v/>
      </c>
    </row>
    <row r="446" spans="51:63" hidden="1" outlineLevel="1">
      <c r="AY446" s="271" t="str">
        <f>IF($AX446="","",_xll.ciqfunctions.udf.CIQ($AX446,"iq_offer_date"))</f>
        <v/>
      </c>
      <c r="AZ446" s="272" t="str">
        <f>IF($AX446="","",RANK(AY446,$AY$10:$AY$510)+COUNTIF($AY$10:AY446,AY446)-1)</f>
        <v/>
      </c>
      <c r="BE446" s="177">
        <f t="shared" si="25"/>
        <v>437</v>
      </c>
      <c r="BG446" s="273" t="str">
        <f>IF($BF446="","",_xll.ciqfunctions.udf.CIQ($BF446,"iq_security_level"))</f>
        <v/>
      </c>
      <c r="BH446" s="177" t="str">
        <f t="shared" si="26"/>
        <v/>
      </c>
      <c r="BJ446" s="177" t="str">
        <f t="shared" si="27"/>
        <v/>
      </c>
      <c r="BK446" s="274" t="str">
        <f>IF($BJ446="","",_xll.ciqfunctions.udf.CIQ($BJ446,"iq_bond_coupon")/100)</f>
        <v/>
      </c>
    </row>
    <row r="447" spans="51:63" hidden="1" outlineLevel="1">
      <c r="AY447" s="271" t="str">
        <f>IF($AX447="","",_xll.ciqfunctions.udf.CIQ($AX447,"iq_offer_date"))</f>
        <v/>
      </c>
      <c r="AZ447" s="272" t="str">
        <f>IF($AX447="","",RANK(AY447,$AY$10:$AY$510)+COUNTIF($AY$10:AY447,AY447)-1)</f>
        <v/>
      </c>
      <c r="BE447" s="177">
        <f t="shared" si="25"/>
        <v>438</v>
      </c>
      <c r="BG447" s="273" t="str">
        <f>IF($BF447="","",_xll.ciqfunctions.udf.CIQ($BF447,"iq_security_level"))</f>
        <v/>
      </c>
      <c r="BH447" s="177" t="str">
        <f t="shared" si="26"/>
        <v/>
      </c>
      <c r="BJ447" s="177" t="str">
        <f t="shared" si="27"/>
        <v/>
      </c>
      <c r="BK447" s="274" t="str">
        <f>IF($BJ447="","",_xll.ciqfunctions.udf.CIQ($BJ447,"iq_bond_coupon")/100)</f>
        <v/>
      </c>
    </row>
    <row r="448" spans="51:63" hidden="1" outlineLevel="1">
      <c r="AY448" s="271" t="str">
        <f>IF($AX448="","",_xll.ciqfunctions.udf.CIQ($AX448,"iq_offer_date"))</f>
        <v/>
      </c>
      <c r="AZ448" s="272" t="str">
        <f>IF($AX448="","",RANK(AY448,$AY$10:$AY$510)+COUNTIF($AY$10:AY448,AY448)-1)</f>
        <v/>
      </c>
      <c r="BE448" s="177">
        <f t="shared" si="25"/>
        <v>439</v>
      </c>
      <c r="BG448" s="273" t="str">
        <f>IF($BF448="","",_xll.ciqfunctions.udf.CIQ($BF448,"iq_security_level"))</f>
        <v/>
      </c>
      <c r="BH448" s="177" t="str">
        <f t="shared" si="26"/>
        <v/>
      </c>
      <c r="BJ448" s="177" t="str">
        <f t="shared" si="27"/>
        <v/>
      </c>
      <c r="BK448" s="274" t="str">
        <f>IF($BJ448="","",_xll.ciqfunctions.udf.CIQ($BJ448,"iq_bond_coupon")/100)</f>
        <v/>
      </c>
    </row>
    <row r="449" spans="51:63" hidden="1" outlineLevel="1">
      <c r="AY449" s="271" t="str">
        <f>IF($AX449="","",_xll.ciqfunctions.udf.CIQ($AX449,"iq_offer_date"))</f>
        <v/>
      </c>
      <c r="AZ449" s="272" t="str">
        <f>IF($AX449="","",RANK(AY449,$AY$10:$AY$510)+COUNTIF($AY$10:AY449,AY449)-1)</f>
        <v/>
      </c>
      <c r="BE449" s="177">
        <f t="shared" si="25"/>
        <v>440</v>
      </c>
      <c r="BG449" s="273" t="str">
        <f>IF($BF449="","",_xll.ciqfunctions.udf.CIQ($BF449,"iq_security_level"))</f>
        <v/>
      </c>
      <c r="BH449" s="177" t="str">
        <f t="shared" si="26"/>
        <v/>
      </c>
      <c r="BJ449" s="177" t="str">
        <f t="shared" si="27"/>
        <v/>
      </c>
      <c r="BK449" s="274" t="str">
        <f>IF($BJ449="","",_xll.ciqfunctions.udf.CIQ($BJ449,"iq_bond_coupon")/100)</f>
        <v/>
      </c>
    </row>
    <row r="450" spans="51:63" hidden="1" outlineLevel="1">
      <c r="AY450" s="271" t="str">
        <f>IF($AX450="","",_xll.ciqfunctions.udf.CIQ($AX450,"iq_offer_date"))</f>
        <v/>
      </c>
      <c r="AZ450" s="272" t="str">
        <f>IF($AX450="","",RANK(AY450,$AY$10:$AY$510)+COUNTIF($AY$10:AY450,AY450)-1)</f>
        <v/>
      </c>
      <c r="BE450" s="177">
        <f t="shared" si="25"/>
        <v>441</v>
      </c>
      <c r="BG450" s="273" t="str">
        <f>IF($BF450="","",_xll.ciqfunctions.udf.CIQ($BF450,"iq_security_level"))</f>
        <v/>
      </c>
      <c r="BH450" s="177" t="str">
        <f t="shared" si="26"/>
        <v/>
      </c>
      <c r="BJ450" s="177" t="str">
        <f t="shared" si="27"/>
        <v/>
      </c>
      <c r="BK450" s="274" t="str">
        <f>IF($BJ450="","",_xll.ciqfunctions.udf.CIQ($BJ450,"iq_bond_coupon")/100)</f>
        <v/>
      </c>
    </row>
    <row r="451" spans="51:63" hidden="1" outlineLevel="1">
      <c r="AY451" s="271" t="str">
        <f>IF($AX451="","",_xll.ciqfunctions.udf.CIQ($AX451,"iq_offer_date"))</f>
        <v/>
      </c>
      <c r="AZ451" s="272" t="str">
        <f>IF($AX451="","",RANK(AY451,$AY$10:$AY$510)+COUNTIF($AY$10:AY451,AY451)-1)</f>
        <v/>
      </c>
      <c r="BE451" s="177">
        <f t="shared" si="25"/>
        <v>442</v>
      </c>
      <c r="BG451" s="273" t="str">
        <f>IF($BF451="","",_xll.ciqfunctions.udf.CIQ($BF451,"iq_security_level"))</f>
        <v/>
      </c>
      <c r="BH451" s="177" t="str">
        <f t="shared" si="26"/>
        <v/>
      </c>
      <c r="BJ451" s="177" t="str">
        <f t="shared" si="27"/>
        <v/>
      </c>
      <c r="BK451" s="274" t="str">
        <f>IF($BJ451="","",_xll.ciqfunctions.udf.CIQ($BJ451,"iq_bond_coupon")/100)</f>
        <v/>
      </c>
    </row>
    <row r="452" spans="51:63" hidden="1" outlineLevel="1">
      <c r="AY452" s="271" t="str">
        <f>IF($AX452="","",_xll.ciqfunctions.udf.CIQ($AX452,"iq_offer_date"))</f>
        <v/>
      </c>
      <c r="AZ452" s="272" t="str">
        <f>IF($AX452="","",RANK(AY452,$AY$10:$AY$510)+COUNTIF($AY$10:AY452,AY452)-1)</f>
        <v/>
      </c>
      <c r="BE452" s="177">
        <f t="shared" si="25"/>
        <v>443</v>
      </c>
      <c r="BG452" s="273" t="str">
        <f>IF($BF452="","",_xll.ciqfunctions.udf.CIQ($BF452,"iq_security_level"))</f>
        <v/>
      </c>
      <c r="BH452" s="177" t="str">
        <f t="shared" si="26"/>
        <v/>
      </c>
      <c r="BJ452" s="177" t="str">
        <f t="shared" si="27"/>
        <v/>
      </c>
      <c r="BK452" s="274" t="str">
        <f>IF($BJ452="","",_xll.ciqfunctions.udf.CIQ($BJ452,"iq_bond_coupon")/100)</f>
        <v/>
      </c>
    </row>
    <row r="453" spans="51:63" hidden="1" outlineLevel="1">
      <c r="AY453" s="271" t="str">
        <f>IF($AX453="","",_xll.ciqfunctions.udf.CIQ($AX453,"iq_offer_date"))</f>
        <v/>
      </c>
      <c r="AZ453" s="272" t="str">
        <f>IF($AX453="","",RANK(AY453,$AY$10:$AY$510)+COUNTIF($AY$10:AY453,AY453)-1)</f>
        <v/>
      </c>
      <c r="BE453" s="177">
        <f t="shared" si="25"/>
        <v>444</v>
      </c>
      <c r="BG453" s="273" t="str">
        <f>IF($BF453="","",_xll.ciqfunctions.udf.CIQ($BF453,"iq_security_level"))</f>
        <v/>
      </c>
      <c r="BH453" s="177" t="str">
        <f t="shared" si="26"/>
        <v/>
      </c>
      <c r="BJ453" s="177" t="str">
        <f t="shared" si="27"/>
        <v/>
      </c>
      <c r="BK453" s="274" t="str">
        <f>IF($BJ453="","",_xll.ciqfunctions.udf.CIQ($BJ453,"iq_bond_coupon")/100)</f>
        <v/>
      </c>
    </row>
    <row r="454" spans="51:63" hidden="1" outlineLevel="1">
      <c r="AY454" s="271" t="str">
        <f>IF($AX454="","",_xll.ciqfunctions.udf.CIQ($AX454,"iq_offer_date"))</f>
        <v/>
      </c>
      <c r="AZ454" s="272" t="str">
        <f>IF($AX454="","",RANK(AY454,$AY$10:$AY$510)+COUNTIF($AY$10:AY454,AY454)-1)</f>
        <v/>
      </c>
      <c r="BE454" s="177">
        <f t="shared" si="25"/>
        <v>445</v>
      </c>
      <c r="BG454" s="273" t="str">
        <f>IF($BF454="","",_xll.ciqfunctions.udf.CIQ($BF454,"iq_security_level"))</f>
        <v/>
      </c>
      <c r="BH454" s="177" t="str">
        <f t="shared" si="26"/>
        <v/>
      </c>
      <c r="BJ454" s="177" t="str">
        <f t="shared" si="27"/>
        <v/>
      </c>
      <c r="BK454" s="274" t="str">
        <f>IF($BJ454="","",_xll.ciqfunctions.udf.CIQ($BJ454,"iq_bond_coupon")/100)</f>
        <v/>
      </c>
    </row>
    <row r="455" spans="51:63" hidden="1" outlineLevel="1">
      <c r="AY455" s="271" t="str">
        <f>IF($AX455="","",_xll.ciqfunctions.udf.CIQ($AX455,"iq_offer_date"))</f>
        <v/>
      </c>
      <c r="AZ455" s="272" t="str">
        <f>IF($AX455="","",RANK(AY455,$AY$10:$AY$510)+COUNTIF($AY$10:AY455,AY455)-1)</f>
        <v/>
      </c>
      <c r="BE455" s="177">
        <f t="shared" si="25"/>
        <v>446</v>
      </c>
      <c r="BG455" s="273" t="str">
        <f>IF($BF455="","",_xll.ciqfunctions.udf.CIQ($BF455,"iq_security_level"))</f>
        <v/>
      </c>
      <c r="BH455" s="177" t="str">
        <f t="shared" si="26"/>
        <v/>
      </c>
      <c r="BJ455" s="177" t="str">
        <f t="shared" si="27"/>
        <v/>
      </c>
      <c r="BK455" s="274" t="str">
        <f>IF($BJ455="","",_xll.ciqfunctions.udf.CIQ($BJ455,"iq_bond_coupon")/100)</f>
        <v/>
      </c>
    </row>
    <row r="456" spans="51:63" hidden="1" outlineLevel="1">
      <c r="AY456" s="271" t="str">
        <f>IF($AX456="","",_xll.ciqfunctions.udf.CIQ($AX456,"iq_offer_date"))</f>
        <v/>
      </c>
      <c r="AZ456" s="272" t="str">
        <f>IF($AX456="","",RANK(AY456,$AY$10:$AY$510)+COUNTIF($AY$10:AY456,AY456)-1)</f>
        <v/>
      </c>
      <c r="BE456" s="177">
        <f t="shared" si="25"/>
        <v>447</v>
      </c>
      <c r="BG456" s="273" t="str">
        <f>IF($BF456="","",_xll.ciqfunctions.udf.CIQ($BF456,"iq_security_level"))</f>
        <v/>
      </c>
      <c r="BH456" s="177" t="str">
        <f t="shared" si="26"/>
        <v/>
      </c>
      <c r="BJ456" s="177" t="str">
        <f t="shared" si="27"/>
        <v/>
      </c>
      <c r="BK456" s="274" t="str">
        <f>IF($BJ456="","",_xll.ciqfunctions.udf.CIQ($BJ456,"iq_bond_coupon")/100)</f>
        <v/>
      </c>
    </row>
    <row r="457" spans="51:63" hidden="1" outlineLevel="1">
      <c r="AY457" s="271" t="str">
        <f>IF($AX457="","",_xll.ciqfunctions.udf.CIQ($AX457,"iq_offer_date"))</f>
        <v/>
      </c>
      <c r="AZ457" s="272" t="str">
        <f>IF($AX457="","",RANK(AY457,$AY$10:$AY$510)+COUNTIF($AY$10:AY457,AY457)-1)</f>
        <v/>
      </c>
      <c r="BE457" s="177">
        <f t="shared" si="25"/>
        <v>448</v>
      </c>
      <c r="BG457" s="273" t="str">
        <f>IF($BF457="","",_xll.ciqfunctions.udf.CIQ($BF457,"iq_security_level"))</f>
        <v/>
      </c>
      <c r="BH457" s="177" t="str">
        <f t="shared" si="26"/>
        <v/>
      </c>
      <c r="BJ457" s="177" t="str">
        <f t="shared" si="27"/>
        <v/>
      </c>
      <c r="BK457" s="274" t="str">
        <f>IF($BJ457="","",_xll.ciqfunctions.udf.CIQ($BJ457,"iq_bond_coupon")/100)</f>
        <v/>
      </c>
    </row>
    <row r="458" spans="51:63" hidden="1" outlineLevel="1">
      <c r="AY458" s="271" t="str">
        <f>IF($AX458="","",_xll.ciqfunctions.udf.CIQ($AX458,"iq_offer_date"))</f>
        <v/>
      </c>
      <c r="AZ458" s="272" t="str">
        <f>IF($AX458="","",RANK(AY458,$AY$10:$AY$510)+COUNTIF($AY$10:AY458,AY458)-1)</f>
        <v/>
      </c>
      <c r="BE458" s="177">
        <f t="shared" si="25"/>
        <v>449</v>
      </c>
      <c r="BG458" s="273" t="str">
        <f>IF($BF458="","",_xll.ciqfunctions.udf.CIQ($BF458,"iq_security_level"))</f>
        <v/>
      </c>
      <c r="BH458" s="177" t="str">
        <f t="shared" si="26"/>
        <v/>
      </c>
      <c r="BJ458" s="177" t="str">
        <f t="shared" si="27"/>
        <v/>
      </c>
      <c r="BK458" s="274" t="str">
        <f>IF($BJ458="","",_xll.ciqfunctions.udf.CIQ($BJ458,"iq_bond_coupon")/100)</f>
        <v/>
      </c>
    </row>
    <row r="459" spans="51:63" hidden="1" outlineLevel="1">
      <c r="AY459" s="271" t="str">
        <f>IF($AX459="","",_xll.ciqfunctions.udf.CIQ($AX459,"iq_offer_date"))</f>
        <v/>
      </c>
      <c r="AZ459" s="272" t="str">
        <f>IF($AX459="","",RANK(AY459,$AY$10:$AY$510)+COUNTIF($AY$10:AY459,AY459)-1)</f>
        <v/>
      </c>
      <c r="BE459" s="177">
        <f t="shared" si="25"/>
        <v>450</v>
      </c>
      <c r="BG459" s="273" t="str">
        <f>IF($BF459="","",_xll.ciqfunctions.udf.CIQ($BF459,"iq_security_level"))</f>
        <v/>
      </c>
      <c r="BH459" s="177" t="str">
        <f t="shared" si="26"/>
        <v/>
      </c>
      <c r="BJ459" s="177" t="str">
        <f t="shared" si="27"/>
        <v/>
      </c>
      <c r="BK459" s="274" t="str">
        <f>IF($BJ459="","",_xll.ciqfunctions.udf.CIQ($BJ459,"iq_bond_coupon")/100)</f>
        <v/>
      </c>
    </row>
    <row r="460" spans="51:63" hidden="1" outlineLevel="1">
      <c r="AY460" s="271" t="str">
        <f>IF($AX460="","",_xll.ciqfunctions.udf.CIQ($AX460,"iq_offer_date"))</f>
        <v/>
      </c>
      <c r="AZ460" s="272" t="str">
        <f>IF($AX460="","",RANK(AY460,$AY$10:$AY$510)+COUNTIF($AY$10:AY460,AY460)-1)</f>
        <v/>
      </c>
      <c r="BE460" s="177">
        <f t="shared" ref="BE460:BE509" si="28">BE459+1</f>
        <v>451</v>
      </c>
      <c r="BG460" s="273" t="str">
        <f>IF($BF460="","",_xll.ciqfunctions.udf.CIQ($BF460,"iq_security_level"))</f>
        <v/>
      </c>
      <c r="BH460" s="177" t="str">
        <f t="shared" ref="BH460:BH509" si="29">IF(BF460="","",IF(BG460="Preferred",BH459+1,BH459))</f>
        <v/>
      </c>
      <c r="BJ460" s="177" t="str">
        <f t="shared" si="27"/>
        <v/>
      </c>
      <c r="BK460" s="274" t="str">
        <f>IF($BJ460="","",_xll.ciqfunctions.udf.CIQ($BJ460,"iq_bond_coupon")/100)</f>
        <v/>
      </c>
    </row>
    <row r="461" spans="51:63" hidden="1" outlineLevel="1">
      <c r="AY461" s="271" t="str">
        <f>IF($AX461="","",_xll.ciqfunctions.udf.CIQ($AX461,"iq_offer_date"))</f>
        <v/>
      </c>
      <c r="AZ461" s="272" t="str">
        <f>IF($AX461="","",RANK(AY461,$AY$10:$AY$510)+COUNTIF($AY$10:AY461,AY461)-1)</f>
        <v/>
      </c>
      <c r="BE461" s="177">
        <f t="shared" si="28"/>
        <v>452</v>
      </c>
      <c r="BG461" s="273" t="str">
        <f>IF($BF461="","",_xll.ciqfunctions.udf.CIQ($BF461,"iq_security_level"))</f>
        <v/>
      </c>
      <c r="BH461" s="177" t="str">
        <f t="shared" si="29"/>
        <v/>
      </c>
      <c r="BJ461" s="177" t="str">
        <f t="shared" si="27"/>
        <v/>
      </c>
      <c r="BK461" s="274" t="str">
        <f>IF($BJ461="","",_xll.ciqfunctions.udf.CIQ($BJ461,"iq_bond_coupon")/100)</f>
        <v/>
      </c>
    </row>
    <row r="462" spans="51:63" hidden="1" outlineLevel="1">
      <c r="AY462" s="271" t="str">
        <f>IF($AX462="","",_xll.ciqfunctions.udf.CIQ($AX462,"iq_offer_date"))</f>
        <v/>
      </c>
      <c r="AZ462" s="272" t="str">
        <f>IF($AX462="","",RANK(AY462,$AY$10:$AY$510)+COUNTIF($AY$10:AY462,AY462)-1)</f>
        <v/>
      </c>
      <c r="BE462" s="177">
        <f t="shared" si="28"/>
        <v>453</v>
      </c>
      <c r="BG462" s="273" t="str">
        <f>IF($BF462="","",_xll.ciqfunctions.udf.CIQ($BF462,"iq_security_level"))</f>
        <v/>
      </c>
      <c r="BH462" s="177" t="str">
        <f t="shared" si="29"/>
        <v/>
      </c>
      <c r="BJ462" s="177" t="str">
        <f t="shared" si="27"/>
        <v/>
      </c>
      <c r="BK462" s="274" t="str">
        <f>IF($BJ462="","",_xll.ciqfunctions.udf.CIQ($BJ462,"iq_bond_coupon")/100)</f>
        <v/>
      </c>
    </row>
    <row r="463" spans="51:63" hidden="1" outlineLevel="1">
      <c r="AY463" s="271" t="str">
        <f>IF($AX463="","",_xll.ciqfunctions.udf.CIQ($AX463,"iq_offer_date"))</f>
        <v/>
      </c>
      <c r="AZ463" s="272" t="str">
        <f>IF($AX463="","",RANK(AY463,$AY$10:$AY$510)+COUNTIF($AY$10:AY463,AY463)-1)</f>
        <v/>
      </c>
      <c r="BE463" s="177">
        <f t="shared" si="28"/>
        <v>454</v>
      </c>
      <c r="BG463" s="273" t="str">
        <f>IF($BF463="","",_xll.ciqfunctions.udf.CIQ($BF463,"iq_security_level"))</f>
        <v/>
      </c>
      <c r="BH463" s="177" t="str">
        <f t="shared" si="29"/>
        <v/>
      </c>
      <c r="BJ463" s="177" t="str">
        <f t="shared" si="27"/>
        <v/>
      </c>
      <c r="BK463" s="274" t="str">
        <f>IF($BJ463="","",_xll.ciqfunctions.udf.CIQ($BJ463,"iq_bond_coupon")/100)</f>
        <v/>
      </c>
    </row>
    <row r="464" spans="51:63" hidden="1" outlineLevel="1">
      <c r="AY464" s="271" t="str">
        <f>IF($AX464="","",_xll.ciqfunctions.udf.CIQ($AX464,"iq_offer_date"))</f>
        <v/>
      </c>
      <c r="AZ464" s="272" t="str">
        <f>IF($AX464="","",RANK(AY464,$AY$10:$AY$510)+COUNTIF($AY$10:AY464,AY464)-1)</f>
        <v/>
      </c>
      <c r="BE464" s="177">
        <f t="shared" si="28"/>
        <v>455</v>
      </c>
      <c r="BG464" s="273" t="str">
        <f>IF($BF464="","",_xll.ciqfunctions.udf.CIQ($BF464,"iq_security_level"))</f>
        <v/>
      </c>
      <c r="BH464" s="177" t="str">
        <f t="shared" si="29"/>
        <v/>
      </c>
      <c r="BJ464" s="177" t="str">
        <f t="shared" si="27"/>
        <v/>
      </c>
      <c r="BK464" s="274" t="str">
        <f>IF($BJ464="","",_xll.ciqfunctions.udf.CIQ($BJ464,"iq_bond_coupon")/100)</f>
        <v/>
      </c>
    </row>
    <row r="465" spans="51:63" hidden="1" outlineLevel="1">
      <c r="AY465" s="271" t="str">
        <f>IF($AX465="","",_xll.ciqfunctions.udf.CIQ($AX465,"iq_offer_date"))</f>
        <v/>
      </c>
      <c r="AZ465" s="272" t="str">
        <f>IF($AX465="","",RANK(AY465,$AY$10:$AY$510)+COUNTIF($AY$10:AY465,AY465)-1)</f>
        <v/>
      </c>
      <c r="BE465" s="177">
        <f t="shared" si="28"/>
        <v>456</v>
      </c>
      <c r="BG465" s="273" t="str">
        <f>IF($BF465="","",_xll.ciqfunctions.udf.CIQ($BF465,"iq_security_level"))</f>
        <v/>
      </c>
      <c r="BH465" s="177" t="str">
        <f t="shared" si="29"/>
        <v/>
      </c>
      <c r="BJ465" s="177" t="str">
        <f t="shared" si="27"/>
        <v/>
      </c>
      <c r="BK465" s="274" t="str">
        <f>IF($BJ465="","",_xll.ciqfunctions.udf.CIQ($BJ465,"iq_bond_coupon")/100)</f>
        <v/>
      </c>
    </row>
    <row r="466" spans="51:63" hidden="1" outlineLevel="1">
      <c r="AY466" s="271" t="str">
        <f>IF($AX466="","",_xll.ciqfunctions.udf.CIQ($AX466,"iq_offer_date"))</f>
        <v/>
      </c>
      <c r="AZ466" s="272" t="str">
        <f>IF($AX466="","",RANK(AY466,$AY$10:$AY$510)+COUNTIF($AY$10:AY466,AY466)-1)</f>
        <v/>
      </c>
      <c r="BE466" s="177">
        <f t="shared" si="28"/>
        <v>457</v>
      </c>
      <c r="BG466" s="273" t="str">
        <f>IF($BF466="","",_xll.ciqfunctions.udf.CIQ($BF466,"iq_security_level"))</f>
        <v/>
      </c>
      <c r="BH466" s="177" t="str">
        <f t="shared" si="29"/>
        <v/>
      </c>
      <c r="BJ466" s="177" t="str">
        <f t="shared" si="27"/>
        <v/>
      </c>
      <c r="BK466" s="274" t="str">
        <f>IF($BJ466="","",_xll.ciqfunctions.udf.CIQ($BJ466,"iq_bond_coupon")/100)</f>
        <v/>
      </c>
    </row>
    <row r="467" spans="51:63" hidden="1" outlineLevel="1">
      <c r="AY467" s="271" t="str">
        <f>IF($AX467="","",_xll.ciqfunctions.udf.CIQ($AX467,"iq_offer_date"))</f>
        <v/>
      </c>
      <c r="AZ467" s="272" t="str">
        <f>IF($AX467="","",RANK(AY467,$AY$10:$AY$510)+COUNTIF($AY$10:AY467,AY467)-1)</f>
        <v/>
      </c>
      <c r="BE467" s="177">
        <f t="shared" si="28"/>
        <v>458</v>
      </c>
      <c r="BG467" s="273" t="str">
        <f>IF($BF467="","",_xll.ciqfunctions.udf.CIQ($BF467,"iq_security_level"))</f>
        <v/>
      </c>
      <c r="BH467" s="177" t="str">
        <f t="shared" si="29"/>
        <v/>
      </c>
      <c r="BJ467" s="177" t="str">
        <f t="shared" si="27"/>
        <v/>
      </c>
      <c r="BK467" s="274" t="str">
        <f>IF($BJ467="","",_xll.ciqfunctions.udf.CIQ($BJ467,"iq_bond_coupon")/100)</f>
        <v/>
      </c>
    </row>
    <row r="468" spans="51:63" hidden="1" outlineLevel="1">
      <c r="AY468" s="271" t="str">
        <f>IF($AX468="","",_xll.ciqfunctions.udf.CIQ($AX468,"iq_offer_date"))</f>
        <v/>
      </c>
      <c r="AZ468" s="272" t="str">
        <f>IF($AX468="","",RANK(AY468,$AY$10:$AY$510)+COUNTIF($AY$10:AY468,AY468)-1)</f>
        <v/>
      </c>
      <c r="BE468" s="177">
        <f t="shared" si="28"/>
        <v>459</v>
      </c>
      <c r="BG468" s="273" t="str">
        <f>IF($BF468="","",_xll.ciqfunctions.udf.CIQ($BF468,"iq_security_level"))</f>
        <v/>
      </c>
      <c r="BH468" s="177" t="str">
        <f t="shared" si="29"/>
        <v/>
      </c>
      <c r="BJ468" s="177" t="str">
        <f t="shared" si="27"/>
        <v/>
      </c>
      <c r="BK468" s="274" t="str">
        <f>IF($BJ468="","",_xll.ciqfunctions.udf.CIQ($BJ468,"iq_bond_coupon")/100)</f>
        <v/>
      </c>
    </row>
    <row r="469" spans="51:63" hidden="1" outlineLevel="1">
      <c r="AY469" s="271" t="str">
        <f>IF($AX469="","",_xll.ciqfunctions.udf.CIQ($AX469,"iq_offer_date"))</f>
        <v/>
      </c>
      <c r="AZ469" s="272" t="str">
        <f>IF($AX469="","",RANK(AY469,$AY$10:$AY$510)+COUNTIF($AY$10:AY469,AY469)-1)</f>
        <v/>
      </c>
      <c r="BE469" s="177">
        <f t="shared" si="28"/>
        <v>460</v>
      </c>
      <c r="BG469" s="273" t="str">
        <f>IF($BF469="","",_xll.ciqfunctions.udf.CIQ($BF469,"iq_security_level"))</f>
        <v/>
      </c>
      <c r="BH469" s="177" t="str">
        <f t="shared" si="29"/>
        <v/>
      </c>
      <c r="BJ469" s="177" t="str">
        <f t="shared" si="27"/>
        <v/>
      </c>
      <c r="BK469" s="274" t="str">
        <f>IF($BJ469="","",_xll.ciqfunctions.udf.CIQ($BJ469,"iq_bond_coupon")/100)</f>
        <v/>
      </c>
    </row>
    <row r="470" spans="51:63" hidden="1" outlineLevel="1">
      <c r="AY470" s="271" t="str">
        <f>IF($AX470="","",_xll.ciqfunctions.udf.CIQ($AX470,"iq_offer_date"))</f>
        <v/>
      </c>
      <c r="AZ470" s="272" t="str">
        <f>IF($AX470="","",RANK(AY470,$AY$10:$AY$510)+COUNTIF($AY$10:AY470,AY470)-1)</f>
        <v/>
      </c>
      <c r="BE470" s="177">
        <f t="shared" si="28"/>
        <v>461</v>
      </c>
      <c r="BG470" s="273" t="str">
        <f>IF($BF470="","",_xll.ciqfunctions.udf.CIQ($BF470,"iq_security_level"))</f>
        <v/>
      </c>
      <c r="BH470" s="177" t="str">
        <f t="shared" si="29"/>
        <v/>
      </c>
      <c r="BJ470" s="177" t="str">
        <f t="shared" si="27"/>
        <v/>
      </c>
      <c r="BK470" s="274" t="str">
        <f>IF($BJ470="","",_xll.ciqfunctions.udf.CIQ($BJ470,"iq_bond_coupon")/100)</f>
        <v/>
      </c>
    </row>
    <row r="471" spans="51:63" hidden="1" outlineLevel="1">
      <c r="AY471" s="271" t="str">
        <f>IF($AX471="","",_xll.ciqfunctions.udf.CIQ($AX471,"iq_offer_date"))</f>
        <v/>
      </c>
      <c r="AZ471" s="272" t="str">
        <f>IF($AX471="","",RANK(AY471,$AY$10:$AY$510)+COUNTIF($AY$10:AY471,AY471)-1)</f>
        <v/>
      </c>
      <c r="BE471" s="177">
        <f t="shared" si="28"/>
        <v>462</v>
      </c>
      <c r="BG471" s="273" t="str">
        <f>IF($BF471="","",_xll.ciqfunctions.udf.CIQ($BF471,"iq_security_level"))</f>
        <v/>
      </c>
      <c r="BH471" s="177" t="str">
        <f t="shared" si="29"/>
        <v/>
      </c>
      <c r="BJ471" s="177" t="str">
        <f t="shared" si="27"/>
        <v/>
      </c>
      <c r="BK471" s="274" t="str">
        <f>IF($BJ471="","",_xll.ciqfunctions.udf.CIQ($BJ471,"iq_bond_coupon")/100)</f>
        <v/>
      </c>
    </row>
    <row r="472" spans="51:63" hidden="1" outlineLevel="1">
      <c r="AY472" s="271" t="str">
        <f>IF($AX472="","",_xll.ciqfunctions.udf.CIQ($AX472,"iq_offer_date"))</f>
        <v/>
      </c>
      <c r="AZ472" s="272" t="str">
        <f>IF($AX472="","",RANK(AY472,$AY$10:$AY$510)+COUNTIF($AY$10:AY472,AY472)-1)</f>
        <v/>
      </c>
      <c r="BE472" s="177">
        <f t="shared" si="28"/>
        <v>463</v>
      </c>
      <c r="BG472" s="273" t="str">
        <f>IF($BF472="","",_xll.ciqfunctions.udf.CIQ($BF472,"iq_security_level"))</f>
        <v/>
      </c>
      <c r="BH472" s="177" t="str">
        <f t="shared" si="29"/>
        <v/>
      </c>
      <c r="BJ472" s="177" t="str">
        <f t="shared" si="27"/>
        <v/>
      </c>
      <c r="BK472" s="274" t="str">
        <f>IF($BJ472="","",_xll.ciqfunctions.udf.CIQ($BJ472,"iq_bond_coupon")/100)</f>
        <v/>
      </c>
    </row>
    <row r="473" spans="51:63" hidden="1" outlineLevel="1">
      <c r="AY473" s="271" t="str">
        <f>IF($AX473="","",_xll.ciqfunctions.udf.CIQ($AX473,"iq_offer_date"))</f>
        <v/>
      </c>
      <c r="AZ473" s="272" t="str">
        <f>IF($AX473="","",RANK(AY473,$AY$10:$AY$510)+COUNTIF($AY$10:AY473,AY473)-1)</f>
        <v/>
      </c>
      <c r="BE473" s="177">
        <f t="shared" si="28"/>
        <v>464</v>
      </c>
      <c r="BG473" s="273" t="str">
        <f>IF($BF473="","",_xll.ciqfunctions.udf.CIQ($BF473,"iq_security_level"))</f>
        <v/>
      </c>
      <c r="BH473" s="177" t="str">
        <f t="shared" si="29"/>
        <v/>
      </c>
      <c r="BJ473" s="177" t="str">
        <f t="shared" si="27"/>
        <v/>
      </c>
      <c r="BK473" s="274" t="str">
        <f>IF($BJ473="","",_xll.ciqfunctions.udf.CIQ($BJ473,"iq_bond_coupon")/100)</f>
        <v/>
      </c>
    </row>
    <row r="474" spans="51:63" hidden="1" outlineLevel="1">
      <c r="AY474" s="271" t="str">
        <f>IF($AX474="","",_xll.ciqfunctions.udf.CIQ($AX474,"iq_offer_date"))</f>
        <v/>
      </c>
      <c r="AZ474" s="272" t="str">
        <f>IF($AX474="","",RANK(AY474,$AY$10:$AY$510)+COUNTIF($AY$10:AY474,AY474)-1)</f>
        <v/>
      </c>
      <c r="BE474" s="177">
        <f t="shared" si="28"/>
        <v>465</v>
      </c>
      <c r="BG474" s="273" t="str">
        <f>IF($BF474="","",_xll.ciqfunctions.udf.CIQ($BF474,"iq_security_level"))</f>
        <v/>
      </c>
      <c r="BH474" s="177" t="str">
        <f t="shared" si="29"/>
        <v/>
      </c>
      <c r="BJ474" s="177" t="str">
        <f t="shared" si="27"/>
        <v/>
      </c>
      <c r="BK474" s="274" t="str">
        <f>IF($BJ474="","",_xll.ciqfunctions.udf.CIQ($BJ474,"iq_bond_coupon")/100)</f>
        <v/>
      </c>
    </row>
    <row r="475" spans="51:63" hidden="1" outlineLevel="1">
      <c r="AY475" s="271" t="str">
        <f>IF($AX475="","",_xll.ciqfunctions.udf.CIQ($AX475,"iq_offer_date"))</f>
        <v/>
      </c>
      <c r="AZ475" s="272" t="str">
        <f>IF($AX475="","",RANK(AY475,$AY$10:$AY$510)+COUNTIF($AY$10:AY475,AY475)-1)</f>
        <v/>
      </c>
      <c r="BE475" s="177">
        <f t="shared" si="28"/>
        <v>466</v>
      </c>
      <c r="BG475" s="273" t="str">
        <f>IF($BF475="","",_xll.ciqfunctions.udf.CIQ($BF475,"iq_security_level"))</f>
        <v/>
      </c>
      <c r="BH475" s="177" t="str">
        <f t="shared" si="29"/>
        <v/>
      </c>
      <c r="BJ475" s="177" t="str">
        <f t="shared" si="27"/>
        <v/>
      </c>
      <c r="BK475" s="274" t="str">
        <f>IF($BJ475="","",_xll.ciqfunctions.udf.CIQ($BJ475,"iq_bond_coupon")/100)</f>
        <v/>
      </c>
    </row>
    <row r="476" spans="51:63" hidden="1" outlineLevel="1">
      <c r="AY476" s="271" t="str">
        <f>IF($AX476="","",_xll.ciqfunctions.udf.CIQ($AX476,"iq_offer_date"))</f>
        <v/>
      </c>
      <c r="AZ476" s="272" t="str">
        <f>IF($AX476="","",RANK(AY476,$AY$10:$AY$510)+COUNTIF($AY$10:AY476,AY476)-1)</f>
        <v/>
      </c>
      <c r="BE476" s="177">
        <f t="shared" si="28"/>
        <v>467</v>
      </c>
      <c r="BG476" s="273" t="str">
        <f>IF($BF476="","",_xll.ciqfunctions.udf.CIQ($BF476,"iq_security_level"))</f>
        <v/>
      </c>
      <c r="BH476" s="177" t="str">
        <f t="shared" si="29"/>
        <v/>
      </c>
      <c r="BJ476" s="177" t="str">
        <f t="shared" si="27"/>
        <v/>
      </c>
      <c r="BK476" s="274" t="str">
        <f>IF($BJ476="","",_xll.ciqfunctions.udf.CIQ($BJ476,"iq_bond_coupon")/100)</f>
        <v/>
      </c>
    </row>
    <row r="477" spans="51:63" hidden="1" outlineLevel="1">
      <c r="AY477" s="271" t="str">
        <f>IF($AX477="","",_xll.ciqfunctions.udf.CIQ($AX477,"iq_offer_date"))</f>
        <v/>
      </c>
      <c r="AZ477" s="272" t="str">
        <f>IF($AX477="","",RANK(AY477,$AY$10:$AY$510)+COUNTIF($AY$10:AY477,AY477)-1)</f>
        <v/>
      </c>
      <c r="BE477" s="177">
        <f t="shared" si="28"/>
        <v>468</v>
      </c>
      <c r="BG477" s="273" t="str">
        <f>IF($BF477="","",_xll.ciqfunctions.udf.CIQ($BF477,"iq_security_level"))</f>
        <v/>
      </c>
      <c r="BH477" s="177" t="str">
        <f t="shared" si="29"/>
        <v/>
      </c>
      <c r="BJ477" s="177" t="str">
        <f t="shared" si="27"/>
        <v/>
      </c>
      <c r="BK477" s="274" t="str">
        <f>IF($BJ477="","",_xll.ciqfunctions.udf.CIQ($BJ477,"iq_bond_coupon")/100)</f>
        <v/>
      </c>
    </row>
    <row r="478" spans="51:63" hidden="1" outlineLevel="1">
      <c r="AY478" s="271" t="str">
        <f>IF($AX478="","",_xll.ciqfunctions.udf.CIQ($AX478,"iq_offer_date"))</f>
        <v/>
      </c>
      <c r="AZ478" s="272" t="str">
        <f>IF($AX478="","",RANK(AY478,$AY$10:$AY$510)+COUNTIF($AY$10:AY478,AY478)-1)</f>
        <v/>
      </c>
      <c r="BE478" s="177">
        <f t="shared" si="28"/>
        <v>469</v>
      </c>
      <c r="BG478" s="273" t="str">
        <f>IF($BF478="","",_xll.ciqfunctions.udf.CIQ($BF478,"iq_security_level"))</f>
        <v/>
      </c>
      <c r="BH478" s="177" t="str">
        <f t="shared" si="29"/>
        <v/>
      </c>
      <c r="BJ478" s="177" t="str">
        <f t="shared" si="27"/>
        <v/>
      </c>
      <c r="BK478" s="274" t="str">
        <f>IF($BJ478="","",_xll.ciqfunctions.udf.CIQ($BJ478,"iq_bond_coupon")/100)</f>
        <v/>
      </c>
    </row>
    <row r="479" spans="51:63" hidden="1" outlineLevel="1">
      <c r="AY479" s="271" t="str">
        <f>IF($AX479="","",_xll.ciqfunctions.udf.CIQ($AX479,"iq_offer_date"))</f>
        <v/>
      </c>
      <c r="AZ479" s="272" t="str">
        <f>IF($AX479="","",RANK(AY479,$AY$10:$AY$510)+COUNTIF($AY$10:AY479,AY479)-1)</f>
        <v/>
      </c>
      <c r="BE479" s="177">
        <f t="shared" si="28"/>
        <v>470</v>
      </c>
      <c r="BG479" s="273" t="str">
        <f>IF($BF479="","",_xll.ciqfunctions.udf.CIQ($BF479,"iq_security_level"))</f>
        <v/>
      </c>
      <c r="BH479" s="177" t="str">
        <f t="shared" si="29"/>
        <v/>
      </c>
      <c r="BJ479" s="177" t="str">
        <f t="shared" si="27"/>
        <v/>
      </c>
      <c r="BK479" s="274" t="str">
        <f>IF($BJ479="","",_xll.ciqfunctions.udf.CIQ($BJ479,"iq_bond_coupon")/100)</f>
        <v/>
      </c>
    </row>
    <row r="480" spans="51:63" hidden="1" outlineLevel="1">
      <c r="AY480" s="271" t="str">
        <f>IF($AX480="","",_xll.ciqfunctions.udf.CIQ($AX480,"iq_offer_date"))</f>
        <v/>
      </c>
      <c r="AZ480" s="272" t="str">
        <f>IF($AX480="","",RANK(AY480,$AY$10:$AY$510)+COUNTIF($AY$10:AY480,AY480)-1)</f>
        <v/>
      </c>
      <c r="BE480" s="177">
        <f t="shared" si="28"/>
        <v>471</v>
      </c>
      <c r="BG480" s="273" t="str">
        <f>IF($BF480="","",_xll.ciqfunctions.udf.CIQ($BF480,"iq_security_level"))</f>
        <v/>
      </c>
      <c r="BH480" s="177" t="str">
        <f t="shared" si="29"/>
        <v/>
      </c>
      <c r="BJ480" s="177" t="str">
        <f t="shared" si="27"/>
        <v/>
      </c>
      <c r="BK480" s="274" t="str">
        <f>IF($BJ480="","",_xll.ciqfunctions.udf.CIQ($BJ480,"iq_bond_coupon")/100)</f>
        <v/>
      </c>
    </row>
    <row r="481" spans="51:63" hidden="1" outlineLevel="1">
      <c r="AY481" s="271" t="str">
        <f>IF($AX481="","",_xll.ciqfunctions.udf.CIQ($AX481,"iq_offer_date"))</f>
        <v/>
      </c>
      <c r="AZ481" s="272" t="str">
        <f>IF($AX481="","",RANK(AY481,$AY$10:$AY$510)+COUNTIF($AY$10:AY481,AY481)-1)</f>
        <v/>
      </c>
      <c r="BE481" s="177">
        <f t="shared" si="28"/>
        <v>472</v>
      </c>
      <c r="BG481" s="273" t="str">
        <f>IF($BF481="","",_xll.ciqfunctions.udf.CIQ($BF481,"iq_security_level"))</f>
        <v/>
      </c>
      <c r="BH481" s="177" t="str">
        <f t="shared" si="29"/>
        <v/>
      </c>
      <c r="BJ481" s="177" t="str">
        <f t="shared" si="27"/>
        <v/>
      </c>
      <c r="BK481" s="274" t="str">
        <f>IF($BJ481="","",_xll.ciqfunctions.udf.CIQ($BJ481,"iq_bond_coupon")/100)</f>
        <v/>
      </c>
    </row>
    <row r="482" spans="51:63" hidden="1" outlineLevel="1">
      <c r="AY482" s="271" t="str">
        <f>IF($AX482="","",_xll.ciqfunctions.udf.CIQ($AX482,"iq_offer_date"))</f>
        <v/>
      </c>
      <c r="AZ482" s="272" t="str">
        <f>IF($AX482="","",RANK(AY482,$AY$10:$AY$510)+COUNTIF($AY$10:AY482,AY482)-1)</f>
        <v/>
      </c>
      <c r="BE482" s="177">
        <f t="shared" si="28"/>
        <v>473</v>
      </c>
      <c r="BG482" s="273" t="str">
        <f>IF($BF482="","",_xll.ciqfunctions.udf.CIQ($BF482,"iq_security_level"))</f>
        <v/>
      </c>
      <c r="BH482" s="177" t="str">
        <f t="shared" si="29"/>
        <v/>
      </c>
      <c r="BJ482" s="177" t="str">
        <f t="shared" si="27"/>
        <v/>
      </c>
      <c r="BK482" s="274" t="str">
        <f>IF($BJ482="","",_xll.ciqfunctions.udf.CIQ($BJ482,"iq_bond_coupon")/100)</f>
        <v/>
      </c>
    </row>
    <row r="483" spans="51:63" hidden="1" outlineLevel="1">
      <c r="AY483" s="271" t="str">
        <f>IF($AX483="","",_xll.ciqfunctions.udf.CIQ($AX483,"iq_offer_date"))</f>
        <v/>
      </c>
      <c r="AZ483" s="272" t="str">
        <f>IF($AX483="","",RANK(AY483,$AY$10:$AY$510)+COUNTIF($AY$10:AY483,AY483)-1)</f>
        <v/>
      </c>
      <c r="BE483" s="177">
        <f t="shared" si="28"/>
        <v>474</v>
      </c>
      <c r="BG483" s="273" t="str">
        <f>IF($BF483="","",_xll.ciqfunctions.udf.CIQ($BF483,"iq_security_level"))</f>
        <v/>
      </c>
      <c r="BH483" s="177" t="str">
        <f t="shared" si="29"/>
        <v/>
      </c>
      <c r="BJ483" s="177" t="str">
        <f t="shared" si="27"/>
        <v/>
      </c>
      <c r="BK483" s="274" t="str">
        <f>IF($BJ483="","",_xll.ciqfunctions.udf.CIQ($BJ483,"iq_bond_coupon")/100)</f>
        <v/>
      </c>
    </row>
    <row r="484" spans="51:63" hidden="1" outlineLevel="1">
      <c r="AY484" s="271" t="str">
        <f>IF($AX484="","",_xll.ciqfunctions.udf.CIQ($AX484,"iq_offer_date"))</f>
        <v/>
      </c>
      <c r="AZ484" s="272" t="str">
        <f>IF($AX484="","",RANK(AY484,$AY$10:$AY$510)+COUNTIF($AY$10:AY484,AY484)-1)</f>
        <v/>
      </c>
      <c r="BE484" s="177">
        <f t="shared" si="28"/>
        <v>475</v>
      </c>
      <c r="BG484" s="273" t="str">
        <f>IF($BF484="","",_xll.ciqfunctions.udf.CIQ($BF484,"iq_security_level"))</f>
        <v/>
      </c>
      <c r="BH484" s="177" t="str">
        <f t="shared" si="29"/>
        <v/>
      </c>
      <c r="BJ484" s="177" t="str">
        <f t="shared" si="27"/>
        <v/>
      </c>
      <c r="BK484" s="274" t="str">
        <f>IF($BJ484="","",_xll.ciqfunctions.udf.CIQ($BJ484,"iq_bond_coupon")/100)</f>
        <v/>
      </c>
    </row>
    <row r="485" spans="51:63" hidden="1" outlineLevel="1">
      <c r="AY485" s="271" t="str">
        <f>IF($AX485="","",_xll.ciqfunctions.udf.CIQ($AX485,"iq_offer_date"))</f>
        <v/>
      </c>
      <c r="AZ485" s="272" t="str">
        <f>IF($AX485="","",RANK(AY485,$AY$10:$AY$510)+COUNTIF($AY$10:AY485,AY485)-1)</f>
        <v/>
      </c>
      <c r="BE485" s="177">
        <f t="shared" si="28"/>
        <v>476</v>
      </c>
      <c r="BG485" s="273" t="str">
        <f>IF($BF485="","",_xll.ciqfunctions.udf.CIQ($BF485,"iq_security_level"))</f>
        <v/>
      </c>
      <c r="BH485" s="177" t="str">
        <f t="shared" si="29"/>
        <v/>
      </c>
      <c r="BJ485" s="177" t="str">
        <f t="shared" si="27"/>
        <v/>
      </c>
      <c r="BK485" s="274" t="str">
        <f>IF($BJ485="","",_xll.ciqfunctions.udf.CIQ($BJ485,"iq_bond_coupon")/100)</f>
        <v/>
      </c>
    </row>
    <row r="486" spans="51:63" hidden="1" outlineLevel="1">
      <c r="AY486" s="271" t="str">
        <f>IF($AX486="","",_xll.ciqfunctions.udf.CIQ($AX486,"iq_offer_date"))</f>
        <v/>
      </c>
      <c r="AZ486" s="272" t="str">
        <f>IF($AX486="","",RANK(AY486,$AY$10:$AY$510)+COUNTIF($AY$10:AY486,AY486)-1)</f>
        <v/>
      </c>
      <c r="BE486" s="177">
        <f t="shared" si="28"/>
        <v>477</v>
      </c>
      <c r="BG486" s="273" t="str">
        <f>IF($BF486="","",_xll.ciqfunctions.udf.CIQ($BF486,"iq_security_level"))</f>
        <v/>
      </c>
      <c r="BH486" s="177" t="str">
        <f t="shared" si="29"/>
        <v/>
      </c>
      <c r="BJ486" s="177" t="str">
        <f t="shared" si="27"/>
        <v/>
      </c>
      <c r="BK486" s="274" t="str">
        <f>IF($BJ486="","",_xll.ciqfunctions.udf.CIQ($BJ486,"iq_bond_coupon")/100)</f>
        <v/>
      </c>
    </row>
    <row r="487" spans="51:63" hidden="1" outlineLevel="1">
      <c r="AY487" s="271" t="str">
        <f>IF($AX487="","",_xll.ciqfunctions.udf.CIQ($AX487,"iq_offer_date"))</f>
        <v/>
      </c>
      <c r="AZ487" s="272" t="str">
        <f>IF($AX487="","",RANK(AY487,$AY$10:$AY$510)+COUNTIF($AY$10:AY487,AY487)-1)</f>
        <v/>
      </c>
      <c r="BE487" s="177">
        <f t="shared" si="28"/>
        <v>478</v>
      </c>
      <c r="BG487" s="273" t="str">
        <f>IF($BF487="","",_xll.ciqfunctions.udf.CIQ($BF487,"iq_security_level"))</f>
        <v/>
      </c>
      <c r="BH487" s="177" t="str">
        <f t="shared" si="29"/>
        <v/>
      </c>
      <c r="BJ487" s="177" t="str">
        <f t="shared" si="27"/>
        <v/>
      </c>
      <c r="BK487" s="274" t="str">
        <f>IF($BJ487="","",_xll.ciqfunctions.udf.CIQ($BJ487,"iq_bond_coupon")/100)</f>
        <v/>
      </c>
    </row>
    <row r="488" spans="51:63" hidden="1" outlineLevel="1">
      <c r="AY488" s="271" t="str">
        <f>IF($AX488="","",_xll.ciqfunctions.udf.CIQ($AX488,"iq_offer_date"))</f>
        <v/>
      </c>
      <c r="AZ488" s="272" t="str">
        <f>IF($AX488="","",RANK(AY488,$AY$10:$AY$510)+COUNTIF($AY$10:AY488,AY488)-1)</f>
        <v/>
      </c>
      <c r="BE488" s="177">
        <f t="shared" si="28"/>
        <v>479</v>
      </c>
      <c r="BG488" s="273" t="str">
        <f>IF($BF488="","",_xll.ciqfunctions.udf.CIQ($BF488,"iq_security_level"))</f>
        <v/>
      </c>
      <c r="BH488" s="177" t="str">
        <f t="shared" si="29"/>
        <v/>
      </c>
      <c r="BJ488" s="177" t="str">
        <f t="shared" si="27"/>
        <v/>
      </c>
      <c r="BK488" s="274" t="str">
        <f>IF($BJ488="","",_xll.ciqfunctions.udf.CIQ($BJ488,"iq_bond_coupon")/100)</f>
        <v/>
      </c>
    </row>
    <row r="489" spans="51:63" hidden="1" outlineLevel="1">
      <c r="AY489" s="271" t="str">
        <f>IF($AX489="","",_xll.ciqfunctions.udf.CIQ($AX489,"iq_offer_date"))</f>
        <v/>
      </c>
      <c r="AZ489" s="272" t="str">
        <f>IF($AX489="","",RANK(AY489,$AY$10:$AY$510)+COUNTIF($AY$10:AY489,AY489)-1)</f>
        <v/>
      </c>
      <c r="BE489" s="177">
        <f t="shared" si="28"/>
        <v>480</v>
      </c>
      <c r="BG489" s="273" t="str">
        <f>IF($BF489="","",_xll.ciqfunctions.udf.CIQ($BF489,"iq_security_level"))</f>
        <v/>
      </c>
      <c r="BH489" s="177" t="str">
        <f t="shared" si="29"/>
        <v/>
      </c>
      <c r="BJ489" s="177" t="str">
        <f t="shared" si="27"/>
        <v/>
      </c>
      <c r="BK489" s="274" t="str">
        <f>IF($BJ489="","",_xll.ciqfunctions.udf.CIQ($BJ489,"iq_bond_coupon")/100)</f>
        <v/>
      </c>
    </row>
    <row r="490" spans="51:63" hidden="1" outlineLevel="1">
      <c r="AY490" s="271" t="str">
        <f>IF($AX490="","",_xll.ciqfunctions.udf.CIQ($AX490,"iq_offer_date"))</f>
        <v/>
      </c>
      <c r="AZ490" s="272" t="str">
        <f>IF($AX490="","",RANK(AY490,$AY$10:$AY$510)+COUNTIF($AY$10:AY490,AY490)-1)</f>
        <v/>
      </c>
      <c r="BE490" s="177">
        <f t="shared" si="28"/>
        <v>481</v>
      </c>
      <c r="BG490" s="273" t="str">
        <f>IF($BF490="","",_xll.ciqfunctions.udf.CIQ($BF490,"iq_security_level"))</f>
        <v/>
      </c>
      <c r="BH490" s="177" t="str">
        <f t="shared" si="29"/>
        <v/>
      </c>
      <c r="BJ490" s="177" t="str">
        <f t="shared" si="27"/>
        <v/>
      </c>
      <c r="BK490" s="274" t="str">
        <f>IF($BJ490="","",_xll.ciqfunctions.udf.CIQ($BJ490,"iq_bond_coupon")/100)</f>
        <v/>
      </c>
    </row>
    <row r="491" spans="51:63" hidden="1" outlineLevel="1">
      <c r="AY491" s="271" t="str">
        <f>IF($AX491="","",_xll.ciqfunctions.udf.CIQ($AX491,"iq_offer_date"))</f>
        <v/>
      </c>
      <c r="AZ491" s="272" t="str">
        <f>IF($AX491="","",RANK(AY491,$AY$10:$AY$510)+COUNTIF($AY$10:AY491,AY491)-1)</f>
        <v/>
      </c>
      <c r="BE491" s="177">
        <f t="shared" si="28"/>
        <v>482</v>
      </c>
      <c r="BG491" s="273" t="str">
        <f>IF($BF491="","",_xll.ciqfunctions.udf.CIQ($BF491,"iq_security_level"))</f>
        <v/>
      </c>
      <c r="BH491" s="177" t="str">
        <f t="shared" si="29"/>
        <v/>
      </c>
      <c r="BJ491" s="177" t="str">
        <f t="shared" si="27"/>
        <v/>
      </c>
      <c r="BK491" s="274" t="str">
        <f>IF($BJ491="","",_xll.ciqfunctions.udf.CIQ($BJ491,"iq_bond_coupon")/100)</f>
        <v/>
      </c>
    </row>
    <row r="492" spans="51:63" hidden="1" outlineLevel="1">
      <c r="AY492" s="271" t="str">
        <f>IF($AX492="","",_xll.ciqfunctions.udf.CIQ($AX492,"iq_offer_date"))</f>
        <v/>
      </c>
      <c r="AZ492" s="272" t="str">
        <f>IF($AX492="","",RANK(AY492,$AY$10:$AY$510)+COUNTIF($AY$10:AY492,AY492)-1)</f>
        <v/>
      </c>
      <c r="BE492" s="177">
        <f t="shared" si="28"/>
        <v>483</v>
      </c>
      <c r="BG492" s="273" t="str">
        <f>IF($BF492="","",_xll.ciqfunctions.udf.CIQ($BF492,"iq_security_level"))</f>
        <v/>
      </c>
      <c r="BH492" s="177" t="str">
        <f t="shared" si="29"/>
        <v/>
      </c>
      <c r="BJ492" s="177" t="str">
        <f t="shared" si="27"/>
        <v/>
      </c>
      <c r="BK492" s="274" t="str">
        <f>IF($BJ492="","",_xll.ciqfunctions.udf.CIQ($BJ492,"iq_bond_coupon")/100)</f>
        <v/>
      </c>
    </row>
    <row r="493" spans="51:63" hidden="1" outlineLevel="1">
      <c r="AY493" s="271" t="str">
        <f>IF($AX493="","",_xll.ciqfunctions.udf.CIQ($AX493,"iq_offer_date"))</f>
        <v/>
      </c>
      <c r="AZ493" s="272" t="str">
        <f>IF($AX493="","",RANK(AY493,$AY$10:$AY$510)+COUNTIF($AY$10:AY493,AY493)-1)</f>
        <v/>
      </c>
      <c r="BE493" s="177">
        <f t="shared" si="28"/>
        <v>484</v>
      </c>
      <c r="BG493" s="273" t="str">
        <f>IF($BF493="","",_xll.ciqfunctions.udf.CIQ($BF493,"iq_security_level"))</f>
        <v/>
      </c>
      <c r="BH493" s="177" t="str">
        <f t="shared" si="29"/>
        <v/>
      </c>
      <c r="BJ493" s="177" t="str">
        <f t="shared" si="27"/>
        <v/>
      </c>
      <c r="BK493" s="274" t="str">
        <f>IF($BJ493="","",_xll.ciqfunctions.udf.CIQ($BJ493,"iq_bond_coupon")/100)</f>
        <v/>
      </c>
    </row>
    <row r="494" spans="51:63" hidden="1" outlineLevel="1">
      <c r="AY494" s="271" t="str">
        <f>IF($AX494="","",_xll.ciqfunctions.udf.CIQ($AX494,"iq_offer_date"))</f>
        <v/>
      </c>
      <c r="AZ494" s="272" t="str">
        <f>IF($AX494="","",RANK(AY494,$AY$10:$AY$510)+COUNTIF($AY$10:AY494,AY494)-1)</f>
        <v/>
      </c>
      <c r="BE494" s="177">
        <f t="shared" si="28"/>
        <v>485</v>
      </c>
      <c r="BG494" s="273" t="str">
        <f>IF($BF494="","",_xll.ciqfunctions.udf.CIQ($BF494,"iq_security_level"))</f>
        <v/>
      </c>
      <c r="BH494" s="177" t="str">
        <f t="shared" si="29"/>
        <v/>
      </c>
      <c r="BJ494" s="177" t="str">
        <f t="shared" si="27"/>
        <v/>
      </c>
      <c r="BK494" s="274" t="str">
        <f>IF($BJ494="","",_xll.ciqfunctions.udf.CIQ($BJ494,"iq_bond_coupon")/100)</f>
        <v/>
      </c>
    </row>
    <row r="495" spans="51:63" hidden="1" outlineLevel="1">
      <c r="AY495" s="271" t="str">
        <f>IF($AX495="","",_xll.ciqfunctions.udf.CIQ($AX495,"iq_offer_date"))</f>
        <v/>
      </c>
      <c r="AZ495" s="272" t="str">
        <f>IF($AX495="","",RANK(AY495,$AY$10:$AY$510)+COUNTIF($AY$10:AY495,AY495)-1)</f>
        <v/>
      </c>
      <c r="BE495" s="177">
        <f t="shared" si="28"/>
        <v>486</v>
      </c>
      <c r="BG495" s="273" t="str">
        <f>IF($BF495="","",_xll.ciqfunctions.udf.CIQ($BF495,"iq_security_level"))</f>
        <v/>
      </c>
      <c r="BH495" s="177" t="str">
        <f t="shared" si="29"/>
        <v/>
      </c>
      <c r="BJ495" s="177" t="str">
        <f t="shared" si="27"/>
        <v/>
      </c>
      <c r="BK495" s="274" t="str">
        <f>IF($BJ495="","",_xll.ciqfunctions.udf.CIQ($BJ495,"iq_bond_coupon")/100)</f>
        <v/>
      </c>
    </row>
    <row r="496" spans="51:63" hidden="1" outlineLevel="1">
      <c r="AY496" s="271" t="str">
        <f>IF($AX496="","",_xll.ciqfunctions.udf.CIQ($AX496,"iq_offer_date"))</f>
        <v/>
      </c>
      <c r="AZ496" s="272" t="str">
        <f>IF($AX496="","",RANK(AY496,$AY$10:$AY$510)+COUNTIF($AY$10:AY496,AY496)-1)</f>
        <v/>
      </c>
      <c r="BE496" s="177">
        <f t="shared" si="28"/>
        <v>487</v>
      </c>
      <c r="BG496" s="273" t="str">
        <f>IF($BF496="","",_xll.ciqfunctions.udf.CIQ($BF496,"iq_security_level"))</f>
        <v/>
      </c>
      <c r="BH496" s="177" t="str">
        <f t="shared" si="29"/>
        <v/>
      </c>
      <c r="BJ496" s="177" t="str">
        <f t="shared" si="27"/>
        <v/>
      </c>
      <c r="BK496" s="274" t="str">
        <f>IF($BJ496="","",_xll.ciqfunctions.udf.CIQ($BJ496,"iq_bond_coupon")/100)</f>
        <v/>
      </c>
    </row>
    <row r="497" spans="51:63" hidden="1" outlineLevel="1">
      <c r="AY497" s="271" t="str">
        <f>IF($AX497="","",_xll.ciqfunctions.udf.CIQ($AX497,"iq_offer_date"))</f>
        <v/>
      </c>
      <c r="AZ497" s="272" t="str">
        <f>IF($AX497="","",RANK(AY497,$AY$10:$AY$510)+COUNTIF($AY$10:AY497,AY497)-1)</f>
        <v/>
      </c>
      <c r="BE497" s="177">
        <f t="shared" si="28"/>
        <v>488</v>
      </c>
      <c r="BG497" s="273" t="str">
        <f>IF($BF497="","",_xll.ciqfunctions.udf.CIQ($BF497,"iq_security_level"))</f>
        <v/>
      </c>
      <c r="BH497" s="177" t="str">
        <f t="shared" si="29"/>
        <v/>
      </c>
      <c r="BJ497" s="177" t="str">
        <f t="shared" si="27"/>
        <v/>
      </c>
      <c r="BK497" s="274" t="str">
        <f>IF($BJ497="","",_xll.ciqfunctions.udf.CIQ($BJ497,"iq_bond_coupon")/100)</f>
        <v/>
      </c>
    </row>
    <row r="498" spans="51:63" hidden="1" outlineLevel="1">
      <c r="AY498" s="271" t="str">
        <f>IF($AX498="","",_xll.ciqfunctions.udf.CIQ($AX498,"iq_offer_date"))</f>
        <v/>
      </c>
      <c r="AZ498" s="272" t="str">
        <f>IF($AX498="","",RANK(AY498,$AY$10:$AY$510)+COUNTIF($AY$10:AY498,AY498)-1)</f>
        <v/>
      </c>
      <c r="BE498" s="177">
        <f t="shared" si="28"/>
        <v>489</v>
      </c>
      <c r="BG498" s="273" t="str">
        <f>IF($BF498="","",_xll.ciqfunctions.udf.CIQ($BF498,"iq_security_level"))</f>
        <v/>
      </c>
      <c r="BH498" s="177" t="str">
        <f t="shared" si="29"/>
        <v/>
      </c>
      <c r="BJ498" s="177" t="str">
        <f t="shared" si="27"/>
        <v/>
      </c>
      <c r="BK498" s="274" t="str">
        <f>IF($BJ498="","",_xll.ciqfunctions.udf.CIQ($BJ498,"iq_bond_coupon")/100)</f>
        <v/>
      </c>
    </row>
    <row r="499" spans="51:63" hidden="1" outlineLevel="1">
      <c r="AY499" s="271" t="str">
        <f>IF($AX499="","",_xll.ciqfunctions.udf.CIQ($AX499,"iq_offer_date"))</f>
        <v/>
      </c>
      <c r="AZ499" s="272" t="str">
        <f>IF($AX499="","",RANK(AY499,$AY$10:$AY$510)+COUNTIF($AY$10:AY499,AY499)-1)</f>
        <v/>
      </c>
      <c r="BE499" s="177">
        <f t="shared" si="28"/>
        <v>490</v>
      </c>
      <c r="BG499" s="273" t="str">
        <f>IF($BF499="","",_xll.ciqfunctions.udf.CIQ($BF499,"iq_security_level"))</f>
        <v/>
      </c>
      <c r="BH499" s="177" t="str">
        <f t="shared" si="29"/>
        <v/>
      </c>
      <c r="BJ499" s="177" t="str">
        <f t="shared" si="27"/>
        <v/>
      </c>
      <c r="BK499" s="274" t="str">
        <f>IF($BJ499="","",_xll.ciqfunctions.udf.CIQ($BJ499,"iq_bond_coupon")/100)</f>
        <v/>
      </c>
    </row>
    <row r="500" spans="51:63" hidden="1" outlineLevel="1">
      <c r="AY500" s="271" t="str">
        <f>IF($AX500="","",_xll.ciqfunctions.udf.CIQ($AX500,"iq_offer_date"))</f>
        <v/>
      </c>
      <c r="AZ500" s="272" t="str">
        <f>IF($AX500="","",RANK(AY500,$AY$10:$AY$510)+COUNTIF($AY$10:AY500,AY500)-1)</f>
        <v/>
      </c>
      <c r="BE500" s="177">
        <f t="shared" si="28"/>
        <v>491</v>
      </c>
      <c r="BG500" s="273" t="str">
        <f>IF($BF500="","",_xll.ciqfunctions.udf.CIQ($BF500,"iq_security_level"))</f>
        <v/>
      </c>
      <c r="BH500" s="177" t="str">
        <f t="shared" si="29"/>
        <v/>
      </c>
      <c r="BJ500" s="177" t="str">
        <f t="shared" si="27"/>
        <v/>
      </c>
      <c r="BK500" s="274" t="str">
        <f>IF($BJ500="","",_xll.ciqfunctions.udf.CIQ($BJ500,"iq_bond_coupon")/100)</f>
        <v/>
      </c>
    </row>
    <row r="501" spans="51:63" hidden="1" outlineLevel="1">
      <c r="AY501" s="271" t="str">
        <f>IF($AX501="","",_xll.ciqfunctions.udf.CIQ($AX501,"iq_offer_date"))</f>
        <v/>
      </c>
      <c r="AZ501" s="272" t="str">
        <f>IF($AX501="","",RANK(AY501,$AY$10:$AY$510)+COUNTIF($AY$10:AY501,AY501)-1)</f>
        <v/>
      </c>
      <c r="BE501" s="177">
        <f t="shared" si="28"/>
        <v>492</v>
      </c>
      <c r="BG501" s="273" t="str">
        <f>IF($BF501="","",_xll.ciqfunctions.udf.CIQ($BF501,"iq_security_level"))</f>
        <v/>
      </c>
      <c r="BH501" s="177" t="str">
        <f t="shared" si="29"/>
        <v/>
      </c>
      <c r="BJ501" s="177" t="str">
        <f t="shared" ref="BJ501:BJ510" si="30">IF($BF500="","",IF(ISERROR(INDEX($BF$10:$BF$509,MATCH(BE500,$BH$10:$BH$509,0))),"",INDEX($BF$10:$BF$509,MATCH(BE500,$BH$10:$BH$509,0))))</f>
        <v/>
      </c>
      <c r="BK501" s="274" t="str">
        <f>IF($BJ501="","",_xll.ciqfunctions.udf.CIQ($BJ501,"iq_bond_coupon")/100)</f>
        <v/>
      </c>
    </row>
    <row r="502" spans="51:63" hidden="1" outlineLevel="1">
      <c r="AY502" s="271" t="str">
        <f>IF($AX502="","",_xll.ciqfunctions.udf.CIQ($AX502,"iq_offer_date"))</f>
        <v/>
      </c>
      <c r="AZ502" s="272" t="str">
        <f>IF($AX502="","",RANK(AY502,$AY$10:$AY$510)+COUNTIF($AY$10:AY502,AY502)-1)</f>
        <v/>
      </c>
      <c r="BE502" s="177">
        <f t="shared" si="28"/>
        <v>493</v>
      </c>
      <c r="BG502" s="273" t="str">
        <f>IF($BF502="","",_xll.ciqfunctions.udf.CIQ($BF502,"iq_security_level"))</f>
        <v/>
      </c>
      <c r="BH502" s="177" t="str">
        <f t="shared" si="29"/>
        <v/>
      </c>
      <c r="BJ502" s="177" t="str">
        <f t="shared" si="30"/>
        <v/>
      </c>
      <c r="BK502" s="274" t="str">
        <f>IF($BJ502="","",_xll.ciqfunctions.udf.CIQ($BJ502,"iq_bond_coupon")/100)</f>
        <v/>
      </c>
    </row>
    <row r="503" spans="51:63" hidden="1" outlineLevel="1">
      <c r="AY503" s="271" t="str">
        <f>IF($AX503="","",_xll.ciqfunctions.udf.CIQ($AX503,"iq_offer_date"))</f>
        <v/>
      </c>
      <c r="AZ503" s="272" t="str">
        <f>IF($AX503="","",RANK(AY503,$AY$10:$AY$510)+COUNTIF($AY$10:AY503,AY503)-1)</f>
        <v/>
      </c>
      <c r="BE503" s="177">
        <f t="shared" si="28"/>
        <v>494</v>
      </c>
      <c r="BG503" s="273" t="str">
        <f>IF($BF503="","",_xll.ciqfunctions.udf.CIQ($BF503,"iq_security_level"))</f>
        <v/>
      </c>
      <c r="BH503" s="177" t="str">
        <f t="shared" si="29"/>
        <v/>
      </c>
      <c r="BJ503" s="177" t="str">
        <f t="shared" si="30"/>
        <v/>
      </c>
      <c r="BK503" s="274" t="str">
        <f>IF($BJ503="","",_xll.ciqfunctions.udf.CIQ($BJ503,"iq_bond_coupon")/100)</f>
        <v/>
      </c>
    </row>
    <row r="504" spans="51:63" hidden="1" outlineLevel="1">
      <c r="AY504" s="271" t="str">
        <f>IF($AX504="","",_xll.ciqfunctions.udf.CIQ($AX504,"iq_offer_date"))</f>
        <v/>
      </c>
      <c r="AZ504" s="272" t="str">
        <f>IF($AX504="","",RANK(AY504,$AY$10:$AY$510)+COUNTIF($AY$10:AY504,AY504)-1)</f>
        <v/>
      </c>
      <c r="BE504" s="177">
        <f t="shared" si="28"/>
        <v>495</v>
      </c>
      <c r="BG504" s="273" t="str">
        <f>IF($BF504="","",_xll.ciqfunctions.udf.CIQ($BF504,"iq_security_level"))</f>
        <v/>
      </c>
      <c r="BH504" s="177" t="str">
        <f t="shared" si="29"/>
        <v/>
      </c>
      <c r="BJ504" s="177" t="str">
        <f t="shared" si="30"/>
        <v/>
      </c>
      <c r="BK504" s="274" t="str">
        <f>IF($BJ504="","",_xll.ciqfunctions.udf.CIQ($BJ504,"iq_bond_coupon")/100)</f>
        <v/>
      </c>
    </row>
    <row r="505" spans="51:63" hidden="1" outlineLevel="1">
      <c r="AY505" s="271" t="str">
        <f>IF($AX505="","",_xll.ciqfunctions.udf.CIQ($AX505,"iq_offer_date"))</f>
        <v/>
      </c>
      <c r="AZ505" s="272" t="str">
        <f>IF($AX505="","",RANK(AY505,$AY$10:$AY$510)+COUNTIF($AY$10:AY505,AY505)-1)</f>
        <v/>
      </c>
      <c r="BE505" s="177">
        <f t="shared" si="28"/>
        <v>496</v>
      </c>
      <c r="BG505" s="273" t="str">
        <f>IF($BF505="","",_xll.ciqfunctions.udf.CIQ($BF505,"iq_security_level"))</f>
        <v/>
      </c>
      <c r="BH505" s="177" t="str">
        <f t="shared" si="29"/>
        <v/>
      </c>
      <c r="BJ505" s="177" t="str">
        <f t="shared" si="30"/>
        <v/>
      </c>
      <c r="BK505" s="274" t="str">
        <f>IF($BJ505="","",_xll.ciqfunctions.udf.CIQ($BJ505,"iq_bond_coupon")/100)</f>
        <v/>
      </c>
    </row>
    <row r="506" spans="51:63" hidden="1" outlineLevel="1">
      <c r="AY506" s="271" t="str">
        <f>IF($AX506="","",_xll.ciqfunctions.udf.CIQ($AX506,"iq_offer_date"))</f>
        <v/>
      </c>
      <c r="AZ506" s="272" t="str">
        <f>IF($AX506="","",RANK(AY506,$AY$10:$AY$510)+COUNTIF($AY$10:AY506,AY506)-1)</f>
        <v/>
      </c>
      <c r="BE506" s="177">
        <f t="shared" si="28"/>
        <v>497</v>
      </c>
      <c r="BG506" s="273" t="str">
        <f>IF($BF506="","",_xll.ciqfunctions.udf.CIQ($BF506,"iq_security_level"))</f>
        <v/>
      </c>
      <c r="BH506" s="177" t="str">
        <f t="shared" si="29"/>
        <v/>
      </c>
      <c r="BJ506" s="177" t="str">
        <f t="shared" si="30"/>
        <v/>
      </c>
      <c r="BK506" s="274" t="str">
        <f>IF($BJ506="","",_xll.ciqfunctions.udf.CIQ($BJ506,"iq_bond_coupon")/100)</f>
        <v/>
      </c>
    </row>
    <row r="507" spans="51:63" hidden="1" outlineLevel="1">
      <c r="AY507" s="271" t="str">
        <f>IF($AX507="","",_xll.ciqfunctions.udf.CIQ($AX507,"iq_offer_date"))</f>
        <v/>
      </c>
      <c r="AZ507" s="272" t="str">
        <f>IF($AX507="","",RANK(AY507,$AY$10:$AY$510)+COUNTIF($AY$10:AY507,AY507)-1)</f>
        <v/>
      </c>
      <c r="BE507" s="177">
        <f t="shared" si="28"/>
        <v>498</v>
      </c>
      <c r="BG507" s="273" t="str">
        <f>IF($BF507="","",_xll.ciqfunctions.udf.CIQ($BF507,"iq_security_level"))</f>
        <v/>
      </c>
      <c r="BH507" s="177" t="str">
        <f t="shared" si="29"/>
        <v/>
      </c>
      <c r="BJ507" s="177" t="str">
        <f t="shared" si="30"/>
        <v/>
      </c>
      <c r="BK507" s="274" t="str">
        <f>IF($BJ507="","",_xll.ciqfunctions.udf.CIQ($BJ507,"iq_bond_coupon")/100)</f>
        <v/>
      </c>
    </row>
    <row r="508" spans="51:63" hidden="1" outlineLevel="1">
      <c r="AY508" s="271" t="str">
        <f>IF($AX508="","",_xll.ciqfunctions.udf.CIQ($AX508,"iq_offer_date"))</f>
        <v/>
      </c>
      <c r="AZ508" s="272" t="str">
        <f>IF($AX508="","",RANK(AY508,$AY$10:$AY$510)+COUNTIF($AY$10:AY508,AY508)-1)</f>
        <v/>
      </c>
      <c r="BE508" s="177">
        <f t="shared" si="28"/>
        <v>499</v>
      </c>
      <c r="BG508" s="273" t="str">
        <f>IF($BF508="","",_xll.ciqfunctions.udf.CIQ($BF508,"iq_security_level"))</f>
        <v/>
      </c>
      <c r="BH508" s="177" t="str">
        <f t="shared" si="29"/>
        <v/>
      </c>
      <c r="BJ508" s="177" t="str">
        <f t="shared" si="30"/>
        <v/>
      </c>
      <c r="BK508" s="274" t="str">
        <f>IF($BJ508="","",_xll.ciqfunctions.udf.CIQ($BJ508,"iq_bond_coupon")/100)</f>
        <v/>
      </c>
    </row>
    <row r="509" spans="51:63" hidden="1" outlineLevel="1">
      <c r="AY509" s="271" t="str">
        <f>IF($AX509="","",_xll.ciqfunctions.udf.CIQ($AX509,"iq_offer_date"))</f>
        <v/>
      </c>
      <c r="AZ509" s="272" t="str">
        <f>IF($AX509="","",RANK(AY509,$AY$10:$AY$510)+COUNTIF($AY$10:AY509,AY509)-1)</f>
        <v/>
      </c>
      <c r="BE509" s="177">
        <f t="shared" si="28"/>
        <v>500</v>
      </c>
      <c r="BG509" s="273" t="str">
        <f>IF($BF509="","",_xll.ciqfunctions.udf.CIQ($BF509,"iq_security_level"))</f>
        <v/>
      </c>
      <c r="BH509" s="177" t="str">
        <f t="shared" si="29"/>
        <v/>
      </c>
      <c r="BJ509" s="177" t="str">
        <f t="shared" si="30"/>
        <v/>
      </c>
      <c r="BK509" s="274" t="str">
        <f>IF($BJ509="","",_xll.ciqfunctions.udf.CIQ($BJ509,"iq_bond_coupon")/100)</f>
        <v/>
      </c>
    </row>
    <row r="510" spans="51:63" hidden="1" outlineLevel="1">
      <c r="AY510" s="271" t="str">
        <f>IF($AX510="","",_xll.ciqfunctions.udf.CIQ($AX510,"iq_offer_date"))</f>
        <v/>
      </c>
      <c r="AZ510" s="272" t="str">
        <f>IF($AX510="","",RANK(AY510,$AY$10:$AY$510)+COUNTIF($AY$10:AY510,AY510)-1)</f>
        <v/>
      </c>
      <c r="BJ510" s="177" t="str">
        <f t="shared" si="30"/>
        <v/>
      </c>
      <c r="BK510" s="274" t="str">
        <f>IF($BJ510="","",_xll.ciqfunctions.udf.CIQ($BJ510,"iq_bond_coupon")/100)</f>
        <v/>
      </c>
    </row>
    <row r="511" spans="51:63" collapsed="1">
      <c r="BJ511" s="177" t="str">
        <f>IF($BF511="","",IF(ISERROR(INDEX($BF$10:$BF$509,MATCH(BE511,$BH$10:$BH$509,0))),"",INDEX($BF$10:$BF$509,MATCH(BE511,$BH$10:$BH$509,0))))</f>
        <v/>
      </c>
      <c r="BK511" s="274" t="str">
        <f>IF($BJ511="","",_xll.ciqfunctions.udf.CIQ($BJ511,"iq_bond_coupon")/100)</f>
        <v/>
      </c>
    </row>
  </sheetData>
  <mergeCells count="4">
    <mergeCell ref="Q1:S1"/>
    <mergeCell ref="C26:D26"/>
    <mergeCell ref="D22:H22"/>
    <mergeCell ref="G21:H21"/>
  </mergeCells>
  <dataValidations count="9">
    <dataValidation type="list" allowBlank="1" showInputMessage="1" showErrorMessage="1" sqref="H26" xr:uid="{3213AF47-92EB-4E12-87F1-D3AD3ACA3DE4}">
      <formula1>$AF$24:$AF$57</formula1>
    </dataValidation>
    <dataValidation type="list" allowBlank="1" showInputMessage="1" showErrorMessage="1" sqref="D22" xr:uid="{52791C5F-4239-4788-96DB-3D2026264E4E}">
      <formula1>OFFSET($AR$10,$AP$7,,$AQ$7)</formula1>
    </dataValidation>
    <dataValidation type="list" allowBlank="1" showInputMessage="1" showErrorMessage="1" sqref="K1" xr:uid="{00131584-6F73-4CBA-965D-98C7B5BFBA04}">
      <formula1>$AI$23:$AI$24</formula1>
    </dataValidation>
    <dataValidation type="list" allowBlank="1" showInputMessage="1" showErrorMessage="1" sqref="Q1" xr:uid="{169C007F-259E-4D22-A5B9-1D620A5CF5DD}">
      <formula1>$AH$27:$AH$30</formula1>
    </dataValidation>
    <dataValidation type="list" allowBlank="1" showInputMessage="1" showErrorMessage="1" sqref="H15" xr:uid="{B1D18CB8-655C-47EF-A12E-4E84F338B24F}">
      <formula1>"Company,Corp Yield Curve"</formula1>
    </dataValidation>
    <dataValidation type="list" allowBlank="1" showInputMessage="1" showErrorMessage="1" sqref="F26" xr:uid="{A92B9B67-3AA7-42F8-9C93-7C61BC8A671C}">
      <formula1>$AE$24:$AE$32</formula1>
    </dataValidation>
    <dataValidation type="list" showInputMessage="1" showErrorMessage="1" sqref="C26" xr:uid="{789A55DB-6256-4798-82E4-B92DFC345CBB}">
      <formula1>$AD$24:$AD$36</formula1>
    </dataValidation>
    <dataValidation type="list" allowBlank="1" showInputMessage="1" showErrorMessage="1" sqref="A26" xr:uid="{AD297701-B5E8-4945-9DA9-69776DAF7A88}">
      <formula1>$AB$24:$AB$27</formula1>
    </dataValidation>
    <dataValidation type="list" allowBlank="1" showInputMessage="1" showErrorMessage="1" sqref="G21" xr:uid="{A0315BCC-D60B-4032-BB14-B734EEF0A202}">
      <formula1>$AL$11:$AL$29</formula1>
    </dataValidation>
  </dataValidations>
  <printOptions horizontalCentered="1"/>
  <pageMargins left="0.25" right="0.25" top="0.25" bottom="0.25" header="0.5" footer="0.5"/>
  <pageSetup scale="59" orientation="landscape" r:id="rId1"/>
  <headerFooter alignWithMargins="0"/>
  <rowBreaks count="2" manualBreakCount="2">
    <brk id="56" max="18" man="1"/>
    <brk id="111" max="18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BCE8-09FE-4D76-8C82-82EEE42F5605}">
  <dimension ref="A1:O133"/>
  <sheetViews>
    <sheetView showGridLines="0" zoomScaleNormal="100" workbookViewId="0">
      <pane ySplit="3" topLeftCell="A104" activePane="bottomLeft" state="frozen"/>
      <selection pane="bottomLeft"/>
    </sheetView>
  </sheetViews>
  <sheetFormatPr baseColWidth="10" defaultColWidth="9" defaultRowHeight="14" outlineLevelRow="1"/>
  <cols>
    <col min="1" max="1" width="52.796875" customWidth="1"/>
    <col min="2" max="12" width="12.59765625" customWidth="1"/>
    <col min="13" max="13" width="3" customWidth="1"/>
    <col min="14" max="14" width="12.59765625" customWidth="1"/>
    <col min="15" max="15" width="12" customWidth="1"/>
  </cols>
  <sheetData>
    <row r="1" spans="1:15">
      <c r="A1" s="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N1" s="26"/>
    </row>
    <row r="2" spans="1:15" ht="18">
      <c r="A2" s="331" t="s">
        <v>771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N2" s="342"/>
    </row>
    <row r="3" spans="1:15">
      <c r="A3" s="5" t="s">
        <v>0</v>
      </c>
      <c r="B3" s="341" t="s">
        <v>772</v>
      </c>
      <c r="C3" s="341" t="s">
        <v>773</v>
      </c>
      <c r="D3" s="341" t="s">
        <v>774</v>
      </c>
      <c r="E3" s="341" t="s">
        <v>775</v>
      </c>
      <c r="F3" s="341" t="s">
        <v>776</v>
      </c>
      <c r="G3" s="341" t="s">
        <v>777</v>
      </c>
      <c r="H3" s="341" t="s">
        <v>778</v>
      </c>
      <c r="I3" s="341" t="s">
        <v>779</v>
      </c>
      <c r="J3" s="341" t="s">
        <v>780</v>
      </c>
      <c r="K3" s="341" t="s">
        <v>781</v>
      </c>
      <c r="L3" s="341" t="s">
        <v>782</v>
      </c>
      <c r="N3" s="343" t="s">
        <v>716</v>
      </c>
    </row>
    <row r="4" spans="1:15" ht="14.25" customHeight="1">
      <c r="A4" s="154"/>
      <c r="B4" s="332"/>
      <c r="C4" s="332"/>
      <c r="D4" s="332"/>
      <c r="E4" s="332"/>
      <c r="F4" s="332"/>
      <c r="G4" s="332"/>
      <c r="H4" s="332"/>
      <c r="I4" s="332"/>
      <c r="J4" s="332"/>
      <c r="K4" s="332"/>
      <c r="L4" s="332"/>
      <c r="N4" s="333"/>
    </row>
    <row r="5" spans="1:15" ht="14.25" customHeight="1" outlineLevel="1">
      <c r="A5" s="6" t="s">
        <v>123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ht="14.25" customHeight="1" outlineLevel="1">
      <c r="A6" s="154" t="s">
        <v>783</v>
      </c>
      <c r="B6" s="334">
        <v>42370</v>
      </c>
      <c r="C6" s="335">
        <f t="shared" ref="C6:L6" si="0">DATE(YEAR(B6),MONTH(B6)+3,DAY(B6))</f>
        <v>42461</v>
      </c>
      <c r="D6" s="335">
        <f t="shared" si="0"/>
        <v>42552</v>
      </c>
      <c r="E6" s="335">
        <f t="shared" si="0"/>
        <v>42644</v>
      </c>
      <c r="F6" s="335">
        <f t="shared" si="0"/>
        <v>42736</v>
      </c>
      <c r="G6" s="335">
        <f t="shared" si="0"/>
        <v>42826</v>
      </c>
      <c r="H6" s="335">
        <f t="shared" si="0"/>
        <v>42917</v>
      </c>
      <c r="I6" s="335">
        <f t="shared" si="0"/>
        <v>43009</v>
      </c>
      <c r="J6" s="335">
        <f t="shared" si="0"/>
        <v>43101</v>
      </c>
      <c r="K6" s="335">
        <f t="shared" si="0"/>
        <v>43191</v>
      </c>
      <c r="L6" s="335">
        <f t="shared" si="0"/>
        <v>43282</v>
      </c>
      <c r="N6" s="335">
        <f>I6</f>
        <v>43009</v>
      </c>
    </row>
    <row r="7" spans="1:15" ht="14.25" customHeight="1" outlineLevel="1">
      <c r="A7" s="154" t="s">
        <v>784</v>
      </c>
      <c r="B7" s="334">
        <v>42460</v>
      </c>
      <c r="C7" s="335">
        <f t="shared" ref="C7:L7" si="1">EOMONTH(B7,3)</f>
        <v>42551</v>
      </c>
      <c r="D7" s="335">
        <f t="shared" si="1"/>
        <v>42643</v>
      </c>
      <c r="E7" s="335">
        <f t="shared" si="1"/>
        <v>42735</v>
      </c>
      <c r="F7" s="335">
        <f t="shared" si="1"/>
        <v>42825</v>
      </c>
      <c r="G7" s="335">
        <f t="shared" si="1"/>
        <v>42916</v>
      </c>
      <c r="H7" s="335">
        <f t="shared" si="1"/>
        <v>43008</v>
      </c>
      <c r="I7" s="335">
        <f t="shared" si="1"/>
        <v>43100</v>
      </c>
      <c r="J7" s="335">
        <f t="shared" si="1"/>
        <v>43190</v>
      </c>
      <c r="K7" s="335">
        <f t="shared" si="1"/>
        <v>43281</v>
      </c>
      <c r="L7" s="335">
        <f t="shared" si="1"/>
        <v>43373</v>
      </c>
      <c r="N7" s="335">
        <f>L7</f>
        <v>43373</v>
      </c>
    </row>
    <row r="8" spans="1:15" ht="14.25" customHeight="1" outlineLevel="1">
      <c r="A8" s="154" t="s">
        <v>125</v>
      </c>
      <c r="B8" s="336">
        <f t="shared" ref="B8:N8" si="2">B7-B6+1</f>
        <v>91</v>
      </c>
      <c r="C8" s="336">
        <f t="shared" si="2"/>
        <v>91</v>
      </c>
      <c r="D8" s="336">
        <f t="shared" si="2"/>
        <v>92</v>
      </c>
      <c r="E8" s="336">
        <f t="shared" si="2"/>
        <v>92</v>
      </c>
      <c r="F8" s="336">
        <f t="shared" si="2"/>
        <v>90</v>
      </c>
      <c r="G8" s="336">
        <f t="shared" si="2"/>
        <v>91</v>
      </c>
      <c r="H8" s="336">
        <f t="shared" si="2"/>
        <v>92</v>
      </c>
      <c r="I8" s="336">
        <f t="shared" si="2"/>
        <v>92</v>
      </c>
      <c r="J8" s="336">
        <f t="shared" si="2"/>
        <v>90</v>
      </c>
      <c r="K8" s="336">
        <f t="shared" si="2"/>
        <v>91</v>
      </c>
      <c r="L8" s="336">
        <f t="shared" si="2"/>
        <v>92</v>
      </c>
      <c r="N8" s="336">
        <f t="shared" si="2"/>
        <v>365</v>
      </c>
    </row>
    <row r="9" spans="1:15" ht="14.25" customHeight="1" outlineLevel="1">
      <c r="A9" s="154"/>
      <c r="B9" s="336"/>
      <c r="C9" s="336"/>
      <c r="D9" s="336"/>
      <c r="E9" s="336"/>
      <c r="F9" s="336"/>
      <c r="G9" s="336"/>
      <c r="H9" s="336"/>
      <c r="I9" s="336"/>
      <c r="J9" s="336"/>
      <c r="K9" s="336"/>
      <c r="L9" s="336"/>
      <c r="N9" s="336"/>
    </row>
    <row r="10" spans="1:15" ht="14.25" customHeight="1">
      <c r="A10" s="6" t="s">
        <v>92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337"/>
      <c r="N10" s="6"/>
    </row>
    <row r="11" spans="1:15" ht="14.25" customHeight="1" outlineLevel="1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N11" s="37"/>
      <c r="O11" s="37"/>
    </row>
    <row r="12" spans="1:15" ht="14.25" customHeight="1" outlineLevel="1">
      <c r="A12" s="1" t="s">
        <v>146</v>
      </c>
      <c r="L12" s="32"/>
    </row>
    <row r="13" spans="1:15" ht="14.25" customHeight="1" outlineLevel="1">
      <c r="A13" t="s">
        <v>147</v>
      </c>
      <c r="B13" s="53">
        <v>19916</v>
      </c>
      <c r="C13" s="53">
        <v>20378</v>
      </c>
      <c r="D13" s="53">
        <v>21590</v>
      </c>
      <c r="E13" s="53">
        <v>29548</v>
      </c>
      <c r="F13" s="53">
        <v>22826</v>
      </c>
      <c r="G13" s="53">
        <v>23754</v>
      </c>
      <c r="H13" s="53">
        <v>26392</v>
      </c>
      <c r="I13" s="53">
        <v>35383</v>
      </c>
      <c r="J13" s="53">
        <v>26939</v>
      </c>
      <c r="K13" s="53">
        <v>27165</v>
      </c>
      <c r="L13" s="53">
        <v>29061</v>
      </c>
      <c r="N13" s="336">
        <f t="shared" ref="N13:N18" si="3">SUM(I13:L13)</f>
        <v>118548</v>
      </c>
      <c r="O13" s="71" t="s">
        <v>182</v>
      </c>
    </row>
    <row r="14" spans="1:15" ht="14.25" customHeight="1" outlineLevel="1">
      <c r="A14" t="s">
        <v>148</v>
      </c>
      <c r="B14" s="53"/>
      <c r="C14" s="53"/>
      <c r="D14" s="53"/>
      <c r="E14" s="53"/>
      <c r="F14" s="53"/>
      <c r="G14" s="53"/>
      <c r="H14" s="53">
        <v>1276</v>
      </c>
      <c r="I14" s="53">
        <v>4522</v>
      </c>
      <c r="J14" s="53">
        <v>4263</v>
      </c>
      <c r="K14" s="53">
        <v>4312</v>
      </c>
      <c r="L14" s="53">
        <v>4248</v>
      </c>
      <c r="N14" s="336">
        <f t="shared" si="3"/>
        <v>17345</v>
      </c>
      <c r="O14" s="71" t="s">
        <v>182</v>
      </c>
    </row>
    <row r="15" spans="1:15" ht="14.25" customHeight="1" outlineLevel="1">
      <c r="A15" t="s">
        <v>149</v>
      </c>
      <c r="B15" s="53">
        <v>4801</v>
      </c>
      <c r="C15" s="53">
        <v>5083</v>
      </c>
      <c r="D15" s="53">
        <v>5652</v>
      </c>
      <c r="E15" s="53">
        <v>7456</v>
      </c>
      <c r="F15" s="53">
        <v>6438</v>
      </c>
      <c r="G15" s="53">
        <v>6991</v>
      </c>
      <c r="H15" s="53">
        <v>7928</v>
      </c>
      <c r="I15" s="53">
        <v>10523</v>
      </c>
      <c r="J15" s="53">
        <v>9265</v>
      </c>
      <c r="K15" s="53">
        <v>9702</v>
      </c>
      <c r="L15" s="53">
        <v>10395</v>
      </c>
      <c r="N15" s="336">
        <f t="shared" si="3"/>
        <v>39885</v>
      </c>
      <c r="O15" s="70" t="s">
        <v>183</v>
      </c>
    </row>
    <row r="16" spans="1:15" ht="14.25" customHeight="1" outlineLevel="1">
      <c r="A16" t="s">
        <v>150</v>
      </c>
      <c r="B16" s="53">
        <v>1300</v>
      </c>
      <c r="C16" s="53">
        <v>1431</v>
      </c>
      <c r="D16" s="53">
        <v>1532</v>
      </c>
      <c r="E16" s="53">
        <v>2130</v>
      </c>
      <c r="F16" s="53">
        <v>1939</v>
      </c>
      <c r="G16" s="53">
        <v>2165</v>
      </c>
      <c r="H16" s="53">
        <v>2441</v>
      </c>
      <c r="I16" s="53">
        <v>3177</v>
      </c>
      <c r="J16" s="53">
        <v>3102</v>
      </c>
      <c r="K16" s="53">
        <v>3408</v>
      </c>
      <c r="L16" s="53">
        <v>3698</v>
      </c>
      <c r="N16" s="336">
        <f t="shared" si="3"/>
        <v>13385</v>
      </c>
      <c r="O16" s="72" t="s">
        <v>184</v>
      </c>
    </row>
    <row r="17" spans="1:15" ht="14.25" customHeight="1" outlineLevel="1">
      <c r="A17" t="s">
        <v>151</v>
      </c>
      <c r="B17" s="53">
        <v>2566</v>
      </c>
      <c r="C17" s="53">
        <v>2886</v>
      </c>
      <c r="D17" s="53">
        <v>3231</v>
      </c>
      <c r="E17" s="53">
        <v>3536</v>
      </c>
      <c r="F17" s="53">
        <v>3661</v>
      </c>
      <c r="G17" s="53">
        <v>4100</v>
      </c>
      <c r="H17" s="53">
        <v>4584</v>
      </c>
      <c r="I17" s="53">
        <v>5113</v>
      </c>
      <c r="J17" s="53">
        <v>5442</v>
      </c>
      <c r="K17" s="53">
        <v>6105</v>
      </c>
      <c r="L17" s="53">
        <v>6679</v>
      </c>
      <c r="N17" s="336">
        <f t="shared" si="3"/>
        <v>23339</v>
      </c>
      <c r="O17" s="73" t="s">
        <v>166</v>
      </c>
    </row>
    <row r="18" spans="1:15" ht="14.25" customHeight="1" outlineLevel="1">
      <c r="A18" t="s">
        <v>152</v>
      </c>
      <c r="B18" s="53">
        <v>545</v>
      </c>
      <c r="C18" s="53">
        <v>626</v>
      </c>
      <c r="D18" s="53">
        <v>709</v>
      </c>
      <c r="E18" s="53">
        <v>1071</v>
      </c>
      <c r="F18" s="53">
        <v>850</v>
      </c>
      <c r="G18" s="53">
        <v>945</v>
      </c>
      <c r="H18" s="53">
        <v>1123</v>
      </c>
      <c r="I18" s="53">
        <v>1735</v>
      </c>
      <c r="J18" s="53">
        <v>2031</v>
      </c>
      <c r="K18" s="53">
        <v>2194</v>
      </c>
      <c r="L18" s="53">
        <v>2495</v>
      </c>
      <c r="N18" s="336">
        <f t="shared" si="3"/>
        <v>8455</v>
      </c>
      <c r="O18" s="74" t="s">
        <v>165</v>
      </c>
    </row>
    <row r="19" spans="1:15" ht="14.25" customHeight="1" outlineLevel="1">
      <c r="A19" s="15" t="s">
        <v>3</v>
      </c>
      <c r="B19" s="80">
        <f t="shared" ref="B19:N19" si="4">SUM(B13:B18)</f>
        <v>29128</v>
      </c>
      <c r="C19" s="80">
        <f t="shared" si="4"/>
        <v>30404</v>
      </c>
      <c r="D19" s="80">
        <f t="shared" si="4"/>
        <v>32714</v>
      </c>
      <c r="E19" s="80">
        <f t="shared" si="4"/>
        <v>43741</v>
      </c>
      <c r="F19" s="80">
        <f t="shared" si="4"/>
        <v>35714</v>
      </c>
      <c r="G19" s="80">
        <f t="shared" si="4"/>
        <v>37955</v>
      </c>
      <c r="H19" s="80">
        <f t="shared" si="4"/>
        <v>43744</v>
      </c>
      <c r="I19" s="80">
        <f t="shared" si="4"/>
        <v>60453</v>
      </c>
      <c r="J19" s="80">
        <f t="shared" si="4"/>
        <v>51042</v>
      </c>
      <c r="K19" s="80">
        <f t="shared" si="4"/>
        <v>52886</v>
      </c>
      <c r="L19" s="80">
        <f t="shared" si="4"/>
        <v>56576</v>
      </c>
      <c r="N19" s="80">
        <f t="shared" si="4"/>
        <v>220957</v>
      </c>
    </row>
    <row r="20" spans="1:15" ht="14.25" customHeight="1" outlineLevel="1">
      <c r="L20" s="32"/>
      <c r="N20" s="338"/>
    </row>
    <row r="21" spans="1:15" ht="14.25" customHeight="1" outlineLevel="1">
      <c r="L21" s="32"/>
      <c r="N21" s="338"/>
    </row>
    <row r="22" spans="1:15" ht="14.25" customHeight="1" outlineLevel="1">
      <c r="A22" s="1" t="s">
        <v>92</v>
      </c>
      <c r="L22" s="32"/>
      <c r="N22" s="338"/>
    </row>
    <row r="23" spans="1:15" ht="14.25" customHeight="1" outlineLevel="1">
      <c r="A23" t="s">
        <v>1</v>
      </c>
      <c r="B23" s="43">
        <v>20581</v>
      </c>
      <c r="C23" s="43">
        <v>21116</v>
      </c>
      <c r="D23" s="43">
        <v>22339</v>
      </c>
      <c r="E23" s="43">
        <v>30629</v>
      </c>
      <c r="F23" s="43">
        <v>23734</v>
      </c>
      <c r="G23" s="43">
        <v>24745</v>
      </c>
      <c r="H23" s="43">
        <v>28768</v>
      </c>
      <c r="I23" s="43">
        <v>41325</v>
      </c>
      <c r="J23" s="43">
        <v>31605</v>
      </c>
      <c r="K23" s="43">
        <v>31864</v>
      </c>
      <c r="L23" s="43">
        <v>33746</v>
      </c>
      <c r="N23" s="37">
        <f>SUM(I23:L23)</f>
        <v>138540</v>
      </c>
      <c r="O23" s="37"/>
    </row>
    <row r="24" spans="1:15" ht="14.25" customHeight="1" outlineLevel="1">
      <c r="A24" t="s">
        <v>2</v>
      </c>
      <c r="B24" s="43">
        <v>8547</v>
      </c>
      <c r="C24" s="43">
        <v>9288</v>
      </c>
      <c r="D24" s="43">
        <v>10375</v>
      </c>
      <c r="E24" s="43">
        <v>13112</v>
      </c>
      <c r="F24" s="43">
        <v>11980</v>
      </c>
      <c r="G24" s="43">
        <v>13210</v>
      </c>
      <c r="H24" s="43">
        <v>14976</v>
      </c>
      <c r="I24" s="43">
        <v>19128</v>
      </c>
      <c r="J24" s="43">
        <v>19437</v>
      </c>
      <c r="K24" s="43">
        <v>21022</v>
      </c>
      <c r="L24" s="43">
        <v>22830</v>
      </c>
      <c r="N24" s="37">
        <f>SUM(I24:L24)</f>
        <v>82417</v>
      </c>
      <c r="O24" s="37"/>
    </row>
    <row r="25" spans="1:15" ht="14.25" customHeight="1" outlineLevel="1">
      <c r="A25" s="12" t="s">
        <v>3</v>
      </c>
      <c r="B25" s="81">
        <f t="shared" ref="B25:N25" si="5">SUM(B23:B24)</f>
        <v>29128</v>
      </c>
      <c r="C25" s="81">
        <f t="shared" si="5"/>
        <v>30404</v>
      </c>
      <c r="D25" s="81">
        <f t="shared" si="5"/>
        <v>32714</v>
      </c>
      <c r="E25" s="81">
        <f t="shared" si="5"/>
        <v>43741</v>
      </c>
      <c r="F25" s="81">
        <f t="shared" si="5"/>
        <v>35714</v>
      </c>
      <c r="G25" s="81">
        <f t="shared" si="5"/>
        <v>37955</v>
      </c>
      <c r="H25" s="81">
        <f t="shared" si="5"/>
        <v>43744</v>
      </c>
      <c r="I25" s="81">
        <f t="shared" si="5"/>
        <v>60453</v>
      </c>
      <c r="J25" s="81">
        <f t="shared" si="5"/>
        <v>51042</v>
      </c>
      <c r="K25" s="81">
        <f t="shared" si="5"/>
        <v>52886</v>
      </c>
      <c r="L25" s="81">
        <f t="shared" si="5"/>
        <v>56576</v>
      </c>
      <c r="N25" s="81">
        <f t="shared" si="5"/>
        <v>220957</v>
      </c>
      <c r="O25" s="37"/>
    </row>
    <row r="26" spans="1:15" ht="14.25" customHeight="1" outlineLevel="1">
      <c r="A26" t="s">
        <v>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N26" s="37"/>
      <c r="O26" s="37"/>
    </row>
    <row r="27" spans="1:15" ht="14.25" customHeight="1" outlineLevel="1">
      <c r="A27" s="11" t="s">
        <v>5</v>
      </c>
      <c r="B27" s="43">
        <v>18866</v>
      </c>
      <c r="C27" s="43">
        <v>19180</v>
      </c>
      <c r="D27" s="43">
        <v>21260</v>
      </c>
      <c r="E27" s="43">
        <v>28958</v>
      </c>
      <c r="F27" s="43">
        <v>22440</v>
      </c>
      <c r="G27" s="43">
        <v>23451</v>
      </c>
      <c r="H27" s="43">
        <v>27549</v>
      </c>
      <c r="I27" s="43">
        <v>38494</v>
      </c>
      <c r="J27" s="43">
        <v>30735</v>
      </c>
      <c r="K27" s="43">
        <v>30632</v>
      </c>
      <c r="L27" s="43">
        <v>33003</v>
      </c>
      <c r="N27" s="37">
        <f t="shared" ref="N27:N32" si="6">SUM(I27:L27)</f>
        <v>132864</v>
      </c>
      <c r="O27" s="37"/>
    </row>
    <row r="28" spans="1:15" ht="14.25" customHeight="1" outlineLevel="1">
      <c r="A28" s="11" t="s">
        <v>6</v>
      </c>
      <c r="B28" s="43">
        <v>3687</v>
      </c>
      <c r="C28" s="43">
        <v>3878</v>
      </c>
      <c r="D28" s="43">
        <v>4335</v>
      </c>
      <c r="E28" s="43">
        <v>5719</v>
      </c>
      <c r="F28" s="43">
        <v>4697</v>
      </c>
      <c r="G28" s="43">
        <v>5158</v>
      </c>
      <c r="H28" s="43">
        <v>6420</v>
      </c>
      <c r="I28" s="43">
        <v>8974</v>
      </c>
      <c r="J28" s="43">
        <v>7792</v>
      </c>
      <c r="K28" s="43">
        <v>7932</v>
      </c>
      <c r="L28" s="43">
        <v>8275</v>
      </c>
      <c r="N28" s="37">
        <f t="shared" si="6"/>
        <v>32973</v>
      </c>
      <c r="O28" s="37"/>
    </row>
    <row r="29" spans="1:15" ht="14.25" customHeight="1" outlineLevel="1">
      <c r="A29" s="11" t="s">
        <v>7</v>
      </c>
      <c r="B29" s="43">
        <v>1436</v>
      </c>
      <c r="C29" s="43">
        <v>1546</v>
      </c>
      <c r="D29" s="43">
        <v>1738</v>
      </c>
      <c r="E29" s="43">
        <v>2513</v>
      </c>
      <c r="F29" s="43">
        <v>1920</v>
      </c>
      <c r="G29" s="43">
        <v>2229</v>
      </c>
      <c r="H29" s="43">
        <v>2479</v>
      </c>
      <c r="I29" s="43">
        <v>3440</v>
      </c>
      <c r="J29" s="43">
        <v>2699</v>
      </c>
      <c r="K29" s="43">
        <v>2901</v>
      </c>
      <c r="L29" s="43">
        <v>3303</v>
      </c>
      <c r="N29" s="37">
        <f t="shared" si="6"/>
        <v>12343</v>
      </c>
      <c r="O29" s="37"/>
    </row>
    <row r="30" spans="1:15" ht="14.25" customHeight="1" outlineLevel="1">
      <c r="A30" s="11" t="s">
        <v>8</v>
      </c>
      <c r="B30" s="43">
        <v>3526</v>
      </c>
      <c r="C30" s="43">
        <v>3880</v>
      </c>
      <c r="D30" s="43">
        <v>4135</v>
      </c>
      <c r="E30" s="43">
        <v>4545</v>
      </c>
      <c r="F30" s="43">
        <v>4813</v>
      </c>
      <c r="G30" s="43">
        <v>5549</v>
      </c>
      <c r="H30" s="43">
        <v>5944</v>
      </c>
      <c r="I30" s="43">
        <v>6314</v>
      </c>
      <c r="J30" s="43">
        <v>6759</v>
      </c>
      <c r="K30" s="43">
        <v>7247</v>
      </c>
      <c r="L30" s="43">
        <v>7162</v>
      </c>
      <c r="N30" s="37">
        <f t="shared" si="6"/>
        <v>27482</v>
      </c>
      <c r="O30" s="37"/>
    </row>
    <row r="31" spans="1:15" ht="14.25" customHeight="1" outlineLevel="1">
      <c r="A31" s="11" t="s">
        <v>9</v>
      </c>
      <c r="B31" s="43">
        <v>497</v>
      </c>
      <c r="C31" s="43">
        <v>580</v>
      </c>
      <c r="D31" s="43">
        <v>639</v>
      </c>
      <c r="E31" s="43">
        <v>717</v>
      </c>
      <c r="F31" s="43">
        <v>795</v>
      </c>
      <c r="G31" s="43">
        <v>874</v>
      </c>
      <c r="H31" s="43">
        <v>960</v>
      </c>
      <c r="I31" s="43">
        <v>1044</v>
      </c>
      <c r="J31" s="43">
        <v>1067</v>
      </c>
      <c r="K31" s="43">
        <v>1111</v>
      </c>
      <c r="L31" s="43">
        <v>1041</v>
      </c>
      <c r="N31" s="37">
        <f t="shared" si="6"/>
        <v>4263</v>
      </c>
      <c r="O31" s="37"/>
    </row>
    <row r="32" spans="1:15" ht="14.25" customHeight="1" outlineLevel="1">
      <c r="A32" s="11" t="s">
        <v>10</v>
      </c>
      <c r="B32" s="43">
        <v>45</v>
      </c>
      <c r="C32" s="43">
        <v>55</v>
      </c>
      <c r="D32" s="43">
        <v>32</v>
      </c>
      <c r="E32" s="43">
        <v>34</v>
      </c>
      <c r="F32" s="43">
        <v>44</v>
      </c>
      <c r="G32" s="43">
        <v>66</v>
      </c>
      <c r="H32" s="43">
        <v>45</v>
      </c>
      <c r="I32" s="43">
        <v>60</v>
      </c>
      <c r="J32" s="43">
        <v>63</v>
      </c>
      <c r="K32" s="43">
        <v>80</v>
      </c>
      <c r="L32" s="43">
        <v>68</v>
      </c>
      <c r="N32" s="37">
        <f t="shared" si="6"/>
        <v>271</v>
      </c>
      <c r="O32" s="37"/>
    </row>
    <row r="33" spans="1:15" ht="14.25" customHeight="1" outlineLevel="1">
      <c r="A33" s="14" t="s">
        <v>11</v>
      </c>
      <c r="B33" s="38">
        <f t="shared" ref="B33:N33" si="7">SUM(B27:B32)</f>
        <v>28057</v>
      </c>
      <c r="C33" s="38">
        <f t="shared" si="7"/>
        <v>29119</v>
      </c>
      <c r="D33" s="38">
        <f t="shared" si="7"/>
        <v>32139</v>
      </c>
      <c r="E33" s="38">
        <f t="shared" si="7"/>
        <v>42486</v>
      </c>
      <c r="F33" s="38">
        <f t="shared" si="7"/>
        <v>34709</v>
      </c>
      <c r="G33" s="38">
        <f t="shared" si="7"/>
        <v>37327</v>
      </c>
      <c r="H33" s="38">
        <f t="shared" si="7"/>
        <v>43397</v>
      </c>
      <c r="I33" s="38">
        <f t="shared" si="7"/>
        <v>58326</v>
      </c>
      <c r="J33" s="38">
        <f t="shared" si="7"/>
        <v>49115</v>
      </c>
      <c r="K33" s="38">
        <f t="shared" si="7"/>
        <v>49903</v>
      </c>
      <c r="L33" s="38">
        <f t="shared" si="7"/>
        <v>52852</v>
      </c>
      <c r="N33" s="38">
        <f t="shared" si="7"/>
        <v>210196</v>
      </c>
      <c r="O33" s="37"/>
    </row>
    <row r="34" spans="1:15" ht="14.25" customHeight="1" outlineLevel="1">
      <c r="A34" s="15" t="s">
        <v>12</v>
      </c>
      <c r="B34" s="81">
        <f t="shared" ref="B34:N34" si="8">B25-B33</f>
        <v>1071</v>
      </c>
      <c r="C34" s="81">
        <f t="shared" si="8"/>
        <v>1285</v>
      </c>
      <c r="D34" s="81">
        <f t="shared" si="8"/>
        <v>575</v>
      </c>
      <c r="E34" s="81">
        <f t="shared" si="8"/>
        <v>1255</v>
      </c>
      <c r="F34" s="81">
        <f t="shared" si="8"/>
        <v>1005</v>
      </c>
      <c r="G34" s="81">
        <f t="shared" si="8"/>
        <v>628</v>
      </c>
      <c r="H34" s="81">
        <f t="shared" si="8"/>
        <v>347</v>
      </c>
      <c r="I34" s="81">
        <f t="shared" si="8"/>
        <v>2127</v>
      </c>
      <c r="J34" s="81">
        <f t="shared" si="8"/>
        <v>1927</v>
      </c>
      <c r="K34" s="81">
        <f t="shared" si="8"/>
        <v>2983</v>
      </c>
      <c r="L34" s="81">
        <f t="shared" si="8"/>
        <v>3724</v>
      </c>
      <c r="N34" s="81">
        <f t="shared" si="8"/>
        <v>10761</v>
      </c>
      <c r="O34" s="37"/>
    </row>
    <row r="35" spans="1:15" ht="14.25" customHeight="1" outlineLevel="1">
      <c r="A35" t="s">
        <v>13</v>
      </c>
      <c r="B35" s="43">
        <v>21</v>
      </c>
      <c r="C35" s="43">
        <v>24</v>
      </c>
      <c r="D35" s="43">
        <v>26</v>
      </c>
      <c r="E35" s="43">
        <v>30</v>
      </c>
      <c r="F35" s="43">
        <v>39</v>
      </c>
      <c r="G35" s="43">
        <v>44</v>
      </c>
      <c r="H35" s="43">
        <v>54</v>
      </c>
      <c r="I35" s="43">
        <v>66</v>
      </c>
      <c r="J35" s="43">
        <v>80</v>
      </c>
      <c r="K35" s="43">
        <v>94</v>
      </c>
      <c r="L35" s="43">
        <v>117</v>
      </c>
      <c r="N35" s="37">
        <f>SUM(I35:L35)</f>
        <v>357</v>
      </c>
      <c r="O35" s="37"/>
    </row>
    <row r="36" spans="1:15" ht="14.25" customHeight="1" outlineLevel="1">
      <c r="A36" t="s">
        <v>14</v>
      </c>
      <c r="B36" s="43">
        <v>-117</v>
      </c>
      <c r="C36" s="43">
        <v>-116</v>
      </c>
      <c r="D36" s="43">
        <v>-118</v>
      </c>
      <c r="E36" s="43">
        <v>-133</v>
      </c>
      <c r="F36" s="43">
        <v>-139</v>
      </c>
      <c r="G36" s="43">
        <v>-143</v>
      </c>
      <c r="H36" s="43">
        <v>-228</v>
      </c>
      <c r="I36" s="43">
        <v>-339</v>
      </c>
      <c r="J36" s="43">
        <v>-330</v>
      </c>
      <c r="K36" s="43">
        <v>-343</v>
      </c>
      <c r="L36" s="43">
        <v>-358</v>
      </c>
      <c r="N36" s="37">
        <f>SUM(I36:L36)</f>
        <v>-1370</v>
      </c>
      <c r="O36" s="37"/>
    </row>
    <row r="37" spans="1:15" ht="14.25" customHeight="1" outlineLevel="1">
      <c r="A37" t="s">
        <v>15</v>
      </c>
      <c r="B37" s="43">
        <v>81</v>
      </c>
      <c r="C37" s="43">
        <v>-14</v>
      </c>
      <c r="D37" s="43">
        <v>8</v>
      </c>
      <c r="E37" s="43">
        <v>14</v>
      </c>
      <c r="F37" s="43">
        <v>48</v>
      </c>
      <c r="G37" s="43">
        <v>137</v>
      </c>
      <c r="H37" s="43">
        <v>143</v>
      </c>
      <c r="I37" s="43">
        <v>18</v>
      </c>
      <c r="J37" s="43">
        <v>239</v>
      </c>
      <c r="K37" s="43">
        <v>-129</v>
      </c>
      <c r="L37" s="43">
        <v>-93</v>
      </c>
      <c r="N37" s="37">
        <f>SUM(I37:L37)</f>
        <v>35</v>
      </c>
      <c r="O37" s="37"/>
    </row>
    <row r="38" spans="1:15" ht="14.25" customHeight="1" outlineLevel="1">
      <c r="A38" s="16" t="s">
        <v>16</v>
      </c>
      <c r="B38" s="38">
        <f t="shared" ref="B38:N38" si="9">SUM(B35:B37)</f>
        <v>-15</v>
      </c>
      <c r="C38" s="38">
        <f t="shared" si="9"/>
        <v>-106</v>
      </c>
      <c r="D38" s="38">
        <f t="shared" si="9"/>
        <v>-84</v>
      </c>
      <c r="E38" s="38">
        <f t="shared" si="9"/>
        <v>-89</v>
      </c>
      <c r="F38" s="38">
        <f t="shared" si="9"/>
        <v>-52</v>
      </c>
      <c r="G38" s="38">
        <f t="shared" si="9"/>
        <v>38</v>
      </c>
      <c r="H38" s="38">
        <f t="shared" si="9"/>
        <v>-31</v>
      </c>
      <c r="I38" s="38">
        <f t="shared" si="9"/>
        <v>-255</v>
      </c>
      <c r="J38" s="38">
        <f t="shared" si="9"/>
        <v>-11</v>
      </c>
      <c r="K38" s="38">
        <f t="shared" si="9"/>
        <v>-378</v>
      </c>
      <c r="L38" s="38">
        <f t="shared" si="9"/>
        <v>-334</v>
      </c>
      <c r="N38" s="38">
        <f t="shared" si="9"/>
        <v>-978</v>
      </c>
      <c r="O38" s="37"/>
    </row>
    <row r="39" spans="1:15" ht="14.25" customHeight="1" outlineLevel="1">
      <c r="A39" s="17" t="s">
        <v>17</v>
      </c>
      <c r="B39" s="38">
        <f t="shared" ref="B39:L39" si="10">B34+B38</f>
        <v>1056</v>
      </c>
      <c r="C39" s="38">
        <f t="shared" si="10"/>
        <v>1179</v>
      </c>
      <c r="D39" s="38">
        <f t="shared" si="10"/>
        <v>491</v>
      </c>
      <c r="E39" s="38">
        <f t="shared" si="10"/>
        <v>1166</v>
      </c>
      <c r="F39" s="38">
        <f t="shared" si="10"/>
        <v>953</v>
      </c>
      <c r="G39" s="38">
        <f t="shared" si="10"/>
        <v>666</v>
      </c>
      <c r="H39" s="38">
        <f t="shared" si="10"/>
        <v>316</v>
      </c>
      <c r="I39" s="38">
        <f t="shared" si="10"/>
        <v>1872</v>
      </c>
      <c r="J39" s="38">
        <f t="shared" si="10"/>
        <v>1916</v>
      </c>
      <c r="K39" s="38">
        <f t="shared" si="10"/>
        <v>2605</v>
      </c>
      <c r="L39" s="38">
        <f t="shared" si="10"/>
        <v>3390</v>
      </c>
      <c r="N39" s="38">
        <f>SUM(I39:L39)</f>
        <v>9783</v>
      </c>
      <c r="O39" s="37"/>
    </row>
    <row r="40" spans="1:15" ht="14.25" customHeight="1" outlineLevel="1">
      <c r="A40" t="s">
        <v>18</v>
      </c>
      <c r="B40" s="43">
        <v>-475</v>
      </c>
      <c r="C40" s="43">
        <v>-307</v>
      </c>
      <c r="D40" s="43">
        <v>-229</v>
      </c>
      <c r="E40" s="43">
        <v>-414</v>
      </c>
      <c r="F40" s="43">
        <v>-229</v>
      </c>
      <c r="G40" s="43">
        <v>-467</v>
      </c>
      <c r="H40" s="43">
        <v>-58</v>
      </c>
      <c r="I40" s="43">
        <v>-16</v>
      </c>
      <c r="J40" s="43">
        <v>-287</v>
      </c>
      <c r="K40" s="43">
        <v>-74</v>
      </c>
      <c r="L40" s="43">
        <v>-508</v>
      </c>
      <c r="N40" s="37">
        <f>SUM(I40:L40)</f>
        <v>-885</v>
      </c>
      <c r="O40" s="37"/>
    </row>
    <row r="41" spans="1:15" ht="14.25" customHeight="1" outlineLevel="1">
      <c r="A41" t="s">
        <v>785</v>
      </c>
      <c r="B41" s="43">
        <v>-68</v>
      </c>
      <c r="C41" s="43">
        <v>-15</v>
      </c>
      <c r="D41" s="43">
        <v>-10</v>
      </c>
      <c r="E41" s="43">
        <v>-3</v>
      </c>
      <c r="F41" s="43">
        <v>0</v>
      </c>
      <c r="G41" s="43">
        <v>-2</v>
      </c>
      <c r="H41" s="43">
        <v>-2</v>
      </c>
      <c r="I41" s="43">
        <v>0</v>
      </c>
      <c r="J41" s="43">
        <v>0</v>
      </c>
      <c r="K41" s="43">
        <v>3</v>
      </c>
      <c r="L41" s="43">
        <v>1</v>
      </c>
      <c r="N41" s="37">
        <f>SUM(I41:L41)</f>
        <v>4</v>
      </c>
      <c r="O41" s="37"/>
    </row>
    <row r="42" spans="1:15" ht="14.25" customHeight="1" outlineLevel="1" thickBot="1">
      <c r="A42" s="18" t="s">
        <v>20</v>
      </c>
      <c r="B42" s="82">
        <f t="shared" ref="B42:N42" si="11">SUM(B39:B41)</f>
        <v>513</v>
      </c>
      <c r="C42" s="82">
        <f t="shared" si="11"/>
        <v>857</v>
      </c>
      <c r="D42" s="82">
        <f t="shared" si="11"/>
        <v>252</v>
      </c>
      <c r="E42" s="82">
        <f t="shared" si="11"/>
        <v>749</v>
      </c>
      <c r="F42" s="82">
        <f t="shared" si="11"/>
        <v>724</v>
      </c>
      <c r="G42" s="82">
        <f t="shared" si="11"/>
        <v>197</v>
      </c>
      <c r="H42" s="82">
        <f t="shared" si="11"/>
        <v>256</v>
      </c>
      <c r="I42" s="82">
        <f t="shared" si="11"/>
        <v>1856</v>
      </c>
      <c r="J42" s="82">
        <f t="shared" si="11"/>
        <v>1629</v>
      </c>
      <c r="K42" s="82">
        <f t="shared" si="11"/>
        <v>2534</v>
      </c>
      <c r="L42" s="82">
        <f t="shared" si="11"/>
        <v>2883</v>
      </c>
      <c r="N42" s="82">
        <f t="shared" si="11"/>
        <v>8902</v>
      </c>
      <c r="O42" s="37"/>
    </row>
    <row r="43" spans="1:15" ht="14.25" customHeight="1" outlineLevel="1" thickTop="1" thickBot="1">
      <c r="A43" s="19" t="s">
        <v>21</v>
      </c>
      <c r="B43" s="83">
        <f t="shared" ref="B43:L44" si="12">B$42/B46</f>
        <v>1.089171974522293</v>
      </c>
      <c r="C43" s="83">
        <f t="shared" si="12"/>
        <v>1.8118393234672305</v>
      </c>
      <c r="D43" s="83">
        <f t="shared" si="12"/>
        <v>0.53164556962025311</v>
      </c>
      <c r="E43" s="83">
        <f t="shared" si="12"/>
        <v>1.5735294117647058</v>
      </c>
      <c r="F43" s="83">
        <f t="shared" si="12"/>
        <v>1.5178197064989518</v>
      </c>
      <c r="G43" s="83">
        <f t="shared" si="12"/>
        <v>0.41127348643006262</v>
      </c>
      <c r="H43" s="83">
        <f t="shared" si="12"/>
        <v>0.53222453222453225</v>
      </c>
      <c r="I43" s="83">
        <f t="shared" si="12"/>
        <v>3.8426501035196687</v>
      </c>
      <c r="J43" s="83">
        <f t="shared" si="12"/>
        <v>3.365702479338843</v>
      </c>
      <c r="K43" s="83">
        <f t="shared" si="12"/>
        <v>5.2139917695473255</v>
      </c>
      <c r="L43" s="83">
        <f t="shared" si="12"/>
        <v>5.9077868852459012</v>
      </c>
      <c r="N43" s="339">
        <f>N$42/N46</f>
        <v>18.241803278688526</v>
      </c>
      <c r="O43" s="37"/>
    </row>
    <row r="44" spans="1:15" ht="14.25" customHeight="1" outlineLevel="1" thickTop="1" thickBot="1">
      <c r="A44" s="19" t="s">
        <v>22</v>
      </c>
      <c r="B44" s="83">
        <f t="shared" si="12"/>
        <v>1.0665280665280665</v>
      </c>
      <c r="C44" s="83">
        <f t="shared" si="12"/>
        <v>1.7743271221532091</v>
      </c>
      <c r="D44" s="83">
        <f t="shared" si="12"/>
        <v>0.51958762886597942</v>
      </c>
      <c r="E44" s="83">
        <f t="shared" si="12"/>
        <v>1.5411522633744856</v>
      </c>
      <c r="F44" s="83">
        <f t="shared" si="12"/>
        <v>1.4775510204081632</v>
      </c>
      <c r="G44" s="83">
        <f t="shared" si="12"/>
        <v>0.40040650406504064</v>
      </c>
      <c r="H44" s="83">
        <f t="shared" si="12"/>
        <v>0.51821862348178138</v>
      </c>
      <c r="I44" s="83">
        <f t="shared" si="12"/>
        <v>3.7419354838709675</v>
      </c>
      <c r="J44" s="83">
        <f t="shared" si="12"/>
        <v>3.2710843373493974</v>
      </c>
      <c r="K44" s="83">
        <f t="shared" si="12"/>
        <v>5.0679999999999996</v>
      </c>
      <c r="L44" s="83">
        <f t="shared" si="12"/>
        <v>5.7544910179640718</v>
      </c>
      <c r="N44" s="339">
        <f>N$42/N47</f>
        <v>17.768463073852296</v>
      </c>
      <c r="O44" s="37"/>
    </row>
    <row r="45" spans="1:15" ht="14.25" customHeight="1" outlineLevel="1" thickTop="1">
      <c r="A45" t="s">
        <v>786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N45" s="37"/>
      <c r="O45" s="37"/>
    </row>
    <row r="46" spans="1:15" ht="14.25" customHeight="1" outlineLevel="1">
      <c r="A46" s="11" t="s">
        <v>24</v>
      </c>
      <c r="B46" s="43">
        <v>471</v>
      </c>
      <c r="C46" s="43">
        <v>473</v>
      </c>
      <c r="D46" s="43">
        <v>474</v>
      </c>
      <c r="E46" s="43">
        <v>476</v>
      </c>
      <c r="F46" s="43">
        <v>477</v>
      </c>
      <c r="G46" s="43">
        <v>479</v>
      </c>
      <c r="H46" s="43">
        <v>481</v>
      </c>
      <c r="I46" s="43">
        <v>483</v>
      </c>
      <c r="J46" s="43">
        <v>484</v>
      </c>
      <c r="K46" s="43">
        <v>486</v>
      </c>
      <c r="L46" s="43">
        <v>488</v>
      </c>
      <c r="N46" s="43">
        <v>488</v>
      </c>
      <c r="O46" s="37"/>
    </row>
    <row r="47" spans="1:15" ht="14.25" customHeight="1" outlineLevel="1">
      <c r="A47" s="11" t="s">
        <v>25</v>
      </c>
      <c r="B47" s="43">
        <v>481</v>
      </c>
      <c r="C47" s="43">
        <v>483</v>
      </c>
      <c r="D47" s="43">
        <v>485</v>
      </c>
      <c r="E47" s="43">
        <v>486</v>
      </c>
      <c r="F47" s="43">
        <v>490</v>
      </c>
      <c r="G47" s="43">
        <v>492</v>
      </c>
      <c r="H47" s="43">
        <v>494</v>
      </c>
      <c r="I47" s="43">
        <v>496</v>
      </c>
      <c r="J47" s="43">
        <v>498</v>
      </c>
      <c r="K47" s="43">
        <v>500</v>
      </c>
      <c r="L47" s="43">
        <v>501</v>
      </c>
      <c r="N47" s="43">
        <v>501</v>
      </c>
      <c r="O47" s="37"/>
    </row>
    <row r="48" spans="1:15" ht="14.25" customHeight="1" outlineLevel="1">
      <c r="B48" s="37"/>
      <c r="C48" s="37"/>
      <c r="D48" s="37"/>
      <c r="E48" s="37"/>
      <c r="F48" s="37"/>
      <c r="G48" s="37"/>
      <c r="H48" s="37"/>
      <c r="I48" s="89"/>
      <c r="J48" s="89"/>
      <c r="K48" s="89"/>
      <c r="L48" s="89"/>
      <c r="N48" s="37"/>
      <c r="O48" s="37"/>
    </row>
    <row r="49" spans="1:15" ht="14.25" customHeight="1">
      <c r="B49" s="37"/>
      <c r="C49" s="37"/>
      <c r="D49" s="37"/>
      <c r="E49" s="37"/>
      <c r="F49" s="37"/>
      <c r="G49" s="37"/>
      <c r="H49" s="37"/>
      <c r="I49" s="89"/>
      <c r="J49" s="89"/>
      <c r="K49" s="89"/>
      <c r="L49" s="89"/>
      <c r="N49" s="37"/>
      <c r="O49" s="37"/>
    </row>
    <row r="50" spans="1:15" ht="14.25" customHeight="1">
      <c r="A50" s="6" t="s">
        <v>93</v>
      </c>
      <c r="B50" s="340"/>
      <c r="C50" s="340"/>
      <c r="D50" s="340"/>
      <c r="E50" s="340"/>
      <c r="F50" s="340"/>
      <c r="G50" s="340"/>
      <c r="H50" s="340"/>
      <c r="I50" s="340"/>
      <c r="J50" s="340"/>
      <c r="K50" s="340"/>
      <c r="L50" s="340"/>
      <c r="M50" s="337"/>
      <c r="N50" s="340"/>
      <c r="O50" s="37"/>
    </row>
    <row r="51" spans="1:15" ht="14.25" customHeight="1" outlineLevel="1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N51" s="37"/>
      <c r="O51" s="37"/>
    </row>
    <row r="52" spans="1:15" ht="14.25" customHeight="1" outlineLevel="1">
      <c r="A52" t="s">
        <v>27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N52" s="37"/>
      <c r="O52" s="37"/>
    </row>
    <row r="53" spans="1:15" ht="14.25" customHeight="1" outlineLevel="1">
      <c r="A53" s="11" t="s">
        <v>28</v>
      </c>
      <c r="B53" s="43">
        <v>12470</v>
      </c>
      <c r="C53" s="43">
        <v>12521</v>
      </c>
      <c r="D53" s="43">
        <v>13656</v>
      </c>
      <c r="E53" s="43">
        <v>19334</v>
      </c>
      <c r="F53" s="43">
        <v>15440</v>
      </c>
      <c r="G53" s="43">
        <v>13203</v>
      </c>
      <c r="H53" s="43">
        <v>12767</v>
      </c>
      <c r="I53" s="43">
        <v>20522</v>
      </c>
      <c r="J53" s="43">
        <v>16676</v>
      </c>
      <c r="K53" s="43">
        <v>19823</v>
      </c>
      <c r="L53" s="43">
        <v>20425</v>
      </c>
      <c r="N53" s="37">
        <f>L53</f>
        <v>20425</v>
      </c>
      <c r="O53" s="37"/>
    </row>
    <row r="54" spans="1:15" ht="14.25" customHeight="1" outlineLevel="1">
      <c r="A54" s="11" t="s">
        <v>29</v>
      </c>
      <c r="B54" s="43">
        <v>3389</v>
      </c>
      <c r="C54" s="43">
        <v>4019</v>
      </c>
      <c r="D54" s="43">
        <v>4691</v>
      </c>
      <c r="E54" s="43">
        <v>6647</v>
      </c>
      <c r="F54" s="43">
        <v>6091</v>
      </c>
      <c r="G54" s="43">
        <v>8248</v>
      </c>
      <c r="H54" s="43">
        <v>11543</v>
      </c>
      <c r="I54" s="43">
        <v>10464</v>
      </c>
      <c r="J54" s="43">
        <v>8287</v>
      </c>
      <c r="K54" s="43">
        <v>7227</v>
      </c>
      <c r="L54" s="43">
        <v>9340</v>
      </c>
      <c r="N54" s="37">
        <f>L54</f>
        <v>9340</v>
      </c>
      <c r="O54" s="37"/>
    </row>
    <row r="55" spans="1:15" ht="14.25" customHeight="1" outlineLevel="1">
      <c r="A55" s="11" t="s">
        <v>30</v>
      </c>
      <c r="B55" s="43">
        <v>9582</v>
      </c>
      <c r="C55" s="43">
        <v>9588</v>
      </c>
      <c r="D55" s="43">
        <v>10696</v>
      </c>
      <c r="E55" s="43">
        <v>11461</v>
      </c>
      <c r="F55" s="43">
        <v>10600</v>
      </c>
      <c r="G55" s="43">
        <v>11510</v>
      </c>
      <c r="H55" s="43">
        <v>13711</v>
      </c>
      <c r="I55" s="43">
        <v>16047</v>
      </c>
      <c r="J55" s="43">
        <v>13840</v>
      </c>
      <c r="K55" s="43">
        <v>14824</v>
      </c>
      <c r="L55" s="43">
        <v>15862</v>
      </c>
      <c r="N55" s="37">
        <f>L55</f>
        <v>15862</v>
      </c>
      <c r="O55" s="37"/>
    </row>
    <row r="56" spans="1:15" ht="14.25" customHeight="1" outlineLevel="1">
      <c r="A56" s="11" t="s">
        <v>787</v>
      </c>
      <c r="B56" s="43">
        <v>5072</v>
      </c>
      <c r="C56" s="43">
        <v>6092</v>
      </c>
      <c r="D56" s="43">
        <v>6566</v>
      </c>
      <c r="E56" s="43">
        <v>8339</v>
      </c>
      <c r="F56" s="43">
        <v>7329</v>
      </c>
      <c r="G56" s="43">
        <v>8046</v>
      </c>
      <c r="H56" s="43">
        <v>10557</v>
      </c>
      <c r="I56" s="43">
        <v>13164</v>
      </c>
      <c r="J56" s="43">
        <v>12026</v>
      </c>
      <c r="K56" s="43">
        <v>12607</v>
      </c>
      <c r="L56" s="43">
        <v>14258</v>
      </c>
      <c r="N56" s="37">
        <f>L56</f>
        <v>14258</v>
      </c>
      <c r="O56" s="37"/>
    </row>
    <row r="57" spans="1:15" ht="14.25" customHeight="1" outlineLevel="1">
      <c r="A57" s="14" t="s">
        <v>32</v>
      </c>
      <c r="B57" s="38">
        <f t="shared" ref="B57:N57" si="13">SUM(B53:B56)</f>
        <v>30513</v>
      </c>
      <c r="C57" s="38">
        <f t="shared" si="13"/>
        <v>32220</v>
      </c>
      <c r="D57" s="38">
        <f t="shared" si="13"/>
        <v>35609</v>
      </c>
      <c r="E57" s="38">
        <f t="shared" si="13"/>
        <v>45781</v>
      </c>
      <c r="F57" s="38">
        <f t="shared" si="13"/>
        <v>39460</v>
      </c>
      <c r="G57" s="38">
        <f t="shared" si="13"/>
        <v>41007</v>
      </c>
      <c r="H57" s="38">
        <f t="shared" si="13"/>
        <v>48578</v>
      </c>
      <c r="I57" s="38">
        <f t="shared" si="13"/>
        <v>60197</v>
      </c>
      <c r="J57" s="38">
        <f t="shared" si="13"/>
        <v>50829</v>
      </c>
      <c r="K57" s="38">
        <f t="shared" si="13"/>
        <v>54481</v>
      </c>
      <c r="L57" s="38">
        <f t="shared" si="13"/>
        <v>59885</v>
      </c>
      <c r="N57" s="38">
        <f t="shared" si="13"/>
        <v>59885</v>
      </c>
      <c r="O57" s="37"/>
    </row>
    <row r="58" spans="1:15" ht="14.25" customHeight="1" outlineLevel="1">
      <c r="A58" t="s">
        <v>788</v>
      </c>
      <c r="B58" s="43">
        <v>23308</v>
      </c>
      <c r="C58" s="43">
        <v>25190</v>
      </c>
      <c r="D58" s="43">
        <v>27177</v>
      </c>
      <c r="E58" s="43">
        <v>29114</v>
      </c>
      <c r="F58" s="43">
        <v>32632</v>
      </c>
      <c r="G58" s="43">
        <v>37083</v>
      </c>
      <c r="H58" s="43">
        <v>45335</v>
      </c>
      <c r="I58" s="43">
        <v>48866</v>
      </c>
      <c r="J58" s="43">
        <v>52331</v>
      </c>
      <c r="K58" s="43">
        <v>54768</v>
      </c>
      <c r="L58" s="43">
        <v>58019</v>
      </c>
      <c r="N58" s="37">
        <f>L58</f>
        <v>58019</v>
      </c>
      <c r="O58" s="37"/>
    </row>
    <row r="59" spans="1:15" ht="14.25" customHeight="1" outlineLevel="1">
      <c r="A59" t="s">
        <v>34</v>
      </c>
      <c r="B59" s="43">
        <v>3785</v>
      </c>
      <c r="C59" s="43">
        <v>3774</v>
      </c>
      <c r="D59" s="43">
        <v>3815</v>
      </c>
      <c r="E59" s="43">
        <v>3784</v>
      </c>
      <c r="F59" s="43">
        <v>3823</v>
      </c>
      <c r="G59" s="43">
        <v>4254</v>
      </c>
      <c r="H59" s="43">
        <v>13271</v>
      </c>
      <c r="I59" s="43">
        <v>13350</v>
      </c>
      <c r="J59" s="43">
        <v>13388</v>
      </c>
      <c r="K59" s="43">
        <v>13944</v>
      </c>
      <c r="L59" s="43">
        <v>14553</v>
      </c>
      <c r="N59" s="37">
        <f>L59</f>
        <v>14553</v>
      </c>
      <c r="O59" s="37"/>
    </row>
    <row r="60" spans="1:15" ht="14.25" customHeight="1" outlineLevel="1">
      <c r="A60" t="s">
        <v>35</v>
      </c>
      <c r="B60" s="43">
        <v>3522</v>
      </c>
      <c r="C60" s="43">
        <v>3892</v>
      </c>
      <c r="D60" s="43">
        <v>4296</v>
      </c>
      <c r="E60" s="43">
        <v>4723</v>
      </c>
      <c r="F60" s="43">
        <v>5054</v>
      </c>
      <c r="G60" s="43">
        <v>5437</v>
      </c>
      <c r="H60" s="43">
        <v>8083</v>
      </c>
      <c r="I60" s="43">
        <v>8897</v>
      </c>
      <c r="J60" s="43">
        <v>9814</v>
      </c>
      <c r="K60" s="43">
        <v>10907</v>
      </c>
      <c r="L60" s="43">
        <v>11238</v>
      </c>
      <c r="N60" s="37">
        <f>L60</f>
        <v>11238</v>
      </c>
      <c r="O60" s="37"/>
    </row>
    <row r="61" spans="1:15" ht="14.25" customHeight="1" outlineLevel="1" thickBot="1">
      <c r="A61" s="18" t="s">
        <v>36</v>
      </c>
      <c r="B61" s="82">
        <f t="shared" ref="B61:N61" si="14">SUM(B57:B60)</f>
        <v>61128</v>
      </c>
      <c r="C61" s="82">
        <f t="shared" si="14"/>
        <v>65076</v>
      </c>
      <c r="D61" s="82">
        <f t="shared" si="14"/>
        <v>70897</v>
      </c>
      <c r="E61" s="82">
        <f t="shared" si="14"/>
        <v>83402</v>
      </c>
      <c r="F61" s="82">
        <f t="shared" si="14"/>
        <v>80969</v>
      </c>
      <c r="G61" s="82">
        <f t="shared" si="14"/>
        <v>87781</v>
      </c>
      <c r="H61" s="82">
        <f t="shared" si="14"/>
        <v>115267</v>
      </c>
      <c r="I61" s="82">
        <f t="shared" si="14"/>
        <v>131310</v>
      </c>
      <c r="J61" s="82">
        <f t="shared" si="14"/>
        <v>126362</v>
      </c>
      <c r="K61" s="82">
        <f t="shared" si="14"/>
        <v>134100</v>
      </c>
      <c r="L61" s="82">
        <f t="shared" si="14"/>
        <v>143695</v>
      </c>
      <c r="N61" s="82">
        <f t="shared" si="14"/>
        <v>143695</v>
      </c>
      <c r="O61" s="37"/>
    </row>
    <row r="62" spans="1:15" ht="14.25" customHeight="1" outlineLevel="1" thickTop="1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N62" s="37"/>
      <c r="O62" s="37"/>
    </row>
    <row r="63" spans="1:15" ht="14.25" customHeight="1" outlineLevel="1">
      <c r="A63" t="s">
        <v>37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N63" s="37"/>
      <c r="O63" s="37"/>
    </row>
    <row r="64" spans="1:15" ht="14.25" customHeight="1" outlineLevel="1">
      <c r="A64" t="s">
        <v>38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N64" s="37"/>
      <c r="O64" s="37"/>
    </row>
    <row r="65" spans="1:15" ht="14.25" customHeight="1" outlineLevel="1">
      <c r="A65" s="11" t="s">
        <v>39</v>
      </c>
      <c r="B65" s="43">
        <v>14990</v>
      </c>
      <c r="C65" s="43">
        <v>16123</v>
      </c>
      <c r="D65" s="43">
        <v>18801</v>
      </c>
      <c r="E65" s="43">
        <v>25309</v>
      </c>
      <c r="F65" s="43">
        <v>18891</v>
      </c>
      <c r="G65" s="43">
        <v>21439</v>
      </c>
      <c r="H65" s="43">
        <v>26075</v>
      </c>
      <c r="I65" s="43">
        <v>34616</v>
      </c>
      <c r="J65" s="43">
        <v>25172</v>
      </c>
      <c r="K65" s="43">
        <v>27657</v>
      </c>
      <c r="L65" s="43">
        <v>30904</v>
      </c>
      <c r="N65" s="37">
        <f>L65</f>
        <v>30904</v>
      </c>
      <c r="O65" s="37"/>
    </row>
    <row r="66" spans="1:15" ht="14.25" customHeight="1" outlineLevel="1">
      <c r="A66" s="11" t="s">
        <v>40</v>
      </c>
      <c r="B66" s="43">
        <v>9431</v>
      </c>
      <c r="C66" s="43">
        <v>9613</v>
      </c>
      <c r="D66" s="43">
        <v>10497</v>
      </c>
      <c r="E66" s="43">
        <v>13739</v>
      </c>
      <c r="F66" s="43">
        <v>13054</v>
      </c>
      <c r="G66" s="43">
        <v>14016</v>
      </c>
      <c r="H66" s="43">
        <v>15844</v>
      </c>
      <c r="I66" s="43">
        <v>18170</v>
      </c>
      <c r="J66" s="43">
        <v>16691</v>
      </c>
      <c r="K66" s="43">
        <v>17140</v>
      </c>
      <c r="L66" s="43">
        <v>18420</v>
      </c>
      <c r="N66" s="37">
        <f>L66</f>
        <v>18420</v>
      </c>
      <c r="O66" s="37"/>
    </row>
    <row r="67" spans="1:15" ht="14.25" customHeight="1" outlineLevel="1">
      <c r="A67" s="11" t="s">
        <v>41</v>
      </c>
      <c r="B67" s="43">
        <v>3766</v>
      </c>
      <c r="C67" s="43">
        <v>3851</v>
      </c>
      <c r="D67" s="43">
        <v>4200</v>
      </c>
      <c r="E67" s="43">
        <v>4768</v>
      </c>
      <c r="F67" s="43">
        <v>5454</v>
      </c>
      <c r="G67" s="43">
        <v>5065</v>
      </c>
      <c r="H67" s="43">
        <v>5153</v>
      </c>
      <c r="I67" s="43">
        <v>5097</v>
      </c>
      <c r="J67" s="43">
        <v>6182</v>
      </c>
      <c r="K67" s="43">
        <v>6004</v>
      </c>
      <c r="L67" s="43">
        <v>6000</v>
      </c>
      <c r="N67" s="37">
        <f>L67</f>
        <v>6000</v>
      </c>
      <c r="O67" s="37"/>
    </row>
    <row r="68" spans="1:15" ht="14.25" customHeight="1" outlineLevel="1">
      <c r="A68" s="14" t="s">
        <v>42</v>
      </c>
      <c r="B68" s="38">
        <f t="shared" ref="B68:N68" si="15">SUM(B65:B67)</f>
        <v>28187</v>
      </c>
      <c r="C68" s="38">
        <f t="shared" si="15"/>
        <v>29587</v>
      </c>
      <c r="D68" s="38">
        <f t="shared" si="15"/>
        <v>33498</v>
      </c>
      <c r="E68" s="38">
        <f t="shared" si="15"/>
        <v>43816</v>
      </c>
      <c r="F68" s="38">
        <f t="shared" si="15"/>
        <v>37399</v>
      </c>
      <c r="G68" s="38">
        <f t="shared" si="15"/>
        <v>40520</v>
      </c>
      <c r="H68" s="38">
        <f t="shared" si="15"/>
        <v>47072</v>
      </c>
      <c r="I68" s="38">
        <f t="shared" si="15"/>
        <v>57883</v>
      </c>
      <c r="J68" s="38">
        <f t="shared" si="15"/>
        <v>48045</v>
      </c>
      <c r="K68" s="38">
        <f t="shared" si="15"/>
        <v>50801</v>
      </c>
      <c r="L68" s="38">
        <f t="shared" si="15"/>
        <v>55324</v>
      </c>
      <c r="N68" s="38">
        <f t="shared" si="15"/>
        <v>55324</v>
      </c>
      <c r="O68" s="37"/>
    </row>
    <row r="69" spans="1:15" ht="14.25" customHeight="1" outlineLevel="1">
      <c r="A69" t="s">
        <v>43</v>
      </c>
      <c r="B69" s="43">
        <v>8219</v>
      </c>
      <c r="C69" s="43">
        <v>8212</v>
      </c>
      <c r="D69" s="43">
        <v>8205</v>
      </c>
      <c r="E69" s="43">
        <v>7694</v>
      </c>
      <c r="F69" s="43">
        <v>7691</v>
      </c>
      <c r="G69" s="43">
        <v>7683</v>
      </c>
      <c r="H69" s="43">
        <v>24710</v>
      </c>
      <c r="I69" s="43">
        <v>24743</v>
      </c>
      <c r="J69" s="43">
        <v>24640</v>
      </c>
      <c r="K69" s="43">
        <v>24638</v>
      </c>
      <c r="L69" s="43">
        <v>24684</v>
      </c>
      <c r="N69" s="37">
        <f>L69</f>
        <v>24684</v>
      </c>
      <c r="O69" s="37"/>
    </row>
    <row r="70" spans="1:15" ht="14.25" customHeight="1" outlineLevel="1">
      <c r="A70" t="s">
        <v>44</v>
      </c>
      <c r="B70" s="43">
        <v>9966</v>
      </c>
      <c r="C70" s="43">
        <v>10739</v>
      </c>
      <c r="D70" s="43">
        <v>11412</v>
      </c>
      <c r="E70" s="43">
        <v>12607</v>
      </c>
      <c r="F70" s="43">
        <v>14205</v>
      </c>
      <c r="G70" s="43">
        <v>16364</v>
      </c>
      <c r="H70" s="43">
        <v>18827</v>
      </c>
      <c r="I70" s="43">
        <v>20975</v>
      </c>
      <c r="J70" s="43">
        <v>22214</v>
      </c>
      <c r="K70" s="43">
        <v>23666</v>
      </c>
      <c r="L70" s="43">
        <v>24562</v>
      </c>
      <c r="N70" s="37">
        <f>L70</f>
        <v>24562</v>
      </c>
      <c r="O70" s="87"/>
    </row>
    <row r="71" spans="1:15" ht="14.25" customHeight="1" outlineLevel="1">
      <c r="A71" s="16" t="s">
        <v>94</v>
      </c>
      <c r="B71" s="84">
        <f t="shared" ref="B71:N71" si="16">SUM(B68:B70)</f>
        <v>46372</v>
      </c>
      <c r="C71" s="84">
        <f t="shared" si="16"/>
        <v>48538</v>
      </c>
      <c r="D71" s="84">
        <f t="shared" si="16"/>
        <v>53115</v>
      </c>
      <c r="E71" s="84">
        <f t="shared" si="16"/>
        <v>64117</v>
      </c>
      <c r="F71" s="84">
        <f t="shared" si="16"/>
        <v>59295</v>
      </c>
      <c r="G71" s="84">
        <f t="shared" si="16"/>
        <v>64567</v>
      </c>
      <c r="H71" s="84">
        <f t="shared" si="16"/>
        <v>90609</v>
      </c>
      <c r="I71" s="84">
        <f t="shared" si="16"/>
        <v>103601</v>
      </c>
      <c r="J71" s="84">
        <f t="shared" si="16"/>
        <v>94899</v>
      </c>
      <c r="K71" s="84">
        <f t="shared" si="16"/>
        <v>99105</v>
      </c>
      <c r="L71" s="84">
        <f t="shared" si="16"/>
        <v>104570</v>
      </c>
      <c r="N71" s="84">
        <f t="shared" si="16"/>
        <v>104570</v>
      </c>
      <c r="O71" s="37"/>
    </row>
    <row r="72" spans="1:15" ht="14.25" customHeight="1" outlineLevel="1">
      <c r="A72" t="s">
        <v>46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N72" s="37"/>
      <c r="O72" s="37"/>
    </row>
    <row r="73" spans="1:15" ht="14.25" customHeight="1" outlineLevel="1">
      <c r="A73" s="11" t="s">
        <v>789</v>
      </c>
      <c r="B73" s="43">
        <v>5</v>
      </c>
      <c r="C73" s="43">
        <v>5</v>
      </c>
      <c r="D73" s="43">
        <v>5</v>
      </c>
      <c r="E73" s="43">
        <v>5</v>
      </c>
      <c r="F73" s="43">
        <v>5</v>
      </c>
      <c r="G73" s="43">
        <v>5</v>
      </c>
      <c r="H73" s="43">
        <v>5</v>
      </c>
      <c r="I73" s="43">
        <v>5</v>
      </c>
      <c r="J73" s="43">
        <v>5</v>
      </c>
      <c r="K73" s="43">
        <v>5</v>
      </c>
      <c r="L73" s="43">
        <v>5</v>
      </c>
      <c r="N73" s="37">
        <f>L73</f>
        <v>5</v>
      </c>
      <c r="O73" s="37"/>
    </row>
    <row r="74" spans="1:15" ht="14.25" customHeight="1" outlineLevel="1">
      <c r="A74" s="11" t="s">
        <v>54</v>
      </c>
      <c r="B74" s="43">
        <v>-1837</v>
      </c>
      <c r="C74" s="43">
        <v>-1837</v>
      </c>
      <c r="D74" s="43">
        <v>-1837</v>
      </c>
      <c r="E74" s="43">
        <v>-1837</v>
      </c>
      <c r="F74" s="43">
        <v>-1837</v>
      </c>
      <c r="G74" s="43">
        <v>-1837</v>
      </c>
      <c r="H74" s="43">
        <v>-1837</v>
      </c>
      <c r="I74" s="43">
        <v>-1837</v>
      </c>
      <c r="J74" s="43">
        <v>-1837</v>
      </c>
      <c r="K74" s="43">
        <v>-1837</v>
      </c>
      <c r="L74" s="43">
        <v>-1837</v>
      </c>
      <c r="N74" s="37">
        <f>L74</f>
        <v>-1837</v>
      </c>
      <c r="O74" s="37"/>
    </row>
    <row r="75" spans="1:15" ht="14.25" customHeight="1" outlineLevel="1">
      <c r="A75" s="11" t="s">
        <v>55</v>
      </c>
      <c r="B75" s="43">
        <v>14144</v>
      </c>
      <c r="C75" s="43">
        <v>15026</v>
      </c>
      <c r="D75" s="43">
        <v>15968</v>
      </c>
      <c r="E75" s="43">
        <v>17186</v>
      </c>
      <c r="F75" s="43">
        <v>17976</v>
      </c>
      <c r="G75" s="43">
        <v>19129</v>
      </c>
      <c r="H75" s="43">
        <v>20212</v>
      </c>
      <c r="I75" s="43">
        <v>21389</v>
      </c>
      <c r="J75" s="43">
        <v>22563</v>
      </c>
      <c r="K75" s="43">
        <v>24028</v>
      </c>
      <c r="L75" s="43">
        <v>25375</v>
      </c>
      <c r="N75" s="37">
        <f>L75</f>
        <v>25375</v>
      </c>
      <c r="O75" s="37"/>
    </row>
    <row r="76" spans="1:15" ht="14.25" customHeight="1" outlineLevel="1">
      <c r="A76" s="11" t="s">
        <v>56</v>
      </c>
      <c r="B76" s="43">
        <v>-614</v>
      </c>
      <c r="C76" s="43">
        <v>-571</v>
      </c>
      <c r="D76" s="43">
        <v>-521</v>
      </c>
      <c r="E76" s="43">
        <v>-985</v>
      </c>
      <c r="F76" s="43">
        <v>-797</v>
      </c>
      <c r="G76" s="43">
        <v>-607</v>
      </c>
      <c r="H76" s="43">
        <v>-501</v>
      </c>
      <c r="I76" s="43">
        <v>-484</v>
      </c>
      <c r="J76" s="43">
        <v>-467</v>
      </c>
      <c r="K76" s="43">
        <v>-934</v>
      </c>
      <c r="L76" s="43">
        <v>-1034</v>
      </c>
      <c r="N76" s="37">
        <f>L76</f>
        <v>-1034</v>
      </c>
      <c r="O76" s="37"/>
    </row>
    <row r="77" spans="1:15" ht="14.25" customHeight="1" outlineLevel="1">
      <c r="A77" s="11" t="s">
        <v>57</v>
      </c>
      <c r="B77" s="43">
        <v>3058</v>
      </c>
      <c r="C77" s="43">
        <v>3915</v>
      </c>
      <c r="D77" s="43">
        <v>4167</v>
      </c>
      <c r="E77" s="43">
        <v>4916</v>
      </c>
      <c r="F77" s="43">
        <v>6327</v>
      </c>
      <c r="G77" s="43">
        <v>6524</v>
      </c>
      <c r="H77" s="43">
        <v>6779</v>
      </c>
      <c r="I77" s="43">
        <v>8636</v>
      </c>
      <c r="J77" s="43">
        <v>11199</v>
      </c>
      <c r="K77" s="43">
        <v>13733</v>
      </c>
      <c r="L77" s="43">
        <v>16616</v>
      </c>
      <c r="N77" s="37">
        <f>L77</f>
        <v>16616</v>
      </c>
      <c r="O77" s="37"/>
    </row>
    <row r="78" spans="1:15" ht="14.25" customHeight="1" outlineLevel="1">
      <c r="A78" s="16" t="s">
        <v>58</v>
      </c>
      <c r="B78" s="38">
        <f t="shared" ref="B78:N78" si="17">SUM(B73:B77)</f>
        <v>14756</v>
      </c>
      <c r="C78" s="38">
        <f t="shared" si="17"/>
        <v>16538</v>
      </c>
      <c r="D78" s="38">
        <f t="shared" si="17"/>
        <v>17782</v>
      </c>
      <c r="E78" s="38">
        <f t="shared" si="17"/>
        <v>19285</v>
      </c>
      <c r="F78" s="38">
        <f t="shared" si="17"/>
        <v>21674</v>
      </c>
      <c r="G78" s="38">
        <f t="shared" si="17"/>
        <v>23214</v>
      </c>
      <c r="H78" s="38">
        <f t="shared" si="17"/>
        <v>24658</v>
      </c>
      <c r="I78" s="38">
        <f t="shared" si="17"/>
        <v>27709</v>
      </c>
      <c r="J78" s="38">
        <f t="shared" si="17"/>
        <v>31463</v>
      </c>
      <c r="K78" s="38">
        <f t="shared" si="17"/>
        <v>34995</v>
      </c>
      <c r="L78" s="38">
        <f t="shared" si="17"/>
        <v>39125</v>
      </c>
      <c r="N78" s="38">
        <f t="shared" si="17"/>
        <v>39125</v>
      </c>
      <c r="O78" s="37"/>
    </row>
    <row r="79" spans="1:15" ht="14.25" customHeight="1" outlineLevel="1" thickBot="1">
      <c r="A79" s="18" t="s">
        <v>790</v>
      </c>
      <c r="B79" s="82">
        <f t="shared" ref="B79:N79" si="18">B78+B71</f>
        <v>61128</v>
      </c>
      <c r="C79" s="82">
        <f t="shared" si="18"/>
        <v>65076</v>
      </c>
      <c r="D79" s="82">
        <f t="shared" si="18"/>
        <v>70897</v>
      </c>
      <c r="E79" s="82">
        <f t="shared" si="18"/>
        <v>83402</v>
      </c>
      <c r="F79" s="82">
        <f t="shared" si="18"/>
        <v>80969</v>
      </c>
      <c r="G79" s="82">
        <f t="shared" si="18"/>
        <v>87781</v>
      </c>
      <c r="H79" s="82">
        <f t="shared" si="18"/>
        <v>115267</v>
      </c>
      <c r="I79" s="82">
        <f t="shared" si="18"/>
        <v>131310</v>
      </c>
      <c r="J79" s="82">
        <f t="shared" si="18"/>
        <v>126362</v>
      </c>
      <c r="K79" s="82">
        <f t="shared" si="18"/>
        <v>134100</v>
      </c>
      <c r="L79" s="82">
        <f t="shared" si="18"/>
        <v>143695</v>
      </c>
      <c r="N79" s="82">
        <f t="shared" si="18"/>
        <v>143695</v>
      </c>
      <c r="O79" s="37"/>
    </row>
    <row r="80" spans="1:15" ht="14.25" customHeight="1" outlineLevel="1" thickTop="1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N80" s="37"/>
      <c r="O80" s="37"/>
    </row>
    <row r="81" spans="1:15" ht="14.25" customHeight="1" outlineLevel="1">
      <c r="B81" s="85">
        <f t="shared" ref="B81:N81" si="19">B61-B79</f>
        <v>0</v>
      </c>
      <c r="C81" s="85">
        <f t="shared" si="19"/>
        <v>0</v>
      </c>
      <c r="D81" s="85">
        <f t="shared" si="19"/>
        <v>0</v>
      </c>
      <c r="E81" s="85">
        <f t="shared" si="19"/>
        <v>0</v>
      </c>
      <c r="F81" s="85">
        <f t="shared" si="19"/>
        <v>0</v>
      </c>
      <c r="G81" s="85">
        <f t="shared" si="19"/>
        <v>0</v>
      </c>
      <c r="H81" s="85">
        <f t="shared" si="19"/>
        <v>0</v>
      </c>
      <c r="I81" s="85">
        <f t="shared" si="19"/>
        <v>0</v>
      </c>
      <c r="J81" s="85">
        <f t="shared" si="19"/>
        <v>0</v>
      </c>
      <c r="K81" s="85">
        <f t="shared" si="19"/>
        <v>0</v>
      </c>
      <c r="L81" s="85">
        <f t="shared" si="19"/>
        <v>0</v>
      </c>
      <c r="N81" s="85">
        <f t="shared" si="19"/>
        <v>0</v>
      </c>
      <c r="O81" s="37"/>
    </row>
    <row r="82" spans="1:15" ht="14.25" customHeight="1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N82" s="37"/>
      <c r="O82" s="37"/>
    </row>
    <row r="83" spans="1:15" ht="14.25" customHeight="1">
      <c r="A83" s="6" t="s">
        <v>96</v>
      </c>
      <c r="B83" s="340"/>
      <c r="C83" s="340"/>
      <c r="D83" s="340"/>
      <c r="E83" s="340"/>
      <c r="F83" s="340"/>
      <c r="G83" s="340"/>
      <c r="H83" s="340"/>
      <c r="I83" s="340"/>
      <c r="J83" s="340"/>
      <c r="K83" s="340"/>
      <c r="L83" s="340"/>
      <c r="M83" s="337"/>
      <c r="N83" s="340"/>
      <c r="O83" s="37"/>
    </row>
    <row r="84" spans="1:15" ht="14.25" customHeight="1" outlineLevel="1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N84" s="37"/>
      <c r="O84" s="37"/>
    </row>
    <row r="85" spans="1:15" ht="14.25" customHeight="1" outlineLevel="1">
      <c r="A85" t="s">
        <v>60</v>
      </c>
      <c r="B85" s="43">
        <v>15890</v>
      </c>
      <c r="C85" s="43">
        <v>12470</v>
      </c>
      <c r="D85" s="43">
        <v>12521</v>
      </c>
      <c r="E85" s="43">
        <v>13656</v>
      </c>
      <c r="F85" s="43">
        <v>19334</v>
      </c>
      <c r="G85" s="43">
        <v>15440</v>
      </c>
      <c r="H85" s="43">
        <v>13203</v>
      </c>
      <c r="I85" s="43">
        <v>12767</v>
      </c>
      <c r="J85" s="43">
        <v>20916</v>
      </c>
      <c r="K85" s="43">
        <v>16903</v>
      </c>
      <c r="L85" s="43">
        <v>19929</v>
      </c>
      <c r="N85" s="37">
        <f>I85</f>
        <v>12767</v>
      </c>
      <c r="O85" s="37"/>
    </row>
    <row r="86" spans="1:15" ht="14.25" customHeight="1" outlineLevel="1">
      <c r="A86" t="s">
        <v>26</v>
      </c>
      <c r="B86" s="43"/>
      <c r="C86" s="43"/>
      <c r="D86" s="43"/>
      <c r="E86" s="43"/>
      <c r="F86" s="43"/>
      <c r="G86" s="43"/>
      <c r="H86" s="43"/>
      <c r="I86" s="37"/>
      <c r="J86" s="43"/>
      <c r="K86" s="43"/>
      <c r="L86" s="43"/>
      <c r="N86" s="37"/>
      <c r="O86" s="37"/>
    </row>
    <row r="87" spans="1:15" ht="14.25" customHeight="1" outlineLevel="1">
      <c r="A87" t="s">
        <v>61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N87" s="37"/>
      <c r="O87" s="37"/>
    </row>
    <row r="88" spans="1:15" ht="14.25" customHeight="1" outlineLevel="1">
      <c r="A88" t="s">
        <v>20</v>
      </c>
      <c r="B88" s="37">
        <f t="shared" ref="B88:L88" si="20">B42</f>
        <v>513</v>
      </c>
      <c r="C88" s="37">
        <f t="shared" si="20"/>
        <v>857</v>
      </c>
      <c r="D88" s="37">
        <f t="shared" si="20"/>
        <v>252</v>
      </c>
      <c r="E88" s="37">
        <f t="shared" si="20"/>
        <v>749</v>
      </c>
      <c r="F88" s="37">
        <f t="shared" si="20"/>
        <v>724</v>
      </c>
      <c r="G88" s="37">
        <f t="shared" si="20"/>
        <v>197</v>
      </c>
      <c r="H88" s="37">
        <f t="shared" si="20"/>
        <v>256</v>
      </c>
      <c r="I88" s="37">
        <f t="shared" si="20"/>
        <v>1856</v>
      </c>
      <c r="J88" s="37">
        <f t="shared" si="20"/>
        <v>1629</v>
      </c>
      <c r="K88" s="37">
        <f t="shared" si="20"/>
        <v>2534</v>
      </c>
      <c r="L88" s="37">
        <f t="shared" si="20"/>
        <v>2883</v>
      </c>
      <c r="N88" s="37">
        <f>SUM(I88:L88)</f>
        <v>8902</v>
      </c>
      <c r="O88" s="37"/>
    </row>
    <row r="89" spans="1:15" ht="14.25" customHeight="1" outlineLevel="1">
      <c r="A89" t="s">
        <v>791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N89" s="37"/>
      <c r="O89" s="37"/>
    </row>
    <row r="90" spans="1:15" ht="14.25" customHeight="1" outlineLevel="1">
      <c r="A90" s="21" t="s">
        <v>155</v>
      </c>
      <c r="B90" s="43">
        <v>1827</v>
      </c>
      <c r="C90" s="43">
        <v>1909</v>
      </c>
      <c r="D90" s="43">
        <v>2084</v>
      </c>
      <c r="E90" s="43">
        <v>2297</v>
      </c>
      <c r="F90" s="43">
        <v>2435</v>
      </c>
      <c r="G90" s="43">
        <v>2633</v>
      </c>
      <c r="H90" s="43">
        <v>2912</v>
      </c>
      <c r="I90" s="43">
        <v>3498</v>
      </c>
      <c r="J90" s="43">
        <v>3671</v>
      </c>
      <c r="K90" s="43">
        <v>3630</v>
      </c>
      <c r="L90" s="43">
        <v>3778</v>
      </c>
      <c r="N90" s="37">
        <f>SUM(I90:L90)</f>
        <v>14577</v>
      </c>
      <c r="O90" s="37"/>
    </row>
    <row r="91" spans="1:15" ht="14.25" customHeight="1" outlineLevel="1">
      <c r="A91" s="11" t="s">
        <v>64</v>
      </c>
      <c r="B91" s="43">
        <v>544</v>
      </c>
      <c r="C91" s="43">
        <v>768</v>
      </c>
      <c r="D91" s="43">
        <v>776</v>
      </c>
      <c r="E91" s="43">
        <v>887</v>
      </c>
      <c r="F91" s="43">
        <v>792</v>
      </c>
      <c r="G91" s="43">
        <v>1158</v>
      </c>
      <c r="H91" s="43">
        <v>1085</v>
      </c>
      <c r="I91" s="43">
        <v>1179</v>
      </c>
      <c r="J91" s="43">
        <v>1182</v>
      </c>
      <c r="K91" s="43">
        <v>1468</v>
      </c>
      <c r="L91" s="43">
        <v>1350</v>
      </c>
      <c r="N91" s="37">
        <f>SUM(I91:L91)</f>
        <v>5179</v>
      </c>
      <c r="O91" s="37"/>
    </row>
    <row r="92" spans="1:15" ht="14.25" customHeight="1" outlineLevel="1">
      <c r="A92" s="11" t="s">
        <v>792</v>
      </c>
      <c r="B92" s="43">
        <v>4</v>
      </c>
      <c r="C92" s="43">
        <v>191</v>
      </c>
      <c r="D92" s="43">
        <v>-73</v>
      </c>
      <c r="E92" s="43">
        <v>-230</v>
      </c>
      <c r="F92" s="43">
        <v>-20</v>
      </c>
      <c r="G92" s="43">
        <v>316</v>
      </c>
      <c r="H92" s="43">
        <v>-159</v>
      </c>
      <c r="I92" s="43">
        <v>-257</v>
      </c>
      <c r="J92" s="43">
        <v>13</v>
      </c>
      <c r="K92" s="43">
        <v>56</v>
      </c>
      <c r="L92" s="43">
        <v>424</v>
      </c>
      <c r="N92" s="37">
        <f>SUM(I92:L92)</f>
        <v>236</v>
      </c>
      <c r="O92" s="37"/>
    </row>
    <row r="93" spans="1:15" ht="14.25" customHeight="1" outlineLevel="1">
      <c r="A93" s="160" t="s">
        <v>68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N93" s="86"/>
      <c r="O93" s="86"/>
    </row>
    <row r="94" spans="1:15" ht="14.25" customHeight="1" outlineLevel="1">
      <c r="A94" s="11" t="s">
        <v>30</v>
      </c>
      <c r="B94" s="43">
        <v>769</v>
      </c>
      <c r="C94" s="43">
        <v>-57</v>
      </c>
      <c r="D94" s="43">
        <v>-1095</v>
      </c>
      <c r="E94" s="43">
        <v>-1043</v>
      </c>
      <c r="F94" s="43">
        <v>947</v>
      </c>
      <c r="G94" s="43">
        <v>-682</v>
      </c>
      <c r="H94" s="43">
        <v>-1593</v>
      </c>
      <c r="I94" s="43">
        <v>-2255</v>
      </c>
      <c r="J94" s="43">
        <v>2220</v>
      </c>
      <c r="K94" s="43">
        <v>-1090</v>
      </c>
      <c r="L94" s="43">
        <v>-1094</v>
      </c>
      <c r="N94" s="37">
        <f>SUM(I94:L94)</f>
        <v>-2219</v>
      </c>
      <c r="O94" s="37"/>
    </row>
    <row r="95" spans="1:15" ht="14.25" customHeight="1" outlineLevel="1">
      <c r="A95" s="11" t="s">
        <v>31</v>
      </c>
      <c r="B95" s="43">
        <v>412</v>
      </c>
      <c r="C95" s="43">
        <v>-1184</v>
      </c>
      <c r="D95" s="43">
        <v>-671</v>
      </c>
      <c r="E95" s="43">
        <v>-1924</v>
      </c>
      <c r="F95" s="43">
        <v>994</v>
      </c>
      <c r="G95" s="43">
        <v>-1242</v>
      </c>
      <c r="H95" s="43">
        <v>-1758</v>
      </c>
      <c r="I95" s="43">
        <v>-2781</v>
      </c>
      <c r="J95" s="43">
        <v>1029</v>
      </c>
      <c r="K95" s="43">
        <v>-1364</v>
      </c>
      <c r="L95" s="43">
        <v>-2884</v>
      </c>
      <c r="N95" s="37">
        <f>SUM(I95:L95)</f>
        <v>-6000</v>
      </c>
      <c r="O95" s="37"/>
    </row>
    <row r="96" spans="1:15" ht="14.25" customHeight="1" outlineLevel="1">
      <c r="A96" s="11" t="s">
        <v>39</v>
      </c>
      <c r="B96" s="43">
        <v>-5770</v>
      </c>
      <c r="C96" s="43">
        <v>977</v>
      </c>
      <c r="D96" s="43">
        <v>2540</v>
      </c>
      <c r="E96" s="43">
        <v>7283</v>
      </c>
      <c r="F96" s="43">
        <v>-6865</v>
      </c>
      <c r="G96" s="43">
        <v>2088</v>
      </c>
      <c r="H96" s="43">
        <v>3046</v>
      </c>
      <c r="I96" s="43">
        <v>8907</v>
      </c>
      <c r="J96" s="43">
        <v>-10216</v>
      </c>
      <c r="K96" s="43">
        <v>2703</v>
      </c>
      <c r="L96" s="43">
        <v>3894</v>
      </c>
      <c r="N96" s="37">
        <f>SUM(I96:L96)</f>
        <v>5288</v>
      </c>
      <c r="O96" s="37"/>
    </row>
    <row r="97" spans="1:15" ht="14.25" customHeight="1" outlineLevel="1">
      <c r="A97" s="11" t="s">
        <v>40</v>
      </c>
      <c r="B97" s="43">
        <v>-956</v>
      </c>
      <c r="C97" s="43">
        <v>-15</v>
      </c>
      <c r="D97" s="43">
        <v>441</v>
      </c>
      <c r="E97" s="43">
        <v>2254</v>
      </c>
      <c r="F97" s="43">
        <v>-1404</v>
      </c>
      <c r="G97" s="43">
        <v>-252</v>
      </c>
      <c r="H97" s="43">
        <v>-122</v>
      </c>
      <c r="I97" s="43">
        <v>2061</v>
      </c>
      <c r="J97" s="43">
        <v>-2225</v>
      </c>
      <c r="K97" s="43">
        <v>-205</v>
      </c>
      <c r="L97" s="43">
        <v>237</v>
      </c>
      <c r="N97" s="37">
        <f>SUM(I97:L97)</f>
        <v>-132</v>
      </c>
      <c r="O97" s="37"/>
    </row>
    <row r="98" spans="1:15" ht="14.25" customHeight="1" outlineLevel="1">
      <c r="A98" s="11" t="s">
        <v>41</v>
      </c>
      <c r="B98" s="43">
        <v>704</v>
      </c>
      <c r="C98" s="43">
        <v>132</v>
      </c>
      <c r="D98" s="43">
        <v>405</v>
      </c>
      <c r="E98" s="43">
        <v>714</v>
      </c>
      <c r="F98" s="43">
        <v>807</v>
      </c>
      <c r="G98" s="43">
        <v>-387</v>
      </c>
      <c r="H98" s="43">
        <v>184</v>
      </c>
      <c r="I98" s="43">
        <v>136</v>
      </c>
      <c r="J98" s="43">
        <v>906</v>
      </c>
      <c r="K98" s="43">
        <v>-283</v>
      </c>
      <c r="L98" s="43">
        <v>0</v>
      </c>
      <c r="N98" s="37">
        <f>SUM(I98:L98)</f>
        <v>759</v>
      </c>
      <c r="O98" s="37"/>
    </row>
    <row r="99" spans="1:15" ht="14.25" customHeight="1" outlineLevel="1">
      <c r="A99" s="15" t="s">
        <v>69</v>
      </c>
      <c r="B99" s="81">
        <f t="shared" ref="B99:N99" si="21">SUM(B88:B98)</f>
        <v>-1953</v>
      </c>
      <c r="C99" s="81">
        <f t="shared" si="21"/>
        <v>3578</v>
      </c>
      <c r="D99" s="81">
        <f t="shared" si="21"/>
        <v>4659</v>
      </c>
      <c r="E99" s="81">
        <f t="shared" si="21"/>
        <v>10987</v>
      </c>
      <c r="F99" s="81">
        <f t="shared" si="21"/>
        <v>-1590</v>
      </c>
      <c r="G99" s="81">
        <f t="shared" si="21"/>
        <v>3829</v>
      </c>
      <c r="H99" s="81">
        <f t="shared" si="21"/>
        <v>3851</v>
      </c>
      <c r="I99" s="81">
        <f t="shared" si="21"/>
        <v>12344</v>
      </c>
      <c r="J99" s="81">
        <f t="shared" si="21"/>
        <v>-1791</v>
      </c>
      <c r="K99" s="81">
        <f t="shared" si="21"/>
        <v>7449</v>
      </c>
      <c r="L99" s="81">
        <f t="shared" si="21"/>
        <v>8588</v>
      </c>
      <c r="N99" s="81">
        <f t="shared" si="21"/>
        <v>26590</v>
      </c>
      <c r="O99" s="37"/>
    </row>
    <row r="100" spans="1:15" ht="14.25" customHeight="1" outlineLevel="1">
      <c r="A100" t="s">
        <v>26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N100" s="37"/>
      <c r="O100" s="37"/>
    </row>
    <row r="101" spans="1:15" ht="14.25" customHeight="1" outlineLevel="1">
      <c r="A101" t="s">
        <v>97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N101" s="37"/>
      <c r="O101" s="37"/>
    </row>
    <row r="102" spans="1:15" ht="14.25" customHeight="1" outlineLevel="1">
      <c r="A102" t="s">
        <v>186</v>
      </c>
      <c r="B102" s="43">
        <v>-1179</v>
      </c>
      <c r="C102" s="43">
        <v>-1711</v>
      </c>
      <c r="D102" s="43">
        <v>-1841</v>
      </c>
      <c r="E102" s="43">
        <v>-2005</v>
      </c>
      <c r="F102" s="43">
        <v>-2148</v>
      </c>
      <c r="G102" s="43">
        <v>-3113</v>
      </c>
      <c r="H102" s="43">
        <v>-3074</v>
      </c>
      <c r="I102" s="43">
        <v>-3619</v>
      </c>
      <c r="J102" s="43">
        <v>-3098</v>
      </c>
      <c r="K102" s="43">
        <v>-3243</v>
      </c>
      <c r="L102" s="43">
        <v>-3352</v>
      </c>
      <c r="N102" s="37">
        <f>SUM(I102:L102)</f>
        <v>-13312</v>
      </c>
      <c r="O102" s="37"/>
    </row>
    <row r="103" spans="1:15" ht="14.25" customHeight="1" outlineLevel="1">
      <c r="A103" t="s">
        <v>71</v>
      </c>
      <c r="B103" s="43"/>
      <c r="C103" s="43"/>
      <c r="D103" s="43"/>
      <c r="E103" s="43"/>
      <c r="F103" s="43">
        <v>287</v>
      </c>
      <c r="G103" s="43">
        <v>612</v>
      </c>
      <c r="H103" s="43">
        <v>415</v>
      </c>
      <c r="I103" s="43">
        <v>583</v>
      </c>
      <c r="J103" s="43">
        <v>371</v>
      </c>
      <c r="K103" s="43">
        <v>294</v>
      </c>
      <c r="L103" s="43">
        <v>825</v>
      </c>
      <c r="N103" s="37">
        <f>SUM(I103:L103)</f>
        <v>2073</v>
      </c>
      <c r="O103" s="37"/>
    </row>
    <row r="104" spans="1:15" ht="14.25" customHeight="1" outlineLevel="1">
      <c r="A104" t="s">
        <v>72</v>
      </c>
      <c r="B104" s="43">
        <v>-16</v>
      </c>
      <c r="C104" s="43">
        <v>-14</v>
      </c>
      <c r="D104" s="43">
        <v>-84</v>
      </c>
      <c r="E104" s="43">
        <v>-3</v>
      </c>
      <c r="F104" s="43">
        <v>-45</v>
      </c>
      <c r="G104" s="43">
        <v>-633</v>
      </c>
      <c r="H104" s="43">
        <v>-13213</v>
      </c>
      <c r="I104" s="43">
        <v>-81</v>
      </c>
      <c r="J104" s="43">
        <v>-13</v>
      </c>
      <c r="K104" s="43">
        <v>-866</v>
      </c>
      <c r="L104" s="43">
        <v>-976</v>
      </c>
      <c r="N104" s="37">
        <f>SUM(I104:L104)</f>
        <v>-1936</v>
      </c>
      <c r="O104" s="37"/>
    </row>
    <row r="105" spans="1:15" ht="14.25" customHeight="1" outlineLevel="1">
      <c r="A105" t="s">
        <v>793</v>
      </c>
      <c r="B105" s="43">
        <v>502</v>
      </c>
      <c r="C105" s="43">
        <v>-714</v>
      </c>
      <c r="D105" s="43">
        <v>-645</v>
      </c>
      <c r="E105" s="43">
        <v>-2166</v>
      </c>
      <c r="F105" s="43">
        <v>290</v>
      </c>
      <c r="G105" s="43">
        <v>-1917</v>
      </c>
      <c r="H105" s="43">
        <v>-3248</v>
      </c>
      <c r="I105" s="43">
        <v>1085</v>
      </c>
      <c r="J105" s="43">
        <v>2207</v>
      </c>
      <c r="K105" s="43">
        <v>1123</v>
      </c>
      <c r="L105" s="43">
        <v>-2069</v>
      </c>
      <c r="N105" s="37">
        <f>SUM(I105:L105)</f>
        <v>2346</v>
      </c>
      <c r="O105" s="37"/>
    </row>
    <row r="106" spans="1:15" ht="14.25" customHeight="1" outlineLevel="1">
      <c r="A106" s="15" t="s">
        <v>75</v>
      </c>
      <c r="B106" s="81">
        <f t="shared" ref="B106:N106" si="22">SUM(B102:B105)</f>
        <v>-693</v>
      </c>
      <c r="C106" s="81">
        <f t="shared" si="22"/>
        <v>-2439</v>
      </c>
      <c r="D106" s="81">
        <f t="shared" si="22"/>
        <v>-2570</v>
      </c>
      <c r="E106" s="81">
        <f t="shared" si="22"/>
        <v>-4174</v>
      </c>
      <c r="F106" s="81">
        <f t="shared" si="22"/>
        <v>-1616</v>
      </c>
      <c r="G106" s="81">
        <f t="shared" si="22"/>
        <v>-5051</v>
      </c>
      <c r="H106" s="81">
        <f t="shared" si="22"/>
        <v>-19120</v>
      </c>
      <c r="I106" s="81">
        <f t="shared" si="22"/>
        <v>-2032</v>
      </c>
      <c r="J106" s="81">
        <f t="shared" si="22"/>
        <v>-533</v>
      </c>
      <c r="K106" s="81">
        <f t="shared" si="22"/>
        <v>-2692</v>
      </c>
      <c r="L106" s="81">
        <f t="shared" si="22"/>
        <v>-5572</v>
      </c>
      <c r="N106" s="81">
        <f t="shared" si="22"/>
        <v>-10829</v>
      </c>
      <c r="O106" s="37"/>
    </row>
    <row r="107" spans="1:15" ht="14.25" customHeight="1" outlineLevel="1">
      <c r="A107" t="s">
        <v>26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N107" s="37"/>
      <c r="O107" s="37"/>
    </row>
    <row r="108" spans="1:15" ht="14.25" customHeight="1" outlineLevel="1">
      <c r="A108" t="s">
        <v>98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N108" s="37"/>
      <c r="O108" s="37"/>
    </row>
    <row r="109" spans="1:15" ht="14.25" customHeight="1" outlineLevel="1">
      <c r="A109" t="s">
        <v>794</v>
      </c>
      <c r="B109" s="43">
        <f>9-175</f>
        <v>-166</v>
      </c>
      <c r="C109" s="43">
        <v>-4</v>
      </c>
      <c r="D109" s="43">
        <f>8-26</f>
        <v>-18</v>
      </c>
      <c r="E109" s="43">
        <v>453</v>
      </c>
      <c r="F109" s="43">
        <v>-45</v>
      </c>
      <c r="G109" s="43">
        <v>12</v>
      </c>
      <c r="H109" s="43">
        <v>16001</v>
      </c>
      <c r="I109" s="43">
        <v>-1109</v>
      </c>
      <c r="J109" s="43">
        <v>-77</v>
      </c>
      <c r="K109" s="43">
        <v>-53</v>
      </c>
      <c r="L109" s="43">
        <v>-40</v>
      </c>
      <c r="N109" s="37">
        <f>SUM(I109:L109)</f>
        <v>-1279</v>
      </c>
      <c r="O109" s="37"/>
    </row>
    <row r="110" spans="1:15" ht="14.25" customHeight="1" outlineLevel="1">
      <c r="A110" t="s">
        <v>78</v>
      </c>
      <c r="B110" s="43">
        <v>-801</v>
      </c>
      <c r="C110" s="43">
        <v>-1116</v>
      </c>
      <c r="D110" s="43">
        <v>-938</v>
      </c>
      <c r="E110" s="43">
        <v>-1004</v>
      </c>
      <c r="F110" s="43">
        <v>-832</v>
      </c>
      <c r="G110" s="43">
        <v>-1228</v>
      </c>
      <c r="H110" s="43">
        <v>-1267</v>
      </c>
      <c r="I110" s="43">
        <v>-1472</v>
      </c>
      <c r="J110" s="43">
        <v>-2015</v>
      </c>
      <c r="K110" s="43">
        <v>-1284</v>
      </c>
      <c r="L110" s="43">
        <v>-2247</v>
      </c>
      <c r="N110" s="37">
        <f>SUM(I110:L110)</f>
        <v>-7018</v>
      </c>
      <c r="O110" s="37"/>
    </row>
    <row r="111" spans="1:15" ht="14.25" customHeight="1" outlineLevel="1">
      <c r="A111" t="s">
        <v>79</v>
      </c>
      <c r="B111" s="43">
        <v>-29</v>
      </c>
      <c r="C111" s="43">
        <v>-32</v>
      </c>
      <c r="D111" s="43">
        <v>-44</v>
      </c>
      <c r="E111" s="43">
        <v>-41</v>
      </c>
      <c r="F111" s="43">
        <v>-37</v>
      </c>
      <c r="G111" s="43">
        <v>-47</v>
      </c>
      <c r="H111" s="43">
        <v>-49</v>
      </c>
      <c r="I111" s="43">
        <v>-66</v>
      </c>
      <c r="J111" s="43">
        <v>-72</v>
      </c>
      <c r="K111" s="43">
        <v>-57</v>
      </c>
      <c r="L111" s="43">
        <v>-82</v>
      </c>
      <c r="N111" s="37">
        <f>SUM(I111:L111)</f>
        <v>-277</v>
      </c>
      <c r="O111" s="37"/>
    </row>
    <row r="112" spans="1:15" ht="14.25" customHeight="1" outlineLevel="1">
      <c r="A112" t="s">
        <v>795</v>
      </c>
      <c r="B112" s="43">
        <v>0</v>
      </c>
      <c r="C112" s="43">
        <v>0</v>
      </c>
      <c r="D112" s="43">
        <v>0</v>
      </c>
      <c r="E112" s="43">
        <v>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N112" s="37">
        <f>SUM(I112:L112)</f>
        <v>0</v>
      </c>
      <c r="O112" s="37"/>
    </row>
    <row r="113" spans="1:15" ht="14.25" customHeight="1" outlineLevel="1">
      <c r="A113" t="s">
        <v>160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N113" s="37">
        <f>SUM(I113:L113)</f>
        <v>0</v>
      </c>
      <c r="O113" s="37"/>
    </row>
    <row r="114" spans="1:15" ht="14.25" customHeight="1" outlineLevel="1">
      <c r="A114" s="15" t="s">
        <v>80</v>
      </c>
      <c r="B114" s="81">
        <f t="shared" ref="B114:N114" si="23">SUM(B109:B113)</f>
        <v>-996</v>
      </c>
      <c r="C114" s="81">
        <f t="shared" si="23"/>
        <v>-1152</v>
      </c>
      <c r="D114" s="81">
        <f t="shared" si="23"/>
        <v>-1000</v>
      </c>
      <c r="E114" s="81">
        <f t="shared" si="23"/>
        <v>-592</v>
      </c>
      <c r="F114" s="81">
        <f t="shared" si="23"/>
        <v>-914</v>
      </c>
      <c r="G114" s="81">
        <f t="shared" si="23"/>
        <v>-1263</v>
      </c>
      <c r="H114" s="81">
        <f t="shared" si="23"/>
        <v>14685</v>
      </c>
      <c r="I114" s="81">
        <f t="shared" si="23"/>
        <v>-2647</v>
      </c>
      <c r="J114" s="81">
        <f t="shared" si="23"/>
        <v>-2164</v>
      </c>
      <c r="K114" s="81">
        <f t="shared" si="23"/>
        <v>-1394</v>
      </c>
      <c r="L114" s="81">
        <f t="shared" si="23"/>
        <v>-2369</v>
      </c>
      <c r="N114" s="81">
        <f t="shared" si="23"/>
        <v>-8574</v>
      </c>
      <c r="O114" s="37"/>
    </row>
    <row r="115" spans="1:15" ht="14.25" customHeight="1" outlineLevel="1">
      <c r="A115" t="s">
        <v>26</v>
      </c>
      <c r="B115" s="37"/>
      <c r="C115" s="37"/>
      <c r="D115" s="37"/>
      <c r="E115" s="37"/>
      <c r="F115" s="37"/>
      <c r="G115" s="37"/>
      <c r="H115" s="37"/>
      <c r="I115" s="8"/>
      <c r="J115" s="8"/>
      <c r="K115" s="8"/>
      <c r="L115" s="8"/>
      <c r="N115" s="37"/>
      <c r="O115" s="37"/>
    </row>
    <row r="116" spans="1:15" ht="14.25" customHeight="1" outlineLevel="1">
      <c r="A116" t="s">
        <v>81</v>
      </c>
      <c r="B116" s="43">
        <v>222</v>
      </c>
      <c r="C116" s="43">
        <v>64</v>
      </c>
      <c r="D116" s="43">
        <v>46</v>
      </c>
      <c r="E116" s="43">
        <v>-543</v>
      </c>
      <c r="F116" s="43">
        <v>226</v>
      </c>
      <c r="G116" s="43">
        <v>248</v>
      </c>
      <c r="H116" s="43">
        <v>148</v>
      </c>
      <c r="I116" s="43">
        <v>90</v>
      </c>
      <c r="J116" s="43">
        <v>248</v>
      </c>
      <c r="K116" s="43">
        <v>-443</v>
      </c>
      <c r="L116" s="43">
        <v>-151</v>
      </c>
      <c r="N116" s="37">
        <f>SUM(I116:L116)</f>
        <v>-256</v>
      </c>
      <c r="O116" s="37"/>
    </row>
    <row r="117" spans="1:15" ht="14.25" customHeight="1" outlineLevel="1">
      <c r="A117" s="17" t="s">
        <v>82</v>
      </c>
      <c r="B117" s="38">
        <f t="shared" ref="B117:N117" si="24">B99+B106+B114+B116</f>
        <v>-3420</v>
      </c>
      <c r="C117" s="38">
        <f t="shared" si="24"/>
        <v>51</v>
      </c>
      <c r="D117" s="38">
        <f t="shared" si="24"/>
        <v>1135</v>
      </c>
      <c r="E117" s="38">
        <f t="shared" si="24"/>
        <v>5678</v>
      </c>
      <c r="F117" s="38">
        <f t="shared" si="24"/>
        <v>-3894</v>
      </c>
      <c r="G117" s="38">
        <f t="shared" si="24"/>
        <v>-2237</v>
      </c>
      <c r="H117" s="38">
        <f t="shared" si="24"/>
        <v>-436</v>
      </c>
      <c r="I117" s="38">
        <f t="shared" si="24"/>
        <v>7755</v>
      </c>
      <c r="J117" s="38">
        <f t="shared" si="24"/>
        <v>-4240</v>
      </c>
      <c r="K117" s="38">
        <f t="shared" si="24"/>
        <v>2920</v>
      </c>
      <c r="L117" s="38">
        <f t="shared" si="24"/>
        <v>496</v>
      </c>
      <c r="N117" s="38">
        <f t="shared" si="24"/>
        <v>6931</v>
      </c>
      <c r="O117" s="37"/>
    </row>
    <row r="118" spans="1:15" ht="14.25" customHeight="1" outlineLevel="1">
      <c r="A118" t="s">
        <v>26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N118" s="37"/>
      <c r="O118" s="37"/>
    </row>
    <row r="119" spans="1:15" ht="14.25" customHeight="1" outlineLevel="1" thickBot="1">
      <c r="A119" s="18" t="s">
        <v>99</v>
      </c>
      <c r="B119" s="82">
        <f t="shared" ref="B119:N119" si="25">B85+B117</f>
        <v>12470</v>
      </c>
      <c r="C119" s="82">
        <f t="shared" si="25"/>
        <v>12521</v>
      </c>
      <c r="D119" s="82">
        <f t="shared" si="25"/>
        <v>13656</v>
      </c>
      <c r="E119" s="82">
        <f t="shared" si="25"/>
        <v>19334</v>
      </c>
      <c r="F119" s="82">
        <f t="shared" si="25"/>
        <v>15440</v>
      </c>
      <c r="G119" s="82">
        <f t="shared" si="25"/>
        <v>13203</v>
      </c>
      <c r="H119" s="82">
        <f t="shared" si="25"/>
        <v>12767</v>
      </c>
      <c r="I119" s="82">
        <f t="shared" si="25"/>
        <v>20522</v>
      </c>
      <c r="J119" s="82">
        <f t="shared" si="25"/>
        <v>16676</v>
      </c>
      <c r="K119" s="82">
        <f t="shared" si="25"/>
        <v>19823</v>
      </c>
      <c r="L119" s="82">
        <f t="shared" si="25"/>
        <v>20425</v>
      </c>
      <c r="N119" s="82">
        <f t="shared" si="25"/>
        <v>19698</v>
      </c>
      <c r="O119" s="37"/>
    </row>
    <row r="120" spans="1:15" ht="14.25" customHeight="1" outlineLevel="1" thickTop="1">
      <c r="A120" t="s">
        <v>26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N120" s="37"/>
      <c r="O120" s="37"/>
    </row>
    <row r="121" spans="1:15" ht="14.25" customHeight="1" outlineLevel="1">
      <c r="A121" t="s">
        <v>796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N121" s="37"/>
      <c r="O121" s="37"/>
    </row>
    <row r="122" spans="1:15" ht="14.25" customHeight="1" outlineLevel="1">
      <c r="A122" t="s">
        <v>797</v>
      </c>
      <c r="B122" s="43">
        <v>2</v>
      </c>
      <c r="C122" s="43">
        <v>143</v>
      </c>
      <c r="D122" s="43">
        <v>1</v>
      </c>
      <c r="E122" s="43">
        <v>144</v>
      </c>
      <c r="F122" s="43">
        <v>4</v>
      </c>
      <c r="G122" s="43">
        <v>146</v>
      </c>
      <c r="H122" s="43">
        <v>5</v>
      </c>
      <c r="I122" s="43">
        <v>174</v>
      </c>
      <c r="J122" s="43">
        <v>282</v>
      </c>
      <c r="K122" s="43">
        <v>168</v>
      </c>
      <c r="L122" s="43">
        <v>283</v>
      </c>
      <c r="N122" s="37">
        <f>SUM(I122:L122)</f>
        <v>907</v>
      </c>
      <c r="O122" s="37"/>
    </row>
    <row r="123" spans="1:15" ht="14.25" customHeight="1" outlineLevel="1">
      <c r="A123" t="s">
        <v>798</v>
      </c>
      <c r="B123" s="43">
        <v>47</v>
      </c>
      <c r="C123" s="43">
        <v>48</v>
      </c>
      <c r="D123" s="43">
        <v>50</v>
      </c>
      <c r="E123" s="43">
        <v>61</v>
      </c>
      <c r="F123" s="43">
        <v>61</v>
      </c>
      <c r="G123" s="43">
        <v>62</v>
      </c>
      <c r="H123" s="43">
        <v>112</v>
      </c>
      <c r="I123" s="43">
        <v>84</v>
      </c>
      <c r="J123" s="43">
        <v>129</v>
      </c>
      <c r="K123" s="43">
        <v>125</v>
      </c>
      <c r="L123" s="43">
        <v>165</v>
      </c>
      <c r="N123" s="37">
        <f>SUM(I123:L123)</f>
        <v>503</v>
      </c>
      <c r="O123" s="37"/>
    </row>
    <row r="124" spans="1:15" ht="14.25" customHeight="1" outlineLevel="1">
      <c r="A124" t="s">
        <v>799</v>
      </c>
      <c r="B124" s="43">
        <v>139</v>
      </c>
      <c r="C124" s="43">
        <v>88</v>
      </c>
      <c r="D124" s="43">
        <v>91</v>
      </c>
      <c r="E124" s="43">
        <v>95</v>
      </c>
      <c r="F124" s="43">
        <v>246</v>
      </c>
      <c r="G124" s="43">
        <v>447</v>
      </c>
      <c r="H124" s="43">
        <v>172</v>
      </c>
      <c r="I124" s="43">
        <v>92</v>
      </c>
      <c r="J124" s="43">
        <v>513</v>
      </c>
      <c r="K124" s="43">
        <v>300</v>
      </c>
      <c r="L124" s="43">
        <v>200</v>
      </c>
      <c r="N124" s="37">
        <f>SUM(I124:L124)</f>
        <v>1105</v>
      </c>
      <c r="O124" s="37"/>
    </row>
    <row r="125" spans="1:15" ht="14.25" customHeight="1" outlineLevel="1">
      <c r="A125" t="s">
        <v>800</v>
      </c>
      <c r="B125" s="43">
        <v>875</v>
      </c>
      <c r="C125" s="43">
        <v>1422</v>
      </c>
      <c r="D125" s="43">
        <v>1369</v>
      </c>
      <c r="E125" s="43">
        <v>2038</v>
      </c>
      <c r="F125" s="43">
        <v>1888</v>
      </c>
      <c r="G125" s="43">
        <v>2724</v>
      </c>
      <c r="H125" s="43">
        <v>2256</v>
      </c>
      <c r="I125" s="43">
        <v>2770</v>
      </c>
      <c r="J125" s="43">
        <v>2270</v>
      </c>
      <c r="K125" s="43">
        <v>2335</v>
      </c>
      <c r="L125" s="43">
        <v>2329</v>
      </c>
      <c r="N125" s="37">
        <f>SUM(I125:L125)</f>
        <v>9704</v>
      </c>
      <c r="O125" s="37"/>
    </row>
    <row r="126" spans="1:15" ht="14.25" customHeight="1" outlineLevel="1">
      <c r="A126" t="s">
        <v>801</v>
      </c>
      <c r="B126" s="43">
        <v>351</v>
      </c>
      <c r="C126" s="43">
        <v>231</v>
      </c>
      <c r="D126" s="43">
        <v>211</v>
      </c>
      <c r="E126" s="43">
        <v>416</v>
      </c>
      <c r="F126" s="43">
        <v>1200</v>
      </c>
      <c r="G126" s="43">
        <v>748</v>
      </c>
      <c r="H126" s="43">
        <v>750</v>
      </c>
      <c r="I126" s="43">
        <v>843</v>
      </c>
      <c r="J126" s="43">
        <v>741</v>
      </c>
      <c r="K126" s="43">
        <v>795</v>
      </c>
      <c r="L126" s="43">
        <v>962</v>
      </c>
      <c r="N126" s="37">
        <f>SUM(I126:L126)</f>
        <v>3341</v>
      </c>
      <c r="O126" s="37"/>
    </row>
    <row r="127" spans="1:15" ht="14.25" customHeight="1">
      <c r="A127" t="s">
        <v>26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</row>
    <row r="128" spans="1:15" ht="14.25" customHeight="1">
      <c r="A128" t="s">
        <v>802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1:14" ht="14.25" customHeight="1">
      <c r="A129" t="s">
        <v>803</v>
      </c>
      <c r="B129" s="43">
        <f>3200+103</f>
        <v>3303</v>
      </c>
      <c r="C129" s="43">
        <f>3400+107</f>
        <v>3507</v>
      </c>
      <c r="D129" s="43">
        <f>3700+135</f>
        <v>3835</v>
      </c>
      <c r="E129" s="43">
        <f>3997+144</f>
        <v>4141</v>
      </c>
      <c r="F129" s="43">
        <f>4400+159</f>
        <v>4559</v>
      </c>
      <c r="G129" s="43">
        <f>4900+173</f>
        <v>5073</v>
      </c>
      <c r="H129" s="43">
        <f>5300+239</f>
        <v>5539</v>
      </c>
      <c r="I129" s="43">
        <f>5839+282</f>
        <v>6121</v>
      </c>
      <c r="J129" s="43">
        <f>6200+294</f>
        <v>6494</v>
      </c>
      <c r="K129" s="43">
        <f>6600+320</f>
        <v>6920</v>
      </c>
      <c r="L129" s="43">
        <f>6900+391</f>
        <v>7291</v>
      </c>
      <c r="N129" s="37">
        <f>L129</f>
        <v>7291</v>
      </c>
    </row>
    <row r="130" spans="1:14" ht="14.25" customHeight="1">
      <c r="A130" t="s">
        <v>804</v>
      </c>
      <c r="B130" s="43">
        <f>4200+1800</f>
        <v>6000</v>
      </c>
      <c r="C130" s="43">
        <f>4300+1800</f>
        <v>6100</v>
      </c>
      <c r="D130" s="43">
        <f>4500+2400</f>
        <v>6900</v>
      </c>
      <c r="E130" s="43">
        <f>2439+5080</f>
        <v>7519</v>
      </c>
      <c r="F130" s="43">
        <f>5800+2500</f>
        <v>8300</v>
      </c>
      <c r="G130" s="43">
        <f>6900+2900</f>
        <v>9800</v>
      </c>
      <c r="H130" s="43">
        <f>7600+4300</f>
        <v>11900</v>
      </c>
      <c r="I130" s="43">
        <f>8438+4745</f>
        <v>13183</v>
      </c>
      <c r="J130" s="43">
        <f>8500+4800</f>
        <v>13300</v>
      </c>
      <c r="K130" s="43">
        <f>9000+5200</f>
        <v>14200</v>
      </c>
      <c r="L130" s="43">
        <f>8700+6500</f>
        <v>15200</v>
      </c>
      <c r="N130" s="37">
        <f>L130</f>
        <v>15200</v>
      </c>
    </row>
    <row r="131" spans="1:14" ht="14.25" customHeight="1">
      <c r="N131" s="37"/>
    </row>
    <row r="132" spans="1:14" ht="14.25" customHeight="1">
      <c r="N132" s="37"/>
    </row>
    <row r="133" spans="1:14" ht="14.25" customHeight="1">
      <c r="N133" s="37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D417-4163-4C61-A7F0-12A7F9C058F9}">
  <dimension ref="A1:F108"/>
  <sheetViews>
    <sheetView workbookViewId="0"/>
  </sheetViews>
  <sheetFormatPr baseColWidth="10" defaultColWidth="9" defaultRowHeight="14"/>
  <cols>
    <col min="1" max="1" width="53" customWidth="1"/>
  </cols>
  <sheetData>
    <row r="1" spans="1:6">
      <c r="A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3" spans="1:6">
      <c r="A3" t="s">
        <v>1</v>
      </c>
      <c r="B3" s="2">
        <v>60903</v>
      </c>
      <c r="C3">
        <v>70080</v>
      </c>
      <c r="D3" s="2">
        <v>79268</v>
      </c>
      <c r="E3" s="2">
        <v>94665</v>
      </c>
      <c r="F3" s="2">
        <v>118573</v>
      </c>
    </row>
    <row r="4" spans="1:6">
      <c r="A4" t="s">
        <v>2</v>
      </c>
      <c r="B4" s="2">
        <v>13549</v>
      </c>
      <c r="C4">
        <v>18908</v>
      </c>
      <c r="D4" s="2">
        <v>27738</v>
      </c>
      <c r="E4" s="2">
        <v>41322</v>
      </c>
      <c r="F4" s="2">
        <v>59293</v>
      </c>
    </row>
    <row r="5" spans="1:6">
      <c r="A5" t="s">
        <v>3</v>
      </c>
      <c r="B5" s="2">
        <v>74452</v>
      </c>
      <c r="C5">
        <v>88988</v>
      </c>
      <c r="D5" s="2">
        <v>107006</v>
      </c>
      <c r="E5" s="2">
        <v>135987</v>
      </c>
      <c r="F5" s="2">
        <v>177866</v>
      </c>
    </row>
    <row r="6" spans="1:6">
      <c r="A6" t="s">
        <v>4</v>
      </c>
    </row>
    <row r="7" spans="1:6">
      <c r="A7" t="s">
        <v>5</v>
      </c>
      <c r="B7" s="2">
        <v>54181</v>
      </c>
      <c r="C7" s="2">
        <v>62752</v>
      </c>
      <c r="D7" s="2">
        <v>71651</v>
      </c>
      <c r="E7" s="2">
        <v>88265</v>
      </c>
      <c r="F7" s="2">
        <v>111934</v>
      </c>
    </row>
    <row r="8" spans="1:6">
      <c r="A8" t="s">
        <v>6</v>
      </c>
      <c r="B8" s="2">
        <v>8585</v>
      </c>
      <c r="C8" s="2">
        <v>10766</v>
      </c>
      <c r="D8" s="2">
        <v>13410</v>
      </c>
      <c r="E8" s="2">
        <v>17619</v>
      </c>
      <c r="F8" s="2">
        <v>25249</v>
      </c>
    </row>
    <row r="9" spans="1:6">
      <c r="A9" t="s">
        <v>7</v>
      </c>
      <c r="B9" s="2">
        <v>3133</v>
      </c>
      <c r="C9" s="2">
        <v>4332</v>
      </c>
      <c r="D9" s="2">
        <v>5254</v>
      </c>
      <c r="E9" s="2">
        <v>7233</v>
      </c>
      <c r="F9" s="2">
        <v>10069</v>
      </c>
    </row>
    <row r="10" spans="1:6">
      <c r="A10" t="s">
        <v>8</v>
      </c>
      <c r="B10" s="2">
        <v>6565</v>
      </c>
      <c r="C10" s="2">
        <v>9275</v>
      </c>
      <c r="D10" s="2">
        <v>12540</v>
      </c>
      <c r="E10" s="2">
        <v>16085</v>
      </c>
      <c r="F10" s="2">
        <v>22620</v>
      </c>
    </row>
    <row r="11" spans="1:6">
      <c r="A11" t="s">
        <v>9</v>
      </c>
      <c r="B11" s="2">
        <v>1129</v>
      </c>
      <c r="C11" s="2">
        <v>1552</v>
      </c>
      <c r="D11" s="2">
        <v>1747</v>
      </c>
      <c r="E11" s="2">
        <v>2432</v>
      </c>
      <c r="F11" s="2">
        <v>3674</v>
      </c>
    </row>
    <row r="12" spans="1:6">
      <c r="A12" t="s">
        <v>10</v>
      </c>
      <c r="B12">
        <v>114</v>
      </c>
      <c r="C12">
        <v>133</v>
      </c>
      <c r="D12">
        <v>171</v>
      </c>
      <c r="E12">
        <v>167</v>
      </c>
      <c r="F12">
        <v>214</v>
      </c>
    </row>
    <row r="13" spans="1:6">
      <c r="A13" t="s">
        <v>11</v>
      </c>
      <c r="B13" s="2">
        <v>73707</v>
      </c>
      <c r="C13" s="2">
        <v>88810</v>
      </c>
      <c r="D13" s="2">
        <v>104773</v>
      </c>
      <c r="E13" s="2">
        <v>131801</v>
      </c>
      <c r="F13" s="2">
        <v>173760</v>
      </c>
    </row>
    <row r="14" spans="1:6">
      <c r="A14" t="s">
        <v>12</v>
      </c>
      <c r="B14">
        <v>745</v>
      </c>
      <c r="C14">
        <v>178</v>
      </c>
      <c r="D14" s="2">
        <v>2233</v>
      </c>
      <c r="E14" s="2">
        <v>4186</v>
      </c>
      <c r="F14" s="2">
        <v>4106</v>
      </c>
    </row>
    <row r="15" spans="1:6">
      <c r="A15" t="s">
        <v>13</v>
      </c>
      <c r="B15">
        <v>38</v>
      </c>
      <c r="C15">
        <v>39</v>
      </c>
      <c r="D15">
        <v>50</v>
      </c>
      <c r="E15">
        <v>100</v>
      </c>
      <c r="F15">
        <v>202</v>
      </c>
    </row>
    <row r="16" spans="1:6">
      <c r="A16" t="s">
        <v>14</v>
      </c>
      <c r="B16">
        <v>-141</v>
      </c>
      <c r="C16">
        <v>-210</v>
      </c>
      <c r="D16">
        <v>-459</v>
      </c>
      <c r="E16">
        <v>-484</v>
      </c>
      <c r="F16">
        <v>-848</v>
      </c>
    </row>
    <row r="17" spans="1:6">
      <c r="A17" t="s">
        <v>15</v>
      </c>
      <c r="B17">
        <v>-136</v>
      </c>
      <c r="C17">
        <v>-118</v>
      </c>
      <c r="D17">
        <v>-256</v>
      </c>
      <c r="E17">
        <v>90</v>
      </c>
      <c r="F17">
        <v>346</v>
      </c>
    </row>
    <row r="18" spans="1:6">
      <c r="A18" t="s">
        <v>16</v>
      </c>
      <c r="B18">
        <v>-239</v>
      </c>
      <c r="C18">
        <v>-289</v>
      </c>
      <c r="D18">
        <v>-665</v>
      </c>
      <c r="E18">
        <v>-294</v>
      </c>
      <c r="F18">
        <v>-300</v>
      </c>
    </row>
    <row r="19" spans="1:6">
      <c r="A19" t="s">
        <v>17</v>
      </c>
      <c r="B19">
        <v>506</v>
      </c>
      <c r="C19">
        <v>-111</v>
      </c>
      <c r="D19" s="2">
        <v>1568</v>
      </c>
      <c r="E19" s="2">
        <v>3892</v>
      </c>
      <c r="F19" s="2">
        <v>3806</v>
      </c>
    </row>
    <row r="20" spans="1:6">
      <c r="A20" t="s">
        <v>18</v>
      </c>
      <c r="B20">
        <v>-161</v>
      </c>
      <c r="C20">
        <v>-167</v>
      </c>
      <c r="D20">
        <v>-950</v>
      </c>
      <c r="E20" s="2">
        <v>-1425</v>
      </c>
      <c r="F20">
        <v>-769</v>
      </c>
    </row>
    <row r="21" spans="1:6">
      <c r="A21" t="s">
        <v>19</v>
      </c>
      <c r="B21">
        <v>-71</v>
      </c>
      <c r="C21">
        <v>37</v>
      </c>
      <c r="D21">
        <v>-22</v>
      </c>
      <c r="E21">
        <v>-96</v>
      </c>
      <c r="F21">
        <v>-4</v>
      </c>
    </row>
    <row r="22" spans="1:6">
      <c r="A22" t="s">
        <v>20</v>
      </c>
      <c r="B22">
        <v>274</v>
      </c>
      <c r="C22">
        <v>-241</v>
      </c>
      <c r="D22">
        <v>596</v>
      </c>
      <c r="E22" s="2">
        <v>2371</v>
      </c>
      <c r="F22" s="2">
        <v>3033</v>
      </c>
    </row>
    <row r="23" spans="1:6">
      <c r="A23" t="s">
        <v>21</v>
      </c>
      <c r="B23">
        <v>0.6</v>
      </c>
      <c r="C23">
        <v>-0.52</v>
      </c>
      <c r="D23">
        <v>1.28</v>
      </c>
      <c r="E23">
        <v>5.01</v>
      </c>
      <c r="F23">
        <v>6.32</v>
      </c>
    </row>
    <row r="24" spans="1:6">
      <c r="A24" t="s">
        <v>22</v>
      </c>
      <c r="B24">
        <v>0.59</v>
      </c>
      <c r="C24">
        <v>-0.52</v>
      </c>
      <c r="D24">
        <v>1.25</v>
      </c>
      <c r="E24">
        <v>4.9000000000000004</v>
      </c>
      <c r="F24">
        <v>6.15</v>
      </c>
    </row>
    <row r="25" spans="1:6">
      <c r="A25" t="s">
        <v>23</v>
      </c>
    </row>
    <row r="26" spans="1:6">
      <c r="A26" t="s">
        <v>24</v>
      </c>
      <c r="B26">
        <v>457</v>
      </c>
      <c r="C26">
        <v>462</v>
      </c>
      <c r="D26">
        <v>467</v>
      </c>
      <c r="E26">
        <v>474</v>
      </c>
      <c r="F26">
        <v>480</v>
      </c>
    </row>
    <row r="27" spans="1:6">
      <c r="A27" t="s">
        <v>25</v>
      </c>
      <c r="B27">
        <v>465</v>
      </c>
      <c r="C27">
        <v>462</v>
      </c>
      <c r="D27">
        <v>477</v>
      </c>
      <c r="E27">
        <v>484</v>
      </c>
      <c r="F27">
        <v>493</v>
      </c>
    </row>
    <row r="28" spans="1:6">
      <c r="A28" t="s">
        <v>26</v>
      </c>
    </row>
    <row r="29" spans="1:6">
      <c r="A29" t="s">
        <v>26</v>
      </c>
    </row>
    <row r="30" spans="1:6">
      <c r="A30" t="s">
        <v>27</v>
      </c>
    </row>
    <row r="31" spans="1:6">
      <c r="A31" t="s">
        <v>28</v>
      </c>
      <c r="B31" s="2">
        <v>8658</v>
      </c>
      <c r="C31" s="2">
        <v>14557</v>
      </c>
      <c r="D31" s="2">
        <v>15890</v>
      </c>
      <c r="E31" s="2">
        <v>19334</v>
      </c>
      <c r="F31" s="2">
        <v>20522</v>
      </c>
    </row>
    <row r="32" spans="1:6">
      <c r="A32" t="s">
        <v>29</v>
      </c>
      <c r="B32" s="2">
        <v>3789</v>
      </c>
      <c r="C32" s="2">
        <v>2859</v>
      </c>
      <c r="D32" s="2">
        <v>3918</v>
      </c>
      <c r="E32" s="2">
        <v>6647</v>
      </c>
      <c r="F32" s="2">
        <v>10464</v>
      </c>
    </row>
    <row r="33" spans="1:6">
      <c r="A33" t="s">
        <v>30</v>
      </c>
      <c r="B33" s="2">
        <v>7411</v>
      </c>
      <c r="C33" s="2">
        <v>8299</v>
      </c>
      <c r="D33" s="2">
        <v>10243</v>
      </c>
      <c r="E33" s="2">
        <v>11461</v>
      </c>
      <c r="F33" s="2">
        <v>16047</v>
      </c>
    </row>
    <row r="34" spans="1:6">
      <c r="A34" t="s">
        <v>31</v>
      </c>
      <c r="B34" s="2">
        <v>4767</v>
      </c>
      <c r="C34" s="2">
        <v>5612</v>
      </c>
      <c r="D34" s="2">
        <v>6423</v>
      </c>
      <c r="E34" s="2">
        <v>8339</v>
      </c>
      <c r="F34" s="2">
        <v>13164</v>
      </c>
    </row>
    <row r="35" spans="1:6">
      <c r="A35" t="s">
        <v>32</v>
      </c>
      <c r="B35" s="2">
        <v>24625</v>
      </c>
      <c r="C35" s="2">
        <v>31327</v>
      </c>
      <c r="D35" s="2">
        <v>36474</v>
      </c>
      <c r="E35" s="2">
        <v>45781</v>
      </c>
      <c r="F35" s="2">
        <v>60197</v>
      </c>
    </row>
    <row r="36" spans="1:6">
      <c r="A36" t="s">
        <v>33</v>
      </c>
      <c r="B36" s="2">
        <v>10949</v>
      </c>
      <c r="C36" s="2">
        <v>16967</v>
      </c>
      <c r="D36" s="2">
        <v>21838</v>
      </c>
      <c r="E36" s="2">
        <v>29114</v>
      </c>
      <c r="F36" s="2">
        <v>48866</v>
      </c>
    </row>
    <row r="37" spans="1:6">
      <c r="A37" t="s">
        <v>34</v>
      </c>
      <c r="B37" s="2">
        <v>2655</v>
      </c>
      <c r="C37" s="2">
        <v>3319</v>
      </c>
      <c r="D37" s="2">
        <v>3759</v>
      </c>
      <c r="E37" s="2">
        <v>3784</v>
      </c>
      <c r="F37" s="2">
        <v>13350</v>
      </c>
    </row>
    <row r="38" spans="1:6">
      <c r="A38" t="s">
        <v>35</v>
      </c>
      <c r="B38" s="2">
        <v>1930</v>
      </c>
      <c r="C38" s="2">
        <v>2892</v>
      </c>
      <c r="D38" s="2">
        <v>3373</v>
      </c>
      <c r="E38" s="2">
        <v>4723</v>
      </c>
      <c r="F38" s="2">
        <v>8897</v>
      </c>
    </row>
    <row r="39" spans="1:6">
      <c r="A39" t="s">
        <v>36</v>
      </c>
      <c r="B39" s="2">
        <v>40159</v>
      </c>
      <c r="C39" s="2">
        <v>54505</v>
      </c>
      <c r="D39" s="2">
        <v>65444</v>
      </c>
      <c r="E39" s="2">
        <v>83402</v>
      </c>
      <c r="F39" s="2">
        <v>131310</v>
      </c>
    </row>
    <row r="40" spans="1:6">
      <c r="A40" t="s">
        <v>37</v>
      </c>
    </row>
    <row r="41" spans="1:6">
      <c r="A41" t="s">
        <v>38</v>
      </c>
    </row>
    <row r="42" spans="1:6">
      <c r="A42" t="s">
        <v>39</v>
      </c>
      <c r="B42" s="2">
        <v>15133</v>
      </c>
      <c r="C42" s="2">
        <v>16459</v>
      </c>
      <c r="D42" s="2">
        <v>20397</v>
      </c>
      <c r="E42" s="2">
        <v>25309</v>
      </c>
      <c r="F42" s="2">
        <v>34616</v>
      </c>
    </row>
    <row r="43" spans="1:6">
      <c r="A43" t="s">
        <v>40</v>
      </c>
      <c r="B43" s="2">
        <v>6688</v>
      </c>
      <c r="C43" s="2">
        <v>9807</v>
      </c>
      <c r="D43" s="2">
        <v>10384</v>
      </c>
      <c r="E43" s="2">
        <v>13739</v>
      </c>
      <c r="F43" s="2">
        <v>18170</v>
      </c>
    </row>
    <row r="44" spans="1:6">
      <c r="A44" t="s">
        <v>41</v>
      </c>
      <c r="B44" s="2">
        <v>1159</v>
      </c>
      <c r="C44" s="2">
        <v>1823</v>
      </c>
      <c r="D44" s="2">
        <v>3118</v>
      </c>
      <c r="E44" s="2">
        <v>4768</v>
      </c>
      <c r="F44" s="2">
        <v>5097</v>
      </c>
    </row>
    <row r="45" spans="1:6">
      <c r="A45" t="s">
        <v>42</v>
      </c>
      <c r="B45" s="2">
        <v>22980</v>
      </c>
      <c r="C45" s="2">
        <v>28089</v>
      </c>
      <c r="D45" s="2">
        <v>33899</v>
      </c>
      <c r="E45" s="2">
        <v>43816</v>
      </c>
      <c r="F45" s="2">
        <v>57883</v>
      </c>
    </row>
    <row r="46" spans="1:6">
      <c r="A46" t="s">
        <v>43</v>
      </c>
      <c r="B46" s="2">
        <v>3191</v>
      </c>
      <c r="C46" s="2">
        <v>8265</v>
      </c>
      <c r="D46" s="2">
        <v>8235</v>
      </c>
      <c r="E46" s="2">
        <v>7694</v>
      </c>
      <c r="F46" s="2">
        <v>24743</v>
      </c>
    </row>
    <row r="47" spans="1:6">
      <c r="A47" t="s">
        <v>44</v>
      </c>
      <c r="B47" s="2">
        <v>4242</v>
      </c>
      <c r="C47" s="2">
        <v>7410</v>
      </c>
      <c r="D47" s="2">
        <v>9926</v>
      </c>
      <c r="E47" s="2">
        <v>12607</v>
      </c>
      <c r="F47" s="2">
        <v>20975</v>
      </c>
    </row>
    <row r="48" spans="1:6">
      <c r="A48" t="s">
        <v>45</v>
      </c>
      <c r="D48" s="2"/>
    </row>
    <row r="49" spans="1:6">
      <c r="A49" t="s">
        <v>46</v>
      </c>
    </row>
    <row r="50" spans="1:6">
      <c r="A50" t="s">
        <v>47</v>
      </c>
    </row>
    <row r="51" spans="1:6">
      <c r="A51" t="s">
        <v>48</v>
      </c>
    </row>
    <row r="52" spans="1:6">
      <c r="A52" t="s">
        <v>49</v>
      </c>
    </row>
    <row r="53" spans="1:6">
      <c r="A53" t="s">
        <v>50</v>
      </c>
    </row>
    <row r="54" spans="1:6">
      <c r="A54" t="s">
        <v>51</v>
      </c>
    </row>
    <row r="55" spans="1:6">
      <c r="A55" t="s">
        <v>52</v>
      </c>
    </row>
    <row r="56" spans="1:6">
      <c r="A56" t="s">
        <v>53</v>
      </c>
      <c r="B56">
        <v>5</v>
      </c>
      <c r="C56">
        <v>5</v>
      </c>
      <c r="D56">
        <v>5</v>
      </c>
      <c r="E56">
        <v>5</v>
      </c>
      <c r="F56">
        <v>5</v>
      </c>
    </row>
    <row r="57" spans="1:6">
      <c r="A57" t="s">
        <v>54</v>
      </c>
      <c r="B57" s="2">
        <v>-1837</v>
      </c>
      <c r="C57" s="2">
        <v>-1837</v>
      </c>
      <c r="D57" s="2">
        <v>-1837</v>
      </c>
      <c r="E57" s="2">
        <v>-1837</v>
      </c>
      <c r="F57" s="2">
        <v>-1837</v>
      </c>
    </row>
    <row r="58" spans="1:6">
      <c r="A58" t="s">
        <v>55</v>
      </c>
      <c r="B58" s="2">
        <v>9573</v>
      </c>
      <c r="C58" s="2">
        <v>11135</v>
      </c>
      <c r="D58" s="2">
        <v>13394</v>
      </c>
      <c r="E58" s="2">
        <v>17186</v>
      </c>
      <c r="F58" s="2">
        <v>21389</v>
      </c>
    </row>
    <row r="59" spans="1:6">
      <c r="A59" t="s">
        <v>56</v>
      </c>
      <c r="B59">
        <v>-185</v>
      </c>
      <c r="C59">
        <v>-511</v>
      </c>
      <c r="D59">
        <v>-723</v>
      </c>
      <c r="E59">
        <v>-985</v>
      </c>
      <c r="F59">
        <v>-484</v>
      </c>
    </row>
    <row r="60" spans="1:6">
      <c r="A60" t="s">
        <v>57</v>
      </c>
      <c r="B60" s="2">
        <v>2190</v>
      </c>
      <c r="C60" s="2">
        <v>1949</v>
      </c>
      <c r="D60" s="2">
        <v>2545</v>
      </c>
      <c r="E60" s="2">
        <v>4916</v>
      </c>
      <c r="F60" s="2">
        <v>8636</v>
      </c>
    </row>
    <row r="61" spans="1:6">
      <c r="A61" t="s">
        <v>58</v>
      </c>
      <c r="B61" s="2">
        <v>9746</v>
      </c>
      <c r="C61" s="2">
        <v>10741</v>
      </c>
      <c r="D61" s="2">
        <v>13384</v>
      </c>
      <c r="E61" s="2">
        <v>19285</v>
      </c>
      <c r="F61" s="2">
        <v>27709</v>
      </c>
    </row>
    <row r="62" spans="1:6">
      <c r="A62" t="s">
        <v>59</v>
      </c>
      <c r="B62" s="2">
        <v>40159</v>
      </c>
      <c r="C62" s="2">
        <v>54505</v>
      </c>
      <c r="D62" s="2">
        <v>65444</v>
      </c>
      <c r="E62" s="2">
        <v>83402</v>
      </c>
      <c r="F62" s="2">
        <v>131310</v>
      </c>
    </row>
    <row r="63" spans="1:6">
      <c r="A63" t="s">
        <v>26</v>
      </c>
    </row>
    <row r="64" spans="1:6">
      <c r="A64" t="s">
        <v>26</v>
      </c>
    </row>
    <row r="65" spans="1:6">
      <c r="A65" t="s">
        <v>26</v>
      </c>
    </row>
    <row r="66" spans="1:6">
      <c r="A66" t="s">
        <v>60</v>
      </c>
      <c r="B66" s="2">
        <v>8084</v>
      </c>
      <c r="C66" s="2">
        <v>8658</v>
      </c>
      <c r="D66" s="2">
        <v>14557</v>
      </c>
      <c r="E66" s="2">
        <v>15890</v>
      </c>
      <c r="F66" s="2">
        <v>19334</v>
      </c>
    </row>
    <row r="67" spans="1:6">
      <c r="A67" t="s">
        <v>61</v>
      </c>
    </row>
    <row r="68" spans="1:6">
      <c r="A68" t="s">
        <v>20</v>
      </c>
      <c r="B68">
        <v>274</v>
      </c>
      <c r="C68">
        <v>-241</v>
      </c>
      <c r="D68">
        <v>596</v>
      </c>
      <c r="E68" s="2">
        <v>2371</v>
      </c>
      <c r="F68" s="2">
        <v>3033</v>
      </c>
    </row>
    <row r="69" spans="1:6">
      <c r="A69" t="s">
        <v>62</v>
      </c>
    </row>
    <row r="70" spans="1:6">
      <c r="A70" t="s">
        <v>63</v>
      </c>
      <c r="B70" s="2">
        <v>3253</v>
      </c>
      <c r="C70" s="2">
        <v>4746</v>
      </c>
      <c r="D70" s="2">
        <v>6281</v>
      </c>
      <c r="E70" s="2">
        <v>8116</v>
      </c>
      <c r="F70" s="2">
        <v>11478</v>
      </c>
    </row>
    <row r="71" spans="1:6">
      <c r="A71" t="s">
        <v>64</v>
      </c>
      <c r="B71" s="2">
        <v>1134</v>
      </c>
      <c r="C71" s="2">
        <v>1497</v>
      </c>
      <c r="D71" s="2">
        <v>2119</v>
      </c>
      <c r="E71" s="2">
        <v>2975</v>
      </c>
      <c r="F71" s="2">
        <v>4215</v>
      </c>
    </row>
    <row r="72" spans="1:6">
      <c r="A72" t="s">
        <v>10</v>
      </c>
      <c r="B72">
        <v>114</v>
      </c>
      <c r="C72">
        <v>129</v>
      </c>
      <c r="D72">
        <v>155</v>
      </c>
      <c r="E72">
        <v>160</v>
      </c>
      <c r="F72">
        <v>202</v>
      </c>
    </row>
    <row r="73" spans="1:6">
      <c r="A73" t="s">
        <v>65</v>
      </c>
      <c r="B73">
        <v>165</v>
      </c>
      <c r="C73">
        <v>59</v>
      </c>
      <c r="D73">
        <v>250</v>
      </c>
      <c r="E73">
        <v>-20</v>
      </c>
      <c r="F73">
        <v>-292</v>
      </c>
    </row>
    <row r="74" spans="1:6">
      <c r="A74" t="s">
        <v>66</v>
      </c>
      <c r="B74">
        <v>-156</v>
      </c>
      <c r="C74">
        <v>-316</v>
      </c>
      <c r="D74">
        <v>81</v>
      </c>
      <c r="E74">
        <v>-246</v>
      </c>
      <c r="F74">
        <v>-29</v>
      </c>
    </row>
    <row r="75" spans="1:6">
      <c r="A75" t="s">
        <v>67</v>
      </c>
    </row>
    <row r="76" spans="1:6">
      <c r="A76" t="s">
        <v>68</v>
      </c>
    </row>
    <row r="77" spans="1:6">
      <c r="A77" t="s">
        <v>30</v>
      </c>
      <c r="B77" s="2">
        <v>-1410</v>
      </c>
      <c r="C77" s="2">
        <v>-1193</v>
      </c>
      <c r="D77" s="2">
        <v>-2187</v>
      </c>
      <c r="E77" s="2">
        <v>-1426</v>
      </c>
      <c r="F77" s="2">
        <v>-3583</v>
      </c>
    </row>
    <row r="78" spans="1:6">
      <c r="A78" t="s">
        <v>31</v>
      </c>
      <c r="B78">
        <v>-846</v>
      </c>
      <c r="C78" s="2">
        <v>-1039</v>
      </c>
      <c r="D78" s="2">
        <v>-1755</v>
      </c>
      <c r="E78" s="2">
        <v>-3367</v>
      </c>
      <c r="F78" s="2">
        <v>-4786</v>
      </c>
    </row>
    <row r="79" spans="1:6">
      <c r="A79" t="s">
        <v>39</v>
      </c>
      <c r="B79" s="2">
        <v>1888</v>
      </c>
      <c r="C79" s="2">
        <v>1759</v>
      </c>
      <c r="D79" s="2">
        <v>4294</v>
      </c>
      <c r="E79" s="2">
        <v>5030</v>
      </c>
      <c r="F79" s="2">
        <v>7175</v>
      </c>
    </row>
    <row r="80" spans="1:6">
      <c r="A80" t="s">
        <v>40</v>
      </c>
      <c r="B80">
        <v>736</v>
      </c>
      <c r="C80">
        <v>706</v>
      </c>
      <c r="D80">
        <v>913</v>
      </c>
      <c r="E80" s="2">
        <v>1724</v>
      </c>
      <c r="F80">
        <v>283</v>
      </c>
    </row>
    <row r="81" spans="1:6">
      <c r="A81" t="s">
        <v>41</v>
      </c>
      <c r="B81" s="2">
        <v>401</v>
      </c>
      <c r="C81" s="2">
        <v>741</v>
      </c>
      <c r="D81" s="2">
        <v>1292</v>
      </c>
      <c r="E81" s="2">
        <v>1955</v>
      </c>
      <c r="F81">
        <v>738</v>
      </c>
    </row>
    <row r="82" spans="1:6">
      <c r="A82" t="s">
        <v>69</v>
      </c>
      <c r="B82" s="2">
        <v>5553</v>
      </c>
      <c r="C82" s="2">
        <v>6848</v>
      </c>
      <c r="D82" s="2">
        <v>12039</v>
      </c>
      <c r="E82" s="2">
        <v>17272</v>
      </c>
      <c r="F82" s="2">
        <v>18434</v>
      </c>
    </row>
    <row r="84" spans="1:6">
      <c r="A84" t="s">
        <v>70</v>
      </c>
      <c r="B84" s="2">
        <v>-3444</v>
      </c>
      <c r="C84" s="2">
        <v>-4893</v>
      </c>
      <c r="D84" s="2">
        <v>-5387</v>
      </c>
      <c r="E84" s="2">
        <v>-7804</v>
      </c>
      <c r="F84" s="2">
        <v>-11955</v>
      </c>
    </row>
    <row r="85" spans="1:6">
      <c r="A85" t="s">
        <v>71</v>
      </c>
      <c r="D85">
        <v>798</v>
      </c>
      <c r="E85" s="2">
        <v>1067</v>
      </c>
      <c r="F85" s="2">
        <v>1897</v>
      </c>
    </row>
    <row r="86" spans="1:6">
      <c r="A86" t="s">
        <v>72</v>
      </c>
      <c r="B86">
        <v>-312</v>
      </c>
      <c r="C86">
        <v>-979</v>
      </c>
      <c r="D86">
        <v>-795</v>
      </c>
      <c r="E86">
        <v>-116</v>
      </c>
      <c r="F86" s="2">
        <v>-13972</v>
      </c>
    </row>
    <row r="87" spans="1:6">
      <c r="A87" t="s">
        <v>73</v>
      </c>
      <c r="B87" s="2">
        <v>2306</v>
      </c>
      <c r="C87" s="2">
        <v>3349</v>
      </c>
      <c r="D87" s="2">
        <v>3025</v>
      </c>
      <c r="E87" s="2">
        <v>4733</v>
      </c>
      <c r="F87" s="2">
        <v>9988</v>
      </c>
    </row>
    <row r="88" spans="1:6">
      <c r="A88" t="s">
        <v>74</v>
      </c>
      <c r="B88" s="2">
        <v>-2826</v>
      </c>
      <c r="C88" s="2">
        <v>-2542</v>
      </c>
      <c r="D88" s="2">
        <v>-4091</v>
      </c>
      <c r="E88" s="2">
        <v>-7756</v>
      </c>
      <c r="F88" s="2">
        <v>-13777</v>
      </c>
    </row>
    <row r="89" spans="1:6">
      <c r="A89" t="s">
        <v>75</v>
      </c>
      <c r="B89" s="2">
        <v>-4276</v>
      </c>
      <c r="C89" s="2">
        <v>-5065</v>
      </c>
      <c r="D89" s="2">
        <v>-6450</v>
      </c>
      <c r="E89" s="2">
        <v>-9876</v>
      </c>
      <c r="F89" s="2">
        <v>-27819</v>
      </c>
    </row>
    <row r="91" spans="1:6">
      <c r="A91" t="s">
        <v>76</v>
      </c>
      <c r="B91">
        <v>394</v>
      </c>
      <c r="C91" s="2">
        <v>6359</v>
      </c>
      <c r="D91">
        <v>353</v>
      </c>
      <c r="E91">
        <v>621</v>
      </c>
      <c r="F91" s="2">
        <v>16231</v>
      </c>
    </row>
    <row r="92" spans="1:6">
      <c r="A92" t="s">
        <v>77</v>
      </c>
      <c r="B92">
        <v>-231</v>
      </c>
      <c r="C92">
        <v>-513</v>
      </c>
      <c r="D92" s="2">
        <v>-1652</v>
      </c>
      <c r="E92">
        <v>-354</v>
      </c>
      <c r="F92" s="2">
        <v>-1372</v>
      </c>
    </row>
    <row r="93" spans="1:6">
      <c r="A93" t="s">
        <v>78</v>
      </c>
      <c r="B93">
        <v>-775</v>
      </c>
      <c r="C93" s="2">
        <v>-1285</v>
      </c>
      <c r="D93" s="2">
        <v>-2462</v>
      </c>
      <c r="E93" s="2">
        <v>-3860</v>
      </c>
      <c r="F93" s="2">
        <v>-4799</v>
      </c>
    </row>
    <row r="94" spans="1:6">
      <c r="A94" t="s">
        <v>79</v>
      </c>
      <c r="B94">
        <v>-5</v>
      </c>
      <c r="C94">
        <v>-135</v>
      </c>
      <c r="D94">
        <v>-121</v>
      </c>
      <c r="E94">
        <v>-147</v>
      </c>
      <c r="F94">
        <v>-200</v>
      </c>
    </row>
    <row r="95" spans="1:6">
      <c r="A95" t="s">
        <v>80</v>
      </c>
      <c r="B95">
        <v>-617</v>
      </c>
      <c r="C95" s="2">
        <v>4426</v>
      </c>
      <c r="D95" s="2">
        <v>-3882</v>
      </c>
      <c r="E95" s="2">
        <v>-3740</v>
      </c>
      <c r="F95" s="2">
        <v>9860</v>
      </c>
    </row>
    <row r="96" spans="1:6">
      <c r="A96" t="s">
        <v>81</v>
      </c>
      <c r="B96">
        <v>-86</v>
      </c>
      <c r="C96">
        <v>-310</v>
      </c>
      <c r="D96">
        <v>-374</v>
      </c>
      <c r="E96">
        <v>-212</v>
      </c>
      <c r="F96">
        <v>713</v>
      </c>
    </row>
    <row r="97" spans="1:6">
      <c r="A97" t="s">
        <v>82</v>
      </c>
      <c r="B97">
        <v>574</v>
      </c>
      <c r="C97" s="2">
        <v>5899</v>
      </c>
      <c r="D97" s="2">
        <v>1333</v>
      </c>
      <c r="E97" s="2">
        <v>3444</v>
      </c>
      <c r="F97" s="2">
        <v>1188</v>
      </c>
    </row>
    <row r="98" spans="1:6">
      <c r="A98" t="s">
        <v>83</v>
      </c>
      <c r="B98" s="2">
        <v>8658</v>
      </c>
      <c r="C98" s="2">
        <v>14557</v>
      </c>
      <c r="D98" s="2">
        <v>15890</v>
      </c>
      <c r="E98" s="2">
        <v>19334</v>
      </c>
      <c r="F98" s="2">
        <v>20522</v>
      </c>
    </row>
    <row r="99" spans="1:6">
      <c r="A99" t="s">
        <v>26</v>
      </c>
      <c r="D99" s="2"/>
      <c r="E99" s="2"/>
      <c r="F99" s="2"/>
    </row>
    <row r="101" spans="1:6">
      <c r="A101" t="s">
        <v>84</v>
      </c>
      <c r="B101">
        <v>97</v>
      </c>
      <c r="C101">
        <v>91</v>
      </c>
      <c r="D101">
        <v>325</v>
      </c>
      <c r="E101">
        <v>290</v>
      </c>
      <c r="F101">
        <v>328</v>
      </c>
    </row>
    <row r="102" spans="1:6">
      <c r="A102" t="s">
        <v>85</v>
      </c>
      <c r="B102">
        <v>41</v>
      </c>
      <c r="C102">
        <v>86</v>
      </c>
      <c r="D102">
        <v>153</v>
      </c>
      <c r="E102">
        <v>206</v>
      </c>
      <c r="F102">
        <v>319</v>
      </c>
    </row>
    <row r="103" spans="1:6">
      <c r="A103" t="s">
        <v>86</v>
      </c>
      <c r="B103">
        <v>169</v>
      </c>
      <c r="C103">
        <v>177</v>
      </c>
      <c r="D103">
        <v>273</v>
      </c>
      <c r="E103">
        <v>412</v>
      </c>
      <c r="F103">
        <v>957</v>
      </c>
    </row>
    <row r="104" spans="1:6">
      <c r="A104" t="s">
        <v>87</v>
      </c>
      <c r="B104" s="2">
        <v>1867</v>
      </c>
      <c r="C104" s="2">
        <v>4008</v>
      </c>
      <c r="D104" s="2">
        <v>4717</v>
      </c>
      <c r="E104" s="2">
        <v>5704</v>
      </c>
      <c r="F104" s="2">
        <v>9637</v>
      </c>
    </row>
    <row r="105" spans="1:6">
      <c r="A105" t="s">
        <v>88</v>
      </c>
      <c r="B105">
        <v>877</v>
      </c>
      <c r="C105">
        <v>920</v>
      </c>
      <c r="D105">
        <v>544</v>
      </c>
      <c r="E105" s="2">
        <v>1209</v>
      </c>
      <c r="F105" s="2">
        <v>3541</v>
      </c>
    </row>
    <row r="108" spans="1:6">
      <c r="A108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D62-1586-4BAF-B4DF-E3932B01F22A}">
  <dimension ref="A1:X1280"/>
  <sheetViews>
    <sheetView showGridLines="0" workbookViewId="0">
      <pane ySplit="8" topLeftCell="A1268" activePane="bottomLeft" state="frozen"/>
      <selection pane="bottomLeft" activeCell="L1289" sqref="L1289"/>
    </sheetView>
  </sheetViews>
  <sheetFormatPr baseColWidth="10" defaultColWidth="8.59765625" defaultRowHeight="13"/>
  <cols>
    <col min="1" max="1" width="13" style="368" bestFit="1" customWidth="1"/>
    <col min="2" max="2" width="20" style="368" customWidth="1"/>
    <col min="3" max="5" width="14" style="368" customWidth="1"/>
    <col min="6" max="16384" width="8.59765625" style="368"/>
  </cols>
  <sheetData>
    <row r="1" spans="1:24">
      <c r="A1" s="3"/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  <c r="O1" s="380"/>
      <c r="P1" s="380"/>
      <c r="Q1" s="380"/>
      <c r="R1" s="380"/>
      <c r="S1" s="380"/>
      <c r="T1" s="380"/>
      <c r="U1" s="380"/>
      <c r="V1" s="380"/>
      <c r="W1" s="380"/>
      <c r="X1" s="380"/>
    </row>
    <row r="2" spans="1:24" ht="18">
      <c r="A2" s="4" t="s">
        <v>858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0"/>
      <c r="P2" s="380"/>
      <c r="Q2" s="380"/>
      <c r="R2" s="380"/>
      <c r="S2" s="380"/>
      <c r="T2" s="380"/>
      <c r="U2" s="380"/>
      <c r="V2" s="380"/>
      <c r="W2" s="380"/>
      <c r="X2" s="380"/>
    </row>
    <row r="3" spans="1:24" ht="14">
      <c r="A3" s="5"/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</row>
    <row r="4" spans="1:24">
      <c r="S4" s="368" t="s">
        <v>865</v>
      </c>
      <c r="W4" s="368" t="s">
        <v>859</v>
      </c>
    </row>
    <row r="5" spans="1:24">
      <c r="S5" s="369">
        <f>MAX($B$1018:$B$1269)</f>
        <v>2039.51</v>
      </c>
      <c r="W5" s="368" t="s">
        <v>860</v>
      </c>
      <c r="X5" s="369">
        <f>MAX($B$9:$B$1269)</f>
        <v>2039.51</v>
      </c>
    </row>
    <row r="6" spans="1:24">
      <c r="S6" s="369">
        <f>MIN($B$1018:$B$1269)</f>
        <v>1125.3499999999999</v>
      </c>
      <c r="W6" s="368" t="s">
        <v>861</v>
      </c>
      <c r="X6" s="369">
        <f>MIN($B$9:$B$1269)</f>
        <v>286.95</v>
      </c>
    </row>
    <row r="7" spans="1:24">
      <c r="A7" s="370"/>
      <c r="B7" s="370"/>
      <c r="C7" s="371" t="s">
        <v>862</v>
      </c>
      <c r="D7" s="370"/>
      <c r="E7" s="370"/>
    </row>
    <row r="8" spans="1:24" ht="45">
      <c r="A8" s="372" t="s">
        <v>863</v>
      </c>
      <c r="B8" s="373" t="s">
        <v>864</v>
      </c>
      <c r="C8" s="374" t="s">
        <v>237</v>
      </c>
      <c r="D8" s="374" t="s">
        <v>238</v>
      </c>
      <c r="E8" s="374" t="s">
        <v>239</v>
      </c>
    </row>
    <row r="9" spans="1:24" ht="14">
      <c r="A9" s="375">
        <v>41586</v>
      </c>
      <c r="B9" s="376">
        <v>350.31</v>
      </c>
      <c r="F9"/>
      <c r="G9" s="149"/>
      <c r="H9" s="377"/>
      <c r="I9" s="377"/>
      <c r="J9" s="377"/>
      <c r="K9" s="377"/>
      <c r="L9" s="377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4" ht="14">
      <c r="A10" s="375">
        <v>41589</v>
      </c>
      <c r="B10" s="376">
        <v>354.37799999999999</v>
      </c>
      <c r="F10"/>
      <c r="G10" s="149"/>
      <c r="H10" s="377"/>
      <c r="I10" s="377"/>
      <c r="J10" s="377"/>
      <c r="K10" s="377"/>
      <c r="L10" s="377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spans="1:24" ht="14">
      <c r="A11" s="375">
        <v>41590</v>
      </c>
      <c r="B11" s="376">
        <v>349.53</v>
      </c>
      <c r="F11"/>
      <c r="G11" s="149"/>
      <c r="H11" s="377"/>
      <c r="I11" s="377"/>
      <c r="J11" s="377"/>
      <c r="K11" s="377"/>
      <c r="L11" s="377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4">
      <c r="A12" s="375">
        <v>41591</v>
      </c>
      <c r="B12" s="376">
        <v>356.22</v>
      </c>
    </row>
    <row r="13" spans="1:24">
      <c r="A13" s="375">
        <v>41592</v>
      </c>
      <c r="B13" s="376">
        <v>367.39600000000002</v>
      </c>
    </row>
    <row r="14" spans="1:24">
      <c r="A14" s="375">
        <v>41593</v>
      </c>
      <c r="B14" s="376">
        <v>369.17</v>
      </c>
    </row>
    <row r="15" spans="1:24">
      <c r="A15" s="375">
        <v>41596</v>
      </c>
      <c r="B15" s="376">
        <v>366.18</v>
      </c>
    </row>
    <row r="16" spans="1:24">
      <c r="A16" s="375">
        <v>41597</v>
      </c>
      <c r="B16" s="376">
        <v>364.94</v>
      </c>
    </row>
    <row r="17" spans="1:2">
      <c r="A17" s="375">
        <v>41598</v>
      </c>
      <c r="B17" s="376">
        <v>362.57</v>
      </c>
    </row>
    <row r="18" spans="1:2">
      <c r="A18" s="375">
        <v>41599</v>
      </c>
      <c r="B18" s="376">
        <v>368.92</v>
      </c>
    </row>
    <row r="19" spans="1:2">
      <c r="A19" s="375">
        <v>41600</v>
      </c>
      <c r="B19" s="376">
        <v>372.31</v>
      </c>
    </row>
    <row r="20" spans="1:2">
      <c r="A20" s="375">
        <v>41603</v>
      </c>
      <c r="B20" s="376">
        <v>376.64</v>
      </c>
    </row>
    <row r="21" spans="1:2">
      <c r="A21" s="375">
        <v>41604</v>
      </c>
      <c r="B21" s="376">
        <v>381.37</v>
      </c>
    </row>
    <row r="22" spans="1:2">
      <c r="A22" s="375">
        <v>41605</v>
      </c>
      <c r="B22" s="376">
        <v>386.71</v>
      </c>
    </row>
    <row r="23" spans="1:2">
      <c r="A23" s="375">
        <v>41607</v>
      </c>
      <c r="B23" s="376">
        <v>393.62</v>
      </c>
    </row>
    <row r="24" spans="1:2">
      <c r="A24" s="375">
        <v>41610</v>
      </c>
      <c r="B24" s="376">
        <v>392.3</v>
      </c>
    </row>
    <row r="25" spans="1:2">
      <c r="A25" s="375">
        <v>41611</v>
      </c>
      <c r="B25" s="376">
        <v>384.66</v>
      </c>
    </row>
    <row r="26" spans="1:2">
      <c r="A26" s="375">
        <v>41612</v>
      </c>
      <c r="B26" s="376">
        <v>385.96</v>
      </c>
    </row>
    <row r="27" spans="1:2">
      <c r="A27" s="375">
        <v>41613</v>
      </c>
      <c r="B27" s="376">
        <v>384.49</v>
      </c>
    </row>
    <row r="28" spans="1:2">
      <c r="A28" s="375">
        <v>41614</v>
      </c>
      <c r="B28" s="376">
        <v>386.95</v>
      </c>
    </row>
    <row r="29" spans="1:2">
      <c r="A29" s="375">
        <v>41617</v>
      </c>
      <c r="B29" s="376">
        <v>384.89</v>
      </c>
    </row>
    <row r="30" spans="1:2">
      <c r="A30" s="375">
        <v>41618</v>
      </c>
      <c r="B30" s="376">
        <v>387.78</v>
      </c>
    </row>
    <row r="31" spans="1:2">
      <c r="A31" s="375">
        <v>41619</v>
      </c>
      <c r="B31" s="376">
        <v>382.19</v>
      </c>
    </row>
    <row r="32" spans="1:2">
      <c r="A32" s="375">
        <v>41620</v>
      </c>
      <c r="B32" s="376">
        <v>381.25</v>
      </c>
    </row>
    <row r="33" spans="1:2">
      <c r="A33" s="375">
        <v>41621</v>
      </c>
      <c r="B33" s="376">
        <v>384.24</v>
      </c>
    </row>
    <row r="34" spans="1:2">
      <c r="A34" s="375">
        <v>41624</v>
      </c>
      <c r="B34" s="376">
        <v>388.97</v>
      </c>
    </row>
    <row r="35" spans="1:2">
      <c r="A35" s="375">
        <v>41625</v>
      </c>
      <c r="B35" s="376">
        <v>387.65</v>
      </c>
    </row>
    <row r="36" spans="1:2">
      <c r="A36" s="375">
        <v>41626</v>
      </c>
      <c r="B36" s="376">
        <v>395.96</v>
      </c>
    </row>
    <row r="37" spans="1:2">
      <c r="A37" s="375">
        <v>41627</v>
      </c>
      <c r="B37" s="376">
        <v>395.19</v>
      </c>
    </row>
    <row r="38" spans="1:2">
      <c r="A38" s="375">
        <v>41628</v>
      </c>
      <c r="B38" s="376">
        <v>402.2</v>
      </c>
    </row>
    <row r="39" spans="1:2">
      <c r="A39" s="375">
        <v>41631</v>
      </c>
      <c r="B39" s="376">
        <v>402.92</v>
      </c>
    </row>
    <row r="40" spans="1:2">
      <c r="A40" s="375">
        <v>41632</v>
      </c>
      <c r="B40" s="376">
        <v>399.2</v>
      </c>
    </row>
    <row r="41" spans="1:2">
      <c r="A41" s="375">
        <v>41634</v>
      </c>
      <c r="B41" s="376">
        <v>404.39</v>
      </c>
    </row>
    <row r="42" spans="1:2">
      <c r="A42" s="375">
        <v>41635</v>
      </c>
      <c r="B42" s="376">
        <v>398.08</v>
      </c>
    </row>
    <row r="43" spans="1:2">
      <c r="A43" s="375">
        <v>41638</v>
      </c>
      <c r="B43" s="376">
        <v>393.37</v>
      </c>
    </row>
    <row r="44" spans="1:2">
      <c r="A44" s="375">
        <v>41639</v>
      </c>
      <c r="B44" s="376">
        <v>398.79</v>
      </c>
    </row>
    <row r="45" spans="1:2">
      <c r="A45" s="375">
        <v>41641</v>
      </c>
      <c r="B45" s="376">
        <v>397.97</v>
      </c>
    </row>
    <row r="46" spans="1:2">
      <c r="A46" s="375">
        <v>41642</v>
      </c>
      <c r="B46" s="376">
        <v>396.44</v>
      </c>
    </row>
    <row r="47" spans="1:2">
      <c r="A47" s="375">
        <v>41645</v>
      </c>
      <c r="B47" s="376">
        <v>393.63</v>
      </c>
    </row>
    <row r="48" spans="1:2">
      <c r="A48" s="375">
        <v>41646</v>
      </c>
      <c r="B48" s="376">
        <v>398.03</v>
      </c>
    </row>
    <row r="49" spans="1:2">
      <c r="A49" s="375">
        <v>41647</v>
      </c>
      <c r="B49" s="376">
        <v>401.92</v>
      </c>
    </row>
    <row r="50" spans="1:2">
      <c r="A50" s="375">
        <v>41648</v>
      </c>
      <c r="B50" s="376">
        <v>401.01</v>
      </c>
    </row>
    <row r="51" spans="1:2">
      <c r="A51" s="375">
        <v>41649</v>
      </c>
      <c r="B51" s="376">
        <v>397.66</v>
      </c>
    </row>
    <row r="52" spans="1:2">
      <c r="A52" s="375">
        <v>41652</v>
      </c>
      <c r="B52" s="376">
        <v>390.98</v>
      </c>
    </row>
    <row r="53" spans="1:2">
      <c r="A53" s="375">
        <v>41653</v>
      </c>
      <c r="B53" s="376">
        <v>397.54</v>
      </c>
    </row>
    <row r="54" spans="1:2">
      <c r="A54" s="375">
        <v>41654</v>
      </c>
      <c r="B54" s="376">
        <v>395.87</v>
      </c>
    </row>
    <row r="55" spans="1:2">
      <c r="A55" s="375">
        <v>41655</v>
      </c>
      <c r="B55" s="376">
        <v>395.8</v>
      </c>
    </row>
    <row r="56" spans="1:2">
      <c r="A56" s="375">
        <v>41656</v>
      </c>
      <c r="B56" s="376">
        <v>399.61</v>
      </c>
    </row>
    <row r="57" spans="1:2">
      <c r="A57" s="375">
        <v>41660</v>
      </c>
      <c r="B57" s="376">
        <v>407.05</v>
      </c>
    </row>
    <row r="58" spans="1:2">
      <c r="A58" s="375">
        <v>41661</v>
      </c>
      <c r="B58" s="376">
        <v>404.54</v>
      </c>
    </row>
    <row r="59" spans="1:2">
      <c r="A59" s="375">
        <v>41662</v>
      </c>
      <c r="B59" s="376">
        <v>399.87</v>
      </c>
    </row>
    <row r="60" spans="1:2">
      <c r="A60" s="375">
        <v>41663</v>
      </c>
      <c r="B60" s="376">
        <v>387.6</v>
      </c>
    </row>
    <row r="61" spans="1:2">
      <c r="A61" s="375">
        <v>41666</v>
      </c>
      <c r="B61" s="376">
        <v>386.28</v>
      </c>
    </row>
    <row r="62" spans="1:2">
      <c r="A62" s="375">
        <v>41667</v>
      </c>
      <c r="B62" s="376">
        <v>394.43</v>
      </c>
    </row>
    <row r="63" spans="1:2">
      <c r="A63" s="375">
        <v>41668</v>
      </c>
      <c r="B63" s="376">
        <v>384.2</v>
      </c>
    </row>
    <row r="64" spans="1:2">
      <c r="A64" s="375">
        <v>41669</v>
      </c>
      <c r="B64" s="376">
        <v>403.01</v>
      </c>
    </row>
    <row r="65" spans="1:2">
      <c r="A65" s="375">
        <v>41670</v>
      </c>
      <c r="B65" s="376">
        <v>358.69</v>
      </c>
    </row>
    <row r="66" spans="1:2">
      <c r="A66" s="375">
        <v>41673</v>
      </c>
      <c r="B66" s="376">
        <v>346.15</v>
      </c>
    </row>
    <row r="67" spans="1:2">
      <c r="A67" s="375">
        <v>41674</v>
      </c>
      <c r="B67" s="376">
        <v>347.95</v>
      </c>
    </row>
    <row r="68" spans="1:2">
      <c r="A68" s="375">
        <v>41675</v>
      </c>
      <c r="B68" s="376">
        <v>346.45</v>
      </c>
    </row>
    <row r="69" spans="1:2">
      <c r="A69" s="375">
        <v>41676</v>
      </c>
      <c r="B69" s="376">
        <v>354.59</v>
      </c>
    </row>
    <row r="70" spans="1:2">
      <c r="A70" s="375">
        <v>41677</v>
      </c>
      <c r="B70" s="376">
        <v>361.08</v>
      </c>
    </row>
    <row r="71" spans="1:2">
      <c r="A71" s="375">
        <v>41680</v>
      </c>
      <c r="B71" s="376">
        <v>360.87</v>
      </c>
    </row>
    <row r="72" spans="1:2">
      <c r="A72" s="375">
        <v>41681</v>
      </c>
      <c r="B72" s="376">
        <v>361.79</v>
      </c>
    </row>
    <row r="73" spans="1:2">
      <c r="A73" s="375">
        <v>41682</v>
      </c>
      <c r="B73" s="376">
        <v>349.25</v>
      </c>
    </row>
    <row r="74" spans="1:2">
      <c r="A74" s="375">
        <v>41683</v>
      </c>
      <c r="B74" s="376">
        <v>357.2</v>
      </c>
    </row>
    <row r="75" spans="1:2">
      <c r="A75" s="375">
        <v>41684</v>
      </c>
      <c r="B75" s="376">
        <v>357.35</v>
      </c>
    </row>
    <row r="76" spans="1:2">
      <c r="A76" s="375">
        <v>41688</v>
      </c>
      <c r="B76" s="376">
        <v>353.65</v>
      </c>
    </row>
    <row r="77" spans="1:2">
      <c r="A77" s="375">
        <v>41689</v>
      </c>
      <c r="B77" s="376">
        <v>347.38</v>
      </c>
    </row>
    <row r="78" spans="1:2">
      <c r="A78" s="375">
        <v>41690</v>
      </c>
      <c r="B78" s="376">
        <v>349.8</v>
      </c>
    </row>
    <row r="79" spans="1:2">
      <c r="A79" s="375">
        <v>41691</v>
      </c>
      <c r="B79" s="376">
        <v>346.76</v>
      </c>
    </row>
    <row r="80" spans="1:2">
      <c r="A80" s="375">
        <v>41694</v>
      </c>
      <c r="B80" s="376">
        <v>351.78</v>
      </c>
    </row>
    <row r="81" spans="1:2">
      <c r="A81" s="375">
        <v>41695</v>
      </c>
      <c r="B81" s="376">
        <v>358.32</v>
      </c>
    </row>
    <row r="82" spans="1:2">
      <c r="A82" s="375">
        <v>41696</v>
      </c>
      <c r="B82" s="376">
        <v>359.8</v>
      </c>
    </row>
    <row r="83" spans="1:2">
      <c r="A83" s="375">
        <v>41697</v>
      </c>
      <c r="B83" s="376">
        <v>360.13</v>
      </c>
    </row>
    <row r="84" spans="1:2">
      <c r="A84" s="375">
        <v>41698</v>
      </c>
      <c r="B84" s="376">
        <v>362.1</v>
      </c>
    </row>
    <row r="85" spans="1:2">
      <c r="A85" s="375">
        <v>41701</v>
      </c>
      <c r="B85" s="376">
        <v>359.78</v>
      </c>
    </row>
    <row r="86" spans="1:2">
      <c r="A86" s="375">
        <v>41702</v>
      </c>
      <c r="B86" s="376">
        <v>363.9</v>
      </c>
    </row>
    <row r="87" spans="1:2">
      <c r="A87" s="375">
        <v>41703</v>
      </c>
      <c r="B87" s="376">
        <v>372.37</v>
      </c>
    </row>
    <row r="88" spans="1:2">
      <c r="A88" s="375">
        <v>41704</v>
      </c>
      <c r="B88" s="376">
        <v>372.16</v>
      </c>
    </row>
    <row r="89" spans="1:2">
      <c r="A89" s="375">
        <v>41705</v>
      </c>
      <c r="B89" s="376">
        <v>372.06</v>
      </c>
    </row>
    <row r="90" spans="1:2">
      <c r="A90" s="375">
        <v>41708</v>
      </c>
      <c r="B90" s="376">
        <v>370.53</v>
      </c>
    </row>
    <row r="91" spans="1:2">
      <c r="A91" s="375">
        <v>41709</v>
      </c>
      <c r="B91" s="376">
        <v>368.82</v>
      </c>
    </row>
    <row r="92" spans="1:2">
      <c r="A92" s="375">
        <v>41710</v>
      </c>
      <c r="B92" s="376">
        <v>370.64</v>
      </c>
    </row>
    <row r="93" spans="1:2">
      <c r="A93" s="375">
        <v>41711</v>
      </c>
      <c r="B93" s="376">
        <v>371.51</v>
      </c>
    </row>
    <row r="94" spans="1:2">
      <c r="A94" s="375">
        <v>41712</v>
      </c>
      <c r="B94" s="376">
        <v>373.74</v>
      </c>
    </row>
    <row r="95" spans="1:2">
      <c r="A95" s="375">
        <v>41715</v>
      </c>
      <c r="B95" s="376">
        <v>375.04</v>
      </c>
    </row>
    <row r="96" spans="1:2">
      <c r="A96" s="375">
        <v>41716</v>
      </c>
      <c r="B96" s="376">
        <v>378.77</v>
      </c>
    </row>
    <row r="97" spans="1:2">
      <c r="A97" s="375">
        <v>41717</v>
      </c>
      <c r="B97" s="376">
        <v>373.23</v>
      </c>
    </row>
    <row r="98" spans="1:2">
      <c r="A98" s="375">
        <v>41718</v>
      </c>
      <c r="B98" s="376">
        <v>368.97</v>
      </c>
    </row>
    <row r="99" spans="1:2">
      <c r="A99" s="375">
        <v>41719</v>
      </c>
      <c r="B99" s="376">
        <v>360.62</v>
      </c>
    </row>
    <row r="100" spans="1:2">
      <c r="A100" s="375">
        <v>41722</v>
      </c>
      <c r="B100" s="376">
        <v>351.85</v>
      </c>
    </row>
    <row r="101" spans="1:2">
      <c r="A101" s="375">
        <v>41723</v>
      </c>
      <c r="B101" s="376">
        <v>354.71</v>
      </c>
    </row>
    <row r="102" spans="1:2">
      <c r="A102" s="375">
        <v>41724</v>
      </c>
      <c r="B102" s="376">
        <v>343.41</v>
      </c>
    </row>
    <row r="103" spans="1:2">
      <c r="A103" s="375">
        <v>41725</v>
      </c>
      <c r="B103" s="376">
        <v>338.47</v>
      </c>
    </row>
    <row r="104" spans="1:2">
      <c r="A104" s="375">
        <v>41726</v>
      </c>
      <c r="B104" s="376">
        <v>338.29</v>
      </c>
    </row>
    <row r="105" spans="1:2">
      <c r="A105" s="375">
        <v>41729</v>
      </c>
      <c r="B105" s="376">
        <v>336.36500000000001</v>
      </c>
    </row>
    <row r="106" spans="1:2">
      <c r="A106" s="375">
        <v>41730</v>
      </c>
      <c r="B106" s="376">
        <v>342.99</v>
      </c>
    </row>
    <row r="107" spans="1:2">
      <c r="A107" s="375">
        <v>41731</v>
      </c>
      <c r="B107" s="376">
        <v>341.96</v>
      </c>
    </row>
    <row r="108" spans="1:2">
      <c r="A108" s="375">
        <v>41732</v>
      </c>
      <c r="B108" s="376">
        <v>333.62</v>
      </c>
    </row>
    <row r="109" spans="1:2">
      <c r="A109" s="375">
        <v>41733</v>
      </c>
      <c r="B109" s="376">
        <v>323</v>
      </c>
    </row>
    <row r="110" spans="1:2">
      <c r="A110" s="375">
        <v>41736</v>
      </c>
      <c r="B110" s="376">
        <v>317.76</v>
      </c>
    </row>
    <row r="111" spans="1:2">
      <c r="A111" s="375">
        <v>41737</v>
      </c>
      <c r="B111" s="376">
        <v>327.07</v>
      </c>
    </row>
    <row r="112" spans="1:2">
      <c r="A112" s="375">
        <v>41738</v>
      </c>
      <c r="B112" s="376">
        <v>331.80500000000001</v>
      </c>
    </row>
    <row r="113" spans="1:2">
      <c r="A113" s="375">
        <v>41739</v>
      </c>
      <c r="B113" s="376">
        <v>317.11</v>
      </c>
    </row>
    <row r="114" spans="1:2">
      <c r="A114" s="375">
        <v>41740</v>
      </c>
      <c r="B114" s="376">
        <v>311.73</v>
      </c>
    </row>
    <row r="115" spans="1:2">
      <c r="A115" s="375">
        <v>41743</v>
      </c>
      <c r="B115" s="376">
        <v>315.91000000000003</v>
      </c>
    </row>
    <row r="116" spans="1:2">
      <c r="A116" s="375">
        <v>41744</v>
      </c>
      <c r="B116" s="376">
        <v>316.08</v>
      </c>
    </row>
    <row r="117" spans="1:2">
      <c r="A117" s="375">
        <v>41745</v>
      </c>
      <c r="B117" s="376">
        <v>323.68</v>
      </c>
    </row>
    <row r="118" spans="1:2">
      <c r="A118" s="375">
        <v>41746</v>
      </c>
      <c r="B118" s="376">
        <v>324.91000000000003</v>
      </c>
    </row>
    <row r="119" spans="1:2">
      <c r="A119" s="375">
        <v>41750</v>
      </c>
      <c r="B119" s="376">
        <v>330.87</v>
      </c>
    </row>
    <row r="120" spans="1:2">
      <c r="A120" s="375">
        <v>41751</v>
      </c>
      <c r="B120" s="376">
        <v>329.32</v>
      </c>
    </row>
    <row r="121" spans="1:2">
      <c r="A121" s="375">
        <v>41752</v>
      </c>
      <c r="B121" s="376">
        <v>324.58</v>
      </c>
    </row>
    <row r="122" spans="1:2">
      <c r="A122" s="375">
        <v>41753</v>
      </c>
      <c r="B122" s="376">
        <v>337.15</v>
      </c>
    </row>
    <row r="123" spans="1:2">
      <c r="A123" s="375">
        <v>41754</v>
      </c>
      <c r="B123" s="376">
        <v>303.83</v>
      </c>
    </row>
    <row r="124" spans="1:2">
      <c r="A124" s="375">
        <v>41757</v>
      </c>
      <c r="B124" s="376">
        <v>296.58</v>
      </c>
    </row>
    <row r="125" spans="1:2">
      <c r="A125" s="375">
        <v>41758</v>
      </c>
      <c r="B125" s="376">
        <v>300.38</v>
      </c>
    </row>
    <row r="126" spans="1:2">
      <c r="A126" s="375">
        <v>41759</v>
      </c>
      <c r="B126" s="376">
        <v>304.13</v>
      </c>
    </row>
    <row r="127" spans="1:2">
      <c r="A127" s="375">
        <v>41760</v>
      </c>
      <c r="B127" s="376">
        <v>307.89</v>
      </c>
    </row>
    <row r="128" spans="1:2">
      <c r="A128" s="375">
        <v>41761</v>
      </c>
      <c r="B128" s="376">
        <v>308.01</v>
      </c>
    </row>
    <row r="129" spans="1:2">
      <c r="A129" s="375">
        <v>41764</v>
      </c>
      <c r="B129" s="376">
        <v>310.05</v>
      </c>
    </row>
    <row r="130" spans="1:2">
      <c r="A130" s="375">
        <v>41765</v>
      </c>
      <c r="B130" s="376">
        <v>297.38</v>
      </c>
    </row>
    <row r="131" spans="1:2">
      <c r="A131" s="375">
        <v>41766</v>
      </c>
      <c r="B131" s="376">
        <v>292.70999999999998</v>
      </c>
    </row>
    <row r="132" spans="1:2">
      <c r="A132" s="375">
        <v>41767</v>
      </c>
      <c r="B132" s="376">
        <v>288.32</v>
      </c>
    </row>
    <row r="133" spans="1:2">
      <c r="A133" s="375">
        <v>41768</v>
      </c>
      <c r="B133" s="376">
        <v>292.24</v>
      </c>
    </row>
    <row r="134" spans="1:2">
      <c r="A134" s="375">
        <v>41771</v>
      </c>
      <c r="B134" s="376">
        <v>302.86</v>
      </c>
    </row>
    <row r="135" spans="1:2">
      <c r="A135" s="375">
        <v>41772</v>
      </c>
      <c r="B135" s="376">
        <v>304.64</v>
      </c>
    </row>
    <row r="136" spans="1:2">
      <c r="A136" s="375">
        <v>41773</v>
      </c>
      <c r="B136" s="376">
        <v>297.62</v>
      </c>
    </row>
    <row r="137" spans="1:2">
      <c r="A137" s="375">
        <v>41774</v>
      </c>
      <c r="B137" s="376">
        <v>295.19</v>
      </c>
    </row>
    <row r="138" spans="1:2">
      <c r="A138" s="375">
        <v>41775</v>
      </c>
      <c r="B138" s="376">
        <v>297.7</v>
      </c>
    </row>
    <row r="139" spans="1:2">
      <c r="A139" s="375">
        <v>41778</v>
      </c>
      <c r="B139" s="376">
        <v>296.755</v>
      </c>
    </row>
    <row r="140" spans="1:2">
      <c r="A140" s="375">
        <v>41779</v>
      </c>
      <c r="B140" s="376">
        <v>301.19</v>
      </c>
    </row>
    <row r="141" spans="1:2">
      <c r="A141" s="375">
        <v>41780</v>
      </c>
      <c r="B141" s="376">
        <v>305.01</v>
      </c>
    </row>
    <row r="142" spans="1:2">
      <c r="A142" s="375">
        <v>41781</v>
      </c>
      <c r="B142" s="376">
        <v>304.91000000000003</v>
      </c>
    </row>
    <row r="143" spans="1:2">
      <c r="A143" s="375">
        <v>41782</v>
      </c>
      <c r="B143" s="376">
        <v>312.24</v>
      </c>
    </row>
    <row r="144" spans="1:2">
      <c r="A144" s="375">
        <v>41786</v>
      </c>
      <c r="B144" s="376">
        <v>310.82</v>
      </c>
    </row>
    <row r="145" spans="1:2">
      <c r="A145" s="375">
        <v>41787</v>
      </c>
      <c r="B145" s="376">
        <v>310.16000000000003</v>
      </c>
    </row>
    <row r="146" spans="1:2">
      <c r="A146" s="375">
        <v>41788</v>
      </c>
      <c r="B146" s="376">
        <v>313.77999999999997</v>
      </c>
    </row>
    <row r="147" spans="1:2">
      <c r="A147" s="375">
        <v>41789</v>
      </c>
      <c r="B147" s="376">
        <v>312.55</v>
      </c>
    </row>
    <row r="148" spans="1:2">
      <c r="A148" s="375">
        <v>41792</v>
      </c>
      <c r="B148" s="376">
        <v>308.83999999999997</v>
      </c>
    </row>
    <row r="149" spans="1:2">
      <c r="A149" s="375">
        <v>41793</v>
      </c>
      <c r="B149" s="376">
        <v>307.19</v>
      </c>
    </row>
    <row r="150" spans="1:2">
      <c r="A150" s="375">
        <v>41794</v>
      </c>
      <c r="B150" s="376">
        <v>306.77999999999997</v>
      </c>
    </row>
    <row r="151" spans="1:2">
      <c r="A151" s="375">
        <v>41795</v>
      </c>
      <c r="B151" s="376">
        <v>323.57</v>
      </c>
    </row>
    <row r="152" spans="1:2">
      <c r="A152" s="375">
        <v>41796</v>
      </c>
      <c r="B152" s="376">
        <v>329.67</v>
      </c>
    </row>
    <row r="153" spans="1:2">
      <c r="A153" s="375">
        <v>41799</v>
      </c>
      <c r="B153" s="376">
        <v>327.5</v>
      </c>
    </row>
    <row r="154" spans="1:2">
      <c r="A154" s="375">
        <v>41800</v>
      </c>
      <c r="B154" s="376">
        <v>332.41</v>
      </c>
    </row>
    <row r="155" spans="1:2">
      <c r="A155" s="375">
        <v>41801</v>
      </c>
      <c r="B155" s="376">
        <v>335.2</v>
      </c>
    </row>
    <row r="156" spans="1:2">
      <c r="A156" s="375">
        <v>41802</v>
      </c>
      <c r="B156" s="376">
        <v>325.91000000000003</v>
      </c>
    </row>
    <row r="157" spans="1:2">
      <c r="A157" s="375">
        <v>41803</v>
      </c>
      <c r="B157" s="376">
        <v>326.27</v>
      </c>
    </row>
    <row r="158" spans="1:2">
      <c r="A158" s="375">
        <v>41806</v>
      </c>
      <c r="B158" s="376">
        <v>327.62</v>
      </c>
    </row>
    <row r="159" spans="1:2">
      <c r="A159" s="375">
        <v>41807</v>
      </c>
      <c r="B159" s="376">
        <v>325.62</v>
      </c>
    </row>
    <row r="160" spans="1:2">
      <c r="A160" s="375">
        <v>41808</v>
      </c>
      <c r="B160" s="376">
        <v>334.38</v>
      </c>
    </row>
    <row r="161" spans="1:2">
      <c r="A161" s="375">
        <v>41809</v>
      </c>
      <c r="B161" s="376">
        <v>327</v>
      </c>
    </row>
    <row r="162" spans="1:2">
      <c r="A162" s="375">
        <v>41810</v>
      </c>
      <c r="B162" s="376">
        <v>324.2</v>
      </c>
    </row>
    <row r="163" spans="1:2">
      <c r="A163" s="375">
        <v>41813</v>
      </c>
      <c r="B163" s="376">
        <v>327.24</v>
      </c>
    </row>
    <row r="164" spans="1:2">
      <c r="A164" s="375">
        <v>41814</v>
      </c>
      <c r="B164" s="376">
        <v>324.16000000000003</v>
      </c>
    </row>
    <row r="165" spans="1:2">
      <c r="A165" s="375">
        <v>41815</v>
      </c>
      <c r="B165" s="376">
        <v>327.44</v>
      </c>
    </row>
    <row r="166" spans="1:2">
      <c r="A166" s="375">
        <v>41816</v>
      </c>
      <c r="B166" s="376">
        <v>325.69</v>
      </c>
    </row>
    <row r="167" spans="1:2">
      <c r="A167" s="375">
        <v>41817</v>
      </c>
      <c r="B167" s="376">
        <v>324.57</v>
      </c>
    </row>
    <row r="168" spans="1:2">
      <c r="A168" s="375">
        <v>41820</v>
      </c>
      <c r="B168" s="376">
        <v>324.77999999999997</v>
      </c>
    </row>
    <row r="169" spans="1:2">
      <c r="A169" s="375">
        <v>41821</v>
      </c>
      <c r="B169" s="376">
        <v>332.39</v>
      </c>
    </row>
    <row r="170" spans="1:2">
      <c r="A170" s="375">
        <v>41822</v>
      </c>
      <c r="B170" s="376">
        <v>332.85</v>
      </c>
    </row>
    <row r="171" spans="1:2">
      <c r="A171" s="375">
        <v>41823</v>
      </c>
      <c r="B171" s="376">
        <v>337.49200000000002</v>
      </c>
    </row>
    <row r="172" spans="1:2">
      <c r="A172" s="375">
        <v>41827</v>
      </c>
      <c r="B172" s="376">
        <v>333.55</v>
      </c>
    </row>
    <row r="173" spans="1:2">
      <c r="A173" s="375">
        <v>41828</v>
      </c>
      <c r="B173" s="376">
        <v>323.81</v>
      </c>
    </row>
    <row r="174" spans="1:2">
      <c r="A174" s="375">
        <v>41829</v>
      </c>
      <c r="B174" s="376">
        <v>329.97</v>
      </c>
    </row>
    <row r="175" spans="1:2">
      <c r="A175" s="375">
        <v>41830</v>
      </c>
      <c r="B175" s="376">
        <v>327.92</v>
      </c>
    </row>
    <row r="176" spans="1:2">
      <c r="A176" s="375">
        <v>41831</v>
      </c>
      <c r="B176" s="376">
        <v>346.2</v>
      </c>
    </row>
    <row r="177" spans="1:2">
      <c r="A177" s="375">
        <v>41834</v>
      </c>
      <c r="B177" s="376">
        <v>355.32</v>
      </c>
    </row>
    <row r="178" spans="1:2">
      <c r="A178" s="375">
        <v>41835</v>
      </c>
      <c r="B178" s="376">
        <v>354.44</v>
      </c>
    </row>
    <row r="179" spans="1:2">
      <c r="A179" s="375">
        <v>41836</v>
      </c>
      <c r="B179" s="376">
        <v>355.9</v>
      </c>
    </row>
    <row r="180" spans="1:2">
      <c r="A180" s="375">
        <v>41837</v>
      </c>
      <c r="B180" s="376">
        <v>352.45400000000001</v>
      </c>
    </row>
    <row r="181" spans="1:2">
      <c r="A181" s="375">
        <v>41838</v>
      </c>
      <c r="B181" s="376">
        <v>358.66</v>
      </c>
    </row>
    <row r="182" spans="1:2">
      <c r="A182" s="375">
        <v>41841</v>
      </c>
      <c r="B182" s="376">
        <v>359.76</v>
      </c>
    </row>
    <row r="183" spans="1:2">
      <c r="A183" s="375">
        <v>41842</v>
      </c>
      <c r="B183" s="376">
        <v>360.84</v>
      </c>
    </row>
    <row r="184" spans="1:2">
      <c r="A184" s="375">
        <v>41843</v>
      </c>
      <c r="B184" s="376">
        <v>358.14</v>
      </c>
    </row>
    <row r="185" spans="1:2">
      <c r="A185" s="375">
        <v>41844</v>
      </c>
      <c r="B185" s="376">
        <v>358.61</v>
      </c>
    </row>
    <row r="186" spans="1:2">
      <c r="A186" s="375">
        <v>41845</v>
      </c>
      <c r="B186" s="376">
        <v>324.01</v>
      </c>
    </row>
    <row r="187" spans="1:2">
      <c r="A187" s="375">
        <v>41848</v>
      </c>
      <c r="B187" s="376">
        <v>320.41000000000003</v>
      </c>
    </row>
    <row r="188" spans="1:2">
      <c r="A188" s="375">
        <v>41849</v>
      </c>
      <c r="B188" s="376">
        <v>320</v>
      </c>
    </row>
    <row r="189" spans="1:2">
      <c r="A189" s="375">
        <v>41850</v>
      </c>
      <c r="B189" s="376">
        <v>322.51</v>
      </c>
    </row>
    <row r="190" spans="1:2">
      <c r="A190" s="375">
        <v>41851</v>
      </c>
      <c r="B190" s="376">
        <v>312.99</v>
      </c>
    </row>
    <row r="191" spans="1:2">
      <c r="A191" s="375">
        <v>41852</v>
      </c>
      <c r="B191" s="376">
        <v>307.06</v>
      </c>
    </row>
    <row r="192" spans="1:2">
      <c r="A192" s="375">
        <v>41855</v>
      </c>
      <c r="B192" s="376">
        <v>313.64999999999998</v>
      </c>
    </row>
    <row r="193" spans="1:2">
      <c r="A193" s="375">
        <v>41856</v>
      </c>
      <c r="B193" s="376">
        <v>312.32</v>
      </c>
    </row>
    <row r="194" spans="1:2">
      <c r="A194" s="375">
        <v>41857</v>
      </c>
      <c r="B194" s="376">
        <v>313.89</v>
      </c>
    </row>
    <row r="195" spans="1:2">
      <c r="A195" s="375">
        <v>41858</v>
      </c>
      <c r="B195" s="376">
        <v>311.45</v>
      </c>
    </row>
    <row r="196" spans="1:2">
      <c r="A196" s="375">
        <v>41859</v>
      </c>
      <c r="B196" s="376">
        <v>316.8</v>
      </c>
    </row>
    <row r="197" spans="1:2">
      <c r="A197" s="375">
        <v>41862</v>
      </c>
      <c r="B197" s="376">
        <v>318.33</v>
      </c>
    </row>
    <row r="198" spans="1:2">
      <c r="A198" s="375">
        <v>41863</v>
      </c>
      <c r="B198" s="376">
        <v>319.32</v>
      </c>
    </row>
    <row r="199" spans="1:2">
      <c r="A199" s="375">
        <v>41864</v>
      </c>
      <c r="B199" s="376">
        <v>326.27999999999997</v>
      </c>
    </row>
    <row r="200" spans="1:2">
      <c r="A200" s="375">
        <v>41865</v>
      </c>
      <c r="B200" s="376">
        <v>333.21</v>
      </c>
    </row>
    <row r="201" spans="1:2">
      <c r="A201" s="375">
        <v>41866</v>
      </c>
      <c r="B201" s="376">
        <v>333.63</v>
      </c>
    </row>
    <row r="202" spans="1:2">
      <c r="A202" s="375">
        <v>41869</v>
      </c>
      <c r="B202" s="376">
        <v>334.53</v>
      </c>
    </row>
    <row r="203" spans="1:2">
      <c r="A203" s="375">
        <v>41870</v>
      </c>
      <c r="B203" s="376">
        <v>335.13</v>
      </c>
    </row>
    <row r="204" spans="1:2">
      <c r="A204" s="375">
        <v>41871</v>
      </c>
      <c r="B204" s="376">
        <v>335.78</v>
      </c>
    </row>
    <row r="205" spans="1:2">
      <c r="A205" s="375">
        <v>41872</v>
      </c>
      <c r="B205" s="376">
        <v>332.91</v>
      </c>
    </row>
    <row r="206" spans="1:2">
      <c r="A206" s="375">
        <v>41873</v>
      </c>
      <c r="B206" s="376">
        <v>331.59</v>
      </c>
    </row>
    <row r="207" spans="1:2">
      <c r="A207" s="375">
        <v>41876</v>
      </c>
      <c r="B207" s="376">
        <v>334.02</v>
      </c>
    </row>
    <row r="208" spans="1:2">
      <c r="A208" s="375">
        <v>41877</v>
      </c>
      <c r="B208" s="376">
        <v>341.83</v>
      </c>
    </row>
    <row r="209" spans="1:2">
      <c r="A209" s="375">
        <v>41878</v>
      </c>
      <c r="B209" s="376">
        <v>343.18</v>
      </c>
    </row>
    <row r="210" spans="1:2">
      <c r="A210" s="375">
        <v>41879</v>
      </c>
      <c r="B210" s="376">
        <v>340.02</v>
      </c>
    </row>
    <row r="211" spans="1:2">
      <c r="A211" s="375">
        <v>41880</v>
      </c>
      <c r="B211" s="376">
        <v>339.04</v>
      </c>
    </row>
    <row r="212" spans="1:2">
      <c r="A212" s="375">
        <v>41884</v>
      </c>
      <c r="B212" s="376">
        <v>342.38</v>
      </c>
    </row>
    <row r="213" spans="1:2">
      <c r="A213" s="375">
        <v>41885</v>
      </c>
      <c r="B213" s="376">
        <v>339</v>
      </c>
    </row>
    <row r="214" spans="1:2">
      <c r="A214" s="375">
        <v>41886</v>
      </c>
      <c r="B214" s="376">
        <v>345.95</v>
      </c>
    </row>
    <row r="215" spans="1:2">
      <c r="A215" s="375">
        <v>41887</v>
      </c>
      <c r="B215" s="376">
        <v>346.38</v>
      </c>
    </row>
    <row r="216" spans="1:2">
      <c r="A216" s="375">
        <v>41890</v>
      </c>
      <c r="B216" s="376">
        <v>342.34</v>
      </c>
    </row>
    <row r="217" spans="1:2">
      <c r="A217" s="375">
        <v>41891</v>
      </c>
      <c r="B217" s="376">
        <v>329.75</v>
      </c>
    </row>
    <row r="218" spans="1:2">
      <c r="A218" s="375">
        <v>41892</v>
      </c>
      <c r="B218" s="376">
        <v>331.33</v>
      </c>
    </row>
    <row r="219" spans="1:2">
      <c r="A219" s="375">
        <v>41893</v>
      </c>
      <c r="B219" s="376">
        <v>330.52</v>
      </c>
    </row>
    <row r="220" spans="1:2">
      <c r="A220" s="375">
        <v>41894</v>
      </c>
      <c r="B220" s="376">
        <v>331.19</v>
      </c>
    </row>
    <row r="221" spans="1:2">
      <c r="A221" s="375">
        <v>41897</v>
      </c>
      <c r="B221" s="376">
        <v>323.89</v>
      </c>
    </row>
    <row r="222" spans="1:2">
      <c r="A222" s="375">
        <v>41898</v>
      </c>
      <c r="B222" s="376">
        <v>327.76</v>
      </c>
    </row>
    <row r="223" spans="1:2">
      <c r="A223" s="375">
        <v>41899</v>
      </c>
      <c r="B223" s="376">
        <v>324</v>
      </c>
    </row>
    <row r="224" spans="1:2">
      <c r="A224" s="375">
        <v>41900</v>
      </c>
      <c r="B224" s="376">
        <v>325</v>
      </c>
    </row>
    <row r="225" spans="1:2">
      <c r="A225" s="375">
        <v>41901</v>
      </c>
      <c r="B225" s="376">
        <v>331.32</v>
      </c>
    </row>
    <row r="226" spans="1:2">
      <c r="A226" s="375">
        <v>41904</v>
      </c>
      <c r="B226" s="376">
        <v>324.5</v>
      </c>
    </row>
    <row r="227" spans="1:2">
      <c r="A227" s="375">
        <v>41905</v>
      </c>
      <c r="B227" s="376">
        <v>323.63</v>
      </c>
    </row>
    <row r="228" spans="1:2">
      <c r="A228" s="375">
        <v>41906</v>
      </c>
      <c r="B228" s="376">
        <v>328.21</v>
      </c>
    </row>
    <row r="229" spans="1:2">
      <c r="A229" s="375">
        <v>41907</v>
      </c>
      <c r="B229" s="376">
        <v>321.93</v>
      </c>
    </row>
    <row r="230" spans="1:2">
      <c r="A230" s="375">
        <v>41908</v>
      </c>
      <c r="B230" s="376">
        <v>323.20999999999998</v>
      </c>
    </row>
    <row r="231" spans="1:2">
      <c r="A231" s="375">
        <v>41911</v>
      </c>
      <c r="B231" s="376">
        <v>321.82</v>
      </c>
    </row>
    <row r="232" spans="1:2">
      <c r="A232" s="375">
        <v>41912</v>
      </c>
      <c r="B232" s="376">
        <v>322.44</v>
      </c>
    </row>
    <row r="233" spans="1:2">
      <c r="A233" s="375">
        <v>41913</v>
      </c>
      <c r="B233" s="376">
        <v>317.45999999999998</v>
      </c>
    </row>
    <row r="234" spans="1:2">
      <c r="A234" s="375">
        <v>41914</v>
      </c>
      <c r="B234" s="376">
        <v>318.41000000000003</v>
      </c>
    </row>
    <row r="235" spans="1:2">
      <c r="A235" s="375">
        <v>41915</v>
      </c>
      <c r="B235" s="376">
        <v>322.74</v>
      </c>
    </row>
    <row r="236" spans="1:2">
      <c r="A236" s="375">
        <v>41918</v>
      </c>
      <c r="B236" s="376">
        <v>322.2</v>
      </c>
    </row>
    <row r="237" spans="1:2">
      <c r="A237" s="375">
        <v>41919</v>
      </c>
      <c r="B237" s="376">
        <v>316.98</v>
      </c>
    </row>
    <row r="238" spans="1:2">
      <c r="A238" s="375">
        <v>41920</v>
      </c>
      <c r="B238" s="376">
        <v>322.7</v>
      </c>
    </row>
    <row r="239" spans="1:2">
      <c r="A239" s="375">
        <v>41921</v>
      </c>
      <c r="B239" s="376">
        <v>315.37</v>
      </c>
    </row>
    <row r="240" spans="1:2">
      <c r="A240" s="375">
        <v>41922</v>
      </c>
      <c r="B240" s="376">
        <v>311.39</v>
      </c>
    </row>
    <row r="241" spans="1:2">
      <c r="A241" s="375">
        <v>41925</v>
      </c>
      <c r="B241" s="376">
        <v>306.45</v>
      </c>
    </row>
    <row r="242" spans="1:2">
      <c r="A242" s="375">
        <v>41926</v>
      </c>
      <c r="B242" s="376">
        <v>308.31</v>
      </c>
    </row>
    <row r="243" spans="1:2">
      <c r="A243" s="375">
        <v>41927</v>
      </c>
      <c r="B243" s="376">
        <v>305.97000000000003</v>
      </c>
    </row>
    <row r="244" spans="1:2">
      <c r="A244" s="375">
        <v>41928</v>
      </c>
      <c r="B244" s="376">
        <v>302.86</v>
      </c>
    </row>
    <row r="245" spans="1:2">
      <c r="A245" s="375">
        <v>41929</v>
      </c>
      <c r="B245" s="376">
        <v>303.64</v>
      </c>
    </row>
    <row r="246" spans="1:2">
      <c r="A246" s="375">
        <v>41932</v>
      </c>
      <c r="B246" s="376">
        <v>306.20999999999998</v>
      </c>
    </row>
    <row r="247" spans="1:2">
      <c r="A247" s="375">
        <v>41933</v>
      </c>
      <c r="B247" s="376">
        <v>315.33</v>
      </c>
    </row>
    <row r="248" spans="1:2">
      <c r="A248" s="375">
        <v>41934</v>
      </c>
      <c r="B248" s="376">
        <v>312.97000000000003</v>
      </c>
    </row>
    <row r="249" spans="1:2">
      <c r="A249" s="375">
        <v>41935</v>
      </c>
      <c r="B249" s="376">
        <v>313.18</v>
      </c>
    </row>
    <row r="250" spans="1:2">
      <c r="A250" s="375">
        <v>41936</v>
      </c>
      <c r="B250" s="376">
        <v>287.06</v>
      </c>
    </row>
    <row r="251" spans="1:2">
      <c r="A251" s="375">
        <v>41939</v>
      </c>
      <c r="B251" s="376">
        <v>289.97000000000003</v>
      </c>
    </row>
    <row r="252" spans="1:2">
      <c r="A252" s="375">
        <v>41940</v>
      </c>
      <c r="B252" s="376">
        <v>295.58999999999997</v>
      </c>
    </row>
    <row r="253" spans="1:2">
      <c r="A253" s="375">
        <v>41941</v>
      </c>
      <c r="B253" s="376">
        <v>294.12</v>
      </c>
    </row>
    <row r="254" spans="1:2">
      <c r="A254" s="375">
        <v>41942</v>
      </c>
      <c r="B254" s="376">
        <v>299.07</v>
      </c>
    </row>
    <row r="255" spans="1:2">
      <c r="A255" s="375">
        <v>41943</v>
      </c>
      <c r="B255" s="376">
        <v>305.45999999999998</v>
      </c>
    </row>
    <row r="256" spans="1:2">
      <c r="A256" s="375">
        <v>41946</v>
      </c>
      <c r="B256" s="376">
        <v>305.72000000000003</v>
      </c>
    </row>
    <row r="257" spans="1:2">
      <c r="A257" s="375">
        <v>41947</v>
      </c>
      <c r="B257" s="376">
        <v>302.81</v>
      </c>
    </row>
    <row r="258" spans="1:2">
      <c r="A258" s="375">
        <v>41948</v>
      </c>
      <c r="B258" s="376">
        <v>296.52</v>
      </c>
    </row>
    <row r="259" spans="1:2">
      <c r="A259" s="375">
        <v>41949</v>
      </c>
      <c r="B259" s="376">
        <v>296.64</v>
      </c>
    </row>
    <row r="260" spans="1:2">
      <c r="A260" s="375">
        <v>41950</v>
      </c>
      <c r="B260" s="376">
        <v>299.86</v>
      </c>
    </row>
    <row r="261" spans="1:2">
      <c r="A261" s="375">
        <v>41953</v>
      </c>
      <c r="B261" s="376">
        <v>305.11</v>
      </c>
    </row>
    <row r="262" spans="1:2">
      <c r="A262" s="375">
        <v>41954</v>
      </c>
      <c r="B262" s="376">
        <v>312.01</v>
      </c>
    </row>
    <row r="263" spans="1:2">
      <c r="A263" s="375">
        <v>41955</v>
      </c>
      <c r="B263" s="376">
        <v>311.51</v>
      </c>
    </row>
    <row r="264" spans="1:2">
      <c r="A264" s="375">
        <v>41956</v>
      </c>
      <c r="B264" s="376">
        <v>316.48</v>
      </c>
    </row>
    <row r="265" spans="1:2">
      <c r="A265" s="375">
        <v>41957</v>
      </c>
      <c r="B265" s="376">
        <v>327.82</v>
      </c>
    </row>
    <row r="266" spans="1:2">
      <c r="A266" s="375">
        <v>41960</v>
      </c>
      <c r="B266" s="376">
        <v>323.05</v>
      </c>
    </row>
    <row r="267" spans="1:2">
      <c r="A267" s="375">
        <v>41961</v>
      </c>
      <c r="B267" s="376">
        <v>324.93</v>
      </c>
    </row>
    <row r="268" spans="1:2">
      <c r="A268" s="375">
        <v>41962</v>
      </c>
      <c r="B268" s="376">
        <v>326.54000000000002</v>
      </c>
    </row>
    <row r="269" spans="1:2">
      <c r="A269" s="375">
        <v>41963</v>
      </c>
      <c r="B269" s="376">
        <v>330.54</v>
      </c>
    </row>
    <row r="270" spans="1:2">
      <c r="A270" s="375">
        <v>41964</v>
      </c>
      <c r="B270" s="376">
        <v>332.63</v>
      </c>
    </row>
    <row r="271" spans="1:2">
      <c r="A271" s="375">
        <v>41967</v>
      </c>
      <c r="B271" s="376">
        <v>335.64</v>
      </c>
    </row>
    <row r="272" spans="1:2">
      <c r="A272" s="375">
        <v>41968</v>
      </c>
      <c r="B272" s="376">
        <v>335.04</v>
      </c>
    </row>
    <row r="273" spans="1:2">
      <c r="A273" s="375">
        <v>41969</v>
      </c>
      <c r="B273" s="376">
        <v>333.57</v>
      </c>
    </row>
    <row r="274" spans="1:2">
      <c r="A274" s="375">
        <v>41971</v>
      </c>
      <c r="B274" s="376">
        <v>338.64</v>
      </c>
    </row>
    <row r="275" spans="1:2">
      <c r="A275" s="375">
        <v>41974</v>
      </c>
      <c r="B275" s="376">
        <v>326</v>
      </c>
    </row>
    <row r="276" spans="1:2">
      <c r="A276" s="375">
        <v>41975</v>
      </c>
      <c r="B276" s="376">
        <v>326.31</v>
      </c>
    </row>
    <row r="277" spans="1:2">
      <c r="A277" s="375">
        <v>41976</v>
      </c>
      <c r="B277" s="376">
        <v>316.5</v>
      </c>
    </row>
    <row r="278" spans="1:2">
      <c r="A278" s="375">
        <v>41977</v>
      </c>
      <c r="B278" s="376">
        <v>316.93</v>
      </c>
    </row>
    <row r="279" spans="1:2">
      <c r="A279" s="375">
        <v>41978</v>
      </c>
      <c r="B279" s="376">
        <v>312.63</v>
      </c>
    </row>
    <row r="280" spans="1:2">
      <c r="A280" s="375">
        <v>41981</v>
      </c>
      <c r="B280" s="376">
        <v>306.64</v>
      </c>
    </row>
    <row r="281" spans="1:2">
      <c r="A281" s="375">
        <v>41982</v>
      </c>
      <c r="B281" s="376">
        <v>312.5</v>
      </c>
    </row>
    <row r="282" spans="1:2">
      <c r="A282" s="375">
        <v>41983</v>
      </c>
      <c r="B282" s="376">
        <v>305.83999999999997</v>
      </c>
    </row>
    <row r="283" spans="1:2">
      <c r="A283" s="375">
        <v>41984</v>
      </c>
      <c r="B283" s="376">
        <v>307.36</v>
      </c>
    </row>
    <row r="284" spans="1:2">
      <c r="A284" s="375">
        <v>41985</v>
      </c>
      <c r="B284" s="376">
        <v>307.32</v>
      </c>
    </row>
    <row r="285" spans="1:2">
      <c r="A285" s="375">
        <v>41988</v>
      </c>
      <c r="B285" s="376">
        <v>306.07</v>
      </c>
    </row>
    <row r="286" spans="1:2">
      <c r="A286" s="375">
        <v>41989</v>
      </c>
      <c r="B286" s="376">
        <v>295.06</v>
      </c>
    </row>
    <row r="287" spans="1:2">
      <c r="A287" s="375">
        <v>41990</v>
      </c>
      <c r="B287" s="376">
        <v>298.88</v>
      </c>
    </row>
    <row r="288" spans="1:2">
      <c r="A288" s="375">
        <v>41991</v>
      </c>
      <c r="B288" s="376">
        <v>297.73</v>
      </c>
    </row>
    <row r="289" spans="1:2">
      <c r="A289" s="375">
        <v>41992</v>
      </c>
      <c r="B289" s="376">
        <v>299.89999999999998</v>
      </c>
    </row>
    <row r="290" spans="1:2">
      <c r="A290" s="375">
        <v>41995</v>
      </c>
      <c r="B290" s="376">
        <v>306.54000000000002</v>
      </c>
    </row>
    <row r="291" spans="1:2">
      <c r="A291" s="375">
        <v>41996</v>
      </c>
      <c r="B291" s="376">
        <v>306.28500000000003</v>
      </c>
    </row>
    <row r="292" spans="1:2">
      <c r="A292" s="375">
        <v>41997</v>
      </c>
      <c r="B292" s="376">
        <v>303.02999999999997</v>
      </c>
    </row>
    <row r="293" spans="1:2">
      <c r="A293" s="375">
        <v>41999</v>
      </c>
      <c r="B293" s="376">
        <v>309.08999999999997</v>
      </c>
    </row>
    <row r="294" spans="1:2">
      <c r="A294" s="375">
        <v>42002</v>
      </c>
      <c r="B294" s="376">
        <v>312.04000000000002</v>
      </c>
    </row>
    <row r="295" spans="1:2">
      <c r="A295" s="375">
        <v>42003</v>
      </c>
      <c r="B295" s="376">
        <v>310.3</v>
      </c>
    </row>
    <row r="296" spans="1:2">
      <c r="A296" s="375">
        <v>42004</v>
      </c>
      <c r="B296" s="376">
        <v>310.35000000000002</v>
      </c>
    </row>
    <row r="297" spans="1:2">
      <c r="A297" s="375">
        <v>42006</v>
      </c>
      <c r="B297" s="376">
        <v>308.52</v>
      </c>
    </row>
    <row r="298" spans="1:2">
      <c r="A298" s="375">
        <v>42009</v>
      </c>
      <c r="B298" s="376">
        <v>302.19</v>
      </c>
    </row>
    <row r="299" spans="1:2">
      <c r="A299" s="375">
        <v>42010</v>
      </c>
      <c r="B299" s="376">
        <v>295.29000000000002</v>
      </c>
    </row>
    <row r="300" spans="1:2">
      <c r="A300" s="375">
        <v>42011</v>
      </c>
      <c r="B300" s="376">
        <v>298.42</v>
      </c>
    </row>
    <row r="301" spans="1:2">
      <c r="A301" s="375">
        <v>42012</v>
      </c>
      <c r="B301" s="376">
        <v>300.45999999999998</v>
      </c>
    </row>
    <row r="302" spans="1:2">
      <c r="A302" s="375">
        <v>42013</v>
      </c>
      <c r="B302" s="376">
        <v>296.93</v>
      </c>
    </row>
    <row r="303" spans="1:2">
      <c r="A303" s="375">
        <v>42016</v>
      </c>
      <c r="B303" s="376">
        <v>291.41000000000003</v>
      </c>
    </row>
    <row r="304" spans="1:2">
      <c r="A304" s="375">
        <v>42017</v>
      </c>
      <c r="B304" s="376">
        <v>294.74</v>
      </c>
    </row>
    <row r="305" spans="1:2">
      <c r="A305" s="375">
        <v>42018</v>
      </c>
      <c r="B305" s="376">
        <v>293.27</v>
      </c>
    </row>
    <row r="306" spans="1:2">
      <c r="A306" s="375">
        <v>42019</v>
      </c>
      <c r="B306" s="376">
        <v>286.95</v>
      </c>
    </row>
    <row r="307" spans="1:2">
      <c r="A307" s="375">
        <v>42020</v>
      </c>
      <c r="B307" s="376">
        <v>290.74</v>
      </c>
    </row>
    <row r="308" spans="1:2">
      <c r="A308" s="375">
        <v>42024</v>
      </c>
      <c r="B308" s="376">
        <v>289.44</v>
      </c>
    </row>
    <row r="309" spans="1:2">
      <c r="A309" s="375">
        <v>42025</v>
      </c>
      <c r="B309" s="376">
        <v>297.25</v>
      </c>
    </row>
    <row r="310" spans="1:2">
      <c r="A310" s="375">
        <v>42026</v>
      </c>
      <c r="B310" s="376">
        <v>310.32</v>
      </c>
    </row>
    <row r="311" spans="1:2">
      <c r="A311" s="375">
        <v>42027</v>
      </c>
      <c r="B311" s="376">
        <v>312.39</v>
      </c>
    </row>
    <row r="312" spans="1:2">
      <c r="A312" s="375">
        <v>42030</v>
      </c>
      <c r="B312" s="376">
        <v>309.66000000000003</v>
      </c>
    </row>
    <row r="313" spans="1:2">
      <c r="A313" s="375">
        <v>42031</v>
      </c>
      <c r="B313" s="376">
        <v>306.75</v>
      </c>
    </row>
    <row r="314" spans="1:2">
      <c r="A314" s="375">
        <v>42032</v>
      </c>
      <c r="B314" s="376">
        <v>303.91000000000003</v>
      </c>
    </row>
    <row r="315" spans="1:2">
      <c r="A315" s="375">
        <v>42033</v>
      </c>
      <c r="B315" s="376">
        <v>311.77999999999997</v>
      </c>
    </row>
    <row r="316" spans="1:2">
      <c r="A316" s="375">
        <v>42034</v>
      </c>
      <c r="B316" s="376">
        <v>354.53</v>
      </c>
    </row>
    <row r="317" spans="1:2">
      <c r="A317" s="375">
        <v>42037</v>
      </c>
      <c r="B317" s="376">
        <v>364.47</v>
      </c>
    </row>
    <row r="318" spans="1:2">
      <c r="A318" s="375">
        <v>42038</v>
      </c>
      <c r="B318" s="376">
        <v>363.55</v>
      </c>
    </row>
    <row r="319" spans="1:2">
      <c r="A319" s="375">
        <v>42039</v>
      </c>
      <c r="B319" s="376">
        <v>364.75</v>
      </c>
    </row>
    <row r="320" spans="1:2">
      <c r="A320" s="375">
        <v>42040</v>
      </c>
      <c r="B320" s="376">
        <v>373.89</v>
      </c>
    </row>
    <row r="321" spans="1:2">
      <c r="A321" s="375">
        <v>42041</v>
      </c>
      <c r="B321" s="376">
        <v>374.28</v>
      </c>
    </row>
    <row r="322" spans="1:2">
      <c r="A322" s="375">
        <v>42044</v>
      </c>
      <c r="B322" s="376">
        <v>370.56</v>
      </c>
    </row>
    <row r="323" spans="1:2">
      <c r="A323" s="375">
        <v>42045</v>
      </c>
      <c r="B323" s="376">
        <v>372.995</v>
      </c>
    </row>
    <row r="324" spans="1:2">
      <c r="A324" s="375">
        <v>42046</v>
      </c>
      <c r="B324" s="376">
        <v>375.14</v>
      </c>
    </row>
    <row r="325" spans="1:2">
      <c r="A325" s="375">
        <v>42047</v>
      </c>
      <c r="B325" s="376">
        <v>377.17</v>
      </c>
    </row>
    <row r="326" spans="1:2">
      <c r="A326" s="375">
        <v>42048</v>
      </c>
      <c r="B326" s="376">
        <v>381.83</v>
      </c>
    </row>
    <row r="327" spans="1:2">
      <c r="A327" s="375">
        <v>42052</v>
      </c>
      <c r="B327" s="376">
        <v>375.43</v>
      </c>
    </row>
    <row r="328" spans="1:2">
      <c r="A328" s="375">
        <v>42053</v>
      </c>
      <c r="B328" s="376">
        <v>373.37</v>
      </c>
    </row>
    <row r="329" spans="1:2">
      <c r="A329" s="375">
        <v>42054</v>
      </c>
      <c r="B329" s="376">
        <v>378.995</v>
      </c>
    </row>
    <row r="330" spans="1:2">
      <c r="A330" s="375">
        <v>42055</v>
      </c>
      <c r="B330" s="376">
        <v>383.66</v>
      </c>
    </row>
    <row r="331" spans="1:2">
      <c r="A331" s="375">
        <v>42058</v>
      </c>
      <c r="B331" s="376">
        <v>380.14</v>
      </c>
    </row>
    <row r="332" spans="1:2">
      <c r="A332" s="375">
        <v>42059</v>
      </c>
      <c r="B332" s="376">
        <v>378.59</v>
      </c>
    </row>
    <row r="333" spans="1:2">
      <c r="A333" s="375">
        <v>42060</v>
      </c>
      <c r="B333" s="376">
        <v>385.37</v>
      </c>
    </row>
    <row r="334" spans="1:2">
      <c r="A334" s="375">
        <v>42061</v>
      </c>
      <c r="B334" s="376">
        <v>384.8</v>
      </c>
    </row>
    <row r="335" spans="1:2">
      <c r="A335" s="375">
        <v>42062</v>
      </c>
      <c r="B335" s="376">
        <v>380.16</v>
      </c>
    </row>
    <row r="336" spans="1:2">
      <c r="A336" s="375">
        <v>42065</v>
      </c>
      <c r="B336" s="376">
        <v>385.65499999999997</v>
      </c>
    </row>
    <row r="337" spans="1:2">
      <c r="A337" s="375">
        <v>42066</v>
      </c>
      <c r="B337" s="376">
        <v>384.61</v>
      </c>
    </row>
    <row r="338" spans="1:2">
      <c r="A338" s="375">
        <v>42067</v>
      </c>
      <c r="B338" s="376">
        <v>382.72</v>
      </c>
    </row>
    <row r="339" spans="1:2">
      <c r="A339" s="375">
        <v>42068</v>
      </c>
      <c r="B339" s="376">
        <v>387.83</v>
      </c>
    </row>
    <row r="340" spans="1:2">
      <c r="A340" s="375">
        <v>42069</v>
      </c>
      <c r="B340" s="376">
        <v>380.09</v>
      </c>
    </row>
    <row r="341" spans="1:2">
      <c r="A341" s="375">
        <v>42072</v>
      </c>
      <c r="B341" s="376">
        <v>378.56</v>
      </c>
    </row>
    <row r="342" spans="1:2">
      <c r="A342" s="375">
        <v>42073</v>
      </c>
      <c r="B342" s="376">
        <v>369.51</v>
      </c>
    </row>
    <row r="343" spans="1:2">
      <c r="A343" s="375">
        <v>42074</v>
      </c>
      <c r="B343" s="376">
        <v>366.37</v>
      </c>
    </row>
    <row r="344" spans="1:2">
      <c r="A344" s="375">
        <v>42075</v>
      </c>
      <c r="B344" s="376">
        <v>374.24</v>
      </c>
    </row>
    <row r="345" spans="1:2">
      <c r="A345" s="375">
        <v>42076</v>
      </c>
      <c r="B345" s="376">
        <v>370.58</v>
      </c>
    </row>
    <row r="346" spans="1:2">
      <c r="A346" s="375">
        <v>42079</v>
      </c>
      <c r="B346" s="376">
        <v>373.35</v>
      </c>
    </row>
    <row r="347" spans="1:2">
      <c r="A347" s="375">
        <v>42080</v>
      </c>
      <c r="B347" s="376">
        <v>371.92</v>
      </c>
    </row>
    <row r="348" spans="1:2">
      <c r="A348" s="375">
        <v>42081</v>
      </c>
      <c r="B348" s="376">
        <v>375.13499999999999</v>
      </c>
    </row>
    <row r="349" spans="1:2">
      <c r="A349" s="375">
        <v>42082</v>
      </c>
      <c r="B349" s="376">
        <v>373.24</v>
      </c>
    </row>
    <row r="350" spans="1:2">
      <c r="A350" s="375">
        <v>42083</v>
      </c>
      <c r="B350" s="376">
        <v>378.49</v>
      </c>
    </row>
    <row r="351" spans="1:2">
      <c r="A351" s="375">
        <v>42086</v>
      </c>
      <c r="B351" s="376">
        <v>375.11</v>
      </c>
    </row>
    <row r="352" spans="1:2">
      <c r="A352" s="375">
        <v>42087</v>
      </c>
      <c r="B352" s="376">
        <v>374.09</v>
      </c>
    </row>
    <row r="353" spans="1:2">
      <c r="A353" s="375">
        <v>42088</v>
      </c>
      <c r="B353" s="376">
        <v>370.96</v>
      </c>
    </row>
    <row r="354" spans="1:2">
      <c r="A354" s="375">
        <v>42089</v>
      </c>
      <c r="B354" s="376">
        <v>367.35</v>
      </c>
    </row>
    <row r="355" spans="1:2">
      <c r="A355" s="375">
        <v>42090</v>
      </c>
      <c r="B355" s="376">
        <v>370.56</v>
      </c>
    </row>
    <row r="356" spans="1:2">
      <c r="A356" s="375">
        <v>42093</v>
      </c>
      <c r="B356" s="376">
        <v>374.59</v>
      </c>
    </row>
    <row r="357" spans="1:2">
      <c r="A357" s="375">
        <v>42094</v>
      </c>
      <c r="B357" s="376">
        <v>372.1</v>
      </c>
    </row>
    <row r="358" spans="1:2">
      <c r="A358" s="375">
        <v>42095</v>
      </c>
      <c r="B358" s="376">
        <v>370.255</v>
      </c>
    </row>
    <row r="359" spans="1:2">
      <c r="A359" s="375">
        <v>42096</v>
      </c>
      <c r="B359" s="376">
        <v>372.25</v>
      </c>
    </row>
    <row r="360" spans="1:2">
      <c r="A360" s="375">
        <v>42100</v>
      </c>
      <c r="B360" s="376">
        <v>377.04</v>
      </c>
    </row>
    <row r="361" spans="1:2">
      <c r="A361" s="375">
        <v>42101</v>
      </c>
      <c r="B361" s="376">
        <v>374.41</v>
      </c>
    </row>
    <row r="362" spans="1:2">
      <c r="A362" s="375">
        <v>42102</v>
      </c>
      <c r="B362" s="376">
        <v>381.2</v>
      </c>
    </row>
    <row r="363" spans="1:2">
      <c r="A363" s="375">
        <v>42103</v>
      </c>
      <c r="B363" s="376">
        <v>383.54</v>
      </c>
    </row>
    <row r="364" spans="1:2">
      <c r="A364" s="375">
        <v>42104</v>
      </c>
      <c r="B364" s="376">
        <v>382.65</v>
      </c>
    </row>
    <row r="365" spans="1:2">
      <c r="A365" s="375">
        <v>42107</v>
      </c>
      <c r="B365" s="376">
        <v>382.36</v>
      </c>
    </row>
    <row r="366" spans="1:2">
      <c r="A366" s="375">
        <v>42108</v>
      </c>
      <c r="B366" s="376">
        <v>385.11</v>
      </c>
    </row>
    <row r="367" spans="1:2">
      <c r="A367" s="375">
        <v>42109</v>
      </c>
      <c r="B367" s="376">
        <v>383.45</v>
      </c>
    </row>
    <row r="368" spans="1:2">
      <c r="A368" s="375">
        <v>42110</v>
      </c>
      <c r="B368" s="376">
        <v>386.04</v>
      </c>
    </row>
    <row r="369" spans="1:2">
      <c r="A369" s="375">
        <v>42111</v>
      </c>
      <c r="B369" s="376">
        <v>375.56</v>
      </c>
    </row>
    <row r="370" spans="1:2">
      <c r="A370" s="375">
        <v>42114</v>
      </c>
      <c r="B370" s="376">
        <v>389.51</v>
      </c>
    </row>
    <row r="371" spans="1:2">
      <c r="A371" s="375">
        <v>42115</v>
      </c>
      <c r="B371" s="376">
        <v>391.18</v>
      </c>
    </row>
    <row r="372" spans="1:2">
      <c r="A372" s="375">
        <v>42116</v>
      </c>
      <c r="B372" s="376">
        <v>389.8</v>
      </c>
    </row>
    <row r="373" spans="1:2">
      <c r="A373" s="375">
        <v>42117</v>
      </c>
      <c r="B373" s="376">
        <v>389.99</v>
      </c>
    </row>
    <row r="374" spans="1:2">
      <c r="A374" s="375">
        <v>42118</v>
      </c>
      <c r="B374" s="376">
        <v>445.1</v>
      </c>
    </row>
    <row r="375" spans="1:2">
      <c r="A375" s="375">
        <v>42121</v>
      </c>
      <c r="B375" s="376">
        <v>438.56</v>
      </c>
    </row>
    <row r="376" spans="1:2">
      <c r="A376" s="375">
        <v>42122</v>
      </c>
      <c r="B376" s="376">
        <v>429.31</v>
      </c>
    </row>
    <row r="377" spans="1:2">
      <c r="A377" s="375">
        <v>42123</v>
      </c>
      <c r="B377" s="376">
        <v>429.37</v>
      </c>
    </row>
    <row r="378" spans="1:2">
      <c r="A378" s="375">
        <v>42124</v>
      </c>
      <c r="B378" s="376">
        <v>421.78</v>
      </c>
    </row>
    <row r="379" spans="1:2">
      <c r="A379" s="375">
        <v>42125</v>
      </c>
      <c r="B379" s="376">
        <v>422.87</v>
      </c>
    </row>
    <row r="380" spans="1:2">
      <c r="A380" s="375">
        <v>42128</v>
      </c>
      <c r="B380" s="376">
        <v>423.04</v>
      </c>
    </row>
    <row r="381" spans="1:2">
      <c r="A381" s="375">
        <v>42129</v>
      </c>
      <c r="B381" s="376">
        <v>421.19</v>
      </c>
    </row>
    <row r="382" spans="1:2">
      <c r="A382" s="375">
        <v>42130</v>
      </c>
      <c r="B382" s="376">
        <v>419.1</v>
      </c>
    </row>
    <row r="383" spans="1:2">
      <c r="A383" s="375">
        <v>42131</v>
      </c>
      <c r="B383" s="376">
        <v>426.88</v>
      </c>
    </row>
    <row r="384" spans="1:2">
      <c r="A384" s="375">
        <v>42132</v>
      </c>
      <c r="B384" s="376">
        <v>433.69</v>
      </c>
    </row>
    <row r="385" spans="1:2">
      <c r="A385" s="375">
        <v>42135</v>
      </c>
      <c r="B385" s="376">
        <v>432.85</v>
      </c>
    </row>
    <row r="386" spans="1:2">
      <c r="A386" s="375">
        <v>42136</v>
      </c>
      <c r="B386" s="376">
        <v>431.02</v>
      </c>
    </row>
    <row r="387" spans="1:2">
      <c r="A387" s="375">
        <v>42137</v>
      </c>
      <c r="B387" s="376">
        <v>426.87</v>
      </c>
    </row>
    <row r="388" spans="1:2">
      <c r="A388" s="375">
        <v>42138</v>
      </c>
      <c r="B388" s="376">
        <v>432.28</v>
      </c>
    </row>
    <row r="389" spans="1:2">
      <c r="A389" s="375">
        <v>42139</v>
      </c>
      <c r="B389" s="376">
        <v>426</v>
      </c>
    </row>
    <row r="390" spans="1:2">
      <c r="A390" s="375">
        <v>42142</v>
      </c>
      <c r="B390" s="376">
        <v>425.24</v>
      </c>
    </row>
    <row r="391" spans="1:2">
      <c r="A391" s="375">
        <v>42143</v>
      </c>
      <c r="B391" s="376">
        <v>421.71</v>
      </c>
    </row>
    <row r="392" spans="1:2">
      <c r="A392" s="375">
        <v>42144</v>
      </c>
      <c r="B392" s="376">
        <v>423.86</v>
      </c>
    </row>
    <row r="393" spans="1:2">
      <c r="A393" s="375">
        <v>42145</v>
      </c>
      <c r="B393" s="376">
        <v>431.63</v>
      </c>
    </row>
    <row r="394" spans="1:2">
      <c r="A394" s="375">
        <v>42146</v>
      </c>
      <c r="B394" s="376">
        <v>427.63</v>
      </c>
    </row>
    <row r="395" spans="1:2">
      <c r="A395" s="375">
        <v>42150</v>
      </c>
      <c r="B395" s="376">
        <v>425.47</v>
      </c>
    </row>
    <row r="396" spans="1:2">
      <c r="A396" s="375">
        <v>42151</v>
      </c>
      <c r="B396" s="376">
        <v>431.42</v>
      </c>
    </row>
    <row r="397" spans="1:2">
      <c r="A397" s="375">
        <v>42152</v>
      </c>
      <c r="B397" s="376">
        <v>426.57</v>
      </c>
    </row>
    <row r="398" spans="1:2">
      <c r="A398" s="375">
        <v>42153</v>
      </c>
      <c r="B398" s="376">
        <v>429.23</v>
      </c>
    </row>
    <row r="399" spans="1:2">
      <c r="A399" s="375">
        <v>42156</v>
      </c>
      <c r="B399" s="376">
        <v>430.92</v>
      </c>
    </row>
    <row r="400" spans="1:2">
      <c r="A400" s="375">
        <v>42157</v>
      </c>
      <c r="B400" s="376">
        <v>430.99</v>
      </c>
    </row>
    <row r="401" spans="1:2">
      <c r="A401" s="375">
        <v>42158</v>
      </c>
      <c r="B401" s="376">
        <v>436.59</v>
      </c>
    </row>
    <row r="402" spans="1:2">
      <c r="A402" s="375">
        <v>42159</v>
      </c>
      <c r="B402" s="376">
        <v>430.78</v>
      </c>
    </row>
    <row r="403" spans="1:2">
      <c r="A403" s="375">
        <v>42160</v>
      </c>
      <c r="B403" s="376">
        <v>426.95</v>
      </c>
    </row>
    <row r="404" spans="1:2">
      <c r="A404" s="375">
        <v>42163</v>
      </c>
      <c r="B404" s="376">
        <v>423.5</v>
      </c>
    </row>
    <row r="405" spans="1:2">
      <c r="A405" s="375">
        <v>42164</v>
      </c>
      <c r="B405" s="376">
        <v>425.48</v>
      </c>
    </row>
    <row r="406" spans="1:2">
      <c r="A406" s="375">
        <v>42165</v>
      </c>
      <c r="B406" s="376">
        <v>430.77</v>
      </c>
    </row>
    <row r="407" spans="1:2">
      <c r="A407" s="375">
        <v>42166</v>
      </c>
      <c r="B407" s="376">
        <v>432.97</v>
      </c>
    </row>
    <row r="408" spans="1:2">
      <c r="A408" s="375">
        <v>42167</v>
      </c>
      <c r="B408" s="376">
        <v>429.92</v>
      </c>
    </row>
    <row r="409" spans="1:2">
      <c r="A409" s="375">
        <v>42170</v>
      </c>
      <c r="B409" s="376">
        <v>423.67</v>
      </c>
    </row>
    <row r="410" spans="1:2">
      <c r="A410" s="375">
        <v>42171</v>
      </c>
      <c r="B410" s="376">
        <v>427.26</v>
      </c>
    </row>
    <row r="411" spans="1:2">
      <c r="A411" s="375">
        <v>42172</v>
      </c>
      <c r="B411" s="376">
        <v>427.81</v>
      </c>
    </row>
    <row r="412" spans="1:2">
      <c r="A412" s="375">
        <v>42173</v>
      </c>
      <c r="B412" s="376">
        <v>439.39</v>
      </c>
    </row>
    <row r="413" spans="1:2">
      <c r="A413" s="375">
        <v>42174</v>
      </c>
      <c r="B413" s="376">
        <v>434.92</v>
      </c>
    </row>
    <row r="414" spans="1:2">
      <c r="A414" s="375">
        <v>42177</v>
      </c>
      <c r="B414" s="376">
        <v>436.29</v>
      </c>
    </row>
    <row r="415" spans="1:2">
      <c r="A415" s="375">
        <v>42178</v>
      </c>
      <c r="B415" s="376">
        <v>445.99</v>
      </c>
    </row>
    <row r="416" spans="1:2">
      <c r="A416" s="375">
        <v>42179</v>
      </c>
      <c r="B416" s="376">
        <v>440.84</v>
      </c>
    </row>
    <row r="417" spans="1:2">
      <c r="A417" s="375">
        <v>42180</v>
      </c>
      <c r="B417" s="376">
        <v>440.1</v>
      </c>
    </row>
    <row r="418" spans="1:2">
      <c r="A418" s="375">
        <v>42181</v>
      </c>
      <c r="B418" s="376">
        <v>438.1</v>
      </c>
    </row>
    <row r="419" spans="1:2">
      <c r="A419" s="375">
        <v>42184</v>
      </c>
      <c r="B419" s="376">
        <v>429.86</v>
      </c>
    </row>
    <row r="420" spans="1:2">
      <c r="A420" s="375">
        <v>42185</v>
      </c>
      <c r="B420" s="376">
        <v>434.09</v>
      </c>
    </row>
    <row r="421" spans="1:2">
      <c r="A421" s="375">
        <v>42186</v>
      </c>
      <c r="B421" s="376">
        <v>437.39</v>
      </c>
    </row>
    <row r="422" spans="1:2">
      <c r="A422" s="375">
        <v>42187</v>
      </c>
      <c r="B422" s="376">
        <v>437.71</v>
      </c>
    </row>
    <row r="423" spans="1:2">
      <c r="A423" s="375">
        <v>42191</v>
      </c>
      <c r="B423" s="376">
        <v>436.04</v>
      </c>
    </row>
    <row r="424" spans="1:2">
      <c r="A424" s="375">
        <v>42192</v>
      </c>
      <c r="B424" s="376">
        <v>436.72</v>
      </c>
    </row>
    <row r="425" spans="1:2">
      <c r="A425" s="375">
        <v>42193</v>
      </c>
      <c r="B425" s="376">
        <v>429.7</v>
      </c>
    </row>
    <row r="426" spans="1:2">
      <c r="A426" s="375">
        <v>42194</v>
      </c>
      <c r="B426" s="376">
        <v>434.39</v>
      </c>
    </row>
    <row r="427" spans="1:2">
      <c r="A427" s="375">
        <v>42195</v>
      </c>
      <c r="B427" s="376">
        <v>443.51</v>
      </c>
    </row>
    <row r="428" spans="1:2">
      <c r="A428" s="375">
        <v>42198</v>
      </c>
      <c r="B428" s="376">
        <v>455.57</v>
      </c>
    </row>
    <row r="429" spans="1:2">
      <c r="A429" s="375">
        <v>42199</v>
      </c>
      <c r="B429" s="376">
        <v>465.57</v>
      </c>
    </row>
    <row r="430" spans="1:2">
      <c r="A430" s="375">
        <v>42200</v>
      </c>
      <c r="B430" s="376">
        <v>461.19</v>
      </c>
    </row>
    <row r="431" spans="1:2">
      <c r="A431" s="375">
        <v>42201</v>
      </c>
      <c r="B431" s="376">
        <v>475.48</v>
      </c>
    </row>
    <row r="432" spans="1:2">
      <c r="A432" s="375">
        <v>42202</v>
      </c>
      <c r="B432" s="376">
        <v>483.01</v>
      </c>
    </row>
    <row r="433" spans="1:2">
      <c r="A433" s="375">
        <v>42205</v>
      </c>
      <c r="B433" s="376">
        <v>488.1</v>
      </c>
    </row>
    <row r="434" spans="1:2">
      <c r="A434" s="375">
        <v>42206</v>
      </c>
      <c r="B434" s="376">
        <v>488</v>
      </c>
    </row>
    <row r="435" spans="1:2">
      <c r="A435" s="375">
        <v>42207</v>
      </c>
      <c r="B435" s="376">
        <v>488.27</v>
      </c>
    </row>
    <row r="436" spans="1:2">
      <c r="A436" s="375">
        <v>42208</v>
      </c>
      <c r="B436" s="376">
        <v>482.18</v>
      </c>
    </row>
    <row r="437" spans="1:2">
      <c r="A437" s="375">
        <v>42209</v>
      </c>
      <c r="B437" s="376">
        <v>529.41999999999996</v>
      </c>
    </row>
    <row r="438" spans="1:2">
      <c r="A438" s="375">
        <v>42212</v>
      </c>
      <c r="B438" s="376">
        <v>531.41</v>
      </c>
    </row>
    <row r="439" spans="1:2">
      <c r="A439" s="375">
        <v>42213</v>
      </c>
      <c r="B439" s="376">
        <v>526.03</v>
      </c>
    </row>
    <row r="440" spans="1:2">
      <c r="A440" s="375">
        <v>42214</v>
      </c>
      <c r="B440" s="376">
        <v>529</v>
      </c>
    </row>
    <row r="441" spans="1:2">
      <c r="A441" s="375">
        <v>42215</v>
      </c>
      <c r="B441" s="376">
        <v>536.76</v>
      </c>
    </row>
    <row r="442" spans="1:2">
      <c r="A442" s="375">
        <v>42216</v>
      </c>
      <c r="B442" s="376">
        <v>536.15</v>
      </c>
    </row>
    <row r="443" spans="1:2">
      <c r="A443" s="375">
        <v>42219</v>
      </c>
      <c r="B443" s="376">
        <v>535.03</v>
      </c>
    </row>
    <row r="444" spans="1:2">
      <c r="A444" s="375">
        <v>42220</v>
      </c>
      <c r="B444" s="376">
        <v>531.9</v>
      </c>
    </row>
    <row r="445" spans="1:2">
      <c r="A445" s="375">
        <v>42221</v>
      </c>
      <c r="B445" s="376">
        <v>537.01</v>
      </c>
    </row>
    <row r="446" spans="1:2">
      <c r="A446" s="375">
        <v>42222</v>
      </c>
      <c r="B446" s="376">
        <v>529.46</v>
      </c>
    </row>
    <row r="447" spans="1:2">
      <c r="A447" s="375">
        <v>42223</v>
      </c>
      <c r="B447" s="376">
        <v>522.62</v>
      </c>
    </row>
    <row r="448" spans="1:2">
      <c r="A448" s="375">
        <v>42226</v>
      </c>
      <c r="B448" s="376">
        <v>524</v>
      </c>
    </row>
    <row r="449" spans="1:2">
      <c r="A449" s="375">
        <v>42227</v>
      </c>
      <c r="B449" s="376">
        <v>527.46</v>
      </c>
    </row>
    <row r="450" spans="1:2">
      <c r="A450" s="375">
        <v>42228</v>
      </c>
      <c r="B450" s="376">
        <v>525.91</v>
      </c>
    </row>
    <row r="451" spans="1:2">
      <c r="A451" s="375">
        <v>42229</v>
      </c>
      <c r="B451" s="376">
        <v>529.66</v>
      </c>
    </row>
    <row r="452" spans="1:2">
      <c r="A452" s="375">
        <v>42230</v>
      </c>
      <c r="B452" s="376">
        <v>531.52</v>
      </c>
    </row>
    <row r="453" spans="1:2">
      <c r="A453" s="375">
        <v>42233</v>
      </c>
      <c r="B453" s="376">
        <v>535.22</v>
      </c>
    </row>
    <row r="454" spans="1:2">
      <c r="A454" s="375">
        <v>42234</v>
      </c>
      <c r="B454" s="376">
        <v>535.02</v>
      </c>
    </row>
    <row r="455" spans="1:2">
      <c r="A455" s="375">
        <v>42235</v>
      </c>
      <c r="B455" s="376">
        <v>532.91999999999996</v>
      </c>
    </row>
    <row r="456" spans="1:2">
      <c r="A456" s="375">
        <v>42236</v>
      </c>
      <c r="B456" s="376">
        <v>515.78</v>
      </c>
    </row>
    <row r="457" spans="1:2">
      <c r="A457" s="375">
        <v>42237</v>
      </c>
      <c r="B457" s="376">
        <v>494.47</v>
      </c>
    </row>
    <row r="458" spans="1:2">
      <c r="A458" s="375">
        <v>42240</v>
      </c>
      <c r="B458" s="376">
        <v>463.37</v>
      </c>
    </row>
    <row r="459" spans="1:2">
      <c r="A459" s="375">
        <v>42241</v>
      </c>
      <c r="B459" s="376">
        <v>466.37</v>
      </c>
    </row>
    <row r="460" spans="1:2">
      <c r="A460" s="375">
        <v>42242</v>
      </c>
      <c r="B460" s="376">
        <v>500.77</v>
      </c>
    </row>
    <row r="461" spans="1:2">
      <c r="A461" s="375">
        <v>42243</v>
      </c>
      <c r="B461" s="376">
        <v>518.37</v>
      </c>
    </row>
    <row r="462" spans="1:2">
      <c r="A462" s="375">
        <v>42244</v>
      </c>
      <c r="B462" s="376">
        <v>518.01</v>
      </c>
    </row>
    <row r="463" spans="1:2">
      <c r="A463" s="375">
        <v>42247</v>
      </c>
      <c r="B463" s="376">
        <v>512.89</v>
      </c>
    </row>
    <row r="464" spans="1:2">
      <c r="A464" s="375">
        <v>42248</v>
      </c>
      <c r="B464" s="376">
        <v>496.54</v>
      </c>
    </row>
    <row r="465" spans="1:2">
      <c r="A465" s="375">
        <v>42249</v>
      </c>
      <c r="B465" s="376">
        <v>510.55</v>
      </c>
    </row>
    <row r="466" spans="1:2">
      <c r="A466" s="375">
        <v>42250</v>
      </c>
      <c r="B466" s="376">
        <v>504.72</v>
      </c>
    </row>
    <row r="467" spans="1:2">
      <c r="A467" s="375">
        <v>42251</v>
      </c>
      <c r="B467" s="376">
        <v>499</v>
      </c>
    </row>
    <row r="468" spans="1:2">
      <c r="A468" s="375">
        <v>42255</v>
      </c>
      <c r="B468" s="376">
        <v>517.54</v>
      </c>
    </row>
    <row r="469" spans="1:2">
      <c r="A469" s="375">
        <v>42256</v>
      </c>
      <c r="B469" s="376">
        <v>516.89</v>
      </c>
    </row>
    <row r="470" spans="1:2">
      <c r="A470" s="375">
        <v>42257</v>
      </c>
      <c r="B470" s="376">
        <v>522.24</v>
      </c>
    </row>
    <row r="471" spans="1:2">
      <c r="A471" s="375">
        <v>42258</v>
      </c>
      <c r="B471" s="376">
        <v>529.44000000000005</v>
      </c>
    </row>
    <row r="472" spans="1:2">
      <c r="A472" s="375">
        <v>42261</v>
      </c>
      <c r="B472" s="376">
        <v>521.38</v>
      </c>
    </row>
    <row r="473" spans="1:2">
      <c r="A473" s="375">
        <v>42262</v>
      </c>
      <c r="B473" s="376">
        <v>522.37</v>
      </c>
    </row>
    <row r="474" spans="1:2">
      <c r="A474" s="375">
        <v>42263</v>
      </c>
      <c r="B474" s="376">
        <v>527.39</v>
      </c>
    </row>
    <row r="475" spans="1:2">
      <c r="A475" s="375">
        <v>42264</v>
      </c>
      <c r="B475" s="376">
        <v>538.87</v>
      </c>
    </row>
    <row r="476" spans="1:2">
      <c r="A476" s="375">
        <v>42265</v>
      </c>
      <c r="B476" s="376">
        <v>540.26</v>
      </c>
    </row>
    <row r="477" spans="1:2">
      <c r="A477" s="375">
        <v>42268</v>
      </c>
      <c r="B477" s="376">
        <v>548.39</v>
      </c>
    </row>
    <row r="478" spans="1:2">
      <c r="A478" s="375">
        <v>42269</v>
      </c>
      <c r="B478" s="376">
        <v>538.4</v>
      </c>
    </row>
    <row r="479" spans="1:2">
      <c r="A479" s="375">
        <v>42270</v>
      </c>
      <c r="B479" s="376">
        <v>536.07000000000005</v>
      </c>
    </row>
    <row r="480" spans="1:2">
      <c r="A480" s="375">
        <v>42271</v>
      </c>
      <c r="B480" s="376">
        <v>533.75</v>
      </c>
    </row>
    <row r="481" spans="1:2">
      <c r="A481" s="375">
        <v>42272</v>
      </c>
      <c r="B481" s="376">
        <v>524.25</v>
      </c>
    </row>
    <row r="482" spans="1:2">
      <c r="A482" s="375">
        <v>42275</v>
      </c>
      <c r="B482" s="376">
        <v>504.06</v>
      </c>
    </row>
    <row r="483" spans="1:2">
      <c r="A483" s="375">
        <v>42276</v>
      </c>
      <c r="B483" s="376">
        <v>496.07</v>
      </c>
    </row>
    <row r="484" spans="1:2">
      <c r="A484" s="375">
        <v>42277</v>
      </c>
      <c r="B484" s="376">
        <v>511.89</v>
      </c>
    </row>
    <row r="485" spans="1:2">
      <c r="A485" s="375">
        <v>42278</v>
      </c>
      <c r="B485" s="376">
        <v>520.72</v>
      </c>
    </row>
    <row r="486" spans="1:2">
      <c r="A486" s="375">
        <v>42279</v>
      </c>
      <c r="B486" s="376">
        <v>532.54</v>
      </c>
    </row>
    <row r="487" spans="1:2">
      <c r="A487" s="375">
        <v>42282</v>
      </c>
      <c r="B487" s="376">
        <v>543.67999999999995</v>
      </c>
    </row>
    <row r="488" spans="1:2">
      <c r="A488" s="375">
        <v>42283</v>
      </c>
      <c r="B488" s="376">
        <v>537.48</v>
      </c>
    </row>
    <row r="489" spans="1:2">
      <c r="A489" s="375">
        <v>42284</v>
      </c>
      <c r="B489" s="376">
        <v>541.94000000000005</v>
      </c>
    </row>
    <row r="490" spans="1:2">
      <c r="A490" s="375">
        <v>42285</v>
      </c>
      <c r="B490" s="376">
        <v>533.16</v>
      </c>
    </row>
    <row r="491" spans="1:2">
      <c r="A491" s="375">
        <v>42286</v>
      </c>
      <c r="B491" s="376">
        <v>539.79999999999995</v>
      </c>
    </row>
    <row r="492" spans="1:2">
      <c r="A492" s="375">
        <v>42289</v>
      </c>
      <c r="B492" s="376">
        <v>550.19000000000005</v>
      </c>
    </row>
    <row r="493" spans="1:2">
      <c r="A493" s="375">
        <v>42290</v>
      </c>
      <c r="B493" s="376">
        <v>548.9</v>
      </c>
    </row>
    <row r="494" spans="1:2">
      <c r="A494" s="375">
        <v>42291</v>
      </c>
      <c r="B494" s="376">
        <v>544.83000000000004</v>
      </c>
    </row>
    <row r="495" spans="1:2">
      <c r="A495" s="375">
        <v>42292</v>
      </c>
      <c r="B495" s="376">
        <v>562.44000000000005</v>
      </c>
    </row>
    <row r="496" spans="1:2">
      <c r="A496" s="375">
        <v>42293</v>
      </c>
      <c r="B496" s="376">
        <v>570.76</v>
      </c>
    </row>
    <row r="497" spans="1:2">
      <c r="A497" s="375">
        <v>42296</v>
      </c>
      <c r="B497" s="376">
        <v>573.15</v>
      </c>
    </row>
    <row r="498" spans="1:2">
      <c r="A498" s="375">
        <v>42297</v>
      </c>
      <c r="B498" s="376">
        <v>560.88</v>
      </c>
    </row>
    <row r="499" spans="1:2">
      <c r="A499" s="375">
        <v>42298</v>
      </c>
      <c r="B499" s="376">
        <v>555.77</v>
      </c>
    </row>
    <row r="500" spans="1:2">
      <c r="A500" s="375">
        <v>42299</v>
      </c>
      <c r="B500" s="376">
        <v>563.91</v>
      </c>
    </row>
    <row r="501" spans="1:2">
      <c r="A501" s="375">
        <v>42300</v>
      </c>
      <c r="B501" s="376">
        <v>599.03</v>
      </c>
    </row>
    <row r="502" spans="1:2">
      <c r="A502" s="375">
        <v>42303</v>
      </c>
      <c r="B502" s="376">
        <v>608.61</v>
      </c>
    </row>
    <row r="503" spans="1:2">
      <c r="A503" s="375">
        <v>42304</v>
      </c>
      <c r="B503" s="376">
        <v>611.01</v>
      </c>
    </row>
    <row r="504" spans="1:2">
      <c r="A504" s="375">
        <v>42305</v>
      </c>
      <c r="B504" s="376">
        <v>617.1</v>
      </c>
    </row>
    <row r="505" spans="1:2">
      <c r="A505" s="375">
        <v>42306</v>
      </c>
      <c r="B505" s="376">
        <v>626.54999999999995</v>
      </c>
    </row>
    <row r="506" spans="1:2">
      <c r="A506" s="375">
        <v>42307</v>
      </c>
      <c r="B506" s="376">
        <v>625.9</v>
      </c>
    </row>
    <row r="507" spans="1:2">
      <c r="A507" s="375">
        <v>42310</v>
      </c>
      <c r="B507" s="376">
        <v>628.35</v>
      </c>
    </row>
    <row r="508" spans="1:2">
      <c r="A508" s="375">
        <v>42311</v>
      </c>
      <c r="B508" s="376">
        <v>625.30999999999995</v>
      </c>
    </row>
    <row r="509" spans="1:2">
      <c r="A509" s="375">
        <v>42312</v>
      </c>
      <c r="B509" s="376">
        <v>640.95000000000005</v>
      </c>
    </row>
    <row r="510" spans="1:2">
      <c r="A510" s="375">
        <v>42313</v>
      </c>
      <c r="B510" s="376">
        <v>655.65</v>
      </c>
    </row>
    <row r="511" spans="1:2">
      <c r="A511" s="375">
        <v>42314</v>
      </c>
      <c r="B511" s="376">
        <v>659.37</v>
      </c>
    </row>
    <row r="512" spans="1:2">
      <c r="A512" s="375">
        <v>42317</v>
      </c>
      <c r="B512" s="376">
        <v>655.49</v>
      </c>
    </row>
    <row r="513" spans="1:2">
      <c r="A513" s="375">
        <v>42318</v>
      </c>
      <c r="B513" s="376">
        <v>659.68</v>
      </c>
    </row>
    <row r="514" spans="1:2">
      <c r="A514" s="375">
        <v>42319</v>
      </c>
      <c r="B514" s="376">
        <v>673.25</v>
      </c>
    </row>
    <row r="515" spans="1:2">
      <c r="A515" s="375">
        <v>42320</v>
      </c>
      <c r="B515" s="376">
        <v>665.6</v>
      </c>
    </row>
    <row r="516" spans="1:2">
      <c r="A516" s="375">
        <v>42321</v>
      </c>
      <c r="B516" s="376">
        <v>642.35</v>
      </c>
    </row>
    <row r="517" spans="1:2">
      <c r="A517" s="375">
        <v>42324</v>
      </c>
      <c r="B517" s="376">
        <v>647.80999999999995</v>
      </c>
    </row>
    <row r="518" spans="1:2">
      <c r="A518" s="375">
        <v>42325</v>
      </c>
      <c r="B518" s="376">
        <v>643.29999999999995</v>
      </c>
    </row>
    <row r="519" spans="1:2">
      <c r="A519" s="375">
        <v>42326</v>
      </c>
      <c r="B519" s="376">
        <v>663.54</v>
      </c>
    </row>
    <row r="520" spans="1:2">
      <c r="A520" s="375">
        <v>42327</v>
      </c>
      <c r="B520" s="376">
        <v>661.27</v>
      </c>
    </row>
    <row r="521" spans="1:2">
      <c r="A521" s="375">
        <v>42328</v>
      </c>
      <c r="B521" s="376">
        <v>668.45</v>
      </c>
    </row>
    <row r="522" spans="1:2">
      <c r="A522" s="375">
        <v>42331</v>
      </c>
      <c r="B522" s="376">
        <v>678.99</v>
      </c>
    </row>
    <row r="523" spans="1:2">
      <c r="A523" s="375">
        <v>42332</v>
      </c>
      <c r="B523" s="376">
        <v>671.15</v>
      </c>
    </row>
    <row r="524" spans="1:2">
      <c r="A524" s="375">
        <v>42333</v>
      </c>
      <c r="B524" s="376">
        <v>675.34</v>
      </c>
    </row>
    <row r="525" spans="1:2">
      <c r="A525" s="375">
        <v>42335</v>
      </c>
      <c r="B525" s="376">
        <v>673.26</v>
      </c>
    </row>
    <row r="526" spans="1:2">
      <c r="A526" s="375">
        <v>42338</v>
      </c>
      <c r="B526" s="376">
        <v>664.8</v>
      </c>
    </row>
    <row r="527" spans="1:2">
      <c r="A527" s="375">
        <v>42339</v>
      </c>
      <c r="B527" s="376">
        <v>679.06</v>
      </c>
    </row>
    <row r="528" spans="1:2">
      <c r="A528" s="375">
        <v>42340</v>
      </c>
      <c r="B528" s="376">
        <v>676.01</v>
      </c>
    </row>
    <row r="529" spans="1:2">
      <c r="A529" s="375">
        <v>42341</v>
      </c>
      <c r="B529" s="376">
        <v>666.25</v>
      </c>
    </row>
    <row r="530" spans="1:2">
      <c r="A530" s="375">
        <v>42342</v>
      </c>
      <c r="B530" s="376">
        <v>672.64</v>
      </c>
    </row>
    <row r="531" spans="1:2">
      <c r="A531" s="375">
        <v>42345</v>
      </c>
      <c r="B531" s="376">
        <v>669.83</v>
      </c>
    </row>
    <row r="532" spans="1:2">
      <c r="A532" s="375">
        <v>42346</v>
      </c>
      <c r="B532" s="376">
        <v>677.33</v>
      </c>
    </row>
    <row r="533" spans="1:2">
      <c r="A533" s="375">
        <v>42347</v>
      </c>
      <c r="B533" s="376">
        <v>664.79</v>
      </c>
    </row>
    <row r="534" spans="1:2">
      <c r="A534" s="375">
        <v>42348</v>
      </c>
      <c r="B534" s="376">
        <v>662.32</v>
      </c>
    </row>
    <row r="535" spans="1:2">
      <c r="A535" s="375">
        <v>42349</v>
      </c>
      <c r="B535" s="376">
        <v>640.15</v>
      </c>
    </row>
    <row r="536" spans="1:2">
      <c r="A536" s="375">
        <v>42352</v>
      </c>
      <c r="B536" s="376">
        <v>657.91</v>
      </c>
    </row>
    <row r="537" spans="1:2">
      <c r="A537" s="375">
        <v>42353</v>
      </c>
      <c r="B537" s="376">
        <v>658.64</v>
      </c>
    </row>
    <row r="538" spans="1:2">
      <c r="A538" s="375">
        <v>42354</v>
      </c>
      <c r="B538" s="376">
        <v>675.77</v>
      </c>
    </row>
    <row r="539" spans="1:2">
      <c r="A539" s="375">
        <v>42355</v>
      </c>
      <c r="B539" s="376">
        <v>670.65</v>
      </c>
    </row>
    <row r="540" spans="1:2">
      <c r="A540" s="375">
        <v>42356</v>
      </c>
      <c r="B540" s="376">
        <v>664.14</v>
      </c>
    </row>
    <row r="541" spans="1:2">
      <c r="A541" s="375">
        <v>42359</v>
      </c>
      <c r="B541" s="376">
        <v>664.51</v>
      </c>
    </row>
    <row r="542" spans="1:2">
      <c r="A542" s="375">
        <v>42360</v>
      </c>
      <c r="B542" s="376">
        <v>663.15</v>
      </c>
    </row>
    <row r="543" spans="1:2">
      <c r="A543" s="375">
        <v>42361</v>
      </c>
      <c r="B543" s="376">
        <v>663.7</v>
      </c>
    </row>
    <row r="544" spans="1:2">
      <c r="A544" s="375">
        <v>42362</v>
      </c>
      <c r="B544" s="376">
        <v>662.79</v>
      </c>
    </row>
    <row r="545" spans="1:2">
      <c r="A545" s="375">
        <v>42366</v>
      </c>
      <c r="B545" s="376">
        <v>675.2</v>
      </c>
    </row>
    <row r="546" spans="1:2">
      <c r="A546" s="375">
        <v>42367</v>
      </c>
      <c r="B546" s="376">
        <v>693.97</v>
      </c>
    </row>
    <row r="547" spans="1:2">
      <c r="A547" s="375">
        <v>42368</v>
      </c>
      <c r="B547" s="376">
        <v>689.07</v>
      </c>
    </row>
    <row r="548" spans="1:2">
      <c r="A548" s="375">
        <v>42369</v>
      </c>
      <c r="B548" s="376">
        <v>675.89</v>
      </c>
    </row>
    <row r="549" spans="1:2">
      <c r="A549" s="375">
        <v>42373</v>
      </c>
      <c r="B549" s="376">
        <v>636.99</v>
      </c>
    </row>
    <row r="550" spans="1:2">
      <c r="A550" s="375">
        <v>42374</v>
      </c>
      <c r="B550" s="376">
        <v>633.79</v>
      </c>
    </row>
    <row r="551" spans="1:2">
      <c r="A551" s="375">
        <v>42375</v>
      </c>
      <c r="B551" s="376">
        <v>632.65</v>
      </c>
    </row>
    <row r="552" spans="1:2">
      <c r="A552" s="375">
        <v>42376</v>
      </c>
      <c r="B552" s="376">
        <v>607.94000000000005</v>
      </c>
    </row>
    <row r="553" spans="1:2">
      <c r="A553" s="375">
        <v>42377</v>
      </c>
      <c r="B553" s="376">
        <v>607.04999999999995</v>
      </c>
    </row>
    <row r="554" spans="1:2">
      <c r="A554" s="375">
        <v>42380</v>
      </c>
      <c r="B554" s="376">
        <v>617.74</v>
      </c>
    </row>
    <row r="555" spans="1:2">
      <c r="A555" s="375">
        <v>42381</v>
      </c>
      <c r="B555" s="376">
        <v>617.89</v>
      </c>
    </row>
    <row r="556" spans="1:2">
      <c r="A556" s="375">
        <v>42382</v>
      </c>
      <c r="B556" s="376">
        <v>581.80999999999995</v>
      </c>
    </row>
    <row r="557" spans="1:2">
      <c r="A557" s="375">
        <v>42383</v>
      </c>
      <c r="B557" s="376">
        <v>593</v>
      </c>
    </row>
    <row r="558" spans="1:2">
      <c r="A558" s="375">
        <v>42384</v>
      </c>
      <c r="B558" s="376">
        <v>570.17999999999995</v>
      </c>
    </row>
    <row r="559" spans="1:2">
      <c r="A559" s="375">
        <v>42388</v>
      </c>
      <c r="B559" s="376">
        <v>574.48</v>
      </c>
    </row>
    <row r="560" spans="1:2">
      <c r="A560" s="375">
        <v>42389</v>
      </c>
      <c r="B560" s="376">
        <v>571.77</v>
      </c>
    </row>
    <row r="561" spans="1:2">
      <c r="A561" s="375">
        <v>42390</v>
      </c>
      <c r="B561" s="376">
        <v>575.02</v>
      </c>
    </row>
    <row r="562" spans="1:2">
      <c r="A562" s="375">
        <v>42391</v>
      </c>
      <c r="B562" s="376">
        <v>596.38</v>
      </c>
    </row>
    <row r="563" spans="1:2">
      <c r="A563" s="375">
        <v>42394</v>
      </c>
      <c r="B563" s="376">
        <v>596.53</v>
      </c>
    </row>
    <row r="564" spans="1:2">
      <c r="A564" s="375">
        <v>42395</v>
      </c>
      <c r="B564" s="376">
        <v>601.25</v>
      </c>
    </row>
    <row r="565" spans="1:2">
      <c r="A565" s="375">
        <v>42396</v>
      </c>
      <c r="B565" s="376">
        <v>583.35</v>
      </c>
    </row>
    <row r="566" spans="1:2">
      <c r="A566" s="375">
        <v>42397</v>
      </c>
      <c r="B566" s="376">
        <v>635.35</v>
      </c>
    </row>
    <row r="567" spans="1:2">
      <c r="A567" s="375">
        <v>42398</v>
      </c>
      <c r="B567" s="376">
        <v>587</v>
      </c>
    </row>
    <row r="568" spans="1:2">
      <c r="A568" s="375">
        <v>42401</v>
      </c>
      <c r="B568" s="376">
        <v>574.80999999999995</v>
      </c>
    </row>
    <row r="569" spans="1:2">
      <c r="A569" s="375">
        <v>42402</v>
      </c>
      <c r="B569" s="376">
        <v>552.1</v>
      </c>
    </row>
    <row r="570" spans="1:2">
      <c r="A570" s="375">
        <v>42403</v>
      </c>
      <c r="B570" s="376">
        <v>531.07000000000005</v>
      </c>
    </row>
    <row r="571" spans="1:2">
      <c r="A571" s="375">
        <v>42404</v>
      </c>
      <c r="B571" s="376">
        <v>536.26</v>
      </c>
    </row>
    <row r="572" spans="1:2">
      <c r="A572" s="375">
        <v>42405</v>
      </c>
      <c r="B572" s="376">
        <v>502.13</v>
      </c>
    </row>
    <row r="573" spans="1:2">
      <c r="A573" s="375">
        <v>42408</v>
      </c>
      <c r="B573" s="376">
        <v>488.1</v>
      </c>
    </row>
    <row r="574" spans="1:2">
      <c r="A574" s="375">
        <v>42409</v>
      </c>
      <c r="B574" s="376">
        <v>482.07</v>
      </c>
    </row>
    <row r="575" spans="1:2">
      <c r="A575" s="375">
        <v>42410</v>
      </c>
      <c r="B575" s="376">
        <v>490.48</v>
      </c>
    </row>
    <row r="576" spans="1:2">
      <c r="A576" s="375">
        <v>42411</v>
      </c>
      <c r="B576" s="376">
        <v>503.82</v>
      </c>
    </row>
    <row r="577" spans="1:2">
      <c r="A577" s="375">
        <v>42412</v>
      </c>
      <c r="B577" s="376">
        <v>507.08</v>
      </c>
    </row>
    <row r="578" spans="1:2">
      <c r="A578" s="375">
        <v>42416</v>
      </c>
      <c r="B578" s="376">
        <v>521.1</v>
      </c>
    </row>
    <row r="579" spans="1:2">
      <c r="A579" s="375">
        <v>42417</v>
      </c>
      <c r="B579" s="376">
        <v>534.1</v>
      </c>
    </row>
    <row r="580" spans="1:2">
      <c r="A580" s="375">
        <v>42418</v>
      </c>
      <c r="B580" s="376">
        <v>525</v>
      </c>
    </row>
    <row r="581" spans="1:2">
      <c r="A581" s="375">
        <v>42419</v>
      </c>
      <c r="B581" s="376">
        <v>534.9</v>
      </c>
    </row>
    <row r="582" spans="1:2">
      <c r="A582" s="375">
        <v>42422</v>
      </c>
      <c r="B582" s="376">
        <v>559.5</v>
      </c>
    </row>
    <row r="583" spans="1:2">
      <c r="A583" s="375">
        <v>42423</v>
      </c>
      <c r="B583" s="376">
        <v>552.94000000000005</v>
      </c>
    </row>
    <row r="584" spans="1:2">
      <c r="A584" s="375">
        <v>42424</v>
      </c>
      <c r="B584" s="376">
        <v>554.04</v>
      </c>
    </row>
    <row r="585" spans="1:2">
      <c r="A585" s="375">
        <v>42425</v>
      </c>
      <c r="B585" s="376">
        <v>555.15</v>
      </c>
    </row>
    <row r="586" spans="1:2">
      <c r="A586" s="375">
        <v>42426</v>
      </c>
      <c r="B586" s="376">
        <v>555.23</v>
      </c>
    </row>
    <row r="587" spans="1:2">
      <c r="A587" s="375">
        <v>42429</v>
      </c>
      <c r="B587" s="376">
        <v>552.52</v>
      </c>
    </row>
    <row r="588" spans="1:2">
      <c r="A588" s="375">
        <v>42430</v>
      </c>
      <c r="B588" s="376">
        <v>579.04</v>
      </c>
    </row>
    <row r="589" spans="1:2">
      <c r="A589" s="375">
        <v>42431</v>
      </c>
      <c r="B589" s="376">
        <v>580.21</v>
      </c>
    </row>
    <row r="590" spans="1:2">
      <c r="A590" s="375">
        <v>42432</v>
      </c>
      <c r="B590" s="376">
        <v>577.49</v>
      </c>
    </row>
    <row r="591" spans="1:2">
      <c r="A591" s="375">
        <v>42433</v>
      </c>
      <c r="B591" s="376">
        <v>575.14</v>
      </c>
    </row>
    <row r="592" spans="1:2">
      <c r="A592" s="375">
        <v>42436</v>
      </c>
      <c r="B592" s="376">
        <v>562.79999999999995</v>
      </c>
    </row>
    <row r="593" spans="1:2">
      <c r="A593" s="375">
        <v>42437</v>
      </c>
      <c r="B593" s="376">
        <v>560.26</v>
      </c>
    </row>
    <row r="594" spans="1:2">
      <c r="A594" s="375">
        <v>42438</v>
      </c>
      <c r="B594" s="376">
        <v>559.47</v>
      </c>
    </row>
    <row r="595" spans="1:2">
      <c r="A595" s="375">
        <v>42439</v>
      </c>
      <c r="B595" s="376">
        <v>558.92999999999995</v>
      </c>
    </row>
    <row r="596" spans="1:2">
      <c r="A596" s="375">
        <v>42440</v>
      </c>
      <c r="B596" s="376">
        <v>569.61</v>
      </c>
    </row>
    <row r="597" spans="1:2">
      <c r="A597" s="375">
        <v>42443</v>
      </c>
      <c r="B597" s="376">
        <v>573.37</v>
      </c>
    </row>
    <row r="598" spans="1:2">
      <c r="A598" s="375">
        <v>42444</v>
      </c>
      <c r="B598" s="376">
        <v>577.02</v>
      </c>
    </row>
    <row r="599" spans="1:2">
      <c r="A599" s="375">
        <v>42445</v>
      </c>
      <c r="B599" s="376">
        <v>574.27</v>
      </c>
    </row>
    <row r="600" spans="1:2">
      <c r="A600" s="375">
        <v>42446</v>
      </c>
      <c r="B600" s="376">
        <v>559.44000000000005</v>
      </c>
    </row>
    <row r="601" spans="1:2">
      <c r="A601" s="375">
        <v>42447</v>
      </c>
      <c r="B601" s="376">
        <v>552.08000000000004</v>
      </c>
    </row>
    <row r="602" spans="1:2">
      <c r="A602" s="375">
        <v>42450</v>
      </c>
      <c r="B602" s="376">
        <v>553.98</v>
      </c>
    </row>
    <row r="603" spans="1:2">
      <c r="A603" s="375">
        <v>42451</v>
      </c>
      <c r="B603" s="376">
        <v>560.48</v>
      </c>
    </row>
    <row r="604" spans="1:2">
      <c r="A604" s="375">
        <v>42452</v>
      </c>
      <c r="B604" s="376">
        <v>569.63</v>
      </c>
    </row>
    <row r="605" spans="1:2">
      <c r="A605" s="375">
        <v>42453</v>
      </c>
      <c r="B605" s="376">
        <v>582.95000000000005</v>
      </c>
    </row>
    <row r="606" spans="1:2">
      <c r="A606" s="375">
        <v>42457</v>
      </c>
      <c r="B606" s="376">
        <v>579.87</v>
      </c>
    </row>
    <row r="607" spans="1:2">
      <c r="A607" s="375">
        <v>42458</v>
      </c>
      <c r="B607" s="376">
        <v>593.86</v>
      </c>
    </row>
    <row r="608" spans="1:2">
      <c r="A608" s="375">
        <v>42459</v>
      </c>
      <c r="B608" s="376">
        <v>598.69000000000005</v>
      </c>
    </row>
    <row r="609" spans="1:2">
      <c r="A609" s="375">
        <v>42460</v>
      </c>
      <c r="B609" s="376">
        <v>593.64</v>
      </c>
    </row>
    <row r="610" spans="1:2">
      <c r="A610" s="375">
        <v>42461</v>
      </c>
      <c r="B610" s="376">
        <v>598.5</v>
      </c>
    </row>
    <row r="611" spans="1:2">
      <c r="A611" s="375">
        <v>42464</v>
      </c>
      <c r="B611" s="376">
        <v>593.19000000000005</v>
      </c>
    </row>
    <row r="612" spans="1:2">
      <c r="A612" s="375">
        <v>42465</v>
      </c>
      <c r="B612" s="376">
        <v>586.14</v>
      </c>
    </row>
    <row r="613" spans="1:2">
      <c r="A613" s="375">
        <v>42466</v>
      </c>
      <c r="B613" s="376">
        <v>602.08000000000004</v>
      </c>
    </row>
    <row r="614" spans="1:2">
      <c r="A614" s="375">
        <v>42467</v>
      </c>
      <c r="B614" s="376">
        <v>591.42999999999995</v>
      </c>
    </row>
    <row r="615" spans="1:2">
      <c r="A615" s="375">
        <v>42468</v>
      </c>
      <c r="B615" s="376">
        <v>594.6</v>
      </c>
    </row>
    <row r="616" spans="1:2">
      <c r="A616" s="375">
        <v>42471</v>
      </c>
      <c r="B616" s="376">
        <v>595.92999999999995</v>
      </c>
    </row>
    <row r="617" spans="1:2">
      <c r="A617" s="375">
        <v>42472</v>
      </c>
      <c r="B617" s="376">
        <v>603.16999999999996</v>
      </c>
    </row>
    <row r="618" spans="1:2">
      <c r="A618" s="375">
        <v>42473</v>
      </c>
      <c r="B618" s="376">
        <v>614.82000000000005</v>
      </c>
    </row>
    <row r="619" spans="1:2">
      <c r="A619" s="375">
        <v>42474</v>
      </c>
      <c r="B619" s="376">
        <v>620.75</v>
      </c>
    </row>
    <row r="620" spans="1:2">
      <c r="A620" s="375">
        <v>42475</v>
      </c>
      <c r="B620" s="376">
        <v>625.89</v>
      </c>
    </row>
    <row r="621" spans="1:2">
      <c r="A621" s="375">
        <v>42478</v>
      </c>
      <c r="B621" s="376">
        <v>635.35</v>
      </c>
    </row>
    <row r="622" spans="1:2">
      <c r="A622" s="375">
        <v>42479</v>
      </c>
      <c r="B622" s="376">
        <v>627.9</v>
      </c>
    </row>
    <row r="623" spans="1:2">
      <c r="A623" s="375">
        <v>42480</v>
      </c>
      <c r="B623" s="376">
        <v>632.99</v>
      </c>
    </row>
    <row r="624" spans="1:2">
      <c r="A624" s="375">
        <v>42481</v>
      </c>
      <c r="B624" s="376">
        <v>631</v>
      </c>
    </row>
    <row r="625" spans="1:2">
      <c r="A625" s="375">
        <v>42482</v>
      </c>
      <c r="B625" s="376">
        <v>620.5</v>
      </c>
    </row>
    <row r="626" spans="1:2">
      <c r="A626" s="375">
        <v>42485</v>
      </c>
      <c r="B626" s="376">
        <v>626.20000000000005</v>
      </c>
    </row>
    <row r="627" spans="1:2">
      <c r="A627" s="375">
        <v>42486</v>
      </c>
      <c r="B627" s="376">
        <v>616.88</v>
      </c>
    </row>
    <row r="628" spans="1:2">
      <c r="A628" s="375">
        <v>42487</v>
      </c>
      <c r="B628" s="376">
        <v>606.57000000000005</v>
      </c>
    </row>
    <row r="629" spans="1:2">
      <c r="A629" s="375">
        <v>42488</v>
      </c>
      <c r="B629" s="376">
        <v>602</v>
      </c>
    </row>
    <row r="630" spans="1:2">
      <c r="A630" s="375">
        <v>42489</v>
      </c>
      <c r="B630" s="376">
        <v>659.59</v>
      </c>
    </row>
    <row r="631" spans="1:2">
      <c r="A631" s="375">
        <v>42492</v>
      </c>
      <c r="B631" s="376">
        <v>683.85</v>
      </c>
    </row>
    <row r="632" spans="1:2">
      <c r="A632" s="375">
        <v>42493</v>
      </c>
      <c r="B632" s="376">
        <v>671.32</v>
      </c>
    </row>
    <row r="633" spans="1:2">
      <c r="A633" s="375">
        <v>42494</v>
      </c>
      <c r="B633" s="376">
        <v>670.9</v>
      </c>
    </row>
    <row r="634" spans="1:2">
      <c r="A634" s="375">
        <v>42495</v>
      </c>
      <c r="B634" s="376">
        <v>659.09</v>
      </c>
    </row>
    <row r="635" spans="1:2">
      <c r="A635" s="375">
        <v>42496</v>
      </c>
      <c r="B635" s="376">
        <v>673.95</v>
      </c>
    </row>
    <row r="636" spans="1:2">
      <c r="A636" s="375">
        <v>42499</v>
      </c>
      <c r="B636" s="376">
        <v>679.75</v>
      </c>
    </row>
    <row r="637" spans="1:2">
      <c r="A637" s="375">
        <v>42500</v>
      </c>
      <c r="B637" s="376">
        <v>703.07</v>
      </c>
    </row>
    <row r="638" spans="1:2">
      <c r="A638" s="375">
        <v>42501</v>
      </c>
      <c r="B638" s="376">
        <v>713.23</v>
      </c>
    </row>
    <row r="639" spans="1:2">
      <c r="A639" s="375">
        <v>42502</v>
      </c>
      <c r="B639" s="376">
        <v>717.93</v>
      </c>
    </row>
    <row r="640" spans="1:2">
      <c r="A640" s="375">
        <v>42503</v>
      </c>
      <c r="B640" s="376">
        <v>709.92</v>
      </c>
    </row>
    <row r="641" spans="1:2">
      <c r="A641" s="375">
        <v>42506</v>
      </c>
      <c r="B641" s="376">
        <v>710.66</v>
      </c>
    </row>
    <row r="642" spans="1:2">
      <c r="A642" s="375">
        <v>42507</v>
      </c>
      <c r="B642" s="376">
        <v>695.27</v>
      </c>
    </row>
    <row r="643" spans="1:2">
      <c r="A643" s="375">
        <v>42508</v>
      </c>
      <c r="B643" s="376">
        <v>697.45</v>
      </c>
    </row>
    <row r="644" spans="1:2">
      <c r="A644" s="375">
        <v>42509</v>
      </c>
      <c r="B644" s="376">
        <v>698.52</v>
      </c>
    </row>
    <row r="645" spans="1:2">
      <c r="A645" s="375">
        <v>42510</v>
      </c>
      <c r="B645" s="376">
        <v>702.8</v>
      </c>
    </row>
    <row r="646" spans="1:2">
      <c r="A646" s="375">
        <v>42513</v>
      </c>
      <c r="B646" s="376">
        <v>696.75</v>
      </c>
    </row>
    <row r="647" spans="1:2">
      <c r="A647" s="375">
        <v>42514</v>
      </c>
      <c r="B647" s="376">
        <v>704.2</v>
      </c>
    </row>
    <row r="648" spans="1:2">
      <c r="A648" s="375">
        <v>42515</v>
      </c>
      <c r="B648" s="376">
        <v>708.35</v>
      </c>
    </row>
    <row r="649" spans="1:2">
      <c r="A649" s="375">
        <v>42516</v>
      </c>
      <c r="B649" s="376">
        <v>714.91</v>
      </c>
    </row>
    <row r="650" spans="1:2">
      <c r="A650" s="375">
        <v>42517</v>
      </c>
      <c r="B650" s="376">
        <v>712.24</v>
      </c>
    </row>
    <row r="651" spans="1:2">
      <c r="A651" s="375">
        <v>42521</v>
      </c>
      <c r="B651" s="376">
        <v>722.79</v>
      </c>
    </row>
    <row r="652" spans="1:2">
      <c r="A652" s="375">
        <v>42522</v>
      </c>
      <c r="B652" s="376">
        <v>719.44</v>
      </c>
    </row>
    <row r="653" spans="1:2">
      <c r="A653" s="375">
        <v>42523</v>
      </c>
      <c r="B653" s="376">
        <v>728.24</v>
      </c>
    </row>
    <row r="654" spans="1:2">
      <c r="A654" s="375">
        <v>42524</v>
      </c>
      <c r="B654" s="376">
        <v>725.54</v>
      </c>
    </row>
    <row r="655" spans="1:2">
      <c r="A655" s="375">
        <v>42527</v>
      </c>
      <c r="B655" s="376">
        <v>726.73</v>
      </c>
    </row>
    <row r="656" spans="1:2">
      <c r="A656" s="375">
        <v>42528</v>
      </c>
      <c r="B656" s="376">
        <v>723.74</v>
      </c>
    </row>
    <row r="657" spans="1:2">
      <c r="A657" s="375">
        <v>42529</v>
      </c>
      <c r="B657" s="376">
        <v>726.64</v>
      </c>
    </row>
    <row r="658" spans="1:2">
      <c r="A658" s="375">
        <v>42530</v>
      </c>
      <c r="B658" s="376">
        <v>727.65</v>
      </c>
    </row>
    <row r="659" spans="1:2">
      <c r="A659" s="375">
        <v>42531</v>
      </c>
      <c r="B659" s="376">
        <v>717.91</v>
      </c>
    </row>
    <row r="660" spans="1:2">
      <c r="A660" s="375">
        <v>42534</v>
      </c>
      <c r="B660" s="376">
        <v>715.24</v>
      </c>
    </row>
    <row r="661" spans="1:2">
      <c r="A661" s="375">
        <v>42535</v>
      </c>
      <c r="B661" s="376">
        <v>719.3</v>
      </c>
    </row>
    <row r="662" spans="1:2">
      <c r="A662" s="375">
        <v>42536</v>
      </c>
      <c r="B662" s="376">
        <v>714.26</v>
      </c>
    </row>
    <row r="663" spans="1:2">
      <c r="A663" s="375">
        <v>42537</v>
      </c>
      <c r="B663" s="376">
        <v>717.51</v>
      </c>
    </row>
    <row r="664" spans="1:2">
      <c r="A664" s="375">
        <v>42538</v>
      </c>
      <c r="B664" s="376">
        <v>706.39</v>
      </c>
    </row>
    <row r="665" spans="1:2">
      <c r="A665" s="375">
        <v>42541</v>
      </c>
      <c r="B665" s="376">
        <v>714.01</v>
      </c>
    </row>
    <row r="666" spans="1:2">
      <c r="A666" s="375">
        <v>42542</v>
      </c>
      <c r="B666" s="376">
        <v>715.82</v>
      </c>
    </row>
    <row r="667" spans="1:2">
      <c r="A667" s="375">
        <v>42543</v>
      </c>
      <c r="B667" s="376">
        <v>710.6</v>
      </c>
    </row>
    <row r="668" spans="1:2">
      <c r="A668" s="375">
        <v>42544</v>
      </c>
      <c r="B668" s="376">
        <v>722.08</v>
      </c>
    </row>
    <row r="669" spans="1:2">
      <c r="A669" s="375">
        <v>42545</v>
      </c>
      <c r="B669" s="376">
        <v>698.96</v>
      </c>
    </row>
    <row r="670" spans="1:2">
      <c r="A670" s="375">
        <v>42548</v>
      </c>
      <c r="B670" s="376">
        <v>691.36</v>
      </c>
    </row>
    <row r="671" spans="1:2">
      <c r="A671" s="375">
        <v>42549</v>
      </c>
      <c r="B671" s="376">
        <v>707.95</v>
      </c>
    </row>
    <row r="672" spans="1:2">
      <c r="A672" s="375">
        <v>42550</v>
      </c>
      <c r="B672" s="376">
        <v>715.6</v>
      </c>
    </row>
    <row r="673" spans="1:2">
      <c r="A673" s="375">
        <v>42551</v>
      </c>
      <c r="B673" s="376">
        <v>715.62</v>
      </c>
    </row>
    <row r="674" spans="1:2">
      <c r="A674" s="375">
        <v>42552</v>
      </c>
      <c r="B674" s="376">
        <v>725.68</v>
      </c>
    </row>
    <row r="675" spans="1:2">
      <c r="A675" s="375">
        <v>42556</v>
      </c>
      <c r="B675" s="376">
        <v>728.1</v>
      </c>
    </row>
    <row r="676" spans="1:2">
      <c r="A676" s="375">
        <v>42557</v>
      </c>
      <c r="B676" s="376">
        <v>737.61</v>
      </c>
    </row>
    <row r="677" spans="1:2">
      <c r="A677" s="375">
        <v>42558</v>
      </c>
      <c r="B677" s="376">
        <v>736.57</v>
      </c>
    </row>
    <row r="678" spans="1:2">
      <c r="A678" s="375">
        <v>42559</v>
      </c>
      <c r="B678" s="376">
        <v>745.81</v>
      </c>
    </row>
    <row r="679" spans="1:2">
      <c r="A679" s="375">
        <v>42562</v>
      </c>
      <c r="B679" s="376">
        <v>753.78</v>
      </c>
    </row>
    <row r="680" spans="1:2">
      <c r="A680" s="375">
        <v>42563</v>
      </c>
      <c r="B680" s="376">
        <v>748.21</v>
      </c>
    </row>
    <row r="681" spans="1:2">
      <c r="A681" s="375">
        <v>42564</v>
      </c>
      <c r="B681" s="376">
        <v>742.63</v>
      </c>
    </row>
    <row r="682" spans="1:2">
      <c r="A682" s="375">
        <v>42565</v>
      </c>
      <c r="B682" s="376">
        <v>741.2</v>
      </c>
    </row>
    <row r="683" spans="1:2">
      <c r="A683" s="375">
        <v>42566</v>
      </c>
      <c r="B683" s="376">
        <v>735.44</v>
      </c>
    </row>
    <row r="684" spans="1:2">
      <c r="A684" s="375">
        <v>42569</v>
      </c>
      <c r="B684" s="376">
        <v>736.07</v>
      </c>
    </row>
    <row r="685" spans="1:2">
      <c r="A685" s="375">
        <v>42570</v>
      </c>
      <c r="B685" s="376">
        <v>739.95</v>
      </c>
    </row>
    <row r="686" spans="1:2">
      <c r="A686" s="375">
        <v>42571</v>
      </c>
      <c r="B686" s="376">
        <v>745.72</v>
      </c>
    </row>
    <row r="687" spans="1:2">
      <c r="A687" s="375">
        <v>42572</v>
      </c>
      <c r="B687" s="376">
        <v>744.43</v>
      </c>
    </row>
    <row r="688" spans="1:2">
      <c r="A688" s="375">
        <v>42573</v>
      </c>
      <c r="B688" s="376">
        <v>744.86</v>
      </c>
    </row>
    <row r="689" spans="1:2">
      <c r="A689" s="375">
        <v>42576</v>
      </c>
      <c r="B689" s="376">
        <v>739.61</v>
      </c>
    </row>
    <row r="690" spans="1:2">
      <c r="A690" s="375">
        <v>42577</v>
      </c>
      <c r="B690" s="376">
        <v>735.59</v>
      </c>
    </row>
    <row r="691" spans="1:2">
      <c r="A691" s="375">
        <v>42578</v>
      </c>
      <c r="B691" s="376">
        <v>736.67</v>
      </c>
    </row>
    <row r="692" spans="1:2">
      <c r="A692" s="375">
        <v>42579</v>
      </c>
      <c r="B692" s="376">
        <v>752.61</v>
      </c>
    </row>
    <row r="693" spans="1:2">
      <c r="A693" s="375">
        <v>42580</v>
      </c>
      <c r="B693" s="376">
        <v>758.81</v>
      </c>
    </row>
    <row r="694" spans="1:2">
      <c r="A694" s="375">
        <v>42583</v>
      </c>
      <c r="B694" s="376">
        <v>767.74</v>
      </c>
    </row>
    <row r="695" spans="1:2">
      <c r="A695" s="375">
        <v>42584</v>
      </c>
      <c r="B695" s="376">
        <v>760.58</v>
      </c>
    </row>
    <row r="696" spans="1:2">
      <c r="A696" s="375">
        <v>42585</v>
      </c>
      <c r="B696" s="376">
        <v>754.64</v>
      </c>
    </row>
    <row r="697" spans="1:2">
      <c r="A697" s="375">
        <v>42586</v>
      </c>
      <c r="B697" s="376">
        <v>760.77</v>
      </c>
    </row>
    <row r="698" spans="1:2">
      <c r="A698" s="375">
        <v>42587</v>
      </c>
      <c r="B698" s="376">
        <v>765.98</v>
      </c>
    </row>
    <row r="699" spans="1:2">
      <c r="A699" s="375">
        <v>42590</v>
      </c>
      <c r="B699" s="376">
        <v>766.56</v>
      </c>
    </row>
    <row r="700" spans="1:2">
      <c r="A700" s="375">
        <v>42591</v>
      </c>
      <c r="B700" s="376">
        <v>768.31</v>
      </c>
    </row>
    <row r="701" spans="1:2">
      <c r="A701" s="375">
        <v>42592</v>
      </c>
      <c r="B701" s="376">
        <v>768.56</v>
      </c>
    </row>
    <row r="702" spans="1:2">
      <c r="A702" s="375">
        <v>42593</v>
      </c>
      <c r="B702" s="376">
        <v>771.24</v>
      </c>
    </row>
    <row r="703" spans="1:2">
      <c r="A703" s="375">
        <v>42594</v>
      </c>
      <c r="B703" s="376">
        <v>772.56</v>
      </c>
    </row>
    <row r="704" spans="1:2">
      <c r="A704" s="375">
        <v>42597</v>
      </c>
      <c r="B704" s="376">
        <v>768.49</v>
      </c>
    </row>
    <row r="705" spans="1:2">
      <c r="A705" s="375">
        <v>42598</v>
      </c>
      <c r="B705" s="376">
        <v>764.04</v>
      </c>
    </row>
    <row r="706" spans="1:2">
      <c r="A706" s="375">
        <v>42599</v>
      </c>
      <c r="B706" s="376">
        <v>764.63</v>
      </c>
    </row>
    <row r="707" spans="1:2">
      <c r="A707" s="375">
        <v>42600</v>
      </c>
      <c r="B707" s="376">
        <v>764.46</v>
      </c>
    </row>
    <row r="708" spans="1:2">
      <c r="A708" s="375">
        <v>42601</v>
      </c>
      <c r="B708" s="376">
        <v>757.31</v>
      </c>
    </row>
    <row r="709" spans="1:2">
      <c r="A709" s="375">
        <v>42604</v>
      </c>
      <c r="B709" s="376">
        <v>759.48</v>
      </c>
    </row>
    <row r="710" spans="1:2">
      <c r="A710" s="375">
        <v>42605</v>
      </c>
      <c r="B710" s="376">
        <v>762.45</v>
      </c>
    </row>
    <row r="711" spans="1:2">
      <c r="A711" s="375">
        <v>42606</v>
      </c>
      <c r="B711" s="376">
        <v>757.25</v>
      </c>
    </row>
    <row r="712" spans="1:2">
      <c r="A712" s="375">
        <v>42607</v>
      </c>
      <c r="B712" s="376">
        <v>759.22</v>
      </c>
    </row>
    <row r="713" spans="1:2">
      <c r="A713" s="375">
        <v>42608</v>
      </c>
      <c r="B713" s="376">
        <v>769</v>
      </c>
    </row>
    <row r="714" spans="1:2">
      <c r="A714" s="375">
        <v>42611</v>
      </c>
      <c r="B714" s="376">
        <v>771.29</v>
      </c>
    </row>
    <row r="715" spans="1:2">
      <c r="A715" s="375">
        <v>42612</v>
      </c>
      <c r="B715" s="376">
        <v>767.58</v>
      </c>
    </row>
    <row r="716" spans="1:2">
      <c r="A716" s="375">
        <v>42613</v>
      </c>
      <c r="B716" s="376">
        <v>769.16</v>
      </c>
    </row>
    <row r="717" spans="1:2">
      <c r="A717" s="375">
        <v>42614</v>
      </c>
      <c r="B717" s="376">
        <v>770.62</v>
      </c>
    </row>
    <row r="718" spans="1:2">
      <c r="A718" s="375">
        <v>42615</v>
      </c>
      <c r="B718" s="376">
        <v>772.44</v>
      </c>
    </row>
    <row r="719" spans="1:2">
      <c r="A719" s="375">
        <v>42619</v>
      </c>
      <c r="B719" s="376">
        <v>788.87</v>
      </c>
    </row>
    <row r="720" spans="1:2">
      <c r="A720" s="375">
        <v>42620</v>
      </c>
      <c r="B720" s="376">
        <v>784.48</v>
      </c>
    </row>
    <row r="721" spans="1:2">
      <c r="A721" s="375">
        <v>42621</v>
      </c>
      <c r="B721" s="376">
        <v>784.06</v>
      </c>
    </row>
    <row r="722" spans="1:2">
      <c r="A722" s="375">
        <v>42622</v>
      </c>
      <c r="B722" s="376">
        <v>760.14</v>
      </c>
    </row>
    <row r="723" spans="1:2">
      <c r="A723" s="375">
        <v>42625</v>
      </c>
      <c r="B723" s="376">
        <v>771.49</v>
      </c>
    </row>
    <row r="724" spans="1:2">
      <c r="A724" s="375">
        <v>42626</v>
      </c>
      <c r="B724" s="376">
        <v>761.01</v>
      </c>
    </row>
    <row r="725" spans="1:2">
      <c r="A725" s="375">
        <v>42627</v>
      </c>
      <c r="B725" s="376">
        <v>761.09</v>
      </c>
    </row>
    <row r="726" spans="1:2">
      <c r="A726" s="375">
        <v>42628</v>
      </c>
      <c r="B726" s="376">
        <v>769.69</v>
      </c>
    </row>
    <row r="727" spans="1:2">
      <c r="A727" s="375">
        <v>42629</v>
      </c>
      <c r="B727" s="376">
        <v>778.52</v>
      </c>
    </row>
    <row r="728" spans="1:2">
      <c r="A728" s="375">
        <v>42632</v>
      </c>
      <c r="B728" s="376">
        <v>775.1</v>
      </c>
    </row>
    <row r="729" spans="1:2">
      <c r="A729" s="375">
        <v>42633</v>
      </c>
      <c r="B729" s="376">
        <v>780.22</v>
      </c>
    </row>
    <row r="730" spans="1:2">
      <c r="A730" s="375">
        <v>42634</v>
      </c>
      <c r="B730" s="376">
        <v>789.74</v>
      </c>
    </row>
    <row r="731" spans="1:2">
      <c r="A731" s="375">
        <v>42635</v>
      </c>
      <c r="B731" s="376">
        <v>804.7</v>
      </c>
    </row>
    <row r="732" spans="1:2">
      <c r="A732" s="375">
        <v>42636</v>
      </c>
      <c r="B732" s="376">
        <v>805.75</v>
      </c>
    </row>
    <row r="733" spans="1:2">
      <c r="A733" s="375">
        <v>42639</v>
      </c>
      <c r="B733" s="376">
        <v>799.16</v>
      </c>
    </row>
    <row r="734" spans="1:2">
      <c r="A734" s="375">
        <v>42640</v>
      </c>
      <c r="B734" s="376">
        <v>816.11</v>
      </c>
    </row>
    <row r="735" spans="1:2">
      <c r="A735" s="375">
        <v>42641</v>
      </c>
      <c r="B735" s="376">
        <v>828.72</v>
      </c>
    </row>
    <row r="736" spans="1:2">
      <c r="A736" s="375">
        <v>42642</v>
      </c>
      <c r="B736" s="376">
        <v>829.05</v>
      </c>
    </row>
    <row r="737" spans="1:2">
      <c r="A737" s="375">
        <v>42643</v>
      </c>
      <c r="B737" s="376">
        <v>837.31</v>
      </c>
    </row>
    <row r="738" spans="1:2">
      <c r="A738" s="375">
        <v>42646</v>
      </c>
      <c r="B738" s="376">
        <v>836.74</v>
      </c>
    </row>
    <row r="739" spans="1:2">
      <c r="A739" s="375">
        <v>42647</v>
      </c>
      <c r="B739" s="376">
        <v>834.03</v>
      </c>
    </row>
    <row r="740" spans="1:2">
      <c r="A740" s="375">
        <v>42648</v>
      </c>
      <c r="B740" s="376">
        <v>844.36</v>
      </c>
    </row>
    <row r="741" spans="1:2">
      <c r="A741" s="375">
        <v>42649</v>
      </c>
      <c r="B741" s="376">
        <v>841.66</v>
      </c>
    </row>
    <row r="742" spans="1:2">
      <c r="A742" s="375">
        <v>42650</v>
      </c>
      <c r="B742" s="376">
        <v>839.43</v>
      </c>
    </row>
    <row r="743" spans="1:2">
      <c r="A743" s="375">
        <v>42653</v>
      </c>
      <c r="B743" s="376">
        <v>841.71</v>
      </c>
    </row>
    <row r="744" spans="1:2">
      <c r="A744" s="375">
        <v>42654</v>
      </c>
      <c r="B744" s="376">
        <v>831</v>
      </c>
    </row>
    <row r="745" spans="1:2">
      <c r="A745" s="375">
        <v>42655</v>
      </c>
      <c r="B745" s="376">
        <v>834.09</v>
      </c>
    </row>
    <row r="746" spans="1:2">
      <c r="A746" s="375">
        <v>42656</v>
      </c>
      <c r="B746" s="376">
        <v>829.28</v>
      </c>
    </row>
    <row r="747" spans="1:2">
      <c r="A747" s="375">
        <v>42657</v>
      </c>
      <c r="B747" s="376">
        <v>822.96</v>
      </c>
    </row>
    <row r="748" spans="1:2">
      <c r="A748" s="375">
        <v>42660</v>
      </c>
      <c r="B748" s="376">
        <v>812.95</v>
      </c>
    </row>
    <row r="749" spans="1:2">
      <c r="A749" s="375">
        <v>42661</v>
      </c>
      <c r="B749" s="376">
        <v>817.65</v>
      </c>
    </row>
    <row r="750" spans="1:2">
      <c r="A750" s="375">
        <v>42662</v>
      </c>
      <c r="B750" s="376">
        <v>817.69</v>
      </c>
    </row>
    <row r="751" spans="1:2">
      <c r="A751" s="375">
        <v>42663</v>
      </c>
      <c r="B751" s="376">
        <v>810.32</v>
      </c>
    </row>
    <row r="752" spans="1:2">
      <c r="A752" s="375">
        <v>42664</v>
      </c>
      <c r="B752" s="376">
        <v>818.99</v>
      </c>
    </row>
    <row r="753" spans="1:2">
      <c r="A753" s="375">
        <v>42667</v>
      </c>
      <c r="B753" s="376">
        <v>838.09</v>
      </c>
    </row>
    <row r="754" spans="1:2">
      <c r="A754" s="375">
        <v>42668</v>
      </c>
      <c r="B754" s="376">
        <v>835.18</v>
      </c>
    </row>
    <row r="755" spans="1:2">
      <c r="A755" s="375">
        <v>42669</v>
      </c>
      <c r="B755" s="376">
        <v>822.59</v>
      </c>
    </row>
    <row r="756" spans="1:2">
      <c r="A756" s="375">
        <v>42670</v>
      </c>
      <c r="B756" s="376">
        <v>818.36</v>
      </c>
    </row>
    <row r="757" spans="1:2">
      <c r="A757" s="375">
        <v>42671</v>
      </c>
      <c r="B757" s="376">
        <v>776.32</v>
      </c>
    </row>
    <row r="758" spans="1:2">
      <c r="A758" s="375">
        <v>42674</v>
      </c>
      <c r="B758" s="376">
        <v>789.82</v>
      </c>
    </row>
    <row r="759" spans="1:2">
      <c r="A759" s="375">
        <v>42675</v>
      </c>
      <c r="B759" s="376">
        <v>785.41</v>
      </c>
    </row>
    <row r="760" spans="1:2">
      <c r="A760" s="375">
        <v>42676</v>
      </c>
      <c r="B760" s="376">
        <v>765.56</v>
      </c>
    </row>
    <row r="761" spans="1:2">
      <c r="A761" s="375">
        <v>42677</v>
      </c>
      <c r="B761" s="376">
        <v>767.03</v>
      </c>
    </row>
    <row r="762" spans="1:2">
      <c r="A762" s="375">
        <v>42678</v>
      </c>
      <c r="B762" s="376">
        <v>755.05</v>
      </c>
    </row>
    <row r="763" spans="1:2">
      <c r="A763" s="375">
        <v>42681</v>
      </c>
      <c r="B763" s="376">
        <v>784.93</v>
      </c>
    </row>
    <row r="764" spans="1:2">
      <c r="A764" s="375">
        <v>42682</v>
      </c>
      <c r="B764" s="376">
        <v>787.75</v>
      </c>
    </row>
    <row r="765" spans="1:2">
      <c r="A765" s="375">
        <v>42683</v>
      </c>
      <c r="B765" s="376">
        <v>771.88</v>
      </c>
    </row>
    <row r="766" spans="1:2">
      <c r="A766" s="375">
        <v>42684</v>
      </c>
      <c r="B766" s="376">
        <v>742.38</v>
      </c>
    </row>
    <row r="767" spans="1:2">
      <c r="A767" s="375">
        <v>42685</v>
      </c>
      <c r="B767" s="376">
        <v>739.01</v>
      </c>
    </row>
    <row r="768" spans="1:2">
      <c r="A768" s="375">
        <v>42688</v>
      </c>
      <c r="B768" s="376">
        <v>719.07</v>
      </c>
    </row>
    <row r="769" spans="1:2">
      <c r="A769" s="375">
        <v>42689</v>
      </c>
      <c r="B769" s="376">
        <v>743.24</v>
      </c>
    </row>
    <row r="770" spans="1:2">
      <c r="A770" s="375">
        <v>42690</v>
      </c>
      <c r="B770" s="376">
        <v>746.49</v>
      </c>
    </row>
    <row r="771" spans="1:2">
      <c r="A771" s="375">
        <v>42691</v>
      </c>
      <c r="B771" s="376">
        <v>756.4</v>
      </c>
    </row>
    <row r="772" spans="1:2">
      <c r="A772" s="375">
        <v>42692</v>
      </c>
      <c r="B772" s="376">
        <v>760.16</v>
      </c>
    </row>
    <row r="773" spans="1:2">
      <c r="A773" s="375">
        <v>42695</v>
      </c>
      <c r="B773" s="376">
        <v>780</v>
      </c>
    </row>
    <row r="774" spans="1:2">
      <c r="A774" s="375">
        <v>42696</v>
      </c>
      <c r="B774" s="376">
        <v>785.33</v>
      </c>
    </row>
    <row r="775" spans="1:2">
      <c r="A775" s="375">
        <v>42697</v>
      </c>
      <c r="B775" s="376">
        <v>780.12</v>
      </c>
    </row>
    <row r="776" spans="1:2">
      <c r="A776" s="375">
        <v>42699</v>
      </c>
      <c r="B776" s="376">
        <v>780.37</v>
      </c>
    </row>
    <row r="777" spans="1:2">
      <c r="A777" s="375">
        <v>42702</v>
      </c>
      <c r="B777" s="376">
        <v>766.77</v>
      </c>
    </row>
    <row r="778" spans="1:2">
      <c r="A778" s="375">
        <v>42703</v>
      </c>
      <c r="B778" s="376">
        <v>762.52</v>
      </c>
    </row>
    <row r="779" spans="1:2">
      <c r="A779" s="375">
        <v>42704</v>
      </c>
      <c r="B779" s="376">
        <v>750.57</v>
      </c>
    </row>
    <row r="780" spans="1:2">
      <c r="A780" s="375">
        <v>42705</v>
      </c>
      <c r="B780" s="376">
        <v>743.65</v>
      </c>
    </row>
    <row r="781" spans="1:2">
      <c r="A781" s="375">
        <v>42706</v>
      </c>
      <c r="B781" s="376">
        <v>740.34</v>
      </c>
    </row>
    <row r="782" spans="1:2">
      <c r="A782" s="375">
        <v>42709</v>
      </c>
      <c r="B782" s="376">
        <v>759.36</v>
      </c>
    </row>
    <row r="783" spans="1:2">
      <c r="A783" s="375">
        <v>42710</v>
      </c>
      <c r="B783" s="376">
        <v>764.72</v>
      </c>
    </row>
    <row r="784" spans="1:2">
      <c r="A784" s="375">
        <v>42711</v>
      </c>
      <c r="B784" s="376">
        <v>770.42</v>
      </c>
    </row>
    <row r="785" spans="1:2">
      <c r="A785" s="375">
        <v>42712</v>
      </c>
      <c r="B785" s="376">
        <v>767.33</v>
      </c>
    </row>
    <row r="786" spans="1:2">
      <c r="A786" s="375">
        <v>42713</v>
      </c>
      <c r="B786" s="376">
        <v>768.66</v>
      </c>
    </row>
    <row r="787" spans="1:2">
      <c r="A787" s="375">
        <v>42716</v>
      </c>
      <c r="B787" s="376">
        <v>760.12</v>
      </c>
    </row>
    <row r="788" spans="1:2">
      <c r="A788" s="375">
        <v>42717</v>
      </c>
      <c r="B788" s="376">
        <v>774.34</v>
      </c>
    </row>
    <row r="789" spans="1:2">
      <c r="A789" s="375">
        <v>42718</v>
      </c>
      <c r="B789" s="376">
        <v>768.82</v>
      </c>
    </row>
    <row r="790" spans="1:2">
      <c r="A790" s="375">
        <v>42719</v>
      </c>
      <c r="B790" s="376">
        <v>761</v>
      </c>
    </row>
    <row r="791" spans="1:2">
      <c r="A791" s="375">
        <v>42720</v>
      </c>
      <c r="B791" s="376">
        <v>757.77</v>
      </c>
    </row>
    <row r="792" spans="1:2">
      <c r="A792" s="375">
        <v>42723</v>
      </c>
      <c r="B792" s="376">
        <v>766</v>
      </c>
    </row>
    <row r="793" spans="1:2">
      <c r="A793" s="375">
        <v>42724</v>
      </c>
      <c r="B793" s="376">
        <v>771.22</v>
      </c>
    </row>
    <row r="794" spans="1:2">
      <c r="A794" s="375">
        <v>42725</v>
      </c>
      <c r="B794" s="376">
        <v>770.6</v>
      </c>
    </row>
    <row r="795" spans="1:2">
      <c r="A795" s="375">
        <v>42726</v>
      </c>
      <c r="B795" s="376">
        <v>766.34</v>
      </c>
    </row>
    <row r="796" spans="1:2">
      <c r="A796" s="375">
        <v>42727</v>
      </c>
      <c r="B796" s="376">
        <v>760.59</v>
      </c>
    </row>
    <row r="797" spans="1:2">
      <c r="A797" s="375">
        <v>42731</v>
      </c>
      <c r="B797" s="376">
        <v>771.4</v>
      </c>
    </row>
    <row r="798" spans="1:2">
      <c r="A798" s="375">
        <v>42732</v>
      </c>
      <c r="B798" s="376">
        <v>772.13</v>
      </c>
    </row>
    <row r="799" spans="1:2">
      <c r="A799" s="375">
        <v>42733</v>
      </c>
      <c r="B799" s="376">
        <v>765.15</v>
      </c>
    </row>
    <row r="800" spans="1:2">
      <c r="A800" s="375">
        <v>42734</v>
      </c>
      <c r="B800" s="376">
        <v>749.87</v>
      </c>
    </row>
    <row r="801" spans="1:2">
      <c r="A801" s="375">
        <v>42738</v>
      </c>
      <c r="B801" s="376">
        <v>753.67</v>
      </c>
    </row>
    <row r="802" spans="1:2">
      <c r="A802" s="375">
        <v>42739</v>
      </c>
      <c r="B802" s="376">
        <v>757.18</v>
      </c>
    </row>
    <row r="803" spans="1:2">
      <c r="A803" s="375">
        <v>42740</v>
      </c>
      <c r="B803" s="376">
        <v>780.45</v>
      </c>
    </row>
    <row r="804" spans="1:2">
      <c r="A804" s="375">
        <v>42741</v>
      </c>
      <c r="B804" s="376">
        <v>795.99</v>
      </c>
    </row>
    <row r="805" spans="1:2">
      <c r="A805" s="375">
        <v>42744</v>
      </c>
      <c r="B805" s="376">
        <v>796.92</v>
      </c>
    </row>
    <row r="806" spans="1:2">
      <c r="A806" s="375">
        <v>42745</v>
      </c>
      <c r="B806" s="376">
        <v>795.9</v>
      </c>
    </row>
    <row r="807" spans="1:2">
      <c r="A807" s="375">
        <v>42746</v>
      </c>
      <c r="B807" s="376">
        <v>799.02</v>
      </c>
    </row>
    <row r="808" spans="1:2">
      <c r="A808" s="375">
        <v>42747</v>
      </c>
      <c r="B808" s="376">
        <v>813.64</v>
      </c>
    </row>
    <row r="809" spans="1:2">
      <c r="A809" s="375">
        <v>42748</v>
      </c>
      <c r="B809" s="376">
        <v>817.14</v>
      </c>
    </row>
    <row r="810" spans="1:2">
      <c r="A810" s="375">
        <v>42752</v>
      </c>
      <c r="B810" s="376">
        <v>809.72</v>
      </c>
    </row>
    <row r="811" spans="1:2">
      <c r="A811" s="375">
        <v>42753</v>
      </c>
      <c r="B811" s="376">
        <v>807.48</v>
      </c>
    </row>
    <row r="812" spans="1:2">
      <c r="A812" s="375">
        <v>42754</v>
      </c>
      <c r="B812" s="376">
        <v>809.04</v>
      </c>
    </row>
    <row r="813" spans="1:2">
      <c r="A813" s="375">
        <v>42755</v>
      </c>
      <c r="B813" s="376">
        <v>808.33</v>
      </c>
    </row>
    <row r="814" spans="1:2">
      <c r="A814" s="375">
        <v>42758</v>
      </c>
      <c r="B814" s="376">
        <v>817.88</v>
      </c>
    </row>
    <row r="815" spans="1:2">
      <c r="A815" s="375">
        <v>42759</v>
      </c>
      <c r="B815" s="376">
        <v>822.44</v>
      </c>
    </row>
    <row r="816" spans="1:2">
      <c r="A816" s="375">
        <v>42760</v>
      </c>
      <c r="B816" s="376">
        <v>836.52</v>
      </c>
    </row>
    <row r="817" spans="1:2">
      <c r="A817" s="375">
        <v>42761</v>
      </c>
      <c r="B817" s="376">
        <v>839.15</v>
      </c>
    </row>
    <row r="818" spans="1:2">
      <c r="A818" s="375">
        <v>42762</v>
      </c>
      <c r="B818" s="376">
        <v>835.77</v>
      </c>
    </row>
    <row r="819" spans="1:2">
      <c r="A819" s="375">
        <v>42765</v>
      </c>
      <c r="B819" s="376">
        <v>830.38</v>
      </c>
    </row>
    <row r="820" spans="1:2">
      <c r="A820" s="375">
        <v>42766</v>
      </c>
      <c r="B820" s="376">
        <v>823.48</v>
      </c>
    </row>
    <row r="821" spans="1:2">
      <c r="A821" s="375">
        <v>42767</v>
      </c>
      <c r="B821" s="376">
        <v>832.35</v>
      </c>
    </row>
    <row r="822" spans="1:2">
      <c r="A822" s="375">
        <v>42768</v>
      </c>
      <c r="B822" s="376">
        <v>839.95</v>
      </c>
    </row>
    <row r="823" spans="1:2">
      <c r="A823" s="375">
        <v>42769</v>
      </c>
      <c r="B823" s="376">
        <v>810.2</v>
      </c>
    </row>
    <row r="824" spans="1:2">
      <c r="A824" s="375">
        <v>42772</v>
      </c>
      <c r="B824" s="376">
        <v>807.64</v>
      </c>
    </row>
    <row r="825" spans="1:2">
      <c r="A825" s="375">
        <v>42773</v>
      </c>
      <c r="B825" s="376">
        <v>812.5</v>
      </c>
    </row>
    <row r="826" spans="1:2">
      <c r="A826" s="375">
        <v>42774</v>
      </c>
      <c r="B826" s="376">
        <v>819.71</v>
      </c>
    </row>
    <row r="827" spans="1:2">
      <c r="A827" s="375">
        <v>42775</v>
      </c>
      <c r="B827" s="376">
        <v>821.36</v>
      </c>
    </row>
    <row r="828" spans="1:2">
      <c r="A828" s="375">
        <v>42776</v>
      </c>
      <c r="B828" s="376">
        <v>827.46</v>
      </c>
    </row>
    <row r="829" spans="1:2">
      <c r="A829" s="375">
        <v>42779</v>
      </c>
      <c r="B829" s="376">
        <v>836.53</v>
      </c>
    </row>
    <row r="830" spans="1:2">
      <c r="A830" s="375">
        <v>42780</v>
      </c>
      <c r="B830" s="376">
        <v>836.39</v>
      </c>
    </row>
    <row r="831" spans="1:2">
      <c r="A831" s="375">
        <v>42781</v>
      </c>
      <c r="B831" s="376">
        <v>842.7</v>
      </c>
    </row>
    <row r="832" spans="1:2">
      <c r="A832" s="375">
        <v>42782</v>
      </c>
      <c r="B832" s="376">
        <v>844.14</v>
      </c>
    </row>
    <row r="833" spans="1:2">
      <c r="A833" s="375">
        <v>42783</v>
      </c>
      <c r="B833" s="376">
        <v>845.07</v>
      </c>
    </row>
    <row r="834" spans="1:2">
      <c r="A834" s="375">
        <v>42787</v>
      </c>
      <c r="B834" s="376">
        <v>856.44</v>
      </c>
    </row>
    <row r="835" spans="1:2">
      <c r="A835" s="375">
        <v>42788</v>
      </c>
      <c r="B835" s="376">
        <v>855.61</v>
      </c>
    </row>
    <row r="836" spans="1:2">
      <c r="A836" s="375">
        <v>42789</v>
      </c>
      <c r="B836" s="376">
        <v>852.19</v>
      </c>
    </row>
    <row r="837" spans="1:2">
      <c r="A837" s="375">
        <v>42790</v>
      </c>
      <c r="B837" s="376">
        <v>845.24</v>
      </c>
    </row>
    <row r="838" spans="1:2">
      <c r="A838" s="375">
        <v>42793</v>
      </c>
      <c r="B838" s="376">
        <v>848.64</v>
      </c>
    </row>
    <row r="839" spans="1:2">
      <c r="A839" s="375">
        <v>42794</v>
      </c>
      <c r="B839" s="376">
        <v>845.04</v>
      </c>
    </row>
    <row r="840" spans="1:2">
      <c r="A840" s="375">
        <v>42795</v>
      </c>
      <c r="B840" s="376">
        <v>853.08</v>
      </c>
    </row>
    <row r="841" spans="1:2">
      <c r="A841" s="375">
        <v>42796</v>
      </c>
      <c r="B841" s="376">
        <v>848.91</v>
      </c>
    </row>
    <row r="842" spans="1:2">
      <c r="A842" s="375">
        <v>42797</v>
      </c>
      <c r="B842" s="376">
        <v>849.88</v>
      </c>
    </row>
    <row r="843" spans="1:2">
      <c r="A843" s="375">
        <v>42800</v>
      </c>
      <c r="B843" s="376">
        <v>846.61</v>
      </c>
    </row>
    <row r="844" spans="1:2">
      <c r="A844" s="375">
        <v>42801</v>
      </c>
      <c r="B844" s="376">
        <v>846.02</v>
      </c>
    </row>
    <row r="845" spans="1:2">
      <c r="A845" s="375">
        <v>42802</v>
      </c>
      <c r="B845" s="376">
        <v>850.5</v>
      </c>
    </row>
    <row r="846" spans="1:2">
      <c r="A846" s="375">
        <v>42803</v>
      </c>
      <c r="B846" s="376">
        <v>853</v>
      </c>
    </row>
    <row r="847" spans="1:2">
      <c r="A847" s="375">
        <v>42804</v>
      </c>
      <c r="B847" s="376">
        <v>852.46</v>
      </c>
    </row>
    <row r="848" spans="1:2">
      <c r="A848" s="375">
        <v>42807</v>
      </c>
      <c r="B848" s="376">
        <v>854.59</v>
      </c>
    </row>
    <row r="849" spans="1:2">
      <c r="A849" s="375">
        <v>42808</v>
      </c>
      <c r="B849" s="376">
        <v>852.53</v>
      </c>
    </row>
    <row r="850" spans="1:2">
      <c r="A850" s="375">
        <v>42809</v>
      </c>
      <c r="B850" s="376">
        <v>852.97</v>
      </c>
    </row>
    <row r="851" spans="1:2">
      <c r="A851" s="375">
        <v>42810</v>
      </c>
      <c r="B851" s="376">
        <v>853.42</v>
      </c>
    </row>
    <row r="852" spans="1:2">
      <c r="A852" s="375">
        <v>42811</v>
      </c>
      <c r="B852" s="376">
        <v>852.31</v>
      </c>
    </row>
    <row r="853" spans="1:2">
      <c r="A853" s="375">
        <v>42814</v>
      </c>
      <c r="B853" s="376">
        <v>856.97</v>
      </c>
    </row>
    <row r="854" spans="1:2">
      <c r="A854" s="375">
        <v>42815</v>
      </c>
      <c r="B854" s="376">
        <v>843.2</v>
      </c>
    </row>
    <row r="855" spans="1:2">
      <c r="A855" s="375">
        <v>42816</v>
      </c>
      <c r="B855" s="376">
        <v>848.06</v>
      </c>
    </row>
    <row r="856" spans="1:2">
      <c r="A856" s="375">
        <v>42817</v>
      </c>
      <c r="B856" s="376">
        <v>847.38</v>
      </c>
    </row>
    <row r="857" spans="1:2">
      <c r="A857" s="375">
        <v>42818</v>
      </c>
      <c r="B857" s="376">
        <v>845.61</v>
      </c>
    </row>
    <row r="858" spans="1:2">
      <c r="A858" s="375">
        <v>42821</v>
      </c>
      <c r="B858" s="376">
        <v>846.82</v>
      </c>
    </row>
    <row r="859" spans="1:2">
      <c r="A859" s="375">
        <v>42822</v>
      </c>
      <c r="B859" s="376">
        <v>856</v>
      </c>
    </row>
    <row r="860" spans="1:2">
      <c r="A860" s="375">
        <v>42823</v>
      </c>
      <c r="B860" s="376">
        <v>874.32</v>
      </c>
    </row>
    <row r="861" spans="1:2">
      <c r="A861" s="375">
        <v>42824</v>
      </c>
      <c r="B861" s="376">
        <v>876.34</v>
      </c>
    </row>
    <row r="862" spans="1:2">
      <c r="A862" s="375">
        <v>42825</v>
      </c>
      <c r="B862" s="376">
        <v>886.54</v>
      </c>
    </row>
    <row r="863" spans="1:2">
      <c r="A863" s="375">
        <v>42828</v>
      </c>
      <c r="B863" s="376">
        <v>891.51</v>
      </c>
    </row>
    <row r="864" spans="1:2">
      <c r="A864" s="375">
        <v>42829</v>
      </c>
      <c r="B864" s="376">
        <v>906.83</v>
      </c>
    </row>
    <row r="865" spans="1:2">
      <c r="A865" s="375">
        <v>42830</v>
      </c>
      <c r="B865" s="376">
        <v>909.28</v>
      </c>
    </row>
    <row r="866" spans="1:2">
      <c r="A866" s="375">
        <v>42831</v>
      </c>
      <c r="B866" s="376">
        <v>898.28</v>
      </c>
    </row>
    <row r="867" spans="1:2">
      <c r="A867" s="375">
        <v>42832</v>
      </c>
      <c r="B867" s="376">
        <v>894.88</v>
      </c>
    </row>
    <row r="868" spans="1:2">
      <c r="A868" s="375">
        <v>42835</v>
      </c>
      <c r="B868" s="376">
        <v>907.04</v>
      </c>
    </row>
    <row r="869" spans="1:2">
      <c r="A869" s="375">
        <v>42836</v>
      </c>
      <c r="B869" s="376">
        <v>902.36</v>
      </c>
    </row>
    <row r="870" spans="1:2">
      <c r="A870" s="375">
        <v>42837</v>
      </c>
      <c r="B870" s="376">
        <v>896.23</v>
      </c>
    </row>
    <row r="871" spans="1:2">
      <c r="A871" s="375">
        <v>42838</v>
      </c>
      <c r="B871" s="376">
        <v>884.67</v>
      </c>
    </row>
    <row r="872" spans="1:2">
      <c r="A872" s="375">
        <v>42842</v>
      </c>
      <c r="B872" s="376">
        <v>901.99</v>
      </c>
    </row>
    <row r="873" spans="1:2">
      <c r="A873" s="375">
        <v>42843</v>
      </c>
      <c r="B873" s="376">
        <v>903.78</v>
      </c>
    </row>
    <row r="874" spans="1:2">
      <c r="A874" s="375">
        <v>42844</v>
      </c>
      <c r="B874" s="376">
        <v>899.2</v>
      </c>
    </row>
    <row r="875" spans="1:2">
      <c r="A875" s="375">
        <v>42845</v>
      </c>
      <c r="B875" s="376">
        <v>902.06</v>
      </c>
    </row>
    <row r="876" spans="1:2">
      <c r="A876" s="375">
        <v>42846</v>
      </c>
      <c r="B876" s="376">
        <v>898.53</v>
      </c>
    </row>
    <row r="877" spans="1:2">
      <c r="A877" s="375">
        <v>42849</v>
      </c>
      <c r="B877" s="376">
        <v>907.41</v>
      </c>
    </row>
    <row r="878" spans="1:2">
      <c r="A878" s="375">
        <v>42850</v>
      </c>
      <c r="B878" s="376">
        <v>907.62</v>
      </c>
    </row>
    <row r="879" spans="1:2">
      <c r="A879" s="375">
        <v>42851</v>
      </c>
      <c r="B879" s="376">
        <v>909.29</v>
      </c>
    </row>
    <row r="880" spans="1:2">
      <c r="A880" s="375">
        <v>42852</v>
      </c>
      <c r="B880" s="376">
        <v>918.38</v>
      </c>
    </row>
    <row r="881" spans="1:2">
      <c r="A881" s="375">
        <v>42853</v>
      </c>
      <c r="B881" s="376">
        <v>924.99</v>
      </c>
    </row>
    <row r="882" spans="1:2">
      <c r="A882" s="375">
        <v>42856</v>
      </c>
      <c r="B882" s="376">
        <v>948.23</v>
      </c>
    </row>
    <row r="883" spans="1:2">
      <c r="A883" s="375">
        <v>42857</v>
      </c>
      <c r="B883" s="376">
        <v>946.94</v>
      </c>
    </row>
    <row r="884" spans="1:2">
      <c r="A884" s="375">
        <v>42858</v>
      </c>
      <c r="B884" s="376">
        <v>941.03</v>
      </c>
    </row>
    <row r="885" spans="1:2">
      <c r="A885" s="375">
        <v>42859</v>
      </c>
      <c r="B885" s="376">
        <v>937.53</v>
      </c>
    </row>
    <row r="886" spans="1:2">
      <c r="A886" s="375">
        <v>42860</v>
      </c>
      <c r="B886" s="376">
        <v>934.15</v>
      </c>
    </row>
    <row r="887" spans="1:2">
      <c r="A887" s="375">
        <v>42863</v>
      </c>
      <c r="B887" s="376">
        <v>949.04</v>
      </c>
    </row>
    <row r="888" spans="1:2">
      <c r="A888" s="375">
        <v>42864</v>
      </c>
      <c r="B888" s="376">
        <v>952.82</v>
      </c>
    </row>
    <row r="889" spans="1:2">
      <c r="A889" s="375">
        <v>42865</v>
      </c>
      <c r="B889" s="376">
        <v>948.95</v>
      </c>
    </row>
    <row r="890" spans="1:2">
      <c r="A890" s="375">
        <v>42866</v>
      </c>
      <c r="B890" s="376">
        <v>947.62</v>
      </c>
    </row>
    <row r="891" spans="1:2">
      <c r="A891" s="375">
        <v>42867</v>
      </c>
      <c r="B891" s="376">
        <v>961.35</v>
      </c>
    </row>
    <row r="892" spans="1:2">
      <c r="A892" s="375">
        <v>42870</v>
      </c>
      <c r="B892" s="376">
        <v>957.97</v>
      </c>
    </row>
    <row r="893" spans="1:2">
      <c r="A893" s="375">
        <v>42871</v>
      </c>
      <c r="B893" s="376">
        <v>966.07</v>
      </c>
    </row>
    <row r="894" spans="1:2">
      <c r="A894" s="375">
        <v>42872</v>
      </c>
      <c r="B894" s="376">
        <v>944.76</v>
      </c>
    </row>
    <row r="895" spans="1:2">
      <c r="A895" s="375">
        <v>42873</v>
      </c>
      <c r="B895" s="376">
        <v>958.49</v>
      </c>
    </row>
    <row r="896" spans="1:2">
      <c r="A896" s="375">
        <v>42874</v>
      </c>
      <c r="B896" s="376">
        <v>959.84</v>
      </c>
    </row>
    <row r="897" spans="1:2">
      <c r="A897" s="375">
        <v>42877</v>
      </c>
      <c r="B897" s="376">
        <v>970.67</v>
      </c>
    </row>
    <row r="898" spans="1:2">
      <c r="A898" s="375">
        <v>42878</v>
      </c>
      <c r="B898" s="376">
        <v>971.54</v>
      </c>
    </row>
    <row r="899" spans="1:2">
      <c r="A899" s="375">
        <v>42879</v>
      </c>
      <c r="B899" s="376">
        <v>980.35</v>
      </c>
    </row>
    <row r="900" spans="1:2">
      <c r="A900" s="375">
        <v>42880</v>
      </c>
      <c r="B900" s="376">
        <v>993.38</v>
      </c>
    </row>
    <row r="901" spans="1:2">
      <c r="A901" s="375">
        <v>42881</v>
      </c>
      <c r="B901" s="376">
        <v>995.78</v>
      </c>
    </row>
    <row r="902" spans="1:2">
      <c r="A902" s="375">
        <v>42885</v>
      </c>
      <c r="B902" s="376">
        <v>996.7</v>
      </c>
    </row>
    <row r="903" spans="1:2">
      <c r="A903" s="375">
        <v>42886</v>
      </c>
      <c r="B903" s="376">
        <v>994.62</v>
      </c>
    </row>
    <row r="904" spans="1:2">
      <c r="A904" s="375">
        <v>42887</v>
      </c>
      <c r="B904" s="376">
        <v>995.95</v>
      </c>
    </row>
    <row r="905" spans="1:2">
      <c r="A905" s="375">
        <v>42888</v>
      </c>
      <c r="B905" s="376">
        <v>1006.73</v>
      </c>
    </row>
    <row r="906" spans="1:2">
      <c r="A906" s="375">
        <v>42891</v>
      </c>
      <c r="B906" s="376">
        <v>1011.34</v>
      </c>
    </row>
    <row r="907" spans="1:2">
      <c r="A907" s="375">
        <v>42892</v>
      </c>
      <c r="B907" s="376">
        <v>1003</v>
      </c>
    </row>
    <row r="908" spans="1:2">
      <c r="A908" s="375">
        <v>42893</v>
      </c>
      <c r="B908" s="376">
        <v>1010.07</v>
      </c>
    </row>
    <row r="909" spans="1:2">
      <c r="A909" s="375">
        <v>42894</v>
      </c>
      <c r="B909" s="376">
        <v>1010.27</v>
      </c>
    </row>
    <row r="910" spans="1:2">
      <c r="A910" s="375">
        <v>42895</v>
      </c>
      <c r="B910" s="376">
        <v>978.31</v>
      </c>
    </row>
    <row r="911" spans="1:2">
      <c r="A911" s="375">
        <v>42898</v>
      </c>
      <c r="B911" s="376">
        <v>964.91</v>
      </c>
    </row>
    <row r="912" spans="1:2">
      <c r="A912" s="375">
        <v>42899</v>
      </c>
      <c r="B912" s="376">
        <v>980.79</v>
      </c>
    </row>
    <row r="913" spans="1:2">
      <c r="A913" s="375">
        <v>42900</v>
      </c>
      <c r="B913" s="376">
        <v>976.47</v>
      </c>
    </row>
    <row r="914" spans="1:2">
      <c r="A914" s="375">
        <v>42901</v>
      </c>
      <c r="B914" s="376">
        <v>964.17</v>
      </c>
    </row>
    <row r="915" spans="1:2">
      <c r="A915" s="375">
        <v>42902</v>
      </c>
      <c r="B915" s="376">
        <v>987.71</v>
      </c>
    </row>
    <row r="916" spans="1:2">
      <c r="A916" s="375">
        <v>42905</v>
      </c>
      <c r="B916" s="376">
        <v>995.17</v>
      </c>
    </row>
    <row r="917" spans="1:2">
      <c r="A917" s="375">
        <v>42906</v>
      </c>
      <c r="B917" s="376">
        <v>992.59</v>
      </c>
    </row>
    <row r="918" spans="1:2">
      <c r="A918" s="375">
        <v>42907</v>
      </c>
      <c r="B918" s="376">
        <v>1002.23</v>
      </c>
    </row>
    <row r="919" spans="1:2">
      <c r="A919" s="375">
        <v>42908</v>
      </c>
      <c r="B919" s="376">
        <v>1001.3</v>
      </c>
    </row>
    <row r="920" spans="1:2">
      <c r="A920" s="375">
        <v>42909</v>
      </c>
      <c r="B920" s="376">
        <v>1003.74</v>
      </c>
    </row>
    <row r="921" spans="1:2">
      <c r="A921" s="375">
        <v>42912</v>
      </c>
      <c r="B921" s="376">
        <v>993.98</v>
      </c>
    </row>
    <row r="922" spans="1:2">
      <c r="A922" s="375">
        <v>42913</v>
      </c>
      <c r="B922" s="376">
        <v>976.78</v>
      </c>
    </row>
    <row r="923" spans="1:2">
      <c r="A923" s="375">
        <v>42914</v>
      </c>
      <c r="B923" s="376">
        <v>990.33</v>
      </c>
    </row>
    <row r="924" spans="1:2">
      <c r="A924" s="375">
        <v>42915</v>
      </c>
      <c r="B924" s="376">
        <v>975.93</v>
      </c>
    </row>
    <row r="925" spans="1:2">
      <c r="A925" s="375">
        <v>42916</v>
      </c>
      <c r="B925" s="376">
        <v>968</v>
      </c>
    </row>
    <row r="926" spans="1:2">
      <c r="A926" s="375">
        <v>42919</v>
      </c>
      <c r="B926" s="376">
        <v>953.66</v>
      </c>
    </row>
    <row r="927" spans="1:2">
      <c r="A927" s="375">
        <v>42921</v>
      </c>
      <c r="B927" s="376">
        <v>971.4</v>
      </c>
    </row>
    <row r="928" spans="1:2">
      <c r="A928" s="375">
        <v>42922</v>
      </c>
      <c r="B928" s="376">
        <v>965.14</v>
      </c>
    </row>
    <row r="929" spans="1:2">
      <c r="A929" s="375">
        <v>42923</v>
      </c>
      <c r="B929" s="376">
        <v>978.76</v>
      </c>
    </row>
    <row r="930" spans="1:2">
      <c r="A930" s="375">
        <v>42926</v>
      </c>
      <c r="B930" s="376">
        <v>996.47</v>
      </c>
    </row>
    <row r="931" spans="1:2">
      <c r="A931" s="375">
        <v>42927</v>
      </c>
      <c r="B931" s="376">
        <v>994.13</v>
      </c>
    </row>
    <row r="932" spans="1:2">
      <c r="A932" s="375">
        <v>42928</v>
      </c>
      <c r="B932" s="376">
        <v>1006.51</v>
      </c>
    </row>
    <row r="933" spans="1:2">
      <c r="A933" s="375">
        <v>42929</v>
      </c>
      <c r="B933" s="376">
        <v>1000.63</v>
      </c>
    </row>
    <row r="934" spans="1:2">
      <c r="A934" s="375">
        <v>42930</v>
      </c>
      <c r="B934" s="376">
        <v>1001.81</v>
      </c>
    </row>
    <row r="935" spans="1:2">
      <c r="A935" s="375">
        <v>42933</v>
      </c>
      <c r="B935" s="376">
        <v>1010.04</v>
      </c>
    </row>
    <row r="936" spans="1:2">
      <c r="A936" s="375">
        <v>42934</v>
      </c>
      <c r="B936" s="376">
        <v>1024.45</v>
      </c>
    </row>
    <row r="937" spans="1:2">
      <c r="A937" s="375">
        <v>42935</v>
      </c>
      <c r="B937" s="376">
        <v>1026.8699999999999</v>
      </c>
    </row>
    <row r="938" spans="1:2">
      <c r="A938" s="375">
        <v>42936</v>
      </c>
      <c r="B938" s="376">
        <v>1028.7</v>
      </c>
    </row>
    <row r="939" spans="1:2">
      <c r="A939" s="375">
        <v>42937</v>
      </c>
      <c r="B939" s="376">
        <v>1025.67</v>
      </c>
    </row>
    <row r="940" spans="1:2">
      <c r="A940" s="375">
        <v>42940</v>
      </c>
      <c r="B940" s="376">
        <v>1038.95</v>
      </c>
    </row>
    <row r="941" spans="1:2">
      <c r="A941" s="375">
        <v>42941</v>
      </c>
      <c r="B941" s="376">
        <v>1039.8699999999999</v>
      </c>
    </row>
    <row r="942" spans="1:2">
      <c r="A942" s="375">
        <v>42942</v>
      </c>
      <c r="B942" s="376">
        <v>1052.8</v>
      </c>
    </row>
    <row r="943" spans="1:2">
      <c r="A943" s="375">
        <v>42943</v>
      </c>
      <c r="B943" s="376">
        <v>1046</v>
      </c>
    </row>
    <row r="944" spans="1:2">
      <c r="A944" s="375">
        <v>42944</v>
      </c>
      <c r="B944" s="376">
        <v>1020.04</v>
      </c>
    </row>
    <row r="945" spans="1:2">
      <c r="A945" s="375">
        <v>42947</v>
      </c>
      <c r="B945" s="376">
        <v>987.78</v>
      </c>
    </row>
    <row r="946" spans="1:2">
      <c r="A946" s="375">
        <v>42948</v>
      </c>
      <c r="B946" s="376">
        <v>996.19</v>
      </c>
    </row>
    <row r="947" spans="1:2">
      <c r="A947" s="375">
        <v>42949</v>
      </c>
      <c r="B947" s="376">
        <v>995.89</v>
      </c>
    </row>
    <row r="948" spans="1:2">
      <c r="A948" s="375">
        <v>42950</v>
      </c>
      <c r="B948" s="376">
        <v>986.92</v>
      </c>
    </row>
    <row r="949" spans="1:2">
      <c r="A949" s="375">
        <v>42951</v>
      </c>
      <c r="B949" s="376">
        <v>987.58</v>
      </c>
    </row>
    <row r="950" spans="1:2">
      <c r="A950" s="375">
        <v>42954</v>
      </c>
      <c r="B950" s="376">
        <v>992.27</v>
      </c>
    </row>
    <row r="951" spans="1:2">
      <c r="A951" s="375">
        <v>42955</v>
      </c>
      <c r="B951" s="376">
        <v>989.84</v>
      </c>
    </row>
    <row r="952" spans="1:2">
      <c r="A952" s="375">
        <v>42956</v>
      </c>
      <c r="B952" s="376">
        <v>982.01</v>
      </c>
    </row>
    <row r="953" spans="1:2">
      <c r="A953" s="375">
        <v>42957</v>
      </c>
      <c r="B953" s="376">
        <v>956.92</v>
      </c>
    </row>
    <row r="954" spans="1:2">
      <c r="A954" s="375">
        <v>42958</v>
      </c>
      <c r="B954" s="376">
        <v>967.99</v>
      </c>
    </row>
    <row r="955" spans="1:2">
      <c r="A955" s="375">
        <v>42961</v>
      </c>
      <c r="B955" s="376">
        <v>983.3</v>
      </c>
    </row>
    <row r="956" spans="1:2">
      <c r="A956" s="375">
        <v>42962</v>
      </c>
      <c r="B956" s="376">
        <v>982.74</v>
      </c>
    </row>
    <row r="957" spans="1:2">
      <c r="A957" s="375">
        <v>42963</v>
      </c>
      <c r="B957" s="376">
        <v>978.18</v>
      </c>
    </row>
    <row r="958" spans="1:2">
      <c r="A958" s="375">
        <v>42964</v>
      </c>
      <c r="B958" s="376">
        <v>960.57</v>
      </c>
    </row>
    <row r="959" spans="1:2">
      <c r="A959" s="375">
        <v>42965</v>
      </c>
      <c r="B959" s="376">
        <v>958.47</v>
      </c>
    </row>
    <row r="960" spans="1:2">
      <c r="A960" s="375">
        <v>42968</v>
      </c>
      <c r="B960" s="376">
        <v>953.29</v>
      </c>
    </row>
    <row r="961" spans="1:2">
      <c r="A961" s="375">
        <v>42969</v>
      </c>
      <c r="B961" s="376">
        <v>966.9</v>
      </c>
    </row>
    <row r="962" spans="1:2">
      <c r="A962" s="375">
        <v>42970</v>
      </c>
      <c r="B962" s="376">
        <v>958</v>
      </c>
    </row>
    <row r="963" spans="1:2">
      <c r="A963" s="375">
        <v>42971</v>
      </c>
      <c r="B963" s="376">
        <v>952.45</v>
      </c>
    </row>
    <row r="964" spans="1:2">
      <c r="A964" s="375">
        <v>42972</v>
      </c>
      <c r="B964" s="376">
        <v>945.26</v>
      </c>
    </row>
    <row r="965" spans="1:2">
      <c r="A965" s="375">
        <v>42975</v>
      </c>
      <c r="B965" s="376">
        <v>946.02</v>
      </c>
    </row>
    <row r="966" spans="1:2">
      <c r="A966" s="375">
        <v>42976</v>
      </c>
      <c r="B966" s="376">
        <v>954.06</v>
      </c>
    </row>
    <row r="967" spans="1:2">
      <c r="A967" s="375">
        <v>42977</v>
      </c>
      <c r="B967" s="376">
        <v>967.59</v>
      </c>
    </row>
    <row r="968" spans="1:2">
      <c r="A968" s="375">
        <v>42978</v>
      </c>
      <c r="B968" s="376">
        <v>980.6</v>
      </c>
    </row>
    <row r="969" spans="1:2">
      <c r="A969" s="375">
        <v>42979</v>
      </c>
      <c r="B969" s="376">
        <v>978.25</v>
      </c>
    </row>
    <row r="970" spans="1:2">
      <c r="A970" s="375">
        <v>42983</v>
      </c>
      <c r="B970" s="376">
        <v>965.27</v>
      </c>
    </row>
    <row r="971" spans="1:2">
      <c r="A971" s="375">
        <v>42984</v>
      </c>
      <c r="B971" s="376">
        <v>967.8</v>
      </c>
    </row>
    <row r="972" spans="1:2">
      <c r="A972" s="375">
        <v>42985</v>
      </c>
      <c r="B972" s="376">
        <v>979.47</v>
      </c>
    </row>
    <row r="973" spans="1:2">
      <c r="A973" s="375">
        <v>42986</v>
      </c>
      <c r="B973" s="376">
        <v>965.9</v>
      </c>
    </row>
    <row r="974" spans="1:2">
      <c r="A974" s="375">
        <v>42989</v>
      </c>
      <c r="B974" s="376">
        <v>977.96</v>
      </c>
    </row>
    <row r="975" spans="1:2">
      <c r="A975" s="375">
        <v>42990</v>
      </c>
      <c r="B975" s="376">
        <v>982.58</v>
      </c>
    </row>
    <row r="976" spans="1:2">
      <c r="A976" s="375">
        <v>42991</v>
      </c>
      <c r="B976" s="376">
        <v>999.6</v>
      </c>
    </row>
    <row r="977" spans="1:2">
      <c r="A977" s="375">
        <v>42992</v>
      </c>
      <c r="B977" s="376">
        <v>992.21</v>
      </c>
    </row>
    <row r="978" spans="1:2">
      <c r="A978" s="375">
        <v>42993</v>
      </c>
      <c r="B978" s="376">
        <v>986.79</v>
      </c>
    </row>
    <row r="979" spans="1:2">
      <c r="A979" s="375">
        <v>42996</v>
      </c>
      <c r="B979" s="376">
        <v>974.19</v>
      </c>
    </row>
    <row r="980" spans="1:2">
      <c r="A980" s="375">
        <v>42997</v>
      </c>
      <c r="B980" s="376">
        <v>969.86</v>
      </c>
    </row>
    <row r="981" spans="1:2">
      <c r="A981" s="375">
        <v>42998</v>
      </c>
      <c r="B981" s="376">
        <v>973.21</v>
      </c>
    </row>
    <row r="982" spans="1:2">
      <c r="A982" s="375">
        <v>42999</v>
      </c>
      <c r="B982" s="376">
        <v>964.65</v>
      </c>
    </row>
    <row r="983" spans="1:2">
      <c r="A983" s="375">
        <v>43000</v>
      </c>
      <c r="B983" s="376">
        <v>955.1</v>
      </c>
    </row>
    <row r="984" spans="1:2">
      <c r="A984" s="375">
        <v>43003</v>
      </c>
      <c r="B984" s="376">
        <v>939.79</v>
      </c>
    </row>
    <row r="985" spans="1:2">
      <c r="A985" s="375">
        <v>43004</v>
      </c>
      <c r="B985" s="376">
        <v>938.6</v>
      </c>
    </row>
    <row r="986" spans="1:2">
      <c r="A986" s="375">
        <v>43005</v>
      </c>
      <c r="B986" s="376">
        <v>950.87</v>
      </c>
    </row>
    <row r="987" spans="1:2">
      <c r="A987" s="375">
        <v>43006</v>
      </c>
      <c r="B987" s="376">
        <v>956.4</v>
      </c>
    </row>
    <row r="988" spans="1:2">
      <c r="A988" s="375">
        <v>43007</v>
      </c>
      <c r="B988" s="376">
        <v>961.35</v>
      </c>
    </row>
    <row r="989" spans="1:2">
      <c r="A989" s="375">
        <v>43010</v>
      </c>
      <c r="B989" s="376">
        <v>959.19</v>
      </c>
    </row>
    <row r="990" spans="1:2">
      <c r="A990" s="375">
        <v>43011</v>
      </c>
      <c r="B990" s="376">
        <v>957.1</v>
      </c>
    </row>
    <row r="991" spans="1:2">
      <c r="A991" s="375">
        <v>43012</v>
      </c>
      <c r="B991" s="376">
        <v>965.45</v>
      </c>
    </row>
    <row r="992" spans="1:2">
      <c r="A992" s="375">
        <v>43013</v>
      </c>
      <c r="B992" s="376">
        <v>980.85</v>
      </c>
    </row>
    <row r="993" spans="1:2">
      <c r="A993" s="375">
        <v>43014</v>
      </c>
      <c r="B993" s="376">
        <v>989.58</v>
      </c>
    </row>
    <row r="994" spans="1:2">
      <c r="A994" s="375">
        <v>43017</v>
      </c>
      <c r="B994" s="376">
        <v>990.99</v>
      </c>
    </row>
    <row r="995" spans="1:2">
      <c r="A995" s="375">
        <v>43018</v>
      </c>
      <c r="B995" s="376">
        <v>987.2</v>
      </c>
    </row>
    <row r="996" spans="1:2">
      <c r="A996" s="375">
        <v>43019</v>
      </c>
      <c r="B996" s="376">
        <v>995</v>
      </c>
    </row>
    <row r="997" spans="1:2">
      <c r="A997" s="375">
        <v>43020</v>
      </c>
      <c r="B997" s="376">
        <v>1000.93</v>
      </c>
    </row>
    <row r="998" spans="1:2">
      <c r="A998" s="375">
        <v>43021</v>
      </c>
      <c r="B998" s="376">
        <v>1002.94</v>
      </c>
    </row>
    <row r="999" spans="1:2">
      <c r="A999" s="375">
        <v>43024</v>
      </c>
      <c r="B999" s="376">
        <v>1006.34</v>
      </c>
    </row>
    <row r="1000" spans="1:2">
      <c r="A1000" s="375">
        <v>43025</v>
      </c>
      <c r="B1000" s="376">
        <v>1009.13</v>
      </c>
    </row>
    <row r="1001" spans="1:2">
      <c r="A1001" s="375">
        <v>43026</v>
      </c>
      <c r="B1001" s="376">
        <v>997</v>
      </c>
    </row>
    <row r="1002" spans="1:2">
      <c r="A1002" s="375">
        <v>43027</v>
      </c>
      <c r="B1002" s="376">
        <v>986.61</v>
      </c>
    </row>
    <row r="1003" spans="1:2">
      <c r="A1003" s="375">
        <v>43028</v>
      </c>
      <c r="B1003" s="376">
        <v>982.91</v>
      </c>
    </row>
    <row r="1004" spans="1:2">
      <c r="A1004" s="375">
        <v>43031</v>
      </c>
      <c r="B1004" s="376">
        <v>966.3</v>
      </c>
    </row>
    <row r="1005" spans="1:2">
      <c r="A1005" s="375">
        <v>43032</v>
      </c>
      <c r="B1005" s="376">
        <v>975.9</v>
      </c>
    </row>
    <row r="1006" spans="1:2">
      <c r="A1006" s="375">
        <v>43033</v>
      </c>
      <c r="B1006" s="376">
        <v>972.91</v>
      </c>
    </row>
    <row r="1007" spans="1:2">
      <c r="A1007" s="375">
        <v>43034</v>
      </c>
      <c r="B1007" s="376">
        <v>972.43</v>
      </c>
    </row>
    <row r="1008" spans="1:2">
      <c r="A1008" s="375">
        <v>43035</v>
      </c>
      <c r="B1008" s="376">
        <v>1100.95</v>
      </c>
    </row>
    <row r="1009" spans="1:2">
      <c r="A1009" s="375">
        <v>43038</v>
      </c>
      <c r="B1009" s="376">
        <v>1110.8499999999999</v>
      </c>
    </row>
    <row r="1010" spans="1:2">
      <c r="A1010" s="375">
        <v>43039</v>
      </c>
      <c r="B1010" s="376">
        <v>1105.28</v>
      </c>
    </row>
    <row r="1011" spans="1:2">
      <c r="A1011" s="375">
        <v>43040</v>
      </c>
      <c r="B1011" s="376">
        <v>1103.68</v>
      </c>
    </row>
    <row r="1012" spans="1:2">
      <c r="A1012" s="375">
        <v>43041</v>
      </c>
      <c r="B1012" s="376">
        <v>1094.22</v>
      </c>
    </row>
    <row r="1013" spans="1:2">
      <c r="A1013" s="375">
        <v>43042</v>
      </c>
      <c r="B1013" s="376">
        <v>1111.5999999999999</v>
      </c>
    </row>
    <row r="1014" spans="1:2">
      <c r="A1014" s="375">
        <v>43045</v>
      </c>
      <c r="B1014" s="376">
        <v>1120.6600000000001</v>
      </c>
    </row>
    <row r="1015" spans="1:2">
      <c r="A1015" s="375">
        <v>43046</v>
      </c>
      <c r="B1015" s="376">
        <v>1123.17</v>
      </c>
    </row>
    <row r="1016" spans="1:2">
      <c r="A1016" s="375">
        <v>43047</v>
      </c>
      <c r="B1016" s="376">
        <v>1132.8800000000001</v>
      </c>
    </row>
    <row r="1017" spans="1:2">
      <c r="A1017" s="375">
        <v>43048</v>
      </c>
      <c r="B1017" s="376">
        <v>1129.1300000000001</v>
      </c>
    </row>
    <row r="1018" spans="1:2">
      <c r="A1018" s="375">
        <v>43049</v>
      </c>
      <c r="B1018" s="376">
        <v>1125.3499999999999</v>
      </c>
    </row>
    <row r="1019" spans="1:2">
      <c r="A1019" s="375">
        <v>43052</v>
      </c>
      <c r="B1019" s="376">
        <v>1129.17</v>
      </c>
    </row>
    <row r="1020" spans="1:2">
      <c r="A1020" s="375">
        <v>43053</v>
      </c>
      <c r="B1020" s="376">
        <v>1136.8399999999999</v>
      </c>
    </row>
    <row r="1021" spans="1:2">
      <c r="A1021" s="375">
        <v>43054</v>
      </c>
      <c r="B1021" s="376">
        <v>1126.69</v>
      </c>
    </row>
    <row r="1022" spans="1:2">
      <c r="A1022" s="375">
        <v>43055</v>
      </c>
      <c r="B1022" s="376">
        <v>1137.29</v>
      </c>
    </row>
    <row r="1023" spans="1:2">
      <c r="A1023" s="375">
        <v>43056</v>
      </c>
      <c r="B1023" s="376">
        <v>1129.8800000000001</v>
      </c>
    </row>
    <row r="1024" spans="1:2">
      <c r="A1024" s="375">
        <v>43059</v>
      </c>
      <c r="B1024" s="376">
        <v>1126.31</v>
      </c>
    </row>
    <row r="1025" spans="1:2">
      <c r="A1025" s="375">
        <v>43060</v>
      </c>
      <c r="B1025" s="376">
        <v>1139.49</v>
      </c>
    </row>
    <row r="1026" spans="1:2">
      <c r="A1026" s="375">
        <v>43061</v>
      </c>
      <c r="B1026" s="376">
        <v>1156.1600000000001</v>
      </c>
    </row>
    <row r="1027" spans="1:2">
      <c r="A1027" s="375">
        <v>43063</v>
      </c>
      <c r="B1027" s="376">
        <v>1186</v>
      </c>
    </row>
    <row r="1028" spans="1:2">
      <c r="A1028" s="375">
        <v>43066</v>
      </c>
      <c r="B1028" s="376">
        <v>1195.83</v>
      </c>
    </row>
    <row r="1029" spans="1:2">
      <c r="A1029" s="375">
        <v>43067</v>
      </c>
      <c r="B1029" s="376">
        <v>1193.5999999999999</v>
      </c>
    </row>
    <row r="1030" spans="1:2">
      <c r="A1030" s="375">
        <v>43068</v>
      </c>
      <c r="B1030" s="376">
        <v>1161.27</v>
      </c>
    </row>
    <row r="1031" spans="1:2">
      <c r="A1031" s="375">
        <v>43069</v>
      </c>
      <c r="B1031" s="376">
        <v>1176.75</v>
      </c>
    </row>
    <row r="1032" spans="1:2">
      <c r="A1032" s="375">
        <v>43070</v>
      </c>
      <c r="B1032" s="376">
        <v>1162.3499999999999</v>
      </c>
    </row>
    <row r="1033" spans="1:2">
      <c r="A1033" s="375">
        <v>43073</v>
      </c>
      <c r="B1033" s="376">
        <v>1133.95</v>
      </c>
    </row>
    <row r="1034" spans="1:2">
      <c r="A1034" s="375">
        <v>43074</v>
      </c>
      <c r="B1034" s="376">
        <v>1141.57</v>
      </c>
    </row>
    <row r="1035" spans="1:2">
      <c r="A1035" s="375">
        <v>43075</v>
      </c>
      <c r="B1035" s="376">
        <v>1152.3499999999999</v>
      </c>
    </row>
    <row r="1036" spans="1:2">
      <c r="A1036" s="375">
        <v>43076</v>
      </c>
      <c r="B1036" s="376">
        <v>1159.79</v>
      </c>
    </row>
    <row r="1037" spans="1:2">
      <c r="A1037" s="375">
        <v>43077</v>
      </c>
      <c r="B1037" s="376">
        <v>1162</v>
      </c>
    </row>
    <row r="1038" spans="1:2">
      <c r="A1038" s="375">
        <v>43080</v>
      </c>
      <c r="B1038" s="376">
        <v>1168.92</v>
      </c>
    </row>
    <row r="1039" spans="1:2">
      <c r="A1039" s="375">
        <v>43081</v>
      </c>
      <c r="B1039" s="376">
        <v>1165.08</v>
      </c>
    </row>
    <row r="1040" spans="1:2">
      <c r="A1040" s="375">
        <v>43082</v>
      </c>
      <c r="B1040" s="376">
        <v>1164.1300000000001</v>
      </c>
    </row>
    <row r="1041" spans="1:2">
      <c r="A1041" s="375">
        <v>43083</v>
      </c>
      <c r="B1041" s="376">
        <v>1174.26</v>
      </c>
    </row>
    <row r="1042" spans="1:2">
      <c r="A1042" s="375">
        <v>43084</v>
      </c>
      <c r="B1042" s="376">
        <v>1179.1400000000001</v>
      </c>
    </row>
    <row r="1043" spans="1:2">
      <c r="A1043" s="375">
        <v>43087</v>
      </c>
      <c r="B1043" s="376">
        <v>1190.58</v>
      </c>
    </row>
    <row r="1044" spans="1:2">
      <c r="A1044" s="375">
        <v>43088</v>
      </c>
      <c r="B1044" s="376">
        <v>1187.3800000000001</v>
      </c>
    </row>
    <row r="1045" spans="1:2">
      <c r="A1045" s="375">
        <v>43089</v>
      </c>
      <c r="B1045" s="376">
        <v>1177.6199999999999</v>
      </c>
    </row>
    <row r="1046" spans="1:2">
      <c r="A1046" s="375">
        <v>43090</v>
      </c>
      <c r="B1046" s="376">
        <v>1174.76</v>
      </c>
    </row>
    <row r="1047" spans="1:2">
      <c r="A1047" s="375">
        <v>43091</v>
      </c>
      <c r="B1047" s="376">
        <v>1168.3599999999999</v>
      </c>
    </row>
    <row r="1048" spans="1:2">
      <c r="A1048" s="375">
        <v>43095</v>
      </c>
      <c r="B1048" s="376">
        <v>1176.76</v>
      </c>
    </row>
    <row r="1049" spans="1:2">
      <c r="A1049" s="375">
        <v>43096</v>
      </c>
      <c r="B1049" s="376">
        <v>1182.26</v>
      </c>
    </row>
    <row r="1050" spans="1:2">
      <c r="A1050" s="375">
        <v>43097</v>
      </c>
      <c r="B1050" s="376">
        <v>1186.0999999999999</v>
      </c>
    </row>
    <row r="1051" spans="1:2">
      <c r="A1051" s="375">
        <v>43098</v>
      </c>
      <c r="B1051" s="376">
        <v>1169.47</v>
      </c>
    </row>
    <row r="1052" spans="1:2">
      <c r="A1052" s="375">
        <v>43102</v>
      </c>
      <c r="B1052" s="376">
        <v>1189.01</v>
      </c>
    </row>
    <row r="1053" spans="1:2">
      <c r="A1053" s="375">
        <v>43103</v>
      </c>
      <c r="B1053" s="376">
        <v>1204.2</v>
      </c>
    </row>
    <row r="1054" spans="1:2">
      <c r="A1054" s="375">
        <v>43104</v>
      </c>
      <c r="B1054" s="376">
        <v>1209.5899999999999</v>
      </c>
    </row>
    <row r="1055" spans="1:2">
      <c r="A1055" s="375">
        <v>43105</v>
      </c>
      <c r="B1055" s="376">
        <v>1229.1400000000001</v>
      </c>
    </row>
    <row r="1056" spans="1:2">
      <c r="A1056" s="375">
        <v>43108</v>
      </c>
      <c r="B1056" s="376">
        <v>1246.8699999999999</v>
      </c>
    </row>
    <row r="1057" spans="1:2">
      <c r="A1057" s="375">
        <v>43109</v>
      </c>
      <c r="B1057" s="376">
        <v>1252.7</v>
      </c>
    </row>
    <row r="1058" spans="1:2">
      <c r="A1058" s="375">
        <v>43110</v>
      </c>
      <c r="B1058" s="376">
        <v>1254.33</v>
      </c>
    </row>
    <row r="1059" spans="1:2">
      <c r="A1059" s="375">
        <v>43111</v>
      </c>
      <c r="B1059" s="376">
        <v>1276.68</v>
      </c>
    </row>
    <row r="1060" spans="1:2">
      <c r="A1060" s="375">
        <v>43112</v>
      </c>
      <c r="B1060" s="376">
        <v>1305.2</v>
      </c>
    </row>
    <row r="1061" spans="1:2">
      <c r="A1061" s="375">
        <v>43116</v>
      </c>
      <c r="B1061" s="376">
        <v>1304.8599999999999</v>
      </c>
    </row>
    <row r="1062" spans="1:2">
      <c r="A1062" s="375">
        <v>43117</v>
      </c>
      <c r="B1062" s="376">
        <v>1295</v>
      </c>
    </row>
    <row r="1063" spans="1:2">
      <c r="A1063" s="375">
        <v>43118</v>
      </c>
      <c r="B1063" s="376">
        <v>1293.32</v>
      </c>
    </row>
    <row r="1064" spans="1:2">
      <c r="A1064" s="375">
        <v>43119</v>
      </c>
      <c r="B1064" s="376">
        <v>1294.58</v>
      </c>
    </row>
    <row r="1065" spans="1:2">
      <c r="A1065" s="375">
        <v>43122</v>
      </c>
      <c r="B1065" s="376">
        <v>1327.31</v>
      </c>
    </row>
    <row r="1066" spans="1:2">
      <c r="A1066" s="375">
        <v>43123</v>
      </c>
      <c r="B1066" s="376">
        <v>1362.54</v>
      </c>
    </row>
    <row r="1067" spans="1:2">
      <c r="A1067" s="375">
        <v>43124</v>
      </c>
      <c r="B1067" s="376">
        <v>1357.51</v>
      </c>
    </row>
    <row r="1068" spans="1:2">
      <c r="A1068" s="375">
        <v>43125</v>
      </c>
      <c r="B1068" s="376">
        <v>1377.95</v>
      </c>
    </row>
    <row r="1069" spans="1:2">
      <c r="A1069" s="375">
        <v>43126</v>
      </c>
      <c r="B1069" s="376">
        <v>1402.05</v>
      </c>
    </row>
    <row r="1070" spans="1:2">
      <c r="A1070" s="375">
        <v>43129</v>
      </c>
      <c r="B1070" s="376">
        <v>1417.68</v>
      </c>
    </row>
    <row r="1071" spans="1:2">
      <c r="A1071" s="375">
        <v>43130</v>
      </c>
      <c r="B1071" s="376">
        <v>1437.82</v>
      </c>
    </row>
    <row r="1072" spans="1:2">
      <c r="A1072" s="375">
        <v>43131</v>
      </c>
      <c r="B1072" s="376">
        <v>1450.89</v>
      </c>
    </row>
    <row r="1073" spans="1:2">
      <c r="A1073" s="375">
        <v>43132</v>
      </c>
      <c r="B1073" s="376">
        <v>1390</v>
      </c>
    </row>
    <row r="1074" spans="1:2">
      <c r="A1074" s="375">
        <v>43133</v>
      </c>
      <c r="B1074" s="376">
        <v>1429.95</v>
      </c>
    </row>
    <row r="1075" spans="1:2">
      <c r="A1075" s="375">
        <v>43136</v>
      </c>
      <c r="B1075" s="376">
        <v>1390</v>
      </c>
    </row>
    <row r="1076" spans="1:2">
      <c r="A1076" s="375">
        <v>43137</v>
      </c>
      <c r="B1076" s="376">
        <v>1442.84</v>
      </c>
    </row>
    <row r="1077" spans="1:2">
      <c r="A1077" s="375">
        <v>43138</v>
      </c>
      <c r="B1077" s="376">
        <v>1416.78</v>
      </c>
    </row>
    <row r="1078" spans="1:2">
      <c r="A1078" s="375">
        <v>43139</v>
      </c>
      <c r="B1078" s="376">
        <v>1350.5</v>
      </c>
    </row>
    <row r="1079" spans="1:2">
      <c r="A1079" s="375">
        <v>43140</v>
      </c>
      <c r="B1079" s="376">
        <v>1339.6</v>
      </c>
    </row>
    <row r="1080" spans="1:2">
      <c r="A1080" s="375">
        <v>43143</v>
      </c>
      <c r="B1080" s="376">
        <v>1386.23</v>
      </c>
    </row>
    <row r="1081" spans="1:2">
      <c r="A1081" s="375">
        <v>43144</v>
      </c>
      <c r="B1081" s="376">
        <v>1414.51</v>
      </c>
    </row>
    <row r="1082" spans="1:2">
      <c r="A1082" s="375">
        <v>43145</v>
      </c>
      <c r="B1082" s="376">
        <v>1451.05</v>
      </c>
    </row>
    <row r="1083" spans="1:2">
      <c r="A1083" s="375">
        <v>43146</v>
      </c>
      <c r="B1083" s="376">
        <v>1461.76</v>
      </c>
    </row>
    <row r="1084" spans="1:2">
      <c r="A1084" s="375">
        <v>43147</v>
      </c>
      <c r="B1084" s="376">
        <v>1448.69</v>
      </c>
    </row>
    <row r="1085" spans="1:2">
      <c r="A1085" s="375">
        <v>43151</v>
      </c>
      <c r="B1085" s="376">
        <v>1468.35</v>
      </c>
    </row>
    <row r="1086" spans="1:2">
      <c r="A1086" s="375">
        <v>43152</v>
      </c>
      <c r="B1086" s="376">
        <v>1482.92</v>
      </c>
    </row>
    <row r="1087" spans="1:2">
      <c r="A1087" s="375">
        <v>43153</v>
      </c>
      <c r="B1087" s="376">
        <v>1485.34</v>
      </c>
    </row>
    <row r="1088" spans="1:2">
      <c r="A1088" s="375">
        <v>43154</v>
      </c>
      <c r="B1088" s="376">
        <v>1500</v>
      </c>
    </row>
    <row r="1089" spans="1:2">
      <c r="A1089" s="375">
        <v>43157</v>
      </c>
      <c r="B1089" s="376">
        <v>1521.95</v>
      </c>
    </row>
    <row r="1090" spans="1:2">
      <c r="A1090" s="375">
        <v>43158</v>
      </c>
      <c r="B1090" s="376">
        <v>1511.98</v>
      </c>
    </row>
    <row r="1091" spans="1:2">
      <c r="A1091" s="375">
        <v>43159</v>
      </c>
      <c r="B1091" s="376">
        <v>1512.45</v>
      </c>
    </row>
    <row r="1092" spans="1:2">
      <c r="A1092" s="375">
        <v>43160</v>
      </c>
      <c r="B1092" s="376">
        <v>1493.45</v>
      </c>
    </row>
    <row r="1093" spans="1:2">
      <c r="A1093" s="375">
        <v>43161</v>
      </c>
      <c r="B1093" s="376">
        <v>1500.25</v>
      </c>
    </row>
    <row r="1094" spans="1:2">
      <c r="A1094" s="375">
        <v>43164</v>
      </c>
      <c r="B1094" s="376">
        <v>1523.61</v>
      </c>
    </row>
    <row r="1095" spans="1:2">
      <c r="A1095" s="375">
        <v>43165</v>
      </c>
      <c r="B1095" s="376">
        <v>1537.64</v>
      </c>
    </row>
    <row r="1096" spans="1:2">
      <c r="A1096" s="375">
        <v>43166</v>
      </c>
      <c r="B1096" s="376">
        <v>1545</v>
      </c>
    </row>
    <row r="1097" spans="1:2">
      <c r="A1097" s="375">
        <v>43167</v>
      </c>
      <c r="B1097" s="376">
        <v>1551.86</v>
      </c>
    </row>
    <row r="1098" spans="1:2">
      <c r="A1098" s="375">
        <v>43168</v>
      </c>
      <c r="B1098" s="376">
        <v>1578.89</v>
      </c>
    </row>
    <row r="1099" spans="1:2">
      <c r="A1099" s="375">
        <v>43171</v>
      </c>
      <c r="B1099" s="376">
        <v>1598.39</v>
      </c>
    </row>
    <row r="1100" spans="1:2">
      <c r="A1100" s="375">
        <v>43172</v>
      </c>
      <c r="B1100" s="376">
        <v>1588.18</v>
      </c>
    </row>
    <row r="1101" spans="1:2">
      <c r="A1101" s="375">
        <v>43173</v>
      </c>
      <c r="B1101" s="376">
        <v>1591</v>
      </c>
    </row>
    <row r="1102" spans="1:2">
      <c r="A1102" s="375">
        <v>43174</v>
      </c>
      <c r="B1102" s="376">
        <v>1582.32</v>
      </c>
    </row>
    <row r="1103" spans="1:2">
      <c r="A1103" s="375">
        <v>43175</v>
      </c>
      <c r="B1103" s="376">
        <v>1571.68</v>
      </c>
    </row>
    <row r="1104" spans="1:2">
      <c r="A1104" s="375">
        <v>43178</v>
      </c>
      <c r="B1104" s="376">
        <v>1544.93</v>
      </c>
    </row>
    <row r="1105" spans="1:2">
      <c r="A1105" s="375">
        <v>43179</v>
      </c>
      <c r="B1105" s="376">
        <v>1586.51</v>
      </c>
    </row>
    <row r="1106" spans="1:2">
      <c r="A1106" s="375">
        <v>43180</v>
      </c>
      <c r="B1106" s="376">
        <v>1581.86</v>
      </c>
    </row>
    <row r="1107" spans="1:2">
      <c r="A1107" s="375">
        <v>43181</v>
      </c>
      <c r="B1107" s="376">
        <v>1544.92</v>
      </c>
    </row>
    <row r="1108" spans="1:2">
      <c r="A1108" s="375">
        <v>43182</v>
      </c>
      <c r="B1108" s="376">
        <v>1495.56</v>
      </c>
    </row>
    <row r="1109" spans="1:2">
      <c r="A1109" s="375">
        <v>43185</v>
      </c>
      <c r="B1109" s="376">
        <v>1555.86</v>
      </c>
    </row>
    <row r="1110" spans="1:2">
      <c r="A1110" s="375">
        <v>43186</v>
      </c>
      <c r="B1110" s="376">
        <v>1497.05</v>
      </c>
    </row>
    <row r="1111" spans="1:2">
      <c r="A1111" s="375">
        <v>43187</v>
      </c>
      <c r="B1111" s="376">
        <v>1431.42</v>
      </c>
    </row>
    <row r="1112" spans="1:2">
      <c r="A1112" s="375">
        <v>43188</v>
      </c>
      <c r="B1112" s="376">
        <v>1447.34</v>
      </c>
    </row>
    <row r="1113" spans="1:2">
      <c r="A1113" s="375">
        <v>43192</v>
      </c>
      <c r="B1113" s="376">
        <v>1371.99</v>
      </c>
    </row>
    <row r="1114" spans="1:2">
      <c r="A1114" s="375">
        <v>43193</v>
      </c>
      <c r="B1114" s="376">
        <v>1392.05</v>
      </c>
    </row>
    <row r="1115" spans="1:2">
      <c r="A1115" s="375">
        <v>43194</v>
      </c>
      <c r="B1115" s="376">
        <v>1410.57</v>
      </c>
    </row>
    <row r="1116" spans="1:2">
      <c r="A1116" s="375">
        <v>43195</v>
      </c>
      <c r="B1116" s="376">
        <v>1451.75</v>
      </c>
    </row>
    <row r="1117" spans="1:2">
      <c r="A1117" s="375">
        <v>43196</v>
      </c>
      <c r="B1117" s="376">
        <v>1405.23</v>
      </c>
    </row>
    <row r="1118" spans="1:2">
      <c r="A1118" s="375">
        <v>43199</v>
      </c>
      <c r="B1118" s="376">
        <v>1406.08</v>
      </c>
    </row>
    <row r="1119" spans="1:2">
      <c r="A1119" s="375">
        <v>43200</v>
      </c>
      <c r="B1119" s="376">
        <v>1436.22</v>
      </c>
    </row>
    <row r="1120" spans="1:2">
      <c r="A1120" s="375">
        <v>43201</v>
      </c>
      <c r="B1120" s="376">
        <v>1427.05</v>
      </c>
    </row>
    <row r="1121" spans="1:2">
      <c r="A1121" s="375">
        <v>43202</v>
      </c>
      <c r="B1121" s="376">
        <v>1448.5</v>
      </c>
    </row>
    <row r="1122" spans="1:2">
      <c r="A1122" s="375">
        <v>43203</v>
      </c>
      <c r="B1122" s="376">
        <v>1430.79</v>
      </c>
    </row>
    <row r="1123" spans="1:2">
      <c r="A1123" s="375">
        <v>43206</v>
      </c>
      <c r="B1123" s="376">
        <v>1441.5</v>
      </c>
    </row>
    <row r="1124" spans="1:2">
      <c r="A1124" s="375">
        <v>43207</v>
      </c>
      <c r="B1124" s="376">
        <v>1503.83</v>
      </c>
    </row>
    <row r="1125" spans="1:2">
      <c r="A1125" s="375">
        <v>43208</v>
      </c>
      <c r="B1125" s="376">
        <v>1527.84</v>
      </c>
    </row>
    <row r="1126" spans="1:2">
      <c r="A1126" s="375">
        <v>43209</v>
      </c>
      <c r="B1126" s="376">
        <v>1556.91</v>
      </c>
    </row>
    <row r="1127" spans="1:2">
      <c r="A1127" s="375">
        <v>43210</v>
      </c>
      <c r="B1127" s="376">
        <v>1527.49</v>
      </c>
    </row>
    <row r="1128" spans="1:2">
      <c r="A1128" s="375">
        <v>43213</v>
      </c>
      <c r="B1128" s="376">
        <v>1517.86</v>
      </c>
    </row>
    <row r="1129" spans="1:2">
      <c r="A1129" s="375">
        <v>43214</v>
      </c>
      <c r="B1129" s="376">
        <v>1460.09</v>
      </c>
    </row>
    <row r="1130" spans="1:2">
      <c r="A1130" s="375">
        <v>43215</v>
      </c>
      <c r="B1130" s="376">
        <v>1460.17</v>
      </c>
    </row>
    <row r="1131" spans="1:2">
      <c r="A1131" s="375">
        <v>43216</v>
      </c>
      <c r="B1131" s="376">
        <v>1517.96</v>
      </c>
    </row>
    <row r="1132" spans="1:2">
      <c r="A1132" s="375">
        <v>43217</v>
      </c>
      <c r="B1132" s="376">
        <v>1572.62</v>
      </c>
    </row>
    <row r="1133" spans="1:2">
      <c r="A1133" s="375">
        <v>43220</v>
      </c>
      <c r="B1133" s="376">
        <v>1566.13</v>
      </c>
    </row>
    <row r="1134" spans="1:2">
      <c r="A1134" s="375">
        <v>43221</v>
      </c>
      <c r="B1134" s="376">
        <v>1582.26</v>
      </c>
    </row>
    <row r="1135" spans="1:2">
      <c r="A1135" s="375">
        <v>43222</v>
      </c>
      <c r="B1135" s="376">
        <v>1569.68</v>
      </c>
    </row>
    <row r="1136" spans="1:2">
      <c r="A1136" s="375">
        <v>43223</v>
      </c>
      <c r="B1136" s="376">
        <v>1572.075</v>
      </c>
    </row>
    <row r="1137" spans="1:2">
      <c r="A1137" s="375">
        <v>43224</v>
      </c>
      <c r="B1137" s="376">
        <v>1580.95</v>
      </c>
    </row>
    <row r="1138" spans="1:2">
      <c r="A1138" s="375">
        <v>43227</v>
      </c>
      <c r="B1138" s="376">
        <v>1600.14</v>
      </c>
    </row>
    <row r="1139" spans="1:2">
      <c r="A1139" s="375">
        <v>43228</v>
      </c>
      <c r="B1139" s="376">
        <v>1592.39</v>
      </c>
    </row>
    <row r="1140" spans="1:2">
      <c r="A1140" s="375">
        <v>43229</v>
      </c>
      <c r="B1140" s="376">
        <v>1608</v>
      </c>
    </row>
    <row r="1141" spans="1:2">
      <c r="A1141" s="375">
        <v>43230</v>
      </c>
      <c r="B1141" s="376">
        <v>1609.08</v>
      </c>
    </row>
    <row r="1142" spans="1:2">
      <c r="A1142" s="375">
        <v>43231</v>
      </c>
      <c r="B1142" s="376">
        <v>1602.91</v>
      </c>
    </row>
    <row r="1143" spans="1:2">
      <c r="A1143" s="375">
        <v>43234</v>
      </c>
      <c r="B1143" s="376">
        <v>1601.54</v>
      </c>
    </row>
    <row r="1144" spans="1:2">
      <c r="A1144" s="375">
        <v>43235</v>
      </c>
      <c r="B1144" s="376">
        <v>1576.12</v>
      </c>
    </row>
    <row r="1145" spans="1:2">
      <c r="A1145" s="375">
        <v>43236</v>
      </c>
      <c r="B1145" s="376">
        <v>1587.28</v>
      </c>
    </row>
    <row r="1146" spans="1:2">
      <c r="A1146" s="375">
        <v>43237</v>
      </c>
      <c r="B1146" s="376">
        <v>1581.76</v>
      </c>
    </row>
    <row r="1147" spans="1:2">
      <c r="A1147" s="375">
        <v>43238</v>
      </c>
      <c r="B1147" s="376">
        <v>1574.37</v>
      </c>
    </row>
    <row r="1148" spans="1:2">
      <c r="A1148" s="375">
        <v>43241</v>
      </c>
      <c r="B1148" s="376">
        <v>1585.46</v>
      </c>
    </row>
    <row r="1149" spans="1:2">
      <c r="A1149" s="375">
        <v>43242</v>
      </c>
      <c r="B1149" s="376">
        <v>1581.4</v>
      </c>
    </row>
    <row r="1150" spans="1:2">
      <c r="A1150" s="375">
        <v>43243</v>
      </c>
      <c r="B1150" s="376">
        <v>1601.86</v>
      </c>
    </row>
    <row r="1151" spans="1:2">
      <c r="A1151" s="375">
        <v>43244</v>
      </c>
      <c r="B1151" s="376">
        <v>1603.07</v>
      </c>
    </row>
    <row r="1152" spans="1:2">
      <c r="A1152" s="375">
        <v>43245</v>
      </c>
      <c r="B1152" s="376">
        <v>1610.15</v>
      </c>
    </row>
    <row r="1153" spans="1:2">
      <c r="A1153" s="375">
        <v>43249</v>
      </c>
      <c r="B1153" s="376">
        <v>1612.87</v>
      </c>
    </row>
    <row r="1154" spans="1:2">
      <c r="A1154" s="375">
        <v>43250</v>
      </c>
      <c r="B1154" s="376">
        <v>1624.89</v>
      </c>
    </row>
    <row r="1155" spans="1:2">
      <c r="A1155" s="375">
        <v>43251</v>
      </c>
      <c r="B1155" s="376">
        <v>1629.62</v>
      </c>
    </row>
    <row r="1156" spans="1:2">
      <c r="A1156" s="375">
        <v>43252</v>
      </c>
      <c r="B1156" s="376">
        <v>1641.54</v>
      </c>
    </row>
    <row r="1157" spans="1:2">
      <c r="A1157" s="375">
        <v>43255</v>
      </c>
      <c r="B1157" s="376">
        <v>1665.27</v>
      </c>
    </row>
    <row r="1158" spans="1:2">
      <c r="A1158" s="375">
        <v>43256</v>
      </c>
      <c r="B1158" s="376">
        <v>1696.35</v>
      </c>
    </row>
    <row r="1159" spans="1:2">
      <c r="A1159" s="375">
        <v>43257</v>
      </c>
      <c r="B1159" s="376">
        <v>1695.75</v>
      </c>
    </row>
    <row r="1160" spans="1:2">
      <c r="A1160" s="375">
        <v>43258</v>
      </c>
      <c r="B1160" s="376">
        <v>1689.3</v>
      </c>
    </row>
    <row r="1161" spans="1:2">
      <c r="A1161" s="375">
        <v>43259</v>
      </c>
      <c r="B1161" s="376">
        <v>1683.99</v>
      </c>
    </row>
    <row r="1162" spans="1:2">
      <c r="A1162" s="375">
        <v>43262</v>
      </c>
      <c r="B1162" s="376">
        <v>1689.12</v>
      </c>
    </row>
    <row r="1163" spans="1:2">
      <c r="A1163" s="375">
        <v>43263</v>
      </c>
      <c r="B1163" s="376">
        <v>1698.75</v>
      </c>
    </row>
    <row r="1164" spans="1:2">
      <c r="A1164" s="375">
        <v>43264</v>
      </c>
      <c r="B1164" s="376">
        <v>1704.86</v>
      </c>
    </row>
    <row r="1165" spans="1:2">
      <c r="A1165" s="375">
        <v>43265</v>
      </c>
      <c r="B1165" s="376">
        <v>1723.86</v>
      </c>
    </row>
    <row r="1166" spans="1:2">
      <c r="A1166" s="375">
        <v>43266</v>
      </c>
      <c r="B1166" s="376">
        <v>1715.97</v>
      </c>
    </row>
    <row r="1167" spans="1:2">
      <c r="A1167" s="375">
        <v>43269</v>
      </c>
      <c r="B1167" s="376">
        <v>1723.79</v>
      </c>
    </row>
    <row r="1168" spans="1:2">
      <c r="A1168" s="375">
        <v>43270</v>
      </c>
      <c r="B1168" s="376">
        <v>1734.78</v>
      </c>
    </row>
    <row r="1169" spans="1:2">
      <c r="A1169" s="375">
        <v>43271</v>
      </c>
      <c r="B1169" s="376">
        <v>1750.08</v>
      </c>
    </row>
    <row r="1170" spans="1:2">
      <c r="A1170" s="375">
        <v>43272</v>
      </c>
      <c r="B1170" s="376">
        <v>1730.22</v>
      </c>
    </row>
    <row r="1171" spans="1:2">
      <c r="A1171" s="375">
        <v>43273</v>
      </c>
      <c r="B1171" s="376">
        <v>1715.67</v>
      </c>
    </row>
    <row r="1172" spans="1:2">
      <c r="A1172" s="375">
        <v>43276</v>
      </c>
      <c r="B1172" s="376">
        <v>1663.15</v>
      </c>
    </row>
    <row r="1173" spans="1:2">
      <c r="A1173" s="375">
        <v>43277</v>
      </c>
      <c r="B1173" s="376">
        <v>1691.09</v>
      </c>
    </row>
    <row r="1174" spans="1:2">
      <c r="A1174" s="375">
        <v>43278</v>
      </c>
      <c r="B1174" s="376">
        <v>1660.51</v>
      </c>
    </row>
    <row r="1175" spans="1:2">
      <c r="A1175" s="375">
        <v>43279</v>
      </c>
      <c r="B1175" s="376">
        <v>1701.45</v>
      </c>
    </row>
    <row r="1176" spans="1:2">
      <c r="A1176" s="375">
        <v>43280</v>
      </c>
      <c r="B1176" s="376">
        <v>1699.8</v>
      </c>
    </row>
    <row r="1177" spans="1:2">
      <c r="A1177" s="375">
        <v>43283</v>
      </c>
      <c r="B1177" s="376">
        <v>1713.78</v>
      </c>
    </row>
    <row r="1178" spans="1:2">
      <c r="A1178" s="375">
        <v>43284</v>
      </c>
      <c r="B1178" s="376">
        <v>1693.96</v>
      </c>
    </row>
    <row r="1179" spans="1:2">
      <c r="A1179" s="375">
        <v>43286</v>
      </c>
      <c r="B1179" s="376">
        <v>1699.73</v>
      </c>
    </row>
    <row r="1180" spans="1:2">
      <c r="A1180" s="375">
        <v>43287</v>
      </c>
      <c r="B1180" s="376">
        <v>1710.63</v>
      </c>
    </row>
    <row r="1181" spans="1:2">
      <c r="A1181" s="375">
        <v>43290</v>
      </c>
      <c r="B1181" s="376">
        <v>1739.02</v>
      </c>
    </row>
    <row r="1182" spans="1:2">
      <c r="A1182" s="375">
        <v>43291</v>
      </c>
      <c r="B1182" s="376">
        <v>1743.07</v>
      </c>
    </row>
    <row r="1183" spans="1:2">
      <c r="A1183" s="375">
        <v>43292</v>
      </c>
      <c r="B1183" s="376">
        <v>1755</v>
      </c>
    </row>
    <row r="1184" spans="1:2">
      <c r="A1184" s="375">
        <v>43293</v>
      </c>
      <c r="B1184" s="376">
        <v>1796.62</v>
      </c>
    </row>
    <row r="1185" spans="1:2">
      <c r="A1185" s="375">
        <v>43294</v>
      </c>
      <c r="B1185" s="376">
        <v>1813.03</v>
      </c>
    </row>
    <row r="1186" spans="1:2">
      <c r="A1186" s="375">
        <v>43297</v>
      </c>
      <c r="B1186" s="376">
        <v>1822.49</v>
      </c>
    </row>
    <row r="1187" spans="1:2">
      <c r="A1187" s="375">
        <v>43298</v>
      </c>
      <c r="B1187" s="376">
        <v>1843.93</v>
      </c>
    </row>
    <row r="1188" spans="1:2">
      <c r="A1188" s="375">
        <v>43299</v>
      </c>
      <c r="B1188" s="376">
        <v>1842.92</v>
      </c>
    </row>
    <row r="1189" spans="1:2">
      <c r="A1189" s="375">
        <v>43300</v>
      </c>
      <c r="B1189" s="376">
        <v>1812.97</v>
      </c>
    </row>
    <row r="1190" spans="1:2">
      <c r="A1190" s="375">
        <v>43301</v>
      </c>
      <c r="B1190" s="376">
        <v>1813.7</v>
      </c>
    </row>
    <row r="1191" spans="1:2">
      <c r="A1191" s="375">
        <v>43304</v>
      </c>
      <c r="B1191" s="376">
        <v>1802</v>
      </c>
    </row>
    <row r="1192" spans="1:2">
      <c r="A1192" s="375">
        <v>43305</v>
      </c>
      <c r="B1192" s="376">
        <v>1829.24</v>
      </c>
    </row>
    <row r="1193" spans="1:2">
      <c r="A1193" s="375">
        <v>43306</v>
      </c>
      <c r="B1193" s="376">
        <v>1863.61</v>
      </c>
    </row>
    <row r="1194" spans="1:2">
      <c r="A1194" s="375">
        <v>43307</v>
      </c>
      <c r="B1194" s="376">
        <v>1808</v>
      </c>
    </row>
    <row r="1195" spans="1:2">
      <c r="A1195" s="375">
        <v>43308</v>
      </c>
      <c r="B1195" s="376">
        <v>1817.27</v>
      </c>
    </row>
    <row r="1196" spans="1:2">
      <c r="A1196" s="375">
        <v>43311</v>
      </c>
      <c r="B1196" s="376">
        <v>1779.22</v>
      </c>
    </row>
    <row r="1197" spans="1:2">
      <c r="A1197" s="375">
        <v>43312</v>
      </c>
      <c r="B1197" s="376">
        <v>1777.44</v>
      </c>
    </row>
    <row r="1198" spans="1:2">
      <c r="A1198" s="375">
        <v>43313</v>
      </c>
      <c r="B1198" s="376">
        <v>1797.17</v>
      </c>
    </row>
    <row r="1199" spans="1:2">
      <c r="A1199" s="375">
        <v>43314</v>
      </c>
      <c r="B1199" s="376">
        <v>1834.33</v>
      </c>
    </row>
    <row r="1200" spans="1:2">
      <c r="A1200" s="375">
        <v>43315</v>
      </c>
      <c r="B1200" s="376">
        <v>1823.29</v>
      </c>
    </row>
    <row r="1201" spans="1:2">
      <c r="A1201" s="375">
        <v>43318</v>
      </c>
      <c r="B1201" s="376">
        <v>1847.75</v>
      </c>
    </row>
    <row r="1202" spans="1:2">
      <c r="A1202" s="375">
        <v>43319</v>
      </c>
      <c r="B1202" s="376">
        <v>1862.48</v>
      </c>
    </row>
    <row r="1203" spans="1:2">
      <c r="A1203" s="375">
        <v>43320</v>
      </c>
      <c r="B1203" s="376">
        <v>1886.52</v>
      </c>
    </row>
    <row r="1204" spans="1:2">
      <c r="A1204" s="375">
        <v>43321</v>
      </c>
      <c r="B1204" s="376">
        <v>1898.52</v>
      </c>
    </row>
    <row r="1205" spans="1:2">
      <c r="A1205" s="375">
        <v>43322</v>
      </c>
      <c r="B1205" s="376">
        <v>1886.3</v>
      </c>
    </row>
    <row r="1206" spans="1:2">
      <c r="A1206" s="375">
        <v>43325</v>
      </c>
      <c r="B1206" s="376">
        <v>1896.2</v>
      </c>
    </row>
    <row r="1207" spans="1:2">
      <c r="A1207" s="375">
        <v>43326</v>
      </c>
      <c r="B1207" s="376">
        <v>1919.65</v>
      </c>
    </row>
    <row r="1208" spans="1:2">
      <c r="A1208" s="375">
        <v>43327</v>
      </c>
      <c r="B1208" s="376">
        <v>1882.62</v>
      </c>
    </row>
    <row r="1209" spans="1:2">
      <c r="A1209" s="375">
        <v>43328</v>
      </c>
      <c r="B1209" s="376">
        <v>1886.52</v>
      </c>
    </row>
    <row r="1210" spans="1:2">
      <c r="A1210" s="375">
        <v>43329</v>
      </c>
      <c r="B1210" s="376">
        <v>1882.22</v>
      </c>
    </row>
    <row r="1211" spans="1:2">
      <c r="A1211" s="375">
        <v>43332</v>
      </c>
      <c r="B1211" s="376">
        <v>1876.71</v>
      </c>
    </row>
    <row r="1212" spans="1:2">
      <c r="A1212" s="375">
        <v>43333</v>
      </c>
      <c r="B1212" s="376">
        <v>1883.42</v>
      </c>
    </row>
    <row r="1213" spans="1:2">
      <c r="A1213" s="375">
        <v>43334</v>
      </c>
      <c r="B1213" s="376">
        <v>1904.9</v>
      </c>
    </row>
    <row r="1214" spans="1:2">
      <c r="A1214" s="375">
        <v>43335</v>
      </c>
      <c r="B1214" s="376">
        <v>1902.9</v>
      </c>
    </row>
    <row r="1215" spans="1:2">
      <c r="A1215" s="375">
        <v>43336</v>
      </c>
      <c r="B1215" s="376">
        <v>1905.39</v>
      </c>
    </row>
    <row r="1216" spans="1:2">
      <c r="A1216" s="375">
        <v>43339</v>
      </c>
      <c r="B1216" s="376">
        <v>1927.68</v>
      </c>
    </row>
    <row r="1217" spans="1:2">
      <c r="A1217" s="375">
        <v>43340</v>
      </c>
      <c r="B1217" s="376">
        <v>1932.82</v>
      </c>
    </row>
    <row r="1218" spans="1:2">
      <c r="A1218" s="375">
        <v>43341</v>
      </c>
      <c r="B1218" s="376">
        <v>1998.1</v>
      </c>
    </row>
    <row r="1219" spans="1:2">
      <c r="A1219" s="375">
        <v>43342</v>
      </c>
      <c r="B1219" s="376">
        <v>2002.38</v>
      </c>
    </row>
    <row r="1220" spans="1:2">
      <c r="A1220" s="375">
        <v>43343</v>
      </c>
      <c r="B1220" s="376">
        <v>2012.71</v>
      </c>
    </row>
    <row r="1221" spans="1:2">
      <c r="A1221" s="375">
        <v>43347</v>
      </c>
      <c r="B1221" s="376">
        <v>2039.51</v>
      </c>
    </row>
    <row r="1222" spans="1:2">
      <c r="A1222" s="375">
        <v>43348</v>
      </c>
      <c r="B1222" s="376">
        <v>1994.82</v>
      </c>
    </row>
    <row r="1223" spans="1:2">
      <c r="A1223" s="375">
        <v>43349</v>
      </c>
      <c r="B1223" s="376">
        <v>1958.31</v>
      </c>
    </row>
    <row r="1224" spans="1:2">
      <c r="A1224" s="375">
        <v>43350</v>
      </c>
      <c r="B1224" s="376">
        <v>1952.07</v>
      </c>
    </row>
    <row r="1225" spans="1:2">
      <c r="A1225" s="375">
        <v>43353</v>
      </c>
      <c r="B1225" s="376">
        <v>1939.01</v>
      </c>
    </row>
    <row r="1226" spans="1:2">
      <c r="A1226" s="375">
        <v>43354</v>
      </c>
      <c r="B1226" s="376">
        <v>1987.15</v>
      </c>
    </row>
    <row r="1227" spans="1:2">
      <c r="A1227" s="375">
        <v>43355</v>
      </c>
      <c r="B1227" s="376">
        <v>1990</v>
      </c>
    </row>
    <row r="1228" spans="1:2">
      <c r="A1228" s="375">
        <v>43356</v>
      </c>
      <c r="B1228" s="376">
        <v>1989.87</v>
      </c>
    </row>
    <row r="1229" spans="1:2">
      <c r="A1229" s="375">
        <v>43357</v>
      </c>
      <c r="B1229" s="376">
        <v>1970.19</v>
      </c>
    </row>
    <row r="1230" spans="1:2">
      <c r="A1230" s="375">
        <v>43360</v>
      </c>
      <c r="B1230" s="376">
        <v>1908.03</v>
      </c>
    </row>
    <row r="1231" spans="1:2">
      <c r="A1231" s="375">
        <v>43361</v>
      </c>
      <c r="B1231" s="376">
        <v>1941.05</v>
      </c>
    </row>
    <row r="1232" spans="1:2">
      <c r="A1232" s="375">
        <v>43362</v>
      </c>
      <c r="B1232" s="376">
        <v>1926.42</v>
      </c>
    </row>
    <row r="1233" spans="1:2">
      <c r="A1233" s="375">
        <v>43363</v>
      </c>
      <c r="B1233" s="376">
        <v>1944.3</v>
      </c>
    </row>
    <row r="1234" spans="1:2">
      <c r="A1234" s="375">
        <v>43364</v>
      </c>
      <c r="B1234" s="376">
        <v>1915.01</v>
      </c>
    </row>
    <row r="1235" spans="1:2">
      <c r="A1235" s="375">
        <v>43367</v>
      </c>
      <c r="B1235" s="376">
        <v>1934.36</v>
      </c>
    </row>
    <row r="1236" spans="1:2">
      <c r="A1236" s="375">
        <v>43368</v>
      </c>
      <c r="B1236" s="376">
        <v>1974.55</v>
      </c>
    </row>
    <row r="1237" spans="1:2">
      <c r="A1237" s="375">
        <v>43369</v>
      </c>
      <c r="B1237" s="376">
        <v>1974.85</v>
      </c>
    </row>
    <row r="1238" spans="1:2">
      <c r="A1238" s="375">
        <v>43370</v>
      </c>
      <c r="B1238" s="376">
        <v>2012.98</v>
      </c>
    </row>
    <row r="1239" spans="1:2">
      <c r="A1239" s="375">
        <v>43371</v>
      </c>
      <c r="B1239" s="376">
        <v>2003</v>
      </c>
    </row>
    <row r="1240" spans="1:2">
      <c r="A1240" s="375">
        <v>43374</v>
      </c>
      <c r="B1240" s="376">
        <v>2004.36</v>
      </c>
    </row>
    <row r="1241" spans="1:2">
      <c r="A1241" s="375">
        <v>43375</v>
      </c>
      <c r="B1241" s="376">
        <v>1971.31</v>
      </c>
    </row>
    <row r="1242" spans="1:2">
      <c r="A1242" s="375">
        <v>43376</v>
      </c>
      <c r="B1242" s="376">
        <v>1952.76</v>
      </c>
    </row>
    <row r="1243" spans="1:2">
      <c r="A1243" s="375">
        <v>43377</v>
      </c>
      <c r="B1243" s="376">
        <v>1909.42</v>
      </c>
    </row>
    <row r="1244" spans="1:2">
      <c r="A1244" s="375">
        <v>43378</v>
      </c>
      <c r="B1244" s="376">
        <v>1889.65</v>
      </c>
    </row>
    <row r="1245" spans="1:2">
      <c r="A1245" s="375">
        <v>43381</v>
      </c>
      <c r="B1245" s="376">
        <v>1864.42</v>
      </c>
    </row>
    <row r="1246" spans="1:2">
      <c r="A1246" s="375">
        <v>43382</v>
      </c>
      <c r="B1246" s="376">
        <v>1870.32</v>
      </c>
    </row>
    <row r="1247" spans="1:2">
      <c r="A1247" s="375">
        <v>43383</v>
      </c>
      <c r="B1247" s="376">
        <v>1755.25</v>
      </c>
    </row>
    <row r="1248" spans="1:2">
      <c r="A1248" s="375">
        <v>43384</v>
      </c>
      <c r="B1248" s="376">
        <v>1719.36</v>
      </c>
    </row>
    <row r="1249" spans="1:2">
      <c r="A1249" s="375">
        <v>43385</v>
      </c>
      <c r="B1249" s="376">
        <v>1788.61</v>
      </c>
    </row>
    <row r="1250" spans="1:2">
      <c r="A1250" s="375">
        <v>43388</v>
      </c>
      <c r="B1250" s="376">
        <v>1760.95</v>
      </c>
    </row>
    <row r="1251" spans="1:2">
      <c r="A1251" s="375">
        <v>43389</v>
      </c>
      <c r="B1251" s="376">
        <v>1819.96</v>
      </c>
    </row>
    <row r="1252" spans="1:2">
      <c r="A1252" s="375">
        <v>43390</v>
      </c>
      <c r="B1252" s="376">
        <v>1831.73</v>
      </c>
    </row>
    <row r="1253" spans="1:2">
      <c r="A1253" s="375">
        <v>43391</v>
      </c>
      <c r="B1253" s="376">
        <v>1770.72</v>
      </c>
    </row>
    <row r="1254" spans="1:2">
      <c r="A1254" s="375">
        <v>43392</v>
      </c>
      <c r="B1254" s="376">
        <v>1764.03</v>
      </c>
    </row>
    <row r="1255" spans="1:2">
      <c r="A1255" s="375">
        <v>43395</v>
      </c>
      <c r="B1255" s="376">
        <v>1789.3</v>
      </c>
    </row>
    <row r="1256" spans="1:2">
      <c r="A1256" s="375">
        <v>43396</v>
      </c>
      <c r="B1256" s="376">
        <v>1768.7</v>
      </c>
    </row>
    <row r="1257" spans="1:2">
      <c r="A1257" s="375">
        <v>43397</v>
      </c>
      <c r="B1257" s="376">
        <v>1664.2</v>
      </c>
    </row>
    <row r="1258" spans="1:2">
      <c r="A1258" s="375">
        <v>43398</v>
      </c>
      <c r="B1258" s="376">
        <v>1782.17</v>
      </c>
    </row>
    <row r="1259" spans="1:2">
      <c r="A1259" s="375">
        <v>43399</v>
      </c>
      <c r="B1259" s="376">
        <v>1642.81</v>
      </c>
    </row>
    <row r="1260" spans="1:2">
      <c r="A1260" s="375">
        <v>43402</v>
      </c>
      <c r="B1260" s="376">
        <v>1538.88</v>
      </c>
    </row>
    <row r="1261" spans="1:2">
      <c r="A1261" s="375">
        <v>43403</v>
      </c>
      <c r="B1261" s="376">
        <v>1530.42</v>
      </c>
    </row>
    <row r="1262" spans="1:2">
      <c r="A1262" s="375">
        <v>43404</v>
      </c>
      <c r="B1262" s="376">
        <v>1598.01</v>
      </c>
    </row>
    <row r="1263" spans="1:2">
      <c r="A1263" s="375">
        <v>43405</v>
      </c>
      <c r="B1263" s="376">
        <v>1665.53</v>
      </c>
    </row>
    <row r="1264" spans="1:2">
      <c r="A1264" s="375">
        <v>43406</v>
      </c>
      <c r="B1264" s="376">
        <v>1665.53</v>
      </c>
    </row>
    <row r="1265" spans="1:5">
      <c r="A1265" s="375">
        <v>43409</v>
      </c>
      <c r="B1265" s="376">
        <v>1627.8</v>
      </c>
    </row>
    <row r="1266" spans="1:5">
      <c r="A1266" s="375">
        <v>43410</v>
      </c>
      <c r="B1266" s="376">
        <v>1642.81</v>
      </c>
    </row>
    <row r="1267" spans="1:5">
      <c r="A1267" s="375">
        <v>43411</v>
      </c>
      <c r="B1267" s="376">
        <v>1755.49</v>
      </c>
    </row>
    <row r="1268" spans="1:5">
      <c r="A1268" s="375">
        <v>43412</v>
      </c>
      <c r="B1268" s="376">
        <v>1754.91</v>
      </c>
    </row>
    <row r="1269" spans="1:5">
      <c r="A1269" s="375">
        <v>43413</v>
      </c>
      <c r="B1269" s="376">
        <v>1712.43</v>
      </c>
      <c r="C1269" s="378">
        <f>B1269</f>
        <v>1712.43</v>
      </c>
      <c r="D1269" s="378">
        <f t="shared" ref="D1269:E1269" si="0">C1269</f>
        <v>1712.43</v>
      </c>
      <c r="E1269" s="378">
        <f t="shared" si="0"/>
        <v>1712.43</v>
      </c>
    </row>
    <row r="1270" spans="1:5" ht="14">
      <c r="A1270" s="375">
        <v>43465</v>
      </c>
      <c r="B1270" s="379"/>
      <c r="C1270" s="76">
        <v>2071.0351800329709</v>
      </c>
      <c r="D1270" s="76">
        <v>2862.2482252524301</v>
      </c>
      <c r="E1270" s="76">
        <v>1372.8541471357869</v>
      </c>
    </row>
    <row r="1271" spans="1:5" ht="14">
      <c r="A1271" s="375">
        <v>43830</v>
      </c>
      <c r="C1271" s="76">
        <v>2242.508923986195</v>
      </c>
      <c r="D1271" s="76">
        <v>3093.8889597558914</v>
      </c>
      <c r="E1271" s="76">
        <v>1492.7445477778749</v>
      </c>
    </row>
    <row r="1272" spans="1:5" ht="14">
      <c r="A1272" s="375">
        <v>44196</v>
      </c>
      <c r="C1272" s="76">
        <v>2391.5500893990134</v>
      </c>
      <c r="D1272" s="76">
        <v>3312.2881484729078</v>
      </c>
      <c r="E1272" s="76">
        <v>1579.6030437036129</v>
      </c>
    </row>
    <row r="1273" spans="1:5" ht="14">
      <c r="A1273" s="375">
        <v>44561</v>
      </c>
      <c r="C1273" s="76">
        <v>2546.5233107809609</v>
      </c>
      <c r="D1273" s="76">
        <v>3532.3951392770059</v>
      </c>
      <c r="E1273" s="76">
        <v>1671.2697712505255</v>
      </c>
    </row>
    <row r="1274" spans="1:5" ht="14">
      <c r="A1274" s="375">
        <v>44926</v>
      </c>
      <c r="C1274" s="76">
        <v>2694.7719472911745</v>
      </c>
      <c r="D1274" s="76">
        <v>3757.2650844587306</v>
      </c>
      <c r="E1274" s="76">
        <v>1752.8110223704573</v>
      </c>
    </row>
    <row r="1275" spans="1:5" ht="14">
      <c r="A1275" s="375">
        <v>45291</v>
      </c>
      <c r="C1275" s="76">
        <v>2854.2593669776052</v>
      </c>
      <c r="D1275" s="76">
        <v>4000.7117824753782</v>
      </c>
      <c r="E1275" s="76">
        <v>1844.4370297351002</v>
      </c>
    </row>
    <row r="1276" spans="1:5" ht="14">
      <c r="A1276" s="375">
        <v>45657</v>
      </c>
      <c r="C1276" s="76">
        <v>3012.0501005528058</v>
      </c>
      <c r="D1276" s="76">
        <v>4246.9508794691419</v>
      </c>
      <c r="E1276" s="76">
        <v>1939.0735560472233</v>
      </c>
    </row>
    <row r="1277" spans="1:5" ht="14">
      <c r="A1277" s="375">
        <v>46022</v>
      </c>
      <c r="C1277" s="76">
        <v>3174.7910483832538</v>
      </c>
      <c r="D1277" s="76">
        <v>4498.7771954634673</v>
      </c>
      <c r="E1277" s="76">
        <v>2034.4191444002429</v>
      </c>
    </row>
    <row r="1278" spans="1:5" ht="14">
      <c r="A1278" s="375">
        <v>46387</v>
      </c>
      <c r="C1278" s="76">
        <v>3354.8404980001269</v>
      </c>
      <c r="D1278" s="76">
        <v>4777.8815486734675</v>
      </c>
      <c r="E1278" s="76">
        <v>2134.0494045128767</v>
      </c>
    </row>
    <row r="1279" spans="1:5" ht="14">
      <c r="A1279" s="375">
        <v>46752</v>
      </c>
      <c r="C1279" s="76">
        <v>3538.9702744960537</v>
      </c>
      <c r="D1279" s="76">
        <v>5050.8070356389308</v>
      </c>
      <c r="E1279" s="76">
        <v>2238.7299458829193</v>
      </c>
    </row>
    <row r="1280" spans="1:5" ht="14">
      <c r="A1280" s="375">
        <v>47118</v>
      </c>
      <c r="C1280" s="76">
        <v>3719.92160691558</v>
      </c>
      <c r="D1280" s="76">
        <v>5333.8712646341801</v>
      </c>
      <c r="E1280" s="76">
        <v>2340.6137329228218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5EFA-92BD-1A40-9CB7-84B89CAB838D}">
  <dimension ref="E5:R34"/>
  <sheetViews>
    <sheetView workbookViewId="0">
      <selection activeCell="P29" sqref="P29"/>
    </sheetView>
  </sheetViews>
  <sheetFormatPr baseColWidth="10" defaultRowHeight="16"/>
  <cols>
    <col min="1" max="16384" width="11" style="387"/>
  </cols>
  <sheetData>
    <row r="5" spans="5:18" ht="17" thickBot="1"/>
    <row r="6" spans="5:18">
      <c r="E6" s="388"/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90"/>
    </row>
    <row r="7" spans="5:18">
      <c r="E7" s="391"/>
      <c r="F7" s="392"/>
      <c r="G7" s="392"/>
      <c r="H7" s="392"/>
      <c r="I7" s="392"/>
      <c r="J7" s="392"/>
      <c r="K7" s="392"/>
      <c r="L7" s="392"/>
      <c r="M7" s="392"/>
      <c r="N7" s="392"/>
      <c r="O7" s="392"/>
      <c r="P7" s="392"/>
      <c r="Q7" s="392"/>
      <c r="R7" s="393"/>
    </row>
    <row r="8" spans="5:18">
      <c r="E8" s="391"/>
      <c r="F8" s="392"/>
      <c r="G8" s="392"/>
      <c r="H8" s="392"/>
      <c r="I8" s="392"/>
      <c r="J8" s="392"/>
      <c r="K8" s="392"/>
      <c r="L8" s="392"/>
      <c r="M8" s="392"/>
      <c r="N8" s="392"/>
      <c r="O8" s="392"/>
      <c r="P8" s="392"/>
      <c r="Q8" s="392"/>
      <c r="R8" s="393"/>
    </row>
    <row r="9" spans="5:18">
      <c r="E9" s="391"/>
      <c r="F9" s="392"/>
      <c r="G9" s="392"/>
      <c r="H9" s="392"/>
      <c r="I9" s="392"/>
      <c r="J9" s="392"/>
      <c r="K9" s="392"/>
      <c r="L9" s="392"/>
      <c r="M9" s="392"/>
      <c r="N9" s="392"/>
      <c r="O9" s="392"/>
      <c r="P9" s="392"/>
      <c r="Q9" s="392"/>
      <c r="R9" s="393"/>
    </row>
    <row r="10" spans="5:18">
      <c r="E10" s="391"/>
      <c r="F10" s="392"/>
      <c r="G10" s="392"/>
      <c r="H10" s="418"/>
      <c r="I10" s="407"/>
      <c r="J10" s="407"/>
      <c r="K10" s="407"/>
      <c r="L10" s="407"/>
      <c r="M10" s="407"/>
      <c r="N10" s="407"/>
      <c r="O10" s="407"/>
      <c r="P10" s="392"/>
      <c r="Q10" s="392"/>
      <c r="R10" s="393"/>
    </row>
    <row r="11" spans="5:18">
      <c r="E11" s="391"/>
      <c r="F11" s="392"/>
      <c r="G11" s="392"/>
      <c r="H11" s="407"/>
      <c r="I11" s="407"/>
      <c r="J11" s="407"/>
      <c r="K11" s="407"/>
      <c r="L11" s="407"/>
      <c r="M11" s="407"/>
      <c r="N11" s="407"/>
      <c r="O11" s="407"/>
      <c r="P11" s="392"/>
      <c r="Q11" s="392"/>
      <c r="R11" s="393"/>
    </row>
    <row r="12" spans="5:18">
      <c r="E12" s="391"/>
      <c r="F12" s="392"/>
      <c r="G12" s="392"/>
      <c r="H12" s="407"/>
      <c r="I12" s="407"/>
      <c r="J12" s="407"/>
      <c r="K12" s="407"/>
      <c r="L12" s="407"/>
      <c r="M12" s="407"/>
      <c r="N12" s="407"/>
      <c r="O12" s="407"/>
      <c r="P12" s="392"/>
      <c r="Q12" s="392"/>
      <c r="R12" s="393"/>
    </row>
    <row r="13" spans="5:18">
      <c r="E13" s="391"/>
      <c r="F13" s="392"/>
      <c r="G13" s="392"/>
      <c r="H13" s="392"/>
      <c r="I13" s="392"/>
      <c r="J13" s="392"/>
      <c r="K13" s="392"/>
      <c r="L13" s="392"/>
      <c r="M13" s="392"/>
      <c r="N13" s="392"/>
      <c r="O13" s="392"/>
      <c r="P13" s="392"/>
      <c r="Q13" s="392"/>
      <c r="R13" s="393"/>
    </row>
    <row r="14" spans="5:18">
      <c r="E14" s="391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3"/>
    </row>
    <row r="15" spans="5:18">
      <c r="E15" s="391"/>
      <c r="F15" s="392"/>
      <c r="G15" s="392"/>
      <c r="H15" s="392"/>
      <c r="I15" s="392"/>
      <c r="J15" s="392"/>
      <c r="K15" s="392"/>
      <c r="L15" s="392"/>
      <c r="M15" s="392"/>
      <c r="N15" s="392"/>
      <c r="O15" s="392"/>
      <c r="P15" s="392"/>
      <c r="Q15" s="392"/>
      <c r="R15" s="393"/>
    </row>
    <row r="16" spans="5:18">
      <c r="E16" s="391"/>
      <c r="F16" s="392"/>
      <c r="G16" s="392"/>
      <c r="H16" s="392"/>
      <c r="I16" s="392"/>
      <c r="J16" s="392"/>
      <c r="K16" s="392"/>
      <c r="L16" s="392"/>
      <c r="M16" s="392"/>
      <c r="N16" s="392"/>
      <c r="O16" s="392"/>
      <c r="P16" s="392"/>
      <c r="Q16" s="392"/>
      <c r="R16" s="393"/>
    </row>
    <row r="17" spans="5:18">
      <c r="E17" s="391"/>
      <c r="F17" s="392"/>
      <c r="G17" s="392"/>
      <c r="H17" s="392"/>
      <c r="I17" s="392"/>
      <c r="J17" s="392"/>
      <c r="K17" s="392"/>
      <c r="L17" s="392"/>
      <c r="M17" s="392"/>
      <c r="N17" s="392"/>
      <c r="O17" s="392"/>
      <c r="P17" s="392"/>
      <c r="Q17" s="392"/>
      <c r="R17" s="393"/>
    </row>
    <row r="18" spans="5:18">
      <c r="E18" s="391"/>
      <c r="F18" s="392"/>
      <c r="G18" s="392"/>
      <c r="H18" s="392"/>
      <c r="I18" s="392"/>
      <c r="J18" s="392"/>
      <c r="K18" s="392"/>
      <c r="L18" s="392"/>
      <c r="M18" s="392"/>
      <c r="N18" s="392"/>
      <c r="O18" s="392"/>
      <c r="P18" s="392"/>
      <c r="Q18" s="392"/>
      <c r="R18" s="393"/>
    </row>
    <row r="19" spans="5:18">
      <c r="E19" s="391"/>
      <c r="F19" s="392"/>
      <c r="G19" s="392"/>
      <c r="H19" s="392"/>
      <c r="I19" s="392"/>
      <c r="J19" s="392"/>
      <c r="K19" s="392"/>
      <c r="L19" s="392"/>
      <c r="M19" s="392"/>
      <c r="N19" s="392"/>
      <c r="O19" s="392"/>
      <c r="P19" s="392"/>
      <c r="Q19" s="392"/>
      <c r="R19" s="393"/>
    </row>
    <row r="20" spans="5:18">
      <c r="E20" s="391"/>
      <c r="F20" s="392"/>
      <c r="G20" s="392"/>
      <c r="H20" s="392"/>
      <c r="I20" s="392"/>
      <c r="J20" s="392"/>
      <c r="K20" s="392"/>
      <c r="L20" s="392"/>
      <c r="M20" s="392"/>
      <c r="N20" s="392"/>
      <c r="O20" s="392"/>
      <c r="P20" s="392"/>
      <c r="Q20" s="392"/>
      <c r="R20" s="393"/>
    </row>
    <row r="21" spans="5:18">
      <c r="E21" s="391"/>
      <c r="F21" s="392"/>
      <c r="G21" s="392"/>
      <c r="H21" s="392"/>
      <c r="I21" s="392"/>
      <c r="J21" s="392"/>
      <c r="K21" s="392"/>
      <c r="L21" s="392"/>
      <c r="M21" s="392"/>
      <c r="N21" s="392"/>
      <c r="O21" s="392"/>
      <c r="P21" s="392"/>
      <c r="Q21" s="392"/>
      <c r="R21" s="393"/>
    </row>
    <row r="22" spans="5:18">
      <c r="E22" s="391"/>
      <c r="F22" s="392"/>
      <c r="G22" s="392"/>
      <c r="H22" s="392"/>
      <c r="I22" s="392"/>
      <c r="J22" s="392"/>
      <c r="K22" s="392"/>
      <c r="L22" s="392"/>
      <c r="M22" s="392"/>
      <c r="N22" s="392"/>
      <c r="O22" s="392"/>
      <c r="P22" s="392"/>
      <c r="Q22" s="392"/>
      <c r="R22" s="393"/>
    </row>
    <row r="23" spans="5:18">
      <c r="E23" s="391"/>
      <c r="F23" s="392"/>
      <c r="G23" s="392"/>
      <c r="H23" s="392"/>
      <c r="I23" s="392"/>
      <c r="J23" s="392"/>
      <c r="K23" s="392"/>
      <c r="L23" s="392"/>
      <c r="M23" s="392"/>
      <c r="N23" s="392"/>
      <c r="O23" s="392"/>
      <c r="P23" s="392"/>
      <c r="Q23" s="392"/>
      <c r="R23" s="393"/>
    </row>
    <row r="24" spans="5:18">
      <c r="E24" s="391"/>
      <c r="F24" s="392"/>
      <c r="G24" s="392"/>
      <c r="H24" s="392"/>
      <c r="I24" s="392"/>
      <c r="J24" s="392"/>
      <c r="K24" s="392"/>
      <c r="L24" s="392"/>
      <c r="M24" s="392"/>
      <c r="N24" s="392"/>
      <c r="O24" s="392"/>
      <c r="P24" s="392"/>
      <c r="Q24" s="392"/>
      <c r="R24" s="393"/>
    </row>
    <row r="25" spans="5:18">
      <c r="E25" s="391"/>
      <c r="F25" s="392"/>
      <c r="G25" s="392"/>
      <c r="H25" s="392"/>
      <c r="I25" s="392"/>
      <c r="J25" s="392"/>
      <c r="K25" s="392"/>
      <c r="L25" s="392"/>
      <c r="M25" s="392"/>
      <c r="N25" s="392"/>
      <c r="O25" s="392"/>
      <c r="P25" s="392"/>
      <c r="Q25" s="392"/>
      <c r="R25" s="393"/>
    </row>
    <row r="26" spans="5:18">
      <c r="E26" s="391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3"/>
    </row>
    <row r="27" spans="5:18">
      <c r="E27" s="391"/>
      <c r="F27" s="392"/>
      <c r="G27" s="392"/>
      <c r="H27" s="392"/>
      <c r="I27" s="392"/>
      <c r="J27" s="392"/>
      <c r="K27" s="392"/>
      <c r="L27" s="392"/>
      <c r="M27" s="392"/>
      <c r="N27" s="392"/>
      <c r="O27" s="392"/>
      <c r="P27" s="392"/>
      <c r="Q27" s="392"/>
      <c r="R27" s="393"/>
    </row>
    <row r="28" spans="5:18">
      <c r="E28" s="391"/>
      <c r="F28" s="392"/>
      <c r="G28" s="392"/>
      <c r="H28" s="392"/>
      <c r="I28" s="392"/>
      <c r="J28" s="392"/>
      <c r="K28" s="392"/>
      <c r="L28" s="392"/>
      <c r="M28" s="392"/>
      <c r="N28" s="392"/>
      <c r="O28" s="392"/>
      <c r="P28" s="392"/>
      <c r="Q28" s="392"/>
      <c r="R28" s="393"/>
    </row>
    <row r="29" spans="5:18">
      <c r="E29" s="391"/>
      <c r="F29" s="392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2"/>
      <c r="R29" s="393"/>
    </row>
    <row r="30" spans="5:18">
      <c r="E30" s="391"/>
      <c r="F30" s="392"/>
      <c r="G30" s="392"/>
      <c r="H30" s="392"/>
      <c r="I30" s="392"/>
      <c r="J30" s="392"/>
      <c r="K30" s="392"/>
      <c r="L30" s="392"/>
      <c r="M30" s="392"/>
      <c r="N30" s="392"/>
      <c r="O30" s="392"/>
      <c r="P30" s="392"/>
      <c r="Q30" s="392"/>
      <c r="R30" s="393"/>
    </row>
    <row r="31" spans="5:18">
      <c r="E31" s="391"/>
      <c r="F31" s="392"/>
      <c r="G31" s="392"/>
      <c r="H31" s="392"/>
      <c r="I31" s="392"/>
      <c r="J31" s="392"/>
      <c r="K31" s="392"/>
      <c r="L31" s="392"/>
      <c r="M31" s="392"/>
      <c r="N31" s="392"/>
      <c r="O31" s="392"/>
      <c r="P31" s="392"/>
      <c r="Q31" s="392"/>
      <c r="R31" s="393"/>
    </row>
    <row r="32" spans="5:18">
      <c r="E32" s="391"/>
      <c r="F32" s="392"/>
      <c r="G32" s="392"/>
      <c r="H32" s="392"/>
      <c r="I32" s="392"/>
      <c r="J32" s="392"/>
      <c r="K32" s="392"/>
      <c r="L32" s="392"/>
      <c r="M32" s="392"/>
      <c r="N32" s="392"/>
      <c r="O32" s="392"/>
      <c r="P32" s="392"/>
      <c r="Q32" s="392"/>
      <c r="R32" s="393"/>
    </row>
    <row r="33" spans="5:18">
      <c r="E33" s="391"/>
      <c r="F33" s="392"/>
      <c r="G33" s="392"/>
      <c r="H33" s="392"/>
      <c r="I33" s="392"/>
      <c r="J33" s="392"/>
      <c r="K33" s="392"/>
      <c r="L33" s="392"/>
      <c r="M33" s="392"/>
      <c r="N33" s="392"/>
      <c r="O33" s="392"/>
      <c r="P33" s="392"/>
      <c r="Q33" s="392"/>
      <c r="R33" s="393"/>
    </row>
    <row r="34" spans="5:18" ht="17" thickBot="1">
      <c r="E34" s="394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6"/>
    </row>
  </sheetData>
  <mergeCells count="1">
    <mergeCell ref="H10:O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 Page </vt:lpstr>
      <vt:lpstr>DASHBOARD</vt:lpstr>
      <vt:lpstr>Market Size</vt:lpstr>
      <vt:lpstr>Financial Model</vt:lpstr>
      <vt:lpstr>Scenarios</vt:lpstr>
      <vt:lpstr>COMPS</vt:lpstr>
      <vt:lpstr>Additional Info -&gt;</vt:lpstr>
      <vt:lpstr>WACC Analysis</vt:lpstr>
      <vt:lpstr>Quarterly</vt:lpstr>
      <vt:lpstr>Raw Data</vt:lpstr>
      <vt:lpstr>Share Price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Institute® (CFI)</dc:creator>
  <cp:lastModifiedBy>Yongyi Zhao</cp:lastModifiedBy>
  <cp:lastPrinted>2018-12-12T23:10:17Z</cp:lastPrinted>
  <dcterms:created xsi:type="dcterms:W3CDTF">2018-11-30T01:22:45Z</dcterms:created>
  <dcterms:modified xsi:type="dcterms:W3CDTF">2020-04-22T18:11:55Z</dcterms:modified>
</cp:coreProperties>
</file>